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PAVIMENTAÇÃO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Botânico - Medição Financeira - Prep Set.26 (PAINEL D95/D97). O ajuste (coluna G) entra no mês da medição (08/2026)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em 08/2026 (mês da medição).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<sst xmlns="http://schemas.openxmlformats.org/spreadsheetml/2006/main" count="14237" uniqueCount="3035">
  <si>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</si>
  <si>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</si>
  <si>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</si>
  <si>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</si>
  <si>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</si>
  <si>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</si>
  <si>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</si>
  <si>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</si>
  <si>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</si>
  <si>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</si>
  <si>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</si>
  <si>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</si>
  <si>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</si>
  <si>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</si>
  <si>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</si>
  <si>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</si>
  <si>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</si>
  <si>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</si>
  <si>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</si>
  <si>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</si>
  <si>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</si>
  <si>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</si>
  <si>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</si>
  <si>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</si>
  <si>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</si>
  <si>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</si>
  <si>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</si>
  <si>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</si>
  <si>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</si>
  <si>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</si>
  <si>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</si>
  <si>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</si>
  <si>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</si>
  <si>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</si>
  <si>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</si>
  <si>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</si>
  <si>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</si>
  <si>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</si>
  <si>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</si>
  <si>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</si>
  <si>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</si>
  <si>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</si>
  <si>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</si>
  <si>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</si>
  <si>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</si>
  <si>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</si>
  <si>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</si>
  <si>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</si>
  <si>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</si>
  <si>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</si>
  <si>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</si>
  <si>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</si>
  <si>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</si>
  <si>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</si>
  <si>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</si>
  <si>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</si>
  <si>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</si>
  <si>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</si>
  <si>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</si>
  <si>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</si>
  <si>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</si>
  <si>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</si>
  <si>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</si>
  <si>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</si>
  <si>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</si>
  <si>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</si>
  <si>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</si>
  <si>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</si>
  <si>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</si>
  <si>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</si>
  <si>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</si>
  <si>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</si>
  <si>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</si>
  <si>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</si>
  <si>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</si>
  <si>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</si>
  <si>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</si>
  <si>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</si>
  <si>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</si>
  <si>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</si>
  <si>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</si>
  <si>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</si>
  <si>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</si>
  <si>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</si>
  <si>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</si>
  <si>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</si>
  <si>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</si>
  <si>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</si>
  <si>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</si>
  <si>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SET/25 - BOTÂNICO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</si>
  <si>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</si>
  <si>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</si>
  <si>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</si>
  <si>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</si>
  <si>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</si>
  <si>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</si>
  <si>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</si>
  <si>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</si>
  <si>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</si>
  <si>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</si>
  <si>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</si>
  <si>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</si>
  <si>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</si>
  <si>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</si>
  <si>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</si>
  <si>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</si>
  <si>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BOTÂNICO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</si>
  <si>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</si>
  <si>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</si>
  <si>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</si>
  <si>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</si>
  <si>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</si>
  <si>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</si>
  <si>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</si>
  <si>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</si>
  <si>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</si>
  <si>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</si>
  <si>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</si>
  <si>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</si>
  <si>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</si>
  <si>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</si>
  <si>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</si>
  <si>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</si>
  <si>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</si>
  <si>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</si>
  <si>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</si>
  <si>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</si>
  <si>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</si>
  <si>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</si>
  <si>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 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</si>
  <si>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</si>
  <si>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</si>
  <si>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</si>
  <si>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</si>
  <si>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</si>
  <si>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</si>
  <si>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</si>
  <si>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</si>
  <si>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</si>
  <si>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</si>
  <si>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</si>
  <si>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</si>
  <si>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</si>
  <si>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</si>
  <si>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</si>
  <si>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</si>
  <si>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</si>
  <si>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</si>
  <si>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</si>
  <si>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</si>
  <si>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</si>
  <si>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</si>
  <si>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</si>
  <si>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</si>
  <si>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</si>
  <si>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</si>
  <si>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</si>
  <si>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 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</si>
  <si>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</si>
  <si>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</si>
  <si>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</si>
  <si>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</si>
  <si>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</si>
  <si>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</si>
  <si>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</si>
  <si>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</si>
  <si>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PL120.001</t>
  </si>
  <si>
    <t xml:space="preserve">18</t>
  </si>
  <si>
    <t xml:space="preserve">ALVENARIA</t>
  </si>
  <si>
    <t xml:space="preserve">PL140.004</t>
  </si>
  <si>
    <t xml:space="preserve">19</t>
  </si>
  <si>
    <t xml:space="preserve">IMPERMEABILIZAÇÃO</t>
  </si>
  <si>
    <t xml:space="preserve">PL110.018</t>
  </si>
  <si>
    <t xml:space="preserve">20</t>
  </si>
  <si>
    <t xml:space="preserve">INSTALAÇÕES ELÉTRICAS </t>
  </si>
  <si>
    <t xml:space="preserve">PL110.007</t>
  </si>
  <si>
    <t xml:space="preserve">21</t>
  </si>
  <si>
    <t xml:space="preserve">INSTALAÇÕES HIDROSANITÁRIAS</t>
  </si>
  <si>
    <t xml:space="preserve">PL110.017</t>
  </si>
  <si>
    <t xml:space="preserve">22</t>
  </si>
  <si>
    <t xml:space="preserve">INSTALAÇÕES COMBATE INCÊNDIO</t>
  </si>
  <si>
    <t xml:space="preserve">PL110.027</t>
  </si>
  <si>
    <t xml:space="preserve">23</t>
  </si>
  <si>
    <t xml:space="preserve">INSTALAÇÕES ESPECIAIS</t>
  </si>
  <si>
    <t xml:space="preserve">PL220.002</t>
  </si>
  <si>
    <t xml:space="preserve">24</t>
  </si>
  <si>
    <t xml:space="preserve">ELEVADORES</t>
  </si>
  <si>
    <t xml:space="preserve">ELEVADORES </t>
  </si>
  <si>
    <t xml:space="preserve">PL250.001</t>
  </si>
  <si>
    <t xml:space="preserve">25</t>
  </si>
  <si>
    <t xml:space="preserve">ESQUADRIAS</t>
  </si>
  <si>
    <t xml:space="preserve">ESQUADRIAS </t>
  </si>
  <si>
    <t xml:space="preserve">PL240.000</t>
  </si>
  <si>
    <t xml:space="preserve">26</t>
  </si>
  <si>
    <t xml:space="preserve">SERRALHERIA</t>
  </si>
  <si>
    <t xml:space="preserve">PL240.020</t>
  </si>
  <si>
    <t xml:space="preserve">27</t>
  </si>
  <si>
    <t xml:space="preserve">MARCENARIA</t>
  </si>
  <si>
    <t xml:space="preserve">PL160.001</t>
  </si>
  <si>
    <t xml:space="preserve">28</t>
  </si>
  <si>
    <t xml:space="preserve">REVESTIMENTOS DE MASSA EM PISOS</t>
  </si>
  <si>
    <t xml:space="preserve">PL150.001</t>
  </si>
  <si>
    <t xml:space="preserve">29</t>
  </si>
  <si>
    <t xml:space="preserve">REVESTIMENTOS DE MASSA EM PAREDES</t>
  </si>
  <si>
    <t xml:space="preserve">PL170.004</t>
  </si>
  <si>
    <t xml:space="preserve">30</t>
  </si>
  <si>
    <t xml:space="preserve">REVESTIMENTOS DE ACABAMENTO</t>
  </si>
  <si>
    <t xml:space="preserve">PL320.001</t>
  </si>
  <si>
    <t xml:space="preserve">31</t>
  </si>
  <si>
    <t xml:space="preserve">PAVIMENTAÇÃO</t>
  </si>
  <si>
    <t xml:space="preserve">PAVIMENTÇÃO</t>
  </si>
  <si>
    <t xml:space="preserve">PL190.003</t>
  </si>
  <si>
    <t xml:space="preserve">32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</si>
  <si>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</si>
  <si>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</si>
  <si>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</si>
  <si>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</si>
  <si>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</si>
  <si>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</si>
  <si>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</si>
  <si>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</si>
  <si>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</si>
  <si>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</si>
  <si>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</si>
  <si>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</si>
  <si>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</si>
  <si>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</si>
  <si>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</si>
  <si>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</si>
  <si>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</si>
  <si>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</si>
  <si>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</si>
  <si>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</si>
  <si>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</si>
  <si>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</si>
  <si>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</si>
  <si>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</si>
  <si>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</si>
  <si>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</si>
  <si>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</si>
  <si>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</si>
  <si>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</si>
  <si>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</si>
  <si>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</si>
  <si>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</si>
  <si>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08/2026)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</si>
  <si>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</si>
  <si>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</si>
  <si>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</si>
  <si>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</si>
  <si>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</si>
  <si>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</si>
  <si>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</si>
  <si>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</si>
  <si>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</si>
  <si>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</si>
  <si>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</si>
  <si>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</si>
  <si>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</si>
  <si>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</si>
  <si>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</si>
  <si>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</si>
  <si>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</si>
  <si>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</si>
  <si>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</si>
  <si>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</si>
  <si>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</si>
  <si>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</si>
  <si>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</si>
  <si>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</si>
  <si>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</si>
  <si>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</si>
  <si>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</si>
  <si>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</si>
  <si>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</si>
  <si>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</si>
  <si>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</si>
  <si>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</si>
  <si>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</si>
  <si>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</si>
  <si>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ATÉ O COBERTURA - 32º PAVIMENTO</t>
  </si>
  <si>
    <t xml:space="preserve">ALVENARIA - ATÉ 27º PAVIMENTO / GESSO ACARTONADO - 2ª FACE - ATÉ 16º PAVIMENTO</t>
  </si>
  <si>
    <t xml:space="preserve">ATÉ O 15º PAVIMENTO</t>
  </si>
  <si>
    <t xml:space="preserve">INFRAESTRUTURA - ATÉ O 14º PAVIMENTO / FIAÇÃO - ATÉ O 10º PAVIMENTO</t>
  </si>
  <si>
    <t xml:space="preserve">INFRAESTRUTURA - ATÉ O 15º PAVIMENTO </t>
  </si>
  <si>
    <t xml:space="preserve">PRUMADA - ATÉ 28º PAVIMENTO</t>
  </si>
  <si>
    <t xml:space="preserve">RENOVAÇÃO DE AR - SUBSOLO</t>
  </si>
  <si>
    <t xml:space="preserve">APENAS DESEMBOLSO FINANCEIRO - MONTAGEM PARA 2028</t>
  </si>
  <si>
    <t xml:space="preserve">ATÉ O 21º PAVIMENTO</t>
  </si>
  <si>
    <t xml:space="preserve">ATÉ O 23º PAVIMENTO</t>
  </si>
  <si>
    <t xml:space="preserve">PAREDES - ATÉ O 15º PAVIMENTO / PISOS - ATÉ O 14º PAVIMENTO</t>
  </si>
  <si>
    <t xml:space="preserve">1ª ETAPA DE FACHADA - 70 % FINAIZADA</t>
  </si>
  <si>
    <t xml:space="preserve">ATÉ O 11º PAVIMENTO</t>
  </si>
  <si>
    <t xml:space="preserve">TRATAMENTO DE CONCRETO APARENTE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</si>
  <si>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</si>
  <si>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</si>
  <si>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</si>
  <si>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</si>
  <si>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</si>
  <si>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</si>
  <si>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</si>
  <si>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</si>
  <si>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</si>
  <si>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</si>
  <si>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</si>
  <si>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</si>
  <si>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1030-1070-280</t>
  </si>
  <si>
    <t xml:space="preserve">1030-1070-140</t>
  </si>
  <si>
    <t xml:space="preserve">1030-1070-160</t>
  </si>
  <si>
    <t xml:space="preserve">1030-1070-170</t>
  </si>
  <si>
    <t xml:space="preserve">1030-1070-190</t>
  </si>
  <si>
    <t xml:space="preserve">1030-1070-510</t>
  </si>
  <si>
    <t xml:space="preserve">DEMOLIÇÃO</t>
  </si>
  <si>
    <t xml:space="preserve">1030-1070-550</t>
  </si>
  <si>
    <t xml:space="preserve">DEVOLUÇÃO DE CAIXA DE OBRA</t>
  </si>
  <si>
    <t xml:space="preserve">1030-1070-560</t>
  </si>
  <si>
    <t xml:space="preserve">1030-1070-400</t>
  </si>
  <si>
    <t xml:space="preserve">1030-1070-450</t>
  </si>
  <si>
    <t xml:space="preserve">1030-1070-370</t>
  </si>
  <si>
    <t xml:space="preserve">1030-1070-230</t>
  </si>
  <si>
    <t xml:space="preserve">1030-1070-350</t>
  </si>
  <si>
    <t xml:space="preserve">1030-1070-200</t>
  </si>
  <si>
    <t xml:space="preserve">1030-1070-210</t>
  </si>
  <si>
    <t xml:space="preserve">1030-1070-290</t>
  </si>
  <si>
    <t xml:space="preserve">1030-1070-260</t>
  </si>
  <si>
    <t xml:space="preserve">1030-1070-240</t>
  </si>
  <si>
    <t xml:space="preserve">1030-1070-270</t>
  </si>
  <si>
    <t xml:space="preserve">1030-1070-250</t>
  </si>
  <si>
    <t xml:space="preserve">1030-1070-130</t>
  </si>
  <si>
    <t xml:space="preserve">LEVANTAMENTO TOPOGRÁFICO</t>
  </si>
  <si>
    <t xml:space="preserve">1030-1070-410</t>
  </si>
  <si>
    <t xml:space="preserve">1030-1070-440</t>
  </si>
  <si>
    <t xml:space="preserve">1030-1070-540</t>
  </si>
  <si>
    <t xml:space="preserve">1030-1070-430</t>
  </si>
  <si>
    <t xml:space="preserve">1030-1070-420</t>
  </si>
  <si>
    <t xml:space="preserve">1030-1070-390</t>
  </si>
  <si>
    <t xml:space="preserve">1030-1070-100</t>
  </si>
  <si>
    <t xml:space="preserve">1030-1070-570</t>
  </si>
  <si>
    <t xml:space="preserve">1030-1070-360</t>
  </si>
  <si>
    <t xml:space="preserve">1030-1070-490</t>
  </si>
  <si>
    <t xml:space="preserve">1030-1070-320</t>
  </si>
  <si>
    <t xml:space="preserve">1030-1070-300</t>
  </si>
  <si>
    <t xml:space="preserve">1030-1070-580</t>
  </si>
  <si>
    <t xml:space="preserve">REVESTIMENTOS DIVERSOS-FACHADA</t>
  </si>
  <si>
    <t xml:space="preserve">1030-1070-310</t>
  </si>
  <si>
    <t xml:space="preserve">REVESTIMENTOS DIVERSOS-PAREDE</t>
  </si>
  <si>
    <t xml:space="preserve">1030-1070-330</t>
  </si>
  <si>
    <t xml:space="preserve">REVESTIMENTOS DIVERSOS-PISOS</t>
  </si>
  <si>
    <t xml:space="preserve">1030-1070-340</t>
  </si>
  <si>
    <t xml:space="preserve">RODAPÉS/SOLEIRAS/PEITORIL/ADUELAS</t>
  </si>
  <si>
    <t xml:space="preserve">1030-1070-220</t>
  </si>
  <si>
    <t xml:space="preserve">1030-1070-110</t>
  </si>
  <si>
    <t xml:space="preserve">1030-1070-380</t>
  </si>
  <si>
    <t xml:space="preserve">1030-1070-150</t>
  </si>
  <si>
    <t xml:space="preserve">1030-1070-470</t>
  </si>
  <si>
    <t xml:space="preserve">1030-1070-180</t>
  </si>
  <si>
    <t xml:space="preserve">1030-1070-600</t>
  </si>
  <si>
    <t xml:space="preserve">1030-1070-460</t>
  </si>
  <si>
    <t xml:space="preserve">1030-1070-480</t>
  </si>
  <si>
    <t xml:space="preserve">ESTRUTURA EM COBERTURA METÁLICA</t>
  </si>
  <si>
    <t xml:space="preserve">1030-1070-500</t>
  </si>
  <si>
    <t xml:space="preserve">REFORÇO ESTRUTURAL</t>
  </si>
  <si>
    <t xml:space="preserve">1030-1070-530</t>
  </si>
  <si>
    <t xml:space="preserve">1030-1070-120</t>
  </si>
  <si>
    <t xml:space="preserve">1030-1070-590</t>
  </si>
  <si>
    <t xml:space="preserve">1030-1070-520</t>
  </si>
  <si>
    <t xml:space="preserve">1040-1110-115</t>
  </si>
  <si>
    <t xml:space="preserve">COMERCIAIS</t>
  </si>
  <si>
    <t xml:space="preserve">1040-1130-110</t>
  </si>
  <si>
    <t xml:space="preserve">INCORPORAÇÃO / LEGALIZAÇÃO</t>
  </si>
  <si>
    <t xml:space="preserve">1030-1090-100</t>
  </si>
  <si>
    <t xml:space="preserve">MEDIDAS COMPENSATÓRIAS</t>
  </si>
  <si>
    <t xml:space="preserve">1040-1110-130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</si>
  <si>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</si>
  <si>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</si>
  <si>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</si>
  <si>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</si>
  <si>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</si>
  <si>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</si>
  <si>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</si>
  <si>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</si>
  <si>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</si>
  <si>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</si>
  <si>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</si>
  <si>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</si>
  <si>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</si>
  <si>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</si>
  <si>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</si>
  <si>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</si>
  <si>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</si>
  <si>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</si>
  <si>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</si>
  <si>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</si>
  <si>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</si>
  <si>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</si>
  <si>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Email 18/08/26 -&gt; O fluxo fechou o ano em R$ 22.800 Mi</t>
  </si>
  <si>
    <t xml:space="preserve">Meta do ano (no BI está somando com a permuta de dez/25)</t>
  </si>
  <si>
    <t xml:space="preserve">Meta do ano = 27.300 Mi + 0.300 permuta</t>
  </si>
  <si>
    <t xml:space="preserve">Meta corrigida em Mar/2026 --&gt; R$ 23.700 Mi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</si>
  <si>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</si>
  <si>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</si>
  <si>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</si>
  <si>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</si>
  <si>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</si>
  <si>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Botânico exportado em 25/09/2026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</si>
  <si>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</si>
  <si>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</si>
  <si>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</si>
  <si>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</si>
  <si>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</si>
  <si>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</si>
  <si>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</si>
  <si>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</si>
  <si>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</si>
  <si>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</si>
  <si>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</si>
  <si>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</si>
  <si>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</si>
  <si>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</si>
  <si>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</si>
  <si>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</si>
  <si>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</si>
  <si>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</si>
  <si>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</si>
  <si>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</si>
  <si>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</si>
  <si>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</si>
  <si>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</si>
  <si>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</si>
  <si>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</si>
  <si>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</si>
  <si>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</si>
  <si>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</si>
  <si>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</si>
  <si>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</si>
  <si>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</si>
  <si>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</si>
  <si>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</si>
  <si>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</si>
  <si>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</si>
  <si>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</si>
  <si>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</si>
  <si>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</si>
  <si>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</si>
  <si>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</si>
  <si>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</si>
  <si>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</si>
  <si>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</si>
  <si>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</si>
  <si>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</si>
  <si>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31/03/2029</t>
  </si>
  <si>
    <t xml:space="preserve">30/04/2029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</si>
  <si>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</si>
  <si>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</si>
  <si>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</si>
  <si>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</si>
  <si>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</si>
  <si>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</si>
  <si>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</si>
  <si>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</si>
  <si>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</si>
  <si>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</si>
  <si>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</si>
  <si>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</si>
  <si>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</si>
  <si>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Elaboração de Básicos e Executivos</t>
  </si>
  <si>
    <t xml:space="preserve">SEGURO DE OBRA</t>
  </si>
  <si>
    <t xml:space="preserve">02.01</t>
  </si>
  <si>
    <t xml:space="preserve">Seguro de obra</t>
  </si>
  <si>
    <t xml:space="preserve">03.01</t>
  </si>
  <si>
    <t xml:space="preserve">Despesas legais</t>
  </si>
  <si>
    <t xml:space="preserve">03.02</t>
  </si>
  <si>
    <t xml:space="preserve">Custos com vizinhos proveniente de danos causados pela execução da obra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</si>
  <si>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</si>
  <si>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</si>
  <si>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</si>
  <si>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</si>
  <si>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</si>
  <si>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</si>
  <si>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</si>
  <si>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</si>
  <si>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</si>
  <si>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Escritórios</t>
  </si>
  <si>
    <t xml:space="preserve">04.02.02</t>
  </si>
  <si>
    <t xml:space="preserve">Banheiro/vestiário</t>
  </si>
  <si>
    <t xml:space="preserve">04.02.03</t>
  </si>
  <si>
    <t xml:space="preserve">Portaria / Chapeira de ponto</t>
  </si>
  <si>
    <t xml:space="preserve">04.02.04</t>
  </si>
  <si>
    <t xml:space="preserve">Refeitório / Cozinha</t>
  </si>
  <si>
    <t xml:space="preserve">04.02.05</t>
  </si>
  <si>
    <t xml:space="preserve">Almoxarifado (depósito)</t>
  </si>
  <si>
    <t xml:space="preserve">04.02.06</t>
  </si>
  <si>
    <t xml:space="preserve">Almoxarifado (área coberta externa)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</si>
  <si>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</si>
  <si>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</si>
  <si>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</si>
  <si>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04.03.02</t>
  </si>
  <si>
    <t xml:space="preserve">04.03.03</t>
  </si>
  <si>
    <t xml:space="preserve">04.03.04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</si>
  <si>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</si>
  <si>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</si>
  <si>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</si>
  <si>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</si>
  <si>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</si>
  <si>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</si>
  <si>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</si>
  <si>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</si>
  <si>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</si>
  <si>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</si>
  <si>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</si>
  <si>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</si>
  <si>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</si>
  <si>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</si>
  <si>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</si>
  <si>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</si>
  <si>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</si>
  <si>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</si>
  <si>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</si>
  <si>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</si>
  <si>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</si>
  <si>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</si>
  <si>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</si>
  <si>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</si>
  <si>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</si>
  <si>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</si>
  <si>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</si>
  <si>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</si>
  <si>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</si>
  <si>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</si>
  <si>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</si>
  <si>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</si>
  <si>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</si>
  <si>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</si>
  <si>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</si>
  <si>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</si>
  <si>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</si>
  <si>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</si>
  <si>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</si>
  <si>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</si>
  <si>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</si>
  <si>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</si>
  <si>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</si>
  <si>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</si>
  <si>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</si>
  <si>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</si>
  <si>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</si>
  <si>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</si>
  <si>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</si>
  <si>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</si>
  <si>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</si>
  <si>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</si>
  <si>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</si>
  <si>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</si>
  <si>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</si>
  <si>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</si>
  <si>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</si>
  <si>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Fogao</t>
  </si>
  <si>
    <t xml:space="preserve">04.05.04.04</t>
  </si>
  <si>
    <t xml:space="preserve">Geladeira</t>
  </si>
  <si>
    <t xml:space="preserve">04.05.04.05</t>
  </si>
  <si>
    <t xml:space="preserve">Botijão de Gás</t>
  </si>
  <si>
    <t xml:space="preserve">04.05.04.06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</si>
  <si>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</si>
  <si>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</si>
  <si>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</si>
  <si>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</si>
  <si>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</si>
  <si>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</si>
  <si>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</si>
  <si>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04.05.05.05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</si>
  <si>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</si>
  <si>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</si>
  <si>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</si>
  <si>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</si>
  <si>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04.06.02</t>
  </si>
  <si>
    <t xml:space="preserve">Repintura periodica de canteiro e tapumes</t>
  </si>
  <si>
    <t xml:space="preserve">05.01</t>
  </si>
  <si>
    <t xml:space="preserve">Ligação provisória de água</t>
  </si>
  <si>
    <t xml:space="preserve">05.02</t>
  </si>
  <si>
    <t xml:space="preserve">Ligação provisória de energia elétrica</t>
  </si>
  <si>
    <t xml:space="preserve">05.03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</si>
  <si>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</si>
  <si>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</si>
  <si>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</si>
  <si>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</si>
  <si>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</si>
  <si>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</si>
  <si>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</si>
  <si>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</si>
  <si>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</si>
  <si>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</si>
  <si>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</si>
  <si>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</si>
  <si>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</si>
  <si>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</si>
  <si>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</si>
  <si>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</si>
  <si>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</si>
  <si>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</si>
  <si>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</si>
  <si>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</si>
  <si>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</si>
  <si>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</si>
  <si>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</si>
  <si>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</si>
  <si>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</si>
  <si>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</si>
  <si>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</si>
  <si>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</si>
  <si>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Orçamento e acompanhamento de obra</t>
  </si>
  <si>
    <t xml:space="preserve">09.01.01</t>
  </si>
  <si>
    <t xml:space="preserve">Acompanhamento de obra VIA APLICATIVO - PREVISION</t>
  </si>
  <si>
    <t xml:space="preserve">09.01.02</t>
  </si>
  <si>
    <t xml:space="preserve">Orçamento preliminar e executivo</t>
  </si>
  <si>
    <t xml:space="preserve">09.02</t>
  </si>
  <si>
    <t xml:space="preserve">Controle Tecnológico</t>
  </si>
  <si>
    <t xml:space="preserve">09.02.01</t>
  </si>
  <si>
    <t xml:space="preserve">Controle Tecnológico de Concreto</t>
  </si>
  <si>
    <t xml:space="preserve">09.02.02</t>
  </si>
  <si>
    <t xml:space="preserve">Norma de desempenho - certificação e teste de fachadas, revestimentos, desempenho termo-acústico do empreendimento</t>
  </si>
  <si>
    <t xml:space="preserve">09.02.03</t>
  </si>
  <si>
    <t xml:space="preserve">Prova de carga estática</t>
  </si>
  <si>
    <t xml:space="preserve">09.02.04</t>
  </si>
  <si>
    <t xml:space="preserve">Consultoria geotécnica</t>
  </si>
  <si>
    <t xml:space="preserve">09.02.05</t>
  </si>
  <si>
    <t xml:space="preserve">Controle de Recalque</t>
  </si>
  <si>
    <t xml:space="preserve">09.02.06</t>
  </si>
  <si>
    <t xml:space="preserve">Consultoria de concreto aparente na fachada</t>
  </si>
  <si>
    <t xml:space="preserve">09.02.07</t>
  </si>
  <si>
    <t xml:space="preserve">Consultoria de execução do concreto do bloco do elevador</t>
  </si>
  <si>
    <t xml:space="preserve">09.03</t>
  </si>
  <si>
    <t xml:space="preserve">Controle Ambiental</t>
  </si>
  <si>
    <t xml:space="preserve">09.03.01</t>
  </si>
  <si>
    <t xml:space="preserve">Controle de Ruído</t>
  </si>
  <si>
    <t xml:space="preserve">09.03.02</t>
  </si>
  <si>
    <t xml:space="preserve">Atendimento as condicionantes conforme contrato</t>
  </si>
  <si>
    <t xml:space="preserve">09.03.03</t>
  </si>
  <si>
    <t xml:space="preserve">Comunicação Vizinhança - 6 Mil Diagnostico + Valor mensal</t>
  </si>
  <si>
    <t xml:space="preserve">10.01</t>
  </si>
  <si>
    <t xml:space="preserve">Segurança do trabalho</t>
  </si>
  <si>
    <t xml:space="preserve">10.01.01</t>
  </si>
  <si>
    <t xml:space="preserve">PCMAT</t>
  </si>
  <si>
    <t xml:space="preserve">10.01.02</t>
  </si>
  <si>
    <t xml:space="preserve">PCMSO</t>
  </si>
  <si>
    <t xml:space="preserve">10.01.03</t>
  </si>
  <si>
    <t xml:space="preserve">SIPAT</t>
  </si>
  <si>
    <t xml:space="preserve">10.02</t>
  </si>
  <si>
    <t xml:space="preserve">Equipe técnica</t>
  </si>
  <si>
    <t xml:space="preserve">10.02.01</t>
  </si>
  <si>
    <t xml:space="preserve">Gerente de contrato</t>
  </si>
  <si>
    <t xml:space="preserve">10.02.02</t>
  </si>
  <si>
    <t xml:space="preserve">Engenheiro de produção PL</t>
  </si>
  <si>
    <t xml:space="preserve">10.02.03</t>
  </si>
  <si>
    <t xml:space="preserve">Engenheiro de produção JR</t>
  </si>
  <si>
    <t xml:space="preserve">10.02.04</t>
  </si>
  <si>
    <t xml:space="preserve">Engenheiro Traine</t>
  </si>
  <si>
    <t xml:space="preserve">10.02.05</t>
  </si>
  <si>
    <t xml:space="preserve">Apoio escritório central</t>
  </si>
  <si>
    <t xml:space="preserve">10.02.06</t>
  </si>
  <si>
    <t xml:space="preserve">Rateio de qualidade e segurança</t>
  </si>
  <si>
    <t xml:space="preserve">10.02.07</t>
  </si>
  <si>
    <t xml:space="preserve">Auxiliar de Engenharia</t>
  </si>
  <si>
    <t xml:space="preserve">10.02.08</t>
  </si>
  <si>
    <t xml:space="preserve">Estagiário</t>
  </si>
  <si>
    <t xml:space="preserve">10.02.09</t>
  </si>
  <si>
    <t xml:space="preserve">Equipe de topografia terceirizada</t>
  </si>
  <si>
    <t xml:space="preserve">10.03</t>
  </si>
  <si>
    <t xml:space="preserve">Equipe de segurança e medicina do trabalho</t>
  </si>
  <si>
    <t xml:space="preserve">10.03.01</t>
  </si>
  <si>
    <t xml:space="preserve">Técnico de Segurança do Trabalho</t>
  </si>
  <si>
    <t xml:space="preserve">10.03.02</t>
  </si>
  <si>
    <t xml:space="preserve">10.03.03</t>
  </si>
  <si>
    <t xml:space="preserve">Carpinteiro de apoio</t>
  </si>
  <si>
    <t xml:space="preserve">10.04</t>
  </si>
  <si>
    <t xml:space="preserve">Equipe administrativa</t>
  </si>
  <si>
    <t xml:space="preserve">10.04.01</t>
  </si>
  <si>
    <t xml:space="preserve">Encarregado Administrativo</t>
  </si>
  <si>
    <t xml:space="preserve">10.04.02</t>
  </si>
  <si>
    <t xml:space="preserve">Almoxarife</t>
  </si>
  <si>
    <t xml:space="preserve">10.04.03</t>
  </si>
  <si>
    <t xml:space="preserve">Auxiliar de Almoxarife</t>
  </si>
  <si>
    <t xml:space="preserve">10.04.04</t>
  </si>
  <si>
    <t xml:space="preserve">Porteiro</t>
  </si>
  <si>
    <t xml:space="preserve">10.04.05</t>
  </si>
  <si>
    <t xml:space="preserve">Vigilancia terceirizada</t>
  </si>
  <si>
    <t xml:space="preserve">10.05</t>
  </si>
  <si>
    <t xml:space="preserve">Equipe produtiva</t>
  </si>
  <si>
    <t xml:space="preserve">10.05.01</t>
  </si>
  <si>
    <t xml:space="preserve">Mestre de Obra</t>
  </si>
  <si>
    <t xml:space="preserve">10.05.02</t>
  </si>
  <si>
    <t xml:space="preserve">Encarregado de estrutura</t>
  </si>
  <si>
    <t xml:space="preserve">10.05.03</t>
  </si>
  <si>
    <t xml:space="preserve">Encarregado de acabamento área comum</t>
  </si>
  <si>
    <t xml:space="preserve">10.05.04</t>
  </si>
  <si>
    <t xml:space="preserve">Encarregado acabamento Torre</t>
  </si>
  <si>
    <t xml:space="preserve">10.05.05</t>
  </si>
  <si>
    <t xml:space="preserve">Encarregado de Turma / Logistica</t>
  </si>
  <si>
    <t xml:space="preserve">10.05.06</t>
  </si>
  <si>
    <t xml:space="preserve">Encarregado de instalações</t>
  </si>
  <si>
    <t xml:space="preserve">10.05.07</t>
  </si>
  <si>
    <t xml:space="preserve">Supervisor - Eletrica - Marlei</t>
  </si>
  <si>
    <t xml:space="preserve">10.05.08</t>
  </si>
  <si>
    <t xml:space="preserve">Oficial superior - Eletricista</t>
  </si>
  <si>
    <t xml:space="preserve">10.05.09</t>
  </si>
  <si>
    <t xml:space="preserve">Oficial - Pedreiro</t>
  </si>
  <si>
    <t xml:space="preserve">10.05.10</t>
  </si>
  <si>
    <t xml:space="preserve">Meio-oficial - Ajudante</t>
  </si>
  <si>
    <t xml:space="preserve">10.05.11</t>
  </si>
  <si>
    <t xml:space="preserve">Servente carga e descarga</t>
  </si>
  <si>
    <t xml:space="preserve">10.05.12</t>
  </si>
  <si>
    <t xml:space="preserve">Servente separador de entulho</t>
  </si>
  <si>
    <t xml:space="preserve">10.05.13</t>
  </si>
  <si>
    <t xml:space="preserve">Servente serviços gerais</t>
  </si>
  <si>
    <t xml:space="preserve">10.06</t>
  </si>
  <si>
    <t xml:space="preserve">Operadores</t>
  </si>
  <si>
    <t xml:space="preserve">10.06.01</t>
  </si>
  <si>
    <t xml:space="preserve">Operador de Betoneira</t>
  </si>
  <si>
    <t xml:space="preserve">10.06.02</t>
  </si>
  <si>
    <t xml:space="preserve">Servente para abastecimento de betoneira</t>
  </si>
  <si>
    <t xml:space="preserve">10.06.03</t>
  </si>
  <si>
    <t xml:space="preserve">Operador de elevador de obra</t>
  </si>
  <si>
    <t xml:space="preserve">10.06.04</t>
  </si>
  <si>
    <t xml:space="preserve">Sinaleiro para operações com Grua</t>
  </si>
  <si>
    <t xml:space="preserve">10.07</t>
  </si>
  <si>
    <t xml:space="preserve">Distribuição de lucros (PPLR)</t>
  </si>
  <si>
    <t xml:space="preserve">10.07.01</t>
  </si>
  <si>
    <t xml:space="preserve">Participação de lucros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</si>
  <si>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</si>
  <si>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</si>
  <si>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</si>
  <si>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</si>
  <si>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</si>
  <si>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</si>
  <si>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</si>
  <si>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</si>
  <si>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</si>
  <si>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</si>
  <si>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</si>
  <si>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Retroescavadeira</t>
  </si>
  <si>
    <t xml:space="preserve">11.02.04</t>
  </si>
  <si>
    <t xml:space="preserve">Locação de Escavadeira Hidraulica - Considerando H.E aos sábados</t>
  </si>
  <si>
    <t xml:space="preserve">11.02.05</t>
  </si>
  <si>
    <t xml:space="preserve">Locação de mini escavadeira</t>
  </si>
  <si>
    <t xml:space="preserve">11.02.06</t>
  </si>
  <si>
    <t xml:space="preserve">Locação de mini carregadeira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</si>
  <si>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</si>
  <si>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</si>
  <si>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</si>
  <si>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</si>
  <si>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</si>
  <si>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</si>
  <si>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</si>
  <si>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</si>
  <si>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</si>
  <si>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</si>
  <si>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</si>
  <si>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</si>
  <si>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</si>
  <si>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</si>
  <si>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</si>
  <si>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</si>
  <si>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</si>
  <si>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</si>
  <si>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</si>
  <si>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</si>
  <si>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</si>
  <si>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</si>
  <si>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</si>
  <si>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</si>
  <si>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</si>
  <si>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</si>
  <si>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</si>
  <si>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</si>
  <si>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</si>
  <si>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</si>
  <si>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</si>
  <si>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</si>
  <si>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11.03.04</t>
  </si>
  <si>
    <t xml:space="preserve">Bandeja primária largura 330cm - embasamento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</si>
  <si>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</si>
  <si>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</si>
  <si>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</si>
  <si>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</si>
  <si>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</si>
  <si>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</si>
  <si>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</si>
  <si>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</si>
  <si>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11.03.05</t>
  </si>
  <si>
    <t xml:space="preserve">Bandeja primária largura 330cm - torre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</si>
  <si>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</si>
  <si>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</si>
  <si>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</si>
  <si>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</si>
  <si>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</si>
  <si>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</si>
  <si>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</si>
  <si>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</si>
  <si>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</si>
  <si>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</si>
  <si>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</si>
  <si>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</si>
  <si>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</si>
  <si>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</si>
  <si>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 - Dupla</t>
  </si>
  <si>
    <t xml:space="preserve">11.04.01.02</t>
  </si>
  <si>
    <t xml:space="preserve">Locacao de cancelas</t>
  </si>
  <si>
    <t xml:space="preserve">11.04.01.03</t>
  </si>
  <si>
    <t xml:space="preserve">11.04.01.04</t>
  </si>
  <si>
    <t xml:space="preserve">11.04.01.05</t>
  </si>
  <si>
    <t xml:space="preserve">Protecao do fosso do elevador e varandas</t>
  </si>
  <si>
    <t xml:space="preserve">11.04.01.06</t>
  </si>
  <si>
    <t xml:space="preserve">Bases de concreto para instalação da torre e motor</t>
  </si>
  <si>
    <t xml:space="preserve">11.04.01.07</t>
  </si>
  <si>
    <t xml:space="preserve">Frete</t>
  </si>
  <si>
    <t xml:space="preserve">11.04.01.08</t>
  </si>
  <si>
    <t xml:space="preserve">Manutenção preventiva/projetos</t>
  </si>
  <si>
    <t xml:space="preserve">11.04.02</t>
  </si>
  <si>
    <t xml:space="preserve">Gruas</t>
  </si>
  <si>
    <t xml:space="preserve">11.04.02.01</t>
  </si>
  <si>
    <t xml:space="preserve">Locação grua de grande porte - 44 horas semanais de uso</t>
  </si>
  <si>
    <t xml:space="preserve">11.04.02.02</t>
  </si>
  <si>
    <t xml:space="preserve">Operador da Grua - Mensal</t>
  </si>
  <si>
    <t xml:space="preserve">11.04.02.03</t>
  </si>
  <si>
    <t xml:space="preserve">Operador da Grua - Hora extra</t>
  </si>
  <si>
    <t xml:space="preserve">11.04.02.04</t>
  </si>
  <si>
    <t xml:space="preserve">Fundação</t>
  </si>
  <si>
    <t xml:space="preserve">11.04.02.05</t>
  </si>
  <si>
    <t xml:space="preserve">Acessórios para montagem  - Grua</t>
  </si>
  <si>
    <t xml:space="preserve">11.04.02.06</t>
  </si>
  <si>
    <t xml:space="preserve">Quadro eletrico - Grua</t>
  </si>
  <si>
    <t xml:space="preserve">11.04.02.07</t>
  </si>
  <si>
    <t xml:space="preserve">Chumbador - Grua</t>
  </si>
  <si>
    <t xml:space="preserve">11.04.02.08</t>
  </si>
  <si>
    <t xml:space="preserve">Porta paletes 2500 Kg - Grua</t>
  </si>
  <si>
    <t xml:space="preserve">11.04.02.09</t>
  </si>
  <si>
    <t xml:space="preserve">Plataforma de descarga 2000 Kg - Grua</t>
  </si>
  <si>
    <t xml:space="preserve">11.04.02.10</t>
  </si>
  <si>
    <t xml:space="preserve">Materiais para içamento de cargas - Grua</t>
  </si>
  <si>
    <t xml:space="preserve">11.04.02.11</t>
  </si>
  <si>
    <t xml:space="preserve">Frete - Grua</t>
  </si>
  <si>
    <t xml:space="preserve">11.04.02.12</t>
  </si>
  <si>
    <t xml:space="preserve">Mão-de-obra de montagem - Grua</t>
  </si>
  <si>
    <t xml:space="preserve">11.04.02.13</t>
  </si>
  <si>
    <t xml:space="preserve">Mão-de-obra de desmontagem - Grua</t>
  </si>
  <si>
    <t xml:space="preserve">11.04.02.14</t>
  </si>
  <si>
    <t xml:space="preserve">Telescopagem  - Grua</t>
  </si>
  <si>
    <t xml:space="preserve">11.04.02.15</t>
  </si>
  <si>
    <t xml:space="preserve">Indenização na entrega (limpeza geral, pintura pontual, ensaios não destrutivo no motor) - Grua</t>
  </si>
  <si>
    <t xml:space="preserve">11.04.02.16</t>
  </si>
  <si>
    <t xml:space="preserve">Manutenção preventiva -Grua</t>
  </si>
  <si>
    <t xml:space="preserve">11.04.02.17</t>
  </si>
  <si>
    <t xml:space="preserve">Manutenção corretiva -Grua</t>
  </si>
  <si>
    <t xml:space="preserve">11.04.02.18</t>
  </si>
  <si>
    <t xml:space="preserve">Treinamento de sinaleiros/amarradores de carga - Grua</t>
  </si>
  <si>
    <t xml:space="preserve">11.04.02.19</t>
  </si>
  <si>
    <t xml:space="preserve">Plano de cargas - consultoria calculista</t>
  </si>
  <si>
    <t xml:space="preserve">11.04.02.20</t>
  </si>
  <si>
    <t xml:space="preserve">Execução de aterramento com ART</t>
  </si>
  <si>
    <t xml:space="preserve">11.05</t>
  </si>
  <si>
    <t xml:space="preserve">Equipamentos para execução de fachadas</t>
  </si>
  <si>
    <t xml:space="preserve">11.05.01</t>
  </si>
  <si>
    <t xml:space="preserve">Sistema de telas</t>
  </si>
  <si>
    <t xml:space="preserve">11.05.01.01</t>
  </si>
  <si>
    <t xml:space="preserve">Sistema de telas - SLQA e rede piso a piso</t>
  </si>
  <si>
    <t xml:space="preserve">11.05.01.02</t>
  </si>
  <si>
    <t xml:space="preserve">Entelamento de fachada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</si>
  <si>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</si>
  <si>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</si>
  <si>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</si>
  <si>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</si>
  <si>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</si>
  <si>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</si>
  <si>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</si>
  <si>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</si>
  <si>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</si>
  <si>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</si>
  <si>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</si>
  <si>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Locação mensal</t>
  </si>
  <si>
    <t xml:space="preserve">11.05.03.02</t>
  </si>
  <si>
    <t xml:space="preserve">11.05.03.03</t>
  </si>
  <si>
    <t xml:space="preserve">11.05.03.04</t>
  </si>
  <si>
    <t xml:space="preserve">Acessórios para montagem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</si>
  <si>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</si>
  <si>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</si>
  <si>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</si>
  <si>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</si>
  <si>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</si>
  <si>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</si>
  <si>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</si>
  <si>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</si>
  <si>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</si>
  <si>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Linha de vida - Tubo</t>
  </si>
  <si>
    <t xml:space="preserve">11.06.05</t>
  </si>
  <si>
    <t xml:space="preserve">Madeiramento para EPCs diversos não explicitados.</t>
  </si>
  <si>
    <t xml:space="preserve">11.06.06</t>
  </si>
  <si>
    <t xml:space="preserve">Placas de Sinalização</t>
  </si>
  <si>
    <t xml:space="preserve">23/06/2025</t>
  </si>
  <si>
    <t xml:space="preserve">25/07/2025</t>
  </si>
  <si>
    <t xml:space="preserve">12.01</t>
  </si>
  <si>
    <t xml:space="preserve">Locação da obra</t>
  </si>
  <si>
    <t xml:space="preserve">04/07/2025</t>
  </si>
  <si>
    <t xml:space="preserve">12.01.01</t>
  </si>
  <si>
    <t xml:space="preserve">12.02</t>
  </si>
  <si>
    <t xml:space="preserve">07/07/2025</t>
  </si>
  <si>
    <t xml:space="preserve">12.02.01</t>
  </si>
  <si>
    <t xml:space="preserve">Supressão Arborea</t>
  </si>
  <si>
    <t xml:space="preserve">12.02.02</t>
  </si>
  <si>
    <t xml:space="preserve">Custos de desmobilização pavilhão e igreja provisória</t>
  </si>
  <si>
    <t xml:space="preserve">CONTENÇÕES</t>
  </si>
  <si>
    <t xml:space="preserve">21/07/2025</t>
  </si>
  <si>
    <t xml:space="preserve">11/05/2027</t>
  </si>
  <si>
    <t xml:space="preserve">13.01</t>
  </si>
  <si>
    <t xml:space="preserve">Estacas Escavadas - Estacas tipo Hélice Contínua Monitorada</t>
  </si>
  <si>
    <t xml:space="preserve">14/08/2025</t>
  </si>
  <si>
    <t xml:space="preserve">13.01.01</t>
  </si>
  <si>
    <t xml:space="preserve">Taxa de mobilização e desmobilização do empreiteiro</t>
  </si>
  <si>
    <t xml:space="preserve">13.01.02</t>
  </si>
  <si>
    <t xml:space="preserve">Estaca Hélice - Perfuração com Ø 0,50m</t>
  </si>
  <si>
    <t xml:space="preserve">13.01.03</t>
  </si>
  <si>
    <t xml:space="preserve">Estaca Hélice - Perfuração com Ø 0,60m</t>
  </si>
  <si>
    <t xml:space="preserve">13.01.04</t>
  </si>
  <si>
    <t xml:space="preserve">Concreto bombeável fluido especial para estaca hélice</t>
  </si>
  <si>
    <t xml:space="preserve">13.01.05</t>
  </si>
  <si>
    <t xml:space="preserve">Locação de bomba de concreto estacionária para concretagens de estaca</t>
  </si>
  <si>
    <t xml:space="preserve">13.01.06</t>
  </si>
  <si>
    <t xml:space="preserve">Bucha de argamassa de cimento e areia para limpeza e lubrificação de bomba</t>
  </si>
  <si>
    <t xml:space="preserve">13.01.07</t>
  </si>
  <si>
    <t xml:space="preserve">Armadura Ca-50 adquirido cortado e dobrado, montagem e posicionamento no canteiro</t>
  </si>
  <si>
    <t xml:space="preserve">13.01.08</t>
  </si>
  <si>
    <t xml:space="preserve">Arrasamento de cabeça de estacas com martelete</t>
  </si>
  <si>
    <t xml:space="preserve">13.01.09</t>
  </si>
  <si>
    <t xml:space="preserve">Retirada de terra com caminhão basculante</t>
  </si>
  <si>
    <t xml:space="preserve">13.01.10</t>
  </si>
  <si>
    <t xml:space="preserve">Embocamento</t>
  </si>
  <si>
    <t xml:space="preserve">13.01.11</t>
  </si>
  <si>
    <t xml:space="preserve">Estacas para a contenção do bloco do elevador</t>
  </si>
  <si>
    <t xml:space="preserve">13.01.12</t>
  </si>
  <si>
    <t xml:space="preserve">Contenção em solo grampeado para igreja provisória</t>
  </si>
  <si>
    <t xml:space="preserve">13.02</t>
  </si>
  <si>
    <t xml:space="preserve">Viga de equalização de movimentos</t>
  </si>
  <si>
    <t xml:space="preserve">01/09/2025</t>
  </si>
  <si>
    <t xml:space="preserve">27/10/2025</t>
  </si>
  <si>
    <t xml:space="preserve">13.02.01</t>
  </si>
  <si>
    <t xml:space="preserve">Formas para vigas</t>
  </si>
  <si>
    <t xml:space="preserve">13.02.02</t>
  </si>
  <si>
    <t xml:space="preserve">13.02.03</t>
  </si>
  <si>
    <t xml:space="preserve">Concreto bombeado Fck=30Mpa para superestrutura</t>
  </si>
  <si>
    <t xml:space="preserve">13.03</t>
  </si>
  <si>
    <t xml:space="preserve">Fechamento da cortina - Especificar sistema utilizado</t>
  </si>
  <si>
    <t xml:space="preserve">19/10/2026</t>
  </si>
  <si>
    <t xml:space="preserve">13.03.01</t>
  </si>
  <si>
    <t xml:space="preserve">Formas para superestrutura</t>
  </si>
  <si>
    <t xml:space="preserve">13.03.02</t>
  </si>
  <si>
    <t xml:space="preserve">13.03.03</t>
  </si>
  <si>
    <t xml:space="preserve">13.04</t>
  </si>
  <si>
    <t xml:space="preserve">Tratamento de contenções</t>
  </si>
  <si>
    <t xml:space="preserve">13/11/2026</t>
  </si>
  <si>
    <t xml:space="preserve">23/12/2026</t>
  </si>
  <si>
    <t xml:space="preserve">13.04.01</t>
  </si>
  <si>
    <t xml:space="preserve">Impermeabilização de contenções</t>
  </si>
  <si>
    <t xml:space="preserve">13.04.02</t>
  </si>
  <si>
    <t xml:space="preserve">Drenagem para contenções</t>
  </si>
  <si>
    <t xml:space="preserve">13.05</t>
  </si>
  <si>
    <t xml:space="preserve">Alvenaria de blocos cerâmicos para isolamento de contenções</t>
  </si>
  <si>
    <t xml:space="preserve">09/04/2027</t>
  </si>
  <si>
    <t xml:space="preserve">13.05.01</t>
  </si>
  <si>
    <t xml:space="preserve">Demarcação de alvenaria de vedação com blocos cerâmicos esp.9cm</t>
  </si>
  <si>
    <t xml:space="preserve">13.05.02</t>
  </si>
  <si>
    <t xml:space="preserve">Alvenaria de vedação com blocos cerâmicos esp. 9cm</t>
  </si>
  <si>
    <t xml:space="preserve">13.05.03</t>
  </si>
  <si>
    <t xml:space="preserve">Encunhamento com espuma expansiva de poliuretano</t>
  </si>
  <si>
    <t xml:space="preserve">03/03/2026</t>
  </si>
  <si>
    <t xml:space="preserve">16/10/2026</t>
  </si>
  <si>
    <t xml:space="preserve">14.01</t>
  </si>
  <si>
    <t xml:space="preserve">Corte e retirada de terra</t>
  </si>
  <si>
    <t xml:space="preserve">14.01.01</t>
  </si>
  <si>
    <t xml:space="preserve">Retirada de terra com caminhão basculante - 1º fase + talude</t>
  </si>
  <si>
    <t xml:space="preserve">14.01.02</t>
  </si>
  <si>
    <t xml:space="preserve">Construção de lava-rodas no portão da obra</t>
  </si>
  <si>
    <t xml:space="preserve">14.01.03</t>
  </si>
  <si>
    <t xml:space="preserve">Preparo base do terreno - Rachão</t>
  </si>
  <si>
    <t xml:space="preserve">14.01.04</t>
  </si>
  <si>
    <t xml:space="preserve">14.02</t>
  </si>
  <si>
    <t xml:space="preserve">Rebaixamento de lençol freático</t>
  </si>
  <si>
    <t xml:space="preserve">14.02.01</t>
  </si>
  <si>
    <t xml:space="preserve">Bombas, mangueiras, instalações elétricas</t>
  </si>
  <si>
    <t xml:space="preserve">14.02.02</t>
  </si>
  <si>
    <t xml:space="preserve">Perfuração com Ø 1,10cm</t>
  </si>
  <si>
    <t xml:space="preserve">14.02.03</t>
  </si>
  <si>
    <t xml:space="preserve">Tubo PEAD KNTS - 6M (MAT)</t>
  </si>
  <si>
    <t xml:space="preserve">14.02.04</t>
  </si>
  <si>
    <t xml:space="preserve">Brita 01</t>
  </si>
  <si>
    <t xml:space="preserve">13/10/2025</t>
  </si>
  <si>
    <t xml:space="preserve">15.01</t>
  </si>
  <si>
    <t xml:space="preserve">Estacas Escavadas - Estacas escavadas de grande diâmetro</t>
  </si>
  <si>
    <t xml:space="preserve">15.01.01</t>
  </si>
  <si>
    <t xml:space="preserve">Taxa de mobilização do empreiteiro</t>
  </si>
  <si>
    <t xml:space="preserve">15.02</t>
  </si>
  <si>
    <t xml:space="preserve">Escavaçaõ de estaca em solo com SPT ≤ 50 golpes</t>
  </si>
  <si>
    <t xml:space="preserve">15.02.01</t>
  </si>
  <si>
    <t xml:space="preserve">Perfuração com Ø 90cm - com lama</t>
  </si>
  <si>
    <t xml:space="preserve">15.02.02</t>
  </si>
  <si>
    <t xml:space="preserve">Perfuração com Ø 100cm -com lama</t>
  </si>
  <si>
    <t xml:space="preserve">15.02.03</t>
  </si>
  <si>
    <t xml:space="preserve">Perfuração com Ø 110cm - com lama</t>
  </si>
  <si>
    <t xml:space="preserve">15.02.04</t>
  </si>
  <si>
    <t xml:space="preserve">Perfuração com Ø 120cm - com lama</t>
  </si>
  <si>
    <t xml:space="preserve">15.02.05</t>
  </si>
  <si>
    <t xml:space="preserve">Perfuração com Ø 130cm - com lama</t>
  </si>
  <si>
    <t xml:space="preserve">15.02.06</t>
  </si>
  <si>
    <t xml:space="preserve">Perfuração com Ø 140cm - com lama</t>
  </si>
  <si>
    <t xml:space="preserve">15.02.07</t>
  </si>
  <si>
    <t xml:space="preserve">Perfuração com Ø 150cm - com lama</t>
  </si>
  <si>
    <t xml:space="preserve">15.03</t>
  </si>
  <si>
    <t xml:space="preserve">Escavaçaõ de estaca em solo com SPT&gt; 50 golpes</t>
  </si>
  <si>
    <t xml:space="preserve">15.03.01</t>
  </si>
  <si>
    <t xml:space="preserve">15.03.02</t>
  </si>
  <si>
    <t xml:space="preserve">15.03.03</t>
  </si>
  <si>
    <t xml:space="preserve">15.03.04</t>
  </si>
  <si>
    <t xml:space="preserve">15.03.05</t>
  </si>
  <si>
    <t xml:space="preserve">15.03.06</t>
  </si>
  <si>
    <t xml:space="preserve">15.03.07</t>
  </si>
  <si>
    <t xml:space="preserve">15.04</t>
  </si>
  <si>
    <t xml:space="preserve">Itens complementares</t>
  </si>
  <si>
    <t xml:space="preserve">15.04.01</t>
  </si>
  <si>
    <t xml:space="preserve">Polímero</t>
  </si>
  <si>
    <t xml:space="preserve">15.04.02</t>
  </si>
  <si>
    <t xml:space="preserve">Concreto bombeável fck=30Mpa com alto Slump com brita 0, sobreconsumo de 40% incluído na cpu.</t>
  </si>
  <si>
    <t xml:space="preserve">15.04.03</t>
  </si>
  <si>
    <t xml:space="preserve">Preenchimento de estacas/ recompactação do solo com bica corrida</t>
  </si>
  <si>
    <t xml:space="preserve">15.04.04</t>
  </si>
  <si>
    <t xml:space="preserve">15.04.05</t>
  </si>
  <si>
    <t xml:space="preserve">15.04.06</t>
  </si>
  <si>
    <t xml:space="preserve">&lt;html&gt;Armadura Ca-50 adquirido cortado e dobrado, montagem e posicionamento no canteiro - &lt;b&gt;Quant. de projeto&lt;/b&gt;&lt;/html&gt;</t>
  </si>
  <si>
    <t xml:space="preserve">15.04.07</t>
  </si>
  <si>
    <t xml:space="preserve">15.04.08</t>
  </si>
  <si>
    <t xml:space="preserve">15.04.09</t>
  </si>
  <si>
    <t xml:space="preserve">Caminhao Pipa (60m3/dia)( 3 meses x 22 dias)</t>
  </si>
  <si>
    <t xml:space="preserve">15.04.10</t>
  </si>
  <si>
    <t xml:space="preserve">Retirada de Terra e material demolido com caçamba</t>
  </si>
  <si>
    <t xml:space="preserve">15.04.11</t>
  </si>
  <si>
    <t xml:space="preserve">Locação de gerador para atender central de polimero com mob e desmob - com diesel</t>
  </si>
  <si>
    <t xml:space="preserve">13/04/2026</t>
  </si>
  <si>
    <t xml:space="preserve">06/12/2027</t>
  </si>
  <si>
    <t xml:space="preserve">16.01</t>
  </si>
  <si>
    <t xml:space="preserve">Blocos</t>
  </si>
  <si>
    <t xml:space="preserve">16.01.01</t>
  </si>
  <si>
    <t xml:space="preserve">Escavação manual</t>
  </si>
  <si>
    <t xml:space="preserve">16.01.02</t>
  </si>
  <si>
    <t xml:space="preserve">Apiloamento</t>
  </si>
  <si>
    <t xml:space="preserve">16.01.03</t>
  </si>
  <si>
    <t xml:space="preserve">Formas para infra estrutura, compensado resinado 12mm, reaproveitamento 1,5x.</t>
  </si>
  <si>
    <t xml:space="preserve">16.01.04</t>
  </si>
  <si>
    <t xml:space="preserve">16.01.05</t>
  </si>
  <si>
    <t xml:space="preserve">Armadura Ca-60 adquirido cortado e dobrado, montagem e posicionamento no canteiro</t>
  </si>
  <si>
    <t xml:space="preserve">16.01.06</t>
  </si>
  <si>
    <t xml:space="preserve">Lastro de concreto magro rodado em betoneira</t>
  </si>
  <si>
    <t xml:space="preserve">16.01.07</t>
  </si>
  <si>
    <t xml:space="preserve">Concreto bombeado Fck=40Mpa para superestrutura</t>
  </si>
  <si>
    <t xml:space="preserve">16.01.08</t>
  </si>
  <si>
    <t xml:space="preserve">Gelo para blocos (100kg/m³)</t>
  </si>
  <si>
    <t xml:space="preserve">16.01.09</t>
  </si>
  <si>
    <t xml:space="preserve">Aterro manual</t>
  </si>
  <si>
    <t xml:space="preserve">16.01.10</t>
  </si>
  <si>
    <t xml:space="preserve">16.01.11</t>
  </si>
  <si>
    <t xml:space="preserve">Impermeabilização de cintas e blocos com pintura asfáltica tipo neutrol ou similar</t>
  </si>
  <si>
    <t xml:space="preserve">16.02</t>
  </si>
  <si>
    <t xml:space="preserve">Lajes de contrapiso</t>
  </si>
  <si>
    <t xml:space="preserve">08/02/2027</t>
  </si>
  <si>
    <t xml:space="preserve">11/03/2027</t>
  </si>
  <si>
    <t xml:space="preserve">16.02.01</t>
  </si>
  <si>
    <t xml:space="preserve">16.02.02</t>
  </si>
  <si>
    <t xml:space="preserve">Armadura com tela soldada</t>
  </si>
  <si>
    <t xml:space="preserve">16.02.03</t>
  </si>
  <si>
    <t xml:space="preserve">Lastro de brita</t>
  </si>
  <si>
    <t xml:space="preserve">16.02.04</t>
  </si>
  <si>
    <t xml:space="preserve">Lona preta para isolamento da laje</t>
  </si>
  <si>
    <t xml:space="preserve">16.02.05</t>
  </si>
  <si>
    <t xml:space="preserve">Concreto bombeado Fck=30Mpa para infraestrutura</t>
  </si>
  <si>
    <t xml:space="preserve">16.02.06</t>
  </si>
  <si>
    <t xml:space="preserve">Polimento de pisos de concreto, acabamento sarrafeado</t>
  </si>
  <si>
    <t xml:space="preserve">16.03</t>
  </si>
  <si>
    <t xml:space="preserve">Reservatórios inferiores</t>
  </si>
  <si>
    <t xml:space="preserve">19/10/2027</t>
  </si>
  <si>
    <t xml:space="preserve">16.03.01</t>
  </si>
  <si>
    <t xml:space="preserve">Estimativa para reservatórios inferiores</t>
  </si>
  <si>
    <t xml:space="preserve">15/06/2026</t>
  </si>
  <si>
    <t xml:space="preserve">11/02/2028</t>
  </si>
  <si>
    <t xml:space="preserve">17.01</t>
  </si>
  <si>
    <t xml:space="preserve">Pilares, vigas e lajes</t>
  </si>
  <si>
    <t xml:space="preserve">17.01.01</t>
  </si>
  <si>
    <t xml:space="preserve">Formas para pilares, vigas e lajes convencionais  - pé-direito até 3,49</t>
  </si>
  <si>
    <t xml:space="preserve">17.01.02</t>
  </si>
  <si>
    <t xml:space="preserve">Formas para pilares, vigas e lajes convencionais  - pé- direito acima de 3,49 até 5,99 - Térreo e 6º Pavto Pilotis</t>
  </si>
  <si>
    <t xml:space="preserve">17.01.03</t>
  </si>
  <si>
    <t xml:space="preserve">Formas para lajes nervuradas - pé-direito até 3,49</t>
  </si>
  <si>
    <t xml:space="preserve">17.01.04</t>
  </si>
  <si>
    <t xml:space="preserve">Formas para lajes nervuradas - pé- direito acima de 3,49 até 5,99 - Térreo e 6º Pavto Pilotis</t>
  </si>
  <si>
    <t xml:space="preserve">17.01.05</t>
  </si>
  <si>
    <t xml:space="preserve">&lt;html&gt;Armadura Ca-50 adquirido cortado e dobrado, montagem e posicionamento no canteiro -&lt;b&gt; considerado taxa de 98 kg/m³&lt;/b&gt;&lt;/html&gt;</t>
  </si>
  <si>
    <t xml:space="preserve">17.01.06</t>
  </si>
  <si>
    <t xml:space="preserve">17.01.07</t>
  </si>
  <si>
    <t xml:space="preserve">Protensão - Fornecimento, montagem e tensionamento</t>
  </si>
  <si>
    <t xml:space="preserve">17.01.08</t>
  </si>
  <si>
    <t xml:space="preserve">Concreto bombeado Fck=50Mpa para superestrutura</t>
  </si>
  <si>
    <t xml:space="preserve">17.01.09</t>
  </si>
  <si>
    <t xml:space="preserve">17.01.10</t>
  </si>
  <si>
    <t xml:space="preserve">Concreto bombeado Fck=50Mpa para superestrutura  - Silica  Cristalizante para fachada - 16+-3</t>
  </si>
  <si>
    <t xml:space="preserve">17.01.11</t>
  </si>
  <si>
    <t xml:space="preserve">Concreto bombeado Fck=40Mpa para superestrutura  - Silica  Cristalizante para fachada - 25+-3</t>
  </si>
  <si>
    <t xml:space="preserve">17.01.12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</si>
  <si>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</si>
  <si>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</si>
  <si>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</si>
  <si>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</si>
  <si>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</si>
  <si>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</si>
  <si>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</si>
  <si>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</si>
  <si>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16/03/2027</t>
  </si>
  <si>
    <t xml:space="preserve">21/08/2028</t>
  </si>
  <si>
    <t xml:space="preserve">18.01</t>
  </si>
  <si>
    <t xml:space="preserve">Alvenaria de vedação  com blocos cerâmicos</t>
  </si>
  <si>
    <t xml:space="preserve">04/05/2028</t>
  </si>
  <si>
    <t xml:space="preserve">18.01.01</t>
  </si>
  <si>
    <t xml:space="preserve">Esp. 9cm</t>
  </si>
  <si>
    <t xml:space="preserve">18.01.01.01</t>
  </si>
  <si>
    <t xml:space="preserve">18.01.01.02</t>
  </si>
  <si>
    <t xml:space="preserve">18.01.01.03</t>
  </si>
  <si>
    <t xml:space="preserve">18.01.01.04</t>
  </si>
  <si>
    <t xml:space="preserve">Amarração de Alvenaria</t>
  </si>
  <si>
    <t xml:space="preserve">18.01.02</t>
  </si>
  <si>
    <t xml:space="preserve">Esp. 14cm</t>
  </si>
  <si>
    <t xml:space="preserve">18.01.02.01</t>
  </si>
  <si>
    <t xml:space="preserve">Demarcação de alvenaria de vedação com blocos cerâmicos  esp. 14cm</t>
  </si>
  <si>
    <t xml:space="preserve">18.01.02.02</t>
  </si>
  <si>
    <t xml:space="preserve">Alvenaria de vedação com blocos cerâmicos esp. 14m</t>
  </si>
  <si>
    <t xml:space="preserve">18.01.02.03</t>
  </si>
  <si>
    <t xml:space="preserve">18.01.02.04</t>
  </si>
  <si>
    <t xml:space="preserve">18.01.03</t>
  </si>
  <si>
    <t xml:space="preserve">Esp. 19cm</t>
  </si>
  <si>
    <t xml:space="preserve">18.01.03.01</t>
  </si>
  <si>
    <t xml:space="preserve">Demarcação de alvenaria de vedação com blocos cerâmicos esp.19cm</t>
  </si>
  <si>
    <t xml:space="preserve">18.01.03.02</t>
  </si>
  <si>
    <t xml:space="preserve">Alvenaria de vedação com blocos cerâmicos  esp. 19m</t>
  </si>
  <si>
    <t xml:space="preserve">18.01.03.03</t>
  </si>
  <si>
    <t xml:space="preserve">18.01.03.04</t>
  </si>
  <si>
    <t xml:space="preserve">18.02</t>
  </si>
  <si>
    <t xml:space="preserve">Alvenaria de vedação  com blocos de concreto</t>
  </si>
  <si>
    <t xml:space="preserve">18.02.01</t>
  </si>
  <si>
    <t xml:space="preserve">18.02.01.01</t>
  </si>
  <si>
    <t xml:space="preserve">Demarcação de alvenaria de vedação com blocos de concreto esp.9cm</t>
  </si>
  <si>
    <t xml:space="preserve">18.02.01.02</t>
  </si>
  <si>
    <t xml:space="preserve">Alvenaria de vedação com blocos de concreto esp. 9cm</t>
  </si>
  <si>
    <t xml:space="preserve">18.02.01.03</t>
  </si>
  <si>
    <t xml:space="preserve">18.02.01.04</t>
  </si>
  <si>
    <t xml:space="preserve">18.02.02</t>
  </si>
  <si>
    <t xml:space="preserve">18.02.02.01</t>
  </si>
  <si>
    <t xml:space="preserve">Demarcação de alvenaria de vedação com blocos de concreto  esp. 14cm</t>
  </si>
  <si>
    <t xml:space="preserve">18.02.02.02</t>
  </si>
  <si>
    <t xml:space="preserve">Alvenaria de vedação com blocos de concreto esp. 14m</t>
  </si>
  <si>
    <t xml:space="preserve">18.02.02.03</t>
  </si>
  <si>
    <t xml:space="preserve">18.02.02.04</t>
  </si>
  <si>
    <t xml:space="preserve">18.02.03</t>
  </si>
  <si>
    <t xml:space="preserve">18.02.03.01</t>
  </si>
  <si>
    <t xml:space="preserve">Demarcação de alvenaria de vedação com blocos de concreto esp.19cm</t>
  </si>
  <si>
    <t xml:space="preserve">18.02.03.02</t>
  </si>
  <si>
    <t xml:space="preserve">Alvenaria de vedação com blocos de concreto  esp. 19m</t>
  </si>
  <si>
    <t xml:space="preserve">18.02.03.03</t>
  </si>
  <si>
    <t xml:space="preserve">18.02.03.04</t>
  </si>
  <si>
    <t xml:space="preserve">18.03</t>
  </si>
  <si>
    <t xml:space="preserve">Gesso acartonado (Dry-wall)</t>
  </si>
  <si>
    <t xml:space="preserve">05/07/2027</t>
  </si>
  <si>
    <t xml:space="preserve">18.03.01</t>
  </si>
  <si>
    <t xml:space="preserve">Gesso acartonado - S (Chapa Standard)</t>
  </si>
  <si>
    <t xml:space="preserve">18.03.02</t>
  </si>
  <si>
    <t xml:space="preserve">Gesso acartonado - RU (Chapa resistente à umidade) - Fechamento de shafts</t>
  </si>
  <si>
    <t xml:space="preserve">18.03.03</t>
  </si>
  <si>
    <t xml:space="preserve">Gesso acartonado - S-A-S</t>
  </si>
  <si>
    <t xml:space="preserve">18.03.04</t>
  </si>
  <si>
    <t xml:space="preserve">Gesso acartonado - S-A-RU</t>
  </si>
  <si>
    <t xml:space="preserve">18.03.05</t>
  </si>
  <si>
    <t xml:space="preserve">Gesso acartonado - RU-A-RU</t>
  </si>
  <si>
    <t xml:space="preserve">18.03.06</t>
  </si>
  <si>
    <t xml:space="preserve">Reforços para Drywall</t>
  </si>
  <si>
    <t xml:space="preserve">18.04</t>
  </si>
  <si>
    <t xml:space="preserve">Verga e Contra-verga</t>
  </si>
  <si>
    <t xml:space="preserve">18.04.01</t>
  </si>
  <si>
    <t xml:space="preserve">Vergas e contravergas</t>
  </si>
  <si>
    <t xml:space="preserve">11/08/2027</t>
  </si>
  <si>
    <t xml:space="preserve">01/09/2028</t>
  </si>
  <si>
    <t xml:space="preserve">19.01</t>
  </si>
  <si>
    <t xml:space="preserve"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</si>
  <si>
    <t xml:space="preserve">19.01.01</t>
  </si>
  <si>
    <t xml:space="preserve">Cozinha multiuso, gourmet, salão de festas</t>
  </si>
  <si>
    <t xml:space="preserve">19.01.02</t>
  </si>
  <si>
    <t xml:space="preserve">Áreas de serviço</t>
  </si>
  <si>
    <t xml:space="preserve">19.01.03</t>
  </si>
  <si>
    <t xml:space="preserve">Banheiros</t>
  </si>
  <si>
    <t xml:space="preserve">19.01.04</t>
  </si>
  <si>
    <t xml:space="preserve">Saunas</t>
  </si>
  <si>
    <t xml:space="preserve">19.01.05</t>
  </si>
  <si>
    <t xml:space="preserve">Varanda</t>
  </si>
  <si>
    <t xml:space="preserve">19.01.06</t>
  </si>
  <si>
    <t xml:space="preserve">Barrilete</t>
  </si>
  <si>
    <t xml:space="preserve">19.01.07</t>
  </si>
  <si>
    <t xml:space="preserve">ARS</t>
  </si>
  <si>
    <t xml:space="preserve">19.01.08</t>
  </si>
  <si>
    <t xml:space="preserve">Dml</t>
  </si>
  <si>
    <t xml:space="preserve">19.01.09</t>
  </si>
  <si>
    <t xml:space="preserve">Laje em área de reservatório de fibra lojas</t>
  </si>
  <si>
    <t xml:space="preserve">19.01.10</t>
  </si>
  <si>
    <t xml:space="preserve">Cantoneira de alumínio/ Galvaizada 2x2" fixada com parafuso e bucha S6 a cada 30cm</t>
  </si>
  <si>
    <t xml:space="preserve">19.01.11</t>
  </si>
  <si>
    <t xml:space="preserve">Virada reforçada  e vedada com mastique de poliuretano (PU) obs.: O mesmo tratamento é recomendado para o encontro entre a placa de drywall e a parede de alvaneria com incremento neste caso de um limitador de profundidade (tarucel) prévio, sob PU</t>
  </si>
  <si>
    <t xml:space="preserve">19.01.12</t>
  </si>
  <si>
    <t xml:space="preserve">Impermabilização de ralos</t>
  </si>
  <si>
    <t xml:space="preserve">19.02</t>
  </si>
  <si>
    <t xml:space="preserve">Resina acrílica de alto desempenho com camadas de impermeabilização rígido com consumo de 2,0kg/m2 e reforço com tela poliéster resinada malha de 3x3 e camadas de impermeabilizante flexível com consumo de 2,0kg/m2</t>
  </si>
  <si>
    <t xml:space="preserve">19.02.01</t>
  </si>
  <si>
    <t xml:space="preserve">Camada de regularização com argamassa de cimento e areia</t>
  </si>
  <si>
    <t xml:space="preserve">19.02.02</t>
  </si>
  <si>
    <t xml:space="preserve">Beiral</t>
  </si>
  <si>
    <t xml:space="preserve">19.02.03</t>
  </si>
  <si>
    <t xml:space="preserve">Pingadeira em chapa galvanizada/ alumínio com aba de 5cm, fixada com parafuso/ bucha 6mm a cada de 15cm</t>
  </si>
  <si>
    <t xml:space="preserve">19.03</t>
  </si>
  <si>
    <t xml:space="preserve"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</si>
  <si>
    <t xml:space="preserve">19.03.01</t>
  </si>
  <si>
    <t xml:space="preserve">19.03.02</t>
  </si>
  <si>
    <t xml:space="preserve">Proteção mecânica armada com tela galvanizada, fio 22, malha 1</t>
  </si>
  <si>
    <t xml:space="preserve">19.03.03</t>
  </si>
  <si>
    <t xml:space="preserve">Camada de transição geotêxtil 200g/m2</t>
  </si>
  <si>
    <t xml:space="preserve">19.03.04</t>
  </si>
  <si>
    <t xml:space="preserve">Junta perimetral preenchida com material flexível (mastique de poliuretano ou pasta asfáltica sobre EPS ou equivalente. Usado para preenchimento da área e criação da junta)</t>
  </si>
  <si>
    <t xml:space="preserve">19.03.05</t>
  </si>
  <si>
    <t xml:space="preserve">Cantoneira de alumínio/ galvanizada 2x2" fixada com parafuso e bucha S6 a cada 30cm</t>
  </si>
  <si>
    <t xml:space="preserve">19.03.06</t>
  </si>
  <si>
    <t xml:space="preserve">Pilotis - Playground</t>
  </si>
  <si>
    <t xml:space="preserve">19.03.07</t>
  </si>
  <si>
    <t xml:space="preserve">Varanda| terraço descoberto</t>
  </si>
  <si>
    <t xml:space="preserve">19.03.08</t>
  </si>
  <si>
    <t xml:space="preserve">19.04</t>
  </si>
  <si>
    <t xml:space="preserve"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</si>
  <si>
    <t xml:space="preserve">19.04.01</t>
  </si>
  <si>
    <t xml:space="preserve">19.04.02</t>
  </si>
  <si>
    <t xml:space="preserve">19.04.03</t>
  </si>
  <si>
    <t xml:space="preserve">19.04.04</t>
  </si>
  <si>
    <t xml:space="preserve">Proteção térmica com placas de XPS (Poliestireno extrudado) coladas com 5 pontos de Ø15cm de asfalto nas bordas e no centro proteção com 2 placas de 2cm cada</t>
  </si>
  <si>
    <t xml:space="preserve">19.04.05</t>
  </si>
  <si>
    <t xml:space="preserve">Junta perimetral preenchida com mastique de poliuretano</t>
  </si>
  <si>
    <t xml:space="preserve">19.04.06</t>
  </si>
  <si>
    <t xml:space="preserve">Junta serrada em quadros de 1,5m, com 1cm de espessura preenchida com mastique de poliuretano</t>
  </si>
  <si>
    <t xml:space="preserve">19.04.07</t>
  </si>
  <si>
    <t xml:space="preserve">LPI</t>
  </si>
  <si>
    <t xml:space="preserve">19.04.08</t>
  </si>
  <si>
    <t xml:space="preserve">Varanda de acesso residencial, Passeio de acesso de serviço externo, Varanda comercial</t>
  </si>
  <si>
    <t xml:space="preserve">19.04.09</t>
  </si>
  <si>
    <t xml:space="preserve">19.05</t>
  </si>
  <si>
    <t xml:space="preserve"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</si>
  <si>
    <t xml:space="preserve">19.05.01</t>
  </si>
  <si>
    <t xml:space="preserve">19.05.02</t>
  </si>
  <si>
    <t xml:space="preserve">19.05.03</t>
  </si>
  <si>
    <t xml:space="preserve">19.05.04</t>
  </si>
  <si>
    <t xml:space="preserve">19.05.05</t>
  </si>
  <si>
    <t xml:space="preserve">Cantoneira de alumínio/ galvanizada 2x2 fixada com parafuso e bucha S6 a cada 30cm</t>
  </si>
  <si>
    <t xml:space="preserve">19.05.06</t>
  </si>
  <si>
    <t xml:space="preserve">Jardim sobre laje</t>
  </si>
  <si>
    <t xml:space="preserve">19.06</t>
  </si>
  <si>
    <t xml:space="preserve"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</si>
  <si>
    <t xml:space="preserve">19.06.01</t>
  </si>
  <si>
    <t xml:space="preserve">19.06.02</t>
  </si>
  <si>
    <t xml:space="preserve">Camada de transição com dreno sintético - geotêxtil 200g/m2</t>
  </si>
  <si>
    <t xml:space="preserve">19.06.03</t>
  </si>
  <si>
    <t xml:space="preserve">Concreto armado com tela (6cm de espessura)</t>
  </si>
  <si>
    <t xml:space="preserve">19.06.04</t>
  </si>
  <si>
    <t xml:space="preserve">Quadra recreação descoberta</t>
  </si>
  <si>
    <t xml:space="preserve">19.06.05</t>
  </si>
  <si>
    <t xml:space="preserve">Junta perimetral preenchida com EPS e selada com mastique de poliuretano</t>
  </si>
  <si>
    <t xml:space="preserve">19.06.06</t>
  </si>
  <si>
    <t xml:space="preserve">Vaga carga e descarga, rampa descoberta</t>
  </si>
  <si>
    <t xml:space="preserve">19.06.07</t>
  </si>
  <si>
    <t xml:space="preserve">19.07</t>
  </si>
  <si>
    <t xml:space="preserve"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</si>
  <si>
    <t xml:space="preserve">19.07.01</t>
  </si>
  <si>
    <t xml:space="preserve">Recuperação estrutural: Eliminar falhas e brocas. Em caso de fissuras, deverá ser feito um estudo específico para determinar sua origem e causa</t>
  </si>
  <si>
    <t xml:space="preserve">19.07.02</t>
  </si>
  <si>
    <t xml:space="preserve">Proteção mecânica  armada com tela galvanizada, fio 22, malha 1". (Apenas no piso e rodapé. Para  evitar danos ao sistema de impermeabilização caso seja usada alguma escada para acesso ao fundo)</t>
  </si>
  <si>
    <t xml:space="preserve">19.07.03</t>
  </si>
  <si>
    <t xml:space="preserve">Reservatório</t>
  </si>
  <si>
    <t xml:space="preserve">19.07.04</t>
  </si>
  <si>
    <t xml:space="preserve">Meia cana 5x5cm/ Reforço de canto com argamassa epóxica (Mistura de 1 traço de epóxi com 2 de areia seca)</t>
  </si>
  <si>
    <t xml:space="preserve">19.07.05</t>
  </si>
  <si>
    <t xml:space="preserve">19.08</t>
  </si>
  <si>
    <t xml:space="preserve"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</si>
  <si>
    <t xml:space="preserve">19.08.01</t>
  </si>
  <si>
    <t xml:space="preserve">19.08.02</t>
  </si>
  <si>
    <t xml:space="preserve">LPI Cx d'agua - manta auto protegida ardosiada tipo III, tipo B, 4mm de espessura (3mm de manta + 1mm de grânulos minerais) colada com maçarico de gás GLP</t>
  </si>
  <si>
    <t xml:space="preserve">19.08.03</t>
  </si>
  <si>
    <t xml:space="preserve">LPI Cx d'agua -  manta asfáltica tipo III, 4mm de espessura, classe B acabamento PP, colada com maçarico de gás GLP</t>
  </si>
  <si>
    <t xml:space="preserve">19.08.04</t>
  </si>
  <si>
    <t xml:space="preserve">19.09</t>
  </si>
  <si>
    <t xml:space="preserve"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</si>
  <si>
    <t xml:space="preserve">19.09.01</t>
  </si>
  <si>
    <t xml:space="preserve">Reforço de canto com adesivo epóxi e argamassa epoxídica (Apicoar para aderência). Se aplica apenas quando há brocas</t>
  </si>
  <si>
    <t xml:space="preserve">19.09.02</t>
  </si>
  <si>
    <t xml:space="preserve">Poço do elevador</t>
  </si>
  <si>
    <t xml:space="preserve">19.09.03</t>
  </si>
  <si>
    <t xml:space="preserve">Sala gerador</t>
  </si>
  <si>
    <t xml:space="preserve">19.09.04</t>
  </si>
  <si>
    <t xml:space="preserve">19.10</t>
  </si>
  <si>
    <t xml:space="preserve"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</si>
  <si>
    <t xml:space="preserve">19.10.01</t>
  </si>
  <si>
    <t xml:space="preserve">19.11</t>
  </si>
  <si>
    <t xml:space="preserve"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</si>
  <si>
    <t xml:space="preserve">19.11.01</t>
  </si>
  <si>
    <t xml:space="preserve">19.11.02</t>
  </si>
  <si>
    <t xml:space="preserve">Proteção mecânica armada estruturada com tela galvanizada fio 22 malha de 1" (Ancoradas em barra de aço e pinos de aço chumbados no concreto)</t>
  </si>
  <si>
    <t xml:space="preserve">19.11.03</t>
  </si>
  <si>
    <t xml:space="preserve">19.11.04</t>
  </si>
  <si>
    <t xml:space="preserve">Cantoneira de alumínio/ Galvanizada 2x2 fixada com parafuso e bucha S6 a cada 30cm</t>
  </si>
  <si>
    <t xml:space="preserve">19.11.05</t>
  </si>
  <si>
    <t xml:space="preserve">Junta perimetral e rejuntamento preenchidos com mastique de poliuretano</t>
  </si>
  <si>
    <t xml:space="preserve">19.11.06</t>
  </si>
  <si>
    <t xml:space="preserve">Barras de aço Ø8mm, para Ancoragem no topo da borda da piscina</t>
  </si>
  <si>
    <t xml:space="preserve">19.11.07</t>
  </si>
  <si>
    <t xml:space="preserve">Piscina adulto| infantil e prainha</t>
  </si>
  <si>
    <t xml:space="preserve">19.11.08</t>
  </si>
  <si>
    <t xml:space="preserve">18/01/2027</t>
  </si>
  <si>
    <t xml:space="preserve">12/03/2029</t>
  </si>
  <si>
    <t xml:space="preserve">20.01</t>
  </si>
  <si>
    <t xml:space="preserve">Entrada e geração de energia</t>
  </si>
  <si>
    <t xml:space="preserve">01/03/2028</t>
  </si>
  <si>
    <t xml:space="preserve">20.01.01</t>
  </si>
  <si>
    <t xml:space="preserve">Transformadores</t>
  </si>
  <si>
    <t xml:space="preserve">20.02</t>
  </si>
  <si>
    <t xml:space="preserve">Instalações Elétricas Prediais de Baixa Tensão</t>
  </si>
  <si>
    <t xml:space="preserve">20.02.01</t>
  </si>
  <si>
    <t xml:space="preserve">Ramal De Entrada</t>
  </si>
  <si>
    <t xml:space="preserve">05/02/2027</t>
  </si>
  <si>
    <t xml:space="preserve">20.02.02</t>
  </si>
  <si>
    <t xml:space="preserve">Prumadas E Caixas De Distribuição</t>
  </si>
  <si>
    <t xml:space="preserve">09/06/2027</t>
  </si>
  <si>
    <t xml:space="preserve">25/10/2028</t>
  </si>
  <si>
    <t xml:space="preserve">20.02.03</t>
  </si>
  <si>
    <t xml:space="preserve">Cabeamento de alimentação</t>
  </si>
  <si>
    <t xml:space="preserve">01/10/2027</t>
  </si>
  <si>
    <t xml:space="preserve">20.02.04</t>
  </si>
  <si>
    <t xml:space="preserve">Quadros De Circuitos</t>
  </si>
  <si>
    <t xml:space="preserve">22/05/2028</t>
  </si>
  <si>
    <t xml:space="preserve">20.02.05</t>
  </si>
  <si>
    <t xml:space="preserve">Fiação de distribuição</t>
  </si>
  <si>
    <t xml:space="preserve">24/10/2028</t>
  </si>
  <si>
    <t xml:space="preserve">20.02.06</t>
  </si>
  <si>
    <t xml:space="preserve">Tubulação E Caixas em Lajes</t>
  </si>
  <si>
    <t xml:space="preserve">20.02.07</t>
  </si>
  <si>
    <t xml:space="preserve">Tubulação E Caixas em Paredes</t>
  </si>
  <si>
    <t xml:space="preserve">20.02.08</t>
  </si>
  <si>
    <t xml:space="preserve">Tomadas, Interruptores e Sensores</t>
  </si>
  <si>
    <t xml:space="preserve">07/04/2028</t>
  </si>
  <si>
    <t xml:space="preserve">20.02.09</t>
  </si>
  <si>
    <t xml:space="preserve">Placas e acabamentos</t>
  </si>
  <si>
    <t xml:space="preserve">20.02.10</t>
  </si>
  <si>
    <t xml:space="preserve">Luminotécnico</t>
  </si>
  <si>
    <t xml:space="preserve">20.03</t>
  </si>
  <si>
    <t xml:space="preserve">Instalações elétricas complementares</t>
  </si>
  <si>
    <t xml:space="preserve">26/10/2028</t>
  </si>
  <si>
    <t xml:space="preserve">20.03.01</t>
  </si>
  <si>
    <t xml:space="preserve">SPDA</t>
  </si>
  <si>
    <t xml:space="preserve">03/08/2028</t>
  </si>
  <si>
    <t xml:space="preserve">20.03.02</t>
  </si>
  <si>
    <t xml:space="preserve">Automação</t>
  </si>
  <si>
    <t xml:space="preserve">20.03.03</t>
  </si>
  <si>
    <t xml:space="preserve">Telefonia</t>
  </si>
  <si>
    <t xml:space="preserve">20.03.04</t>
  </si>
  <si>
    <t xml:space="preserve">Interfones</t>
  </si>
  <si>
    <t xml:space="preserve">20.03.05</t>
  </si>
  <si>
    <t xml:space="preserve">Cabeamento lógico</t>
  </si>
  <si>
    <t xml:space="preserve">20.03.06</t>
  </si>
  <si>
    <t xml:space="preserve">Antena coletiva de TV</t>
  </si>
  <si>
    <t xml:space="preserve">20.03.07</t>
  </si>
  <si>
    <t xml:space="preserve">CFTV</t>
  </si>
  <si>
    <t xml:space="preserve">11/01/2027</t>
  </si>
  <si>
    <t xml:space="preserve">23/08/2028</t>
  </si>
  <si>
    <t xml:space="preserve">21.01</t>
  </si>
  <si>
    <t xml:space="preserve">Instalações Prediais de Água fria</t>
  </si>
  <si>
    <t xml:space="preserve">21/07/2028</t>
  </si>
  <si>
    <t xml:space="preserve">21.01.01</t>
  </si>
  <si>
    <t xml:space="preserve">Rede Concessionária</t>
  </si>
  <si>
    <t xml:space="preserve">24/09/2027</t>
  </si>
  <si>
    <t xml:space="preserve">29/11/2027</t>
  </si>
  <si>
    <t xml:space="preserve">21.01.02</t>
  </si>
  <si>
    <t xml:space="preserve">28/03/2028</t>
  </si>
  <si>
    <t xml:space="preserve">30/05/2028</t>
  </si>
  <si>
    <t xml:space="preserve">21.01.03</t>
  </si>
  <si>
    <t xml:space="preserve">Casa De Bombas</t>
  </si>
  <si>
    <t xml:space="preserve">21.01.04</t>
  </si>
  <si>
    <t xml:space="preserve">Furação Nas Lajes</t>
  </si>
  <si>
    <t xml:space="preserve">21.01.05</t>
  </si>
  <si>
    <t xml:space="preserve">Prumadas De Água Fria</t>
  </si>
  <si>
    <t xml:space="preserve">05/04/2027</t>
  </si>
  <si>
    <t xml:space="preserve">26/05/2028</t>
  </si>
  <si>
    <t xml:space="preserve">21.01.06</t>
  </si>
  <si>
    <t xml:space="preserve">Distribuição</t>
  </si>
  <si>
    <t xml:space="preserve">21.01.07</t>
  </si>
  <si>
    <t xml:space="preserve">Registros e Válvulas</t>
  </si>
  <si>
    <t xml:space="preserve">21.01.08</t>
  </si>
  <si>
    <t xml:space="preserve">Caixas de passagem</t>
  </si>
  <si>
    <t xml:space="preserve">21.01.09</t>
  </si>
  <si>
    <t xml:space="preserve">Reservatórios</t>
  </si>
  <si>
    <t xml:space="preserve">21.02</t>
  </si>
  <si>
    <t xml:space="preserve">Instalações Prediais de Água Quente</t>
  </si>
  <si>
    <t xml:space="preserve">21.02.01</t>
  </si>
  <si>
    <t xml:space="preserve">21.02.02</t>
  </si>
  <si>
    <t xml:space="preserve">Prumadas De Água quente</t>
  </si>
  <si>
    <t xml:space="preserve">21.02.03</t>
  </si>
  <si>
    <t xml:space="preserve">21.02.04</t>
  </si>
  <si>
    <t xml:space="preserve">21.02.05</t>
  </si>
  <si>
    <t xml:space="preserve">21.03</t>
  </si>
  <si>
    <t xml:space="preserve">Instalações Sanitárias Prediais</t>
  </si>
  <si>
    <t xml:space="preserve">21.03.01</t>
  </si>
  <si>
    <t xml:space="preserve">Prumadas  De Esgoto e Ventilação</t>
  </si>
  <si>
    <t xml:space="preserve">21.03.02</t>
  </si>
  <si>
    <t xml:space="preserve">Distribuição Interna De Esgoto</t>
  </si>
  <si>
    <t xml:space="preserve">21.03.03</t>
  </si>
  <si>
    <t xml:space="preserve">Redes Coletoras De Esgoto</t>
  </si>
  <si>
    <t xml:space="preserve">21.03.04</t>
  </si>
  <si>
    <t xml:space="preserve">21.04</t>
  </si>
  <si>
    <t xml:space="preserve">Instalações pluviais Prediais</t>
  </si>
  <si>
    <t xml:space="preserve">21.04.01</t>
  </si>
  <si>
    <t xml:space="preserve">Prumadas  pluviais</t>
  </si>
  <si>
    <t xml:space="preserve">21.04.02</t>
  </si>
  <si>
    <t xml:space="preserve">Redes Coletoras de água pluvial</t>
  </si>
  <si>
    <t xml:space="preserve">21.04.03</t>
  </si>
  <si>
    <t xml:space="preserve">21.05</t>
  </si>
  <si>
    <t xml:space="preserve">Instalações hidráulicas complementares</t>
  </si>
  <si>
    <t xml:space="preserve">21.05.01</t>
  </si>
  <si>
    <t xml:space="preserve">Instalações de Gás de cozinha</t>
  </si>
  <si>
    <t xml:space="preserve">07/08/2028</t>
  </si>
  <si>
    <t xml:space="preserve">21.05.02</t>
  </si>
  <si>
    <t xml:space="preserve">Aquecedores de passagem à gás</t>
  </si>
  <si>
    <t xml:space="preserve">21.05.03</t>
  </si>
  <si>
    <t xml:space="preserve">Aquecedores Solares</t>
  </si>
  <si>
    <t xml:space="preserve">01/06/2028</t>
  </si>
  <si>
    <t xml:space="preserve">21.05.04</t>
  </si>
  <si>
    <t xml:space="preserve">Rede de extensão de água/esgoto</t>
  </si>
  <si>
    <t xml:space="preserve">30/03/2027</t>
  </si>
  <si>
    <t xml:space="preserve">05/02/2029</t>
  </si>
  <si>
    <t xml:space="preserve">22.01</t>
  </si>
  <si>
    <t xml:space="preserve">Prumadas de incendio</t>
  </si>
  <si>
    <t xml:space="preserve">18/04/2028</t>
  </si>
  <si>
    <t xml:space="preserve">22.02</t>
  </si>
  <si>
    <t xml:space="preserve">22.03</t>
  </si>
  <si>
    <t xml:space="preserve">Hidrantes, mangueiras, registros e caixas</t>
  </si>
  <si>
    <t xml:space="preserve">04/10/2027</t>
  </si>
  <si>
    <t xml:space="preserve">22.04</t>
  </si>
  <si>
    <t xml:space="preserve">Extintores de incêndio</t>
  </si>
  <si>
    <t xml:space="preserve">22.05</t>
  </si>
  <si>
    <t xml:space="preserve">Comunicação visual</t>
  </si>
  <si>
    <t xml:space="preserve">22/06/2027</t>
  </si>
  <si>
    <t xml:space="preserve">09/02/2029</t>
  </si>
  <si>
    <t xml:space="preserve">23.01</t>
  </si>
  <si>
    <t xml:space="preserve">19/05/2028</t>
  </si>
  <si>
    <t xml:space="preserve">23.01.01</t>
  </si>
  <si>
    <t xml:space="preserve">Abertura automática de portões de garagem</t>
  </si>
  <si>
    <t xml:space="preserve">23.01.02</t>
  </si>
  <si>
    <t xml:space="preserve">Estação de carga para carro elétrico - 1 por apartamento - infra + cabeamento</t>
  </si>
  <si>
    <t xml:space="preserve">23.02</t>
  </si>
  <si>
    <t xml:space="preserve">Ar condicionado,  exaustão e pressurização</t>
  </si>
  <si>
    <t xml:space="preserve">16/07/2027</t>
  </si>
  <si>
    <t xml:space="preserve">14/09/2028</t>
  </si>
  <si>
    <t xml:space="preserve">23.02.01</t>
  </si>
  <si>
    <t xml:space="preserve">Ar condicionado - Infra para área comum e apartamentos</t>
  </si>
  <si>
    <t xml:space="preserve">23.02.02</t>
  </si>
  <si>
    <t xml:space="preserve">Sistema de exaustão tipo ventokit</t>
  </si>
  <si>
    <t xml:space="preserve">23.02.03</t>
  </si>
  <si>
    <t xml:space="preserve">Sistema de Pressurização</t>
  </si>
  <si>
    <t xml:space="preserve">23.02.04</t>
  </si>
  <si>
    <t xml:space="preserve">Sistema de exaustão do subsolo comercial</t>
  </si>
  <si>
    <t xml:space="preserve">23.03</t>
  </si>
  <si>
    <t xml:space="preserve">Serviços Complementares diversos</t>
  </si>
  <si>
    <t xml:space="preserve">20/09/2027</t>
  </si>
  <si>
    <t xml:space="preserve">23.03.01</t>
  </si>
  <si>
    <t xml:space="preserve">Maquinário para Piscina</t>
  </si>
  <si>
    <t xml:space="preserve">02/08/2028</t>
  </si>
  <si>
    <t xml:space="preserve">23.03.02</t>
  </si>
  <si>
    <t xml:space="preserve">Maquinário para sauna</t>
  </si>
  <si>
    <t xml:space="preserve">23.03.03</t>
  </si>
  <si>
    <t xml:space="preserve">Protecao Anti-Impacto Nas Garagens</t>
  </si>
  <si>
    <t xml:space="preserve">23.03.04</t>
  </si>
  <si>
    <t xml:space="preserve">Brinquedos para playground</t>
  </si>
  <si>
    <t xml:space="preserve">27/10/2028</t>
  </si>
  <si>
    <t xml:space="preserve">18/12/2028</t>
  </si>
  <si>
    <t xml:space="preserve">23.03.05</t>
  </si>
  <si>
    <t xml:space="preserve">Bancada em chapa ACM ref.: Engebold aço cortén oxid (Lounge bar)</t>
  </si>
  <si>
    <t xml:space="preserve">11/10/2028</t>
  </si>
  <si>
    <t xml:space="preserve">23.03.06</t>
  </si>
  <si>
    <t xml:space="preserve">Pontos de ancoragem para limpeza e manutenção de fachadas</t>
  </si>
  <si>
    <t xml:space="preserve">29/03/2028</t>
  </si>
  <si>
    <t xml:space="preserve">04/04/2028</t>
  </si>
  <si>
    <t xml:space="preserve">23.04</t>
  </si>
  <si>
    <t xml:space="preserve">Quadras</t>
  </si>
  <si>
    <t xml:space="preserve">08/08/2028</t>
  </si>
  <si>
    <t xml:space="preserve">10/10/2028</t>
  </si>
  <si>
    <t xml:space="preserve">23.04.01</t>
  </si>
  <si>
    <t xml:space="preserve">Quadra recreação A=86,40m2 -  pintura epoxi fosca, cores conforme detalhamento, ref.: Suvinil, aplicado sobre piso em concreto com acabamento mecânico liso.</t>
  </si>
  <si>
    <t xml:space="preserve">23.05</t>
  </si>
  <si>
    <t xml:space="preserve">Tratamento acústico</t>
  </si>
  <si>
    <t xml:space="preserve">23.05.01</t>
  </si>
  <si>
    <t xml:space="preserve">PI02 - Contrapiso flutuante: Contrapiso armado sobre painel de lã de vidro, (sistema Optima piso, membrana flexível, 15mm de espessura, ref. Isover para evitar fissuras, o contrapsio deverá ser armado com tela tipo "pop soldada".</t>
  </si>
  <si>
    <t xml:space="preserve">23.05.02</t>
  </si>
  <si>
    <t xml:space="preserve">PI03 - Contrapiso flutuante - Bombas e GMG: Base de concreto armado, de 10cm, sobre forma perdida de placa cimentícia de 10mm e painel de lã de PET, 50mm de espessura e 35kg /m3 de densidade, na projeção das bombas</t>
  </si>
  <si>
    <t xml:space="preserve">23.05.03</t>
  </si>
  <si>
    <t xml:space="preserve">PI04 - Base de inércia elevadores: Base de concreto armado, a ser dimensionada, sobre forma perdida de placa cimentícia de 10mm, e painel de lâ de PET, 50mm de espessura, e 35kg de densidade.</t>
  </si>
  <si>
    <t xml:space="preserve">23.05.04</t>
  </si>
  <si>
    <t xml:space="preserve">RE01 - Revestimento de parede de absorção acústica composto por 1 manta de lã de PET com 35kg/m3 de densidade e 50mm de espessura. Fixado perfis próprios metálicos, ref. Trisoft ou similar</t>
  </si>
  <si>
    <t xml:space="preserve">23.05.05</t>
  </si>
  <si>
    <t xml:space="preserve">FO01 -  Forro de absorção acústica composto por 1 manta de lã de PET com 35kg/m3 de densidade e 50mm de espessura. Fixado perfis próprios metálicos, ref. Trisoft ou similar</t>
  </si>
  <si>
    <t xml:space="preserve">23.05.06</t>
  </si>
  <si>
    <t xml:space="preserve"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</si>
  <si>
    <t xml:space="preserve">23.05.07</t>
  </si>
  <si>
    <t xml:space="preserve">FO03 - Forro de isolamento acústico composto por 1 nível de forro fge ( estruturado) com 2 chapas de gesso st (standard) cada um. preenchimento superior com 1 manta de lã de
pet com 35kg/m³ de densidade e 50mm de espessura</t>
  </si>
  <si>
    <t xml:space="preserve">09/10/2028</t>
  </si>
  <si>
    <t xml:space="preserve">24.01</t>
  </si>
  <si>
    <t xml:space="preserve">Elevador Comercial - 2 paradas</t>
  </si>
  <si>
    <t xml:space="preserve">24.02</t>
  </si>
  <si>
    <t xml:space="preserve">Elevador de Serviço Residencial - 34 paradas</t>
  </si>
  <si>
    <t xml:space="preserve">24.03</t>
  </si>
  <si>
    <t xml:space="preserve">Elevador Social Residencial - 34 paradas</t>
  </si>
  <si>
    <t xml:space="preserve">24.04</t>
  </si>
  <si>
    <t xml:space="preserve">Proteção para fosso dos elevadores</t>
  </si>
  <si>
    <t xml:space="preserve">24.05</t>
  </si>
  <si>
    <t xml:space="preserve">Instalação de bomba sapo para drenagem do poço do elevador</t>
  </si>
  <si>
    <t xml:space="preserve">24.06</t>
  </si>
  <si>
    <t xml:space="preserve">Proteção de elevadores definitivos com madeira, papelão e plástico durante a utilização pela obra</t>
  </si>
  <si>
    <t xml:space="preserve">24.07</t>
  </si>
  <si>
    <t xml:space="preserve">Serviços complementares à instalação e operação dos elevadores (içamento de motor, chumbamento de portas, preparo do poço)</t>
  </si>
  <si>
    <t xml:space="preserve">07/12/2027</t>
  </si>
  <si>
    <t xml:space="preserve">17/11/2028</t>
  </si>
  <si>
    <t xml:space="preserve">25.02</t>
  </si>
  <si>
    <t xml:space="preserve">Esquadrias de alumínio</t>
  </si>
  <si>
    <t xml:space="preserve">25.02.01</t>
  </si>
  <si>
    <t xml:space="preserve">Contramarcos para esquadrias de alumínio</t>
  </si>
  <si>
    <t xml:space="preserve">25.02.02</t>
  </si>
  <si>
    <t xml:space="preserve">25.02.03</t>
  </si>
  <si>
    <t xml:space="preserve">Marquise da varanda do pavimento térreo</t>
  </si>
  <si>
    <t xml:space="preserve">25.02.04</t>
  </si>
  <si>
    <t xml:space="preserve">Brise de fechamento das garagens</t>
  </si>
  <si>
    <t xml:space="preserve">26/07/2028</t>
  </si>
  <si>
    <t xml:space="preserve">26/09/2028</t>
  </si>
  <si>
    <t xml:space="preserve">25.02.05</t>
  </si>
  <si>
    <t xml:space="preserve">Brise em veneziana de alumínio cor Bronze 104</t>
  </si>
  <si>
    <t xml:space="preserve">25.02.06</t>
  </si>
  <si>
    <t xml:space="preserve">Veneziana - Platibanda cobertura</t>
  </si>
  <si>
    <t xml:space="preserve">02/08/2027</t>
  </si>
  <si>
    <t xml:space="preserve">25/01/2029</t>
  </si>
  <si>
    <t xml:space="preserve">26.01</t>
  </si>
  <si>
    <t xml:space="preserve">Portas corta-fogo</t>
  </si>
  <si>
    <t xml:space="preserve">14/02/2028</t>
  </si>
  <si>
    <t xml:space="preserve">16/01/2029</t>
  </si>
  <si>
    <t xml:space="preserve">26.01.01</t>
  </si>
  <si>
    <t xml:space="preserve">PCF1 - Porta corta-fogo 1fl de abrir, 90x210cm</t>
  </si>
  <si>
    <t xml:space="preserve">26.01.02</t>
  </si>
  <si>
    <t xml:space="preserve">PCF2 - Porta corta-fogo 1fl de abrir, 100x210cm</t>
  </si>
  <si>
    <t xml:space="preserve">26.01.03</t>
  </si>
  <si>
    <t xml:space="preserve">PCF3 - Porta corta-fogo 1fl de abrir, 120x210cm</t>
  </si>
  <si>
    <t xml:space="preserve">26.01.04</t>
  </si>
  <si>
    <t xml:space="preserve">PCF4 - Porta corta-fogo 2fls de abrir, 150x210cm</t>
  </si>
  <si>
    <t xml:space="preserve">26.02</t>
  </si>
  <si>
    <t xml:space="preserve">Portas de chapa lisa</t>
  </si>
  <si>
    <t xml:space="preserve">29/06/2028</t>
  </si>
  <si>
    <t xml:space="preserve">26.02.01</t>
  </si>
  <si>
    <t xml:space="preserve">PMe1 - Porta em aço galvanizado, 1fl de abrir, 80x210cm</t>
  </si>
  <si>
    <t xml:space="preserve">26.02.02</t>
  </si>
  <si>
    <t xml:space="preserve">PMe2 - Porta em aço galvanizado, 1fl de abrir, 90x210cm</t>
  </si>
  <si>
    <t xml:space="preserve">26.03</t>
  </si>
  <si>
    <t xml:space="preserve">Alçapões</t>
  </si>
  <si>
    <t xml:space="preserve">26.03.01</t>
  </si>
  <si>
    <t xml:space="preserve">Alçapão de chapa lisa 200x130cm</t>
  </si>
  <si>
    <t xml:space="preserve">26.03.02</t>
  </si>
  <si>
    <t xml:space="preserve">Alçapão de chapa lisa 80x80cm</t>
  </si>
  <si>
    <t xml:space="preserve">26.03.03</t>
  </si>
  <si>
    <t xml:space="preserve">AL02 - Portinhola de abrir em aço galvanizado, 80x80cm</t>
  </si>
  <si>
    <t xml:space="preserve">26.03.04</t>
  </si>
  <si>
    <t xml:space="preserve">AL01 - Portinhola de abrir em aço galvanizado, 80x60cm</t>
  </si>
  <si>
    <t xml:space="preserve">26.04</t>
  </si>
  <si>
    <t xml:space="preserve">Corrimaos e guarda corpos</t>
  </si>
  <si>
    <t xml:space="preserve">22/02/2028</t>
  </si>
  <si>
    <t xml:space="preserve">26.04.01</t>
  </si>
  <si>
    <t xml:space="preserve">Corrimãos em aço carbono pintados com tinta esmalte</t>
  </si>
  <si>
    <t xml:space="preserve">26.04.02</t>
  </si>
  <si>
    <t xml:space="preserve">Guarda-corpo tubular de aço H=120cm</t>
  </si>
  <si>
    <t xml:space="preserve">26.05</t>
  </si>
  <si>
    <t xml:space="preserve">Gradis, portoes e fechamentos</t>
  </si>
  <si>
    <t xml:space="preserve">26.05.01</t>
  </si>
  <si>
    <t xml:space="preserve">Al 01 - Alambrado a ser definido, tonalidade Bronze 104</t>
  </si>
  <si>
    <t xml:space="preserve">26.06</t>
  </si>
  <si>
    <t xml:space="preserve">Escadas</t>
  </si>
  <si>
    <t xml:space="preserve">26.06.01</t>
  </si>
  <si>
    <t xml:space="preserve">Escada de marinheiro - degraus chumbados</t>
  </si>
  <si>
    <t xml:space="preserve">26.07</t>
  </si>
  <si>
    <t xml:space="preserve">Diversos</t>
  </si>
  <si>
    <t xml:space="preserve">26.07.01</t>
  </si>
  <si>
    <t xml:space="preserve">Canaleta de drenagem com grelha de aço para estacionamento</t>
  </si>
  <si>
    <t xml:space="preserve">26.07.02</t>
  </si>
  <si>
    <t xml:space="preserve">Grelha praça pavimentada</t>
  </si>
  <si>
    <t xml:space="preserve">04/02/2028</t>
  </si>
  <si>
    <t xml:space="preserve">27.01</t>
  </si>
  <si>
    <t xml:space="preserve">Esquadrias de madeira</t>
  </si>
  <si>
    <t xml:space="preserve">12/01/2029</t>
  </si>
  <si>
    <t xml:space="preserve">27.01.01</t>
  </si>
  <si>
    <t xml:space="preserve">Portas</t>
  </si>
  <si>
    <t xml:space="preserve">27.01.01.01</t>
  </si>
  <si>
    <t xml:space="preserve">P01 - Porta de madeira, 1fl de abrir, 60x210cm</t>
  </si>
  <si>
    <t xml:space="preserve">27.01.01.02</t>
  </si>
  <si>
    <t xml:space="preserve">P02 - Porta de madeira, correr 1fl, 60x210cm</t>
  </si>
  <si>
    <t xml:space="preserve">27.01.01.03</t>
  </si>
  <si>
    <t xml:space="preserve">P03 - Porta de madeira, 1fl de abrir, 70x210cm</t>
  </si>
  <si>
    <t xml:space="preserve">27.01.01.04</t>
  </si>
  <si>
    <t xml:space="preserve">P04 - Porta de madeira, correr 1fl, 70x210cm</t>
  </si>
  <si>
    <t xml:space="preserve">27.01.01.05</t>
  </si>
  <si>
    <t xml:space="preserve">P03 - Porta de madeira, 1fl de abrir, 80x210cm</t>
  </si>
  <si>
    <t xml:space="preserve">27.01.01.06</t>
  </si>
  <si>
    <t xml:space="preserve">P05 - Porta de madeira, 1fl de abrir, 80x210cm</t>
  </si>
  <si>
    <t xml:space="preserve">27.01.01.07</t>
  </si>
  <si>
    <t xml:space="preserve">P06 - Porta de madeira, 1fl de abrir, 90x210cm</t>
  </si>
  <si>
    <t xml:space="preserve">27.01.01.08</t>
  </si>
  <si>
    <t xml:space="preserve">P08 - Porta de madeira, correr 1fl, 120x210cm</t>
  </si>
  <si>
    <t xml:space="preserve">27.01.01.09</t>
  </si>
  <si>
    <t xml:space="preserve">Preenchimento lateral para portas com espuma expansiva de poliuretano</t>
  </si>
  <si>
    <t xml:space="preserve">27.01.02</t>
  </si>
  <si>
    <t xml:space="preserve">Ferragens</t>
  </si>
  <si>
    <t xml:space="preserve">27.01.02.01</t>
  </si>
  <si>
    <t xml:space="preserve">Dobradiça cromada 3"</t>
  </si>
  <si>
    <t xml:space="preserve">27.01.02.02</t>
  </si>
  <si>
    <t xml:space="preserve">Fechadura multiponto com lingueta (4 bolts em aço maciço no sistema de travamento central e 3 em cada sistema auxiliar (mul-T-lock)| Cilindro perfil euro com chaves  codificadas e cópias controladas mediante autorização (ref.: Mul-T-Lock)</t>
  </si>
  <si>
    <t xml:space="preserve">27.01.02.03</t>
  </si>
  <si>
    <t xml:space="preserve">Fechadura biométrica</t>
  </si>
  <si>
    <t xml:space="preserve">27.01.02.04</t>
  </si>
  <si>
    <t xml:space="preserve">Conjunto de ferragens para porta de correr com montagem por fora da alvenaria</t>
  </si>
  <si>
    <t xml:space="preserve">27.01.02.05</t>
  </si>
  <si>
    <t xml:space="preserve">Conjunto de ferragens para porta de correr com montagem por dentro da alvenaria (porta concha)</t>
  </si>
  <si>
    <t xml:space="preserve">27.01.02.06</t>
  </si>
  <si>
    <t xml:space="preserve">Cadeado PADO para alçapões</t>
  </si>
  <si>
    <t xml:space="preserve">27.02</t>
  </si>
  <si>
    <t xml:space="preserve">Paineis</t>
  </si>
  <si>
    <t xml:space="preserve">27.02.01</t>
  </si>
  <si>
    <t xml:space="preserve">Paines de MDF para fechamento de shafts</t>
  </si>
  <si>
    <t xml:space="preserve">16/04/2027</t>
  </si>
  <si>
    <t xml:space="preserve">28.01</t>
  </si>
  <si>
    <t xml:space="preserve">Serviços complentares ao piso internos</t>
  </si>
  <si>
    <t xml:space="preserve">28.01.01</t>
  </si>
  <si>
    <t xml:space="preserve">Taliscamento de Pisos</t>
  </si>
  <si>
    <t xml:space="preserve">09/05/2028</t>
  </si>
  <si>
    <t xml:space="preserve">28.01.02</t>
  </si>
  <si>
    <t xml:space="preserve">28.01.03</t>
  </si>
  <si>
    <t xml:space="preserve">(Lojas) Camada de regularização com argamassa de cimento e areia</t>
  </si>
  <si>
    <t xml:space="preserve">28.01.04</t>
  </si>
  <si>
    <t xml:space="preserve">Proteção de pisos contra tráfego de obra</t>
  </si>
  <si>
    <t xml:space="preserve">28.02</t>
  </si>
  <si>
    <t xml:space="preserve">Serviços complentares ao piso externos</t>
  </si>
  <si>
    <t xml:space="preserve">28.02.01</t>
  </si>
  <si>
    <t xml:space="preserve">28.02.02</t>
  </si>
  <si>
    <t xml:space="preserve">21/06/2028</t>
  </si>
  <si>
    <t xml:space="preserve">29.01</t>
  </si>
  <si>
    <t xml:space="preserve">Revestimentos Internos</t>
  </si>
  <si>
    <t xml:space="preserve">29.01.01</t>
  </si>
  <si>
    <t xml:space="preserve">Taliscamento de Parede</t>
  </si>
  <si>
    <t xml:space="preserve">29.01.02</t>
  </si>
  <si>
    <t xml:space="preserve">Chapisco</t>
  </si>
  <si>
    <t xml:space="preserve">26/05/2027</t>
  </si>
  <si>
    <t xml:space="preserve">29.01.03</t>
  </si>
  <si>
    <t xml:space="preserve">Emboço esp. 25mm</t>
  </si>
  <si>
    <t xml:space="preserve">29.01.04</t>
  </si>
  <si>
    <t xml:space="preserve">Reboco esp. 25mm</t>
  </si>
  <si>
    <t xml:space="preserve">29.01.05</t>
  </si>
  <si>
    <t xml:space="preserve">Espalas para esquadrias (até 40cm)</t>
  </si>
  <si>
    <t xml:space="preserve">24/08/2027</t>
  </si>
  <si>
    <t xml:space="preserve">15/02/2029</t>
  </si>
  <si>
    <t xml:space="preserve">30.01</t>
  </si>
  <si>
    <t xml:space="preserve">Pisos internos</t>
  </si>
  <si>
    <t xml:space="preserve">06/09/2027</t>
  </si>
  <si>
    <t xml:space="preserve">03/01/2029</t>
  </si>
  <si>
    <t xml:space="preserve">30.01.01</t>
  </si>
  <si>
    <t xml:space="preserve">Porcelanato</t>
  </si>
  <si>
    <t xml:space="preserve">28/09/2028</t>
  </si>
  <si>
    <t xml:space="preserve">30.01.01.01</t>
  </si>
  <si>
    <t xml:space="preserve">Piso Porcelanato, 120x120cm, com acabamento acetinado. Ref.: Eliane, Khali OffWhite AC, assentado com argamassa colante em pó ACIII</t>
  </si>
  <si>
    <t xml:space="preserve">30.01.01.02</t>
  </si>
  <si>
    <t xml:space="preserve">Piso Porcelanato, 90x90cm, com acabamento acetinado. Ref.: Eliane, Khali OffWhite AC, assentado com argamassa colante em pó ACIII</t>
  </si>
  <si>
    <t xml:space="preserve">30.01.01.03</t>
  </si>
  <si>
    <t xml:space="preserve">Piso Porcelanato, 120x120cm, com acabamento resistente ao escorregamento. Ref.: Eliane, Khali OffWhite EXT, assentado com argamassa colante em pó ACIII</t>
  </si>
  <si>
    <t xml:space="preserve">30.01.01.04</t>
  </si>
  <si>
    <t xml:space="preserve">Piso Porcelanato 90x90cm, com acabamento acetinado. Ref.: Eliane, Munari Branco AC, assentado com argamassa colante em pó ACIII</t>
  </si>
  <si>
    <t xml:space="preserve">30.01.01.05</t>
  </si>
  <si>
    <t xml:space="preserve">Piso Porcelanato 60x60cm, com acabamento acetinado. Ref.: Eliane, Munari Branco AC assentado com argamassa colante em pó ACIII</t>
  </si>
  <si>
    <t xml:space="preserve">30.01.01.06</t>
  </si>
  <si>
    <t xml:space="preserve">Piso Porcelanato Eliane Munari Branco AC 90x90cm, assentado com argamassa colante em pó ACIII</t>
  </si>
  <si>
    <t xml:space="preserve">30.01.01.07</t>
  </si>
  <si>
    <t xml:space="preserve">Piso Porcelanato Eliane FGMF Silica Corda MA 120x120cm, assentado com argamassa colante em pó ACIII</t>
  </si>
  <si>
    <t xml:space="preserve">30.01.02</t>
  </si>
  <si>
    <t xml:space="preserve">Emborrachados</t>
  </si>
  <si>
    <t xml:space="preserve">18/05/2028</t>
  </si>
  <si>
    <t xml:space="preserve">30.01.02.01</t>
  </si>
  <si>
    <t xml:space="preserve">Piso emborrachado Impact Soft Peso Livre Evolution (1x1m – Preto – Aubicon)</t>
  </si>
  <si>
    <t xml:space="preserve">30.01.03</t>
  </si>
  <si>
    <t xml:space="preserve">Pedras</t>
  </si>
  <si>
    <t xml:space="preserve">04/08/2028</t>
  </si>
  <si>
    <t xml:space="preserve">30.01.03.01</t>
  </si>
  <si>
    <t xml:space="preserve">Piso de granito Ornamental White, espessura 2cm, com acabamento levigado, assentado com argamassa colante em pó ACIII</t>
  </si>
  <si>
    <t xml:space="preserve">30.01.03.02</t>
  </si>
  <si>
    <t xml:space="preserve">Piso de mármore Branco Paraná Matarazzo escovado assentado com argamassa colante em pó ACIII</t>
  </si>
  <si>
    <t xml:space="preserve">30.01.03.03</t>
  </si>
  <si>
    <t xml:space="preserve">Piso de Granito Ornamental White levigado para elevadores  assentado com argamassa colante em pó ACIII</t>
  </si>
  <si>
    <t xml:space="preserve">30.01.04</t>
  </si>
  <si>
    <t xml:space="preserve">Sintéticos e Vinílicos</t>
  </si>
  <si>
    <t xml:space="preserve">24/01/2028</t>
  </si>
  <si>
    <t xml:space="preserve">30.01.04.01</t>
  </si>
  <si>
    <t xml:space="preserve">Piso vinílico em réguas, 18,4x121,9cm,  padrão madeirado. Ref.: Durafloor, Austin, llinha Urban.</t>
  </si>
  <si>
    <t xml:space="preserve">30.01.04.02</t>
  </si>
  <si>
    <t xml:space="preserve">Vinílico Durafloor Austin Liha Urbann (2mm)</t>
  </si>
  <si>
    <t xml:space="preserve">30.01.05</t>
  </si>
  <si>
    <t xml:space="preserve">Concreto e/ou cimentados</t>
  </si>
  <si>
    <t xml:space="preserve">24/03/2028</t>
  </si>
  <si>
    <t xml:space="preserve">15/12/2028</t>
  </si>
  <si>
    <t xml:space="preserve">30.01.05.01</t>
  </si>
  <si>
    <t xml:space="preserve">Concreto mecanizado com acabamento polido, sem camada de regularização</t>
  </si>
  <si>
    <t xml:space="preserve">30.01.05.02</t>
  </si>
  <si>
    <t xml:space="preserve">Piso cimentado queimado - panos amplos</t>
  </si>
  <si>
    <t xml:space="preserve">30.01.05.03</t>
  </si>
  <si>
    <t xml:space="preserve">Piso cimentado queimado - escadarias</t>
  </si>
  <si>
    <t xml:space="preserve">30.01.05.04</t>
  </si>
  <si>
    <t xml:space="preserve">Piso em ladrilho hidráulico 20x20cm, modelo rampa, cor cinza.</t>
  </si>
  <si>
    <t xml:space="preserve">30.02</t>
  </si>
  <si>
    <t xml:space="preserve">Rodapés internos</t>
  </si>
  <si>
    <t xml:space="preserve">17/02/2028</t>
  </si>
  <si>
    <t xml:space="preserve">23/01/2029</t>
  </si>
  <si>
    <t xml:space="preserve">30.02.01</t>
  </si>
  <si>
    <t xml:space="preserve">30.02.01.01</t>
  </si>
  <si>
    <t xml:space="preserve">Rodapé para Piso Porcelanato, com acabamento acetinado. Ref.: Eliane, Khali OffWhite AC 10x120cm, assentado com argamassa colante em pó ACIII</t>
  </si>
  <si>
    <t xml:space="preserve">30.02.01.02</t>
  </si>
  <si>
    <t xml:space="preserve">30.02.01.03</t>
  </si>
  <si>
    <t xml:space="preserve">Rodapé para Piso Porcelanato, com acabamento resistente ao escorregamento. Ref.: Eliane, Khali OffWhite EXT 10x90cm, assentado com argamassa colante em pó ACIII</t>
  </si>
  <si>
    <t xml:space="preserve">30.02.01.04</t>
  </si>
  <si>
    <t xml:space="preserve">Rodapé para Piso Porcelanato 90x90cm, com acabamento acetinado. Ref.: Eliane, Munari Branco AC, h=10cm, assentado com argamassa colante em pó ACIII</t>
  </si>
  <si>
    <t xml:space="preserve">30.02.01.05</t>
  </si>
  <si>
    <t xml:space="preserve">Rodapé para Piso Porcelanato 10x60cm, com acabamento acetinado. Ref.: Eliane, Munari Branco A, h=10cm, assentado com argamassa colante em pó ACIII</t>
  </si>
  <si>
    <t xml:space="preserve">30.02.03</t>
  </si>
  <si>
    <t xml:space="preserve">30.02.03.01</t>
  </si>
  <si>
    <t xml:space="preserve">Rodapé para Piso de granito Branco Ornamental White, acabamento levigado, assentado com argamassa colante em pó ACIII</t>
  </si>
  <si>
    <t xml:space="preserve">30.02.04</t>
  </si>
  <si>
    <t xml:space="preserve">30.02.04.01</t>
  </si>
  <si>
    <t xml:space="preserve">Rodapé em madeira reflorestada, cor branca, h=12cm. Ref.: Durafloor Easy Y-01 120.</t>
  </si>
  <si>
    <t xml:space="preserve">30.02.04.02</t>
  </si>
  <si>
    <t xml:space="preserve">Rodapé de poliestireno, ref.: Santa Luzia 480 com 150mm de altura, pintado na cor da parede</t>
  </si>
  <si>
    <t xml:space="preserve">30.02.04.03</t>
  </si>
  <si>
    <t xml:space="preserve">Perfil metálico "L" de transição entre pisos (Vinílico e porcelanato)</t>
  </si>
  <si>
    <t xml:space="preserve">30.03</t>
  </si>
  <si>
    <t xml:space="preserve">Pisos externos</t>
  </si>
  <si>
    <t xml:space="preserve">30.03.01</t>
  </si>
  <si>
    <t xml:space="preserve">18/08/2028</t>
  </si>
  <si>
    <t xml:space="preserve">30.03.01.01</t>
  </si>
  <si>
    <t xml:space="preserve">30.03.01.02</t>
  </si>
  <si>
    <t xml:space="preserve">Granito Cinza Castelo com acabamento flameado antiderrapante e detalhes em Granito Verde Ubatuba com acabamento flameado antiderrapante, conforme projeto de Paisagismo da Esplanada (equipe JA8</t>
  </si>
  <si>
    <t xml:space="preserve">30.03.02</t>
  </si>
  <si>
    <t xml:space="preserve">Pisos de Madeira</t>
  </si>
  <si>
    <t xml:space="preserve">01/08/2028</t>
  </si>
  <si>
    <t xml:space="preserve">30.03.02.01</t>
  </si>
  <si>
    <t xml:space="preserve">Deck em madeira Cumaru</t>
  </si>
  <si>
    <t xml:space="preserve">30.03.03</t>
  </si>
  <si>
    <t xml:space="preserve">Pisos Especiais</t>
  </si>
  <si>
    <t xml:space="preserve">30.03.03.01</t>
  </si>
  <si>
    <t xml:space="preserve">Piso Impact Soft 50 | Placas de 1x1 m | Aubicon</t>
  </si>
  <si>
    <t xml:space="preserve">30.03.03.02</t>
  </si>
  <si>
    <t xml:space="preserve">Piso elevado pilotis (Acabamento considerado nos itens específicos)</t>
  </si>
  <si>
    <t xml:space="preserve">30.04</t>
  </si>
  <si>
    <t xml:space="preserve">Rodapés externos</t>
  </si>
  <si>
    <t xml:space="preserve">30.04.01</t>
  </si>
  <si>
    <t xml:space="preserve">Rodapé para Piso de granito Branco Ornamental White, acabamento levigado, h=10cm, assentado com argamassa colante em pó ACIII</t>
  </si>
  <si>
    <t xml:space="preserve">30.05</t>
  </si>
  <si>
    <t xml:space="preserve">Paredes</t>
  </si>
  <si>
    <t xml:space="preserve">15/09/2028</t>
  </si>
  <si>
    <t xml:space="preserve">30.05.01</t>
  </si>
  <si>
    <t xml:space="preserve">Porcelanatos</t>
  </si>
  <si>
    <t xml:space="preserve">30.05.01.01</t>
  </si>
  <si>
    <t xml:space="preserve">Revestimento Porcelanato, 60x120cm, com acabamento acetinado. Ref.: Eliane, Khali OffWhite AC, assentado com argamassa colante em pó ACIII</t>
  </si>
  <si>
    <t xml:space="preserve">30.05.01.02</t>
  </si>
  <si>
    <t xml:space="preserve">Drywall - Revestimento Porcelanato, 60x120cm, com acabamento acetinado. Ref.: Eliane, Khali OffWhite AC, assentado com argamassa colante em pó ACIII</t>
  </si>
  <si>
    <t xml:space="preserve">30.05.01.03</t>
  </si>
  <si>
    <t xml:space="preserve">Revestimento Porcelanato branco, 32,5x59cm, com acabamento acetinado. Ref.: Eliane, Forma Branco AC RET assentado com argamassa colante em pó ACIII</t>
  </si>
  <si>
    <t xml:space="preserve">30.05.01.04</t>
  </si>
  <si>
    <t xml:space="preserve">Drywall - Revestimento Porcelanato branco, 32,5x59cm, com acabamento acetinado. Ref.: Eliane, Forma Branco AC RET assentado com argamassa colante em pó ACIII</t>
  </si>
  <si>
    <t xml:space="preserve">30.05.01.05</t>
  </si>
  <si>
    <t xml:space="preserve">Revestimento Porcelanato 60x60cm, com acabamento acetinado. Paginação conforme detalhamento. Ref.: Eliane, Munari Branco AC,  assentado com argamassa colante em pó ACIII</t>
  </si>
  <si>
    <t xml:space="preserve">30.05.01.06</t>
  </si>
  <si>
    <t xml:space="preserve">Revestimento Porcelanato Eliane Munari Branco AC 90x90cm assentado com argamassa colante em pó ACIII</t>
  </si>
  <si>
    <t xml:space="preserve">30.05.01.07</t>
  </si>
  <si>
    <t xml:space="preserve">Revestimento Porcelanato FGMF Silica Corda MA 120x120cm assentado com argamassa colante em pó ACIII</t>
  </si>
  <si>
    <t xml:space="preserve">30.05.01.08</t>
  </si>
  <si>
    <t xml:space="preserve">Revestimento Porcelanato Eliane Khali Off White AC 120x120cm assentado com argamassa colante em pó ACIII</t>
  </si>
  <si>
    <t xml:space="preserve">30.05.02</t>
  </si>
  <si>
    <t xml:space="preserve">Revestimento com pedras</t>
  </si>
  <si>
    <t xml:space="preserve">30.05.02.01</t>
  </si>
  <si>
    <t xml:space="preserve">Mosaido de Ardósia verde, assentado com argamassa de cimento e areia</t>
  </si>
  <si>
    <t xml:space="preserve">30.05.02.02</t>
  </si>
  <si>
    <t xml:space="preserve">Revestimento em mosaico verde escovada paginação "French Pattern" assentado com argamassa de cimento e areia</t>
  </si>
  <si>
    <t xml:space="preserve">30.05.03</t>
  </si>
  <si>
    <t xml:space="preserve">Papel de parede</t>
  </si>
  <si>
    <t xml:space="preserve">30.05.03.01</t>
  </si>
  <si>
    <t xml:space="preserve">Emassamento acrílico (1 demão + retoques)</t>
  </si>
  <si>
    <t xml:space="preserve">30.05.03.02</t>
  </si>
  <si>
    <t xml:space="preserve">30.05.03.03</t>
  </si>
  <si>
    <t xml:space="preserve">Pintura acrílica sobre paredes - Reboco (1 demão selador + 3 demãos Latex acrílico)</t>
  </si>
  <si>
    <t xml:space="preserve">30.05.03.04</t>
  </si>
  <si>
    <t xml:space="preserve">(Reboco) Papel de parede</t>
  </si>
  <si>
    <t xml:space="preserve">30.06</t>
  </si>
  <si>
    <t xml:space="preserve">Bancadas</t>
  </si>
  <si>
    <t xml:space="preserve">30.06.01</t>
  </si>
  <si>
    <t xml:space="preserve">Bancadas de granito branco siena escovado</t>
  </si>
  <si>
    <t xml:space="preserve">30.06.01.01</t>
  </si>
  <si>
    <t xml:space="preserve">Bancada em granito Branco Siena escovado</t>
  </si>
  <si>
    <t xml:space="preserve">30.06.01.02</t>
  </si>
  <si>
    <t xml:space="preserve">Fechamento lateral para bancada de granito</t>
  </si>
  <si>
    <t xml:space="preserve">30.06.01.03</t>
  </si>
  <si>
    <t xml:space="preserve">Testeira de granito Branco Siena escovado h=10cm</t>
  </si>
  <si>
    <t xml:space="preserve">30.06.01.04</t>
  </si>
  <si>
    <t xml:space="preserve">Rodabanca de granito Branco Siena escovado h=10cm</t>
  </si>
  <si>
    <t xml:space="preserve">30.06.01.05</t>
  </si>
  <si>
    <t xml:space="preserve">Furo e colagem de bojo</t>
  </si>
  <si>
    <t xml:space="preserve">30.06.01.06</t>
  </si>
  <si>
    <t xml:space="preserve">Mãos francesas para bancadas</t>
  </si>
  <si>
    <t xml:space="preserve">30.06.01.07</t>
  </si>
  <si>
    <t xml:space="preserve">Proteção de bancadas contra manuseio de obra</t>
  </si>
  <si>
    <t xml:space="preserve">30.06.02</t>
  </si>
  <si>
    <t xml:space="preserve">Bancadas de granito a definir  - Copa| Guarita SS</t>
  </si>
  <si>
    <t xml:space="preserve">30.06.02.01</t>
  </si>
  <si>
    <t xml:space="preserve">Bancadas de granito</t>
  </si>
  <si>
    <t xml:space="preserve">30.06.02.02</t>
  </si>
  <si>
    <t xml:space="preserve">Testeira de granito h=10cm</t>
  </si>
  <si>
    <t xml:space="preserve">30.06.02.03</t>
  </si>
  <si>
    <t xml:space="preserve">Rodabanca de granito h=10cm</t>
  </si>
  <si>
    <t xml:space="preserve">30.06.02.04</t>
  </si>
  <si>
    <t xml:space="preserve">30.06.02.05</t>
  </si>
  <si>
    <t xml:space="preserve">30.06.02.06</t>
  </si>
  <si>
    <t xml:space="preserve">30.06.03</t>
  </si>
  <si>
    <t xml:space="preserve">Bancada de Granito Verde Candeias Escovado</t>
  </si>
  <si>
    <t xml:space="preserve">30.06.03.01</t>
  </si>
  <si>
    <t xml:space="preserve">30.06.03.02</t>
  </si>
  <si>
    <t xml:space="preserve">Fechamento lateral para bancada de Granito Verde Candeias Escovado</t>
  </si>
  <si>
    <t xml:space="preserve">30.06.03.03</t>
  </si>
  <si>
    <t xml:space="preserve">Testeira de granito Verde Candeias Escovado h=10cm</t>
  </si>
  <si>
    <t xml:space="preserve">30.06.03.04</t>
  </si>
  <si>
    <t xml:space="preserve">Rodabanca de granito Verde Candeias Escovado h=10cm</t>
  </si>
  <si>
    <t xml:space="preserve">30.06.03.05</t>
  </si>
  <si>
    <t xml:space="preserve">30.06.03.06</t>
  </si>
  <si>
    <t xml:space="preserve">30.06.03.07</t>
  </si>
  <si>
    <t xml:space="preserve">30.06.04</t>
  </si>
  <si>
    <t xml:space="preserve">Bancadas de granito White Ornamental</t>
  </si>
  <si>
    <t xml:space="preserve">30.06.04.01</t>
  </si>
  <si>
    <t xml:space="preserve">Bancos em Granito White Ornamental levigado</t>
  </si>
  <si>
    <t xml:space="preserve">30.06.04.02</t>
  </si>
  <si>
    <t xml:space="preserve">Fechamento lateral para bancos em Granito White Ornamental levigado</t>
  </si>
  <si>
    <t xml:space="preserve">30.06.04.03</t>
  </si>
  <si>
    <t xml:space="preserve">Testeira de granito white ornamental h=10cm</t>
  </si>
  <si>
    <t xml:space="preserve">30.06.04.04</t>
  </si>
  <si>
    <t xml:space="preserve">30.06.05</t>
  </si>
  <si>
    <t xml:space="preserve">Bancada em mármore Branco tradicional levigado</t>
  </si>
  <si>
    <t xml:space="preserve">30.06.05.01</t>
  </si>
  <si>
    <t xml:space="preserve">30.06.05.02</t>
  </si>
  <si>
    <t xml:space="preserve">Bancada esculpida em mármore Branco tradicional levigado.</t>
  </si>
  <si>
    <t xml:space="preserve">30.06.05.03</t>
  </si>
  <si>
    <t xml:space="preserve">Testeira de mármore Branco tradicional levigado h=10cm</t>
  </si>
  <si>
    <t xml:space="preserve">30.06.05.04</t>
  </si>
  <si>
    <t xml:space="preserve">Rodabanca de mármore Branco tradicional levigado h=10cm</t>
  </si>
  <si>
    <t xml:space="preserve">30.06.05.05</t>
  </si>
  <si>
    <t xml:space="preserve">30.06.05.06</t>
  </si>
  <si>
    <t xml:space="preserve">30.06.05.07</t>
  </si>
  <si>
    <t xml:space="preserve">30.06.06</t>
  </si>
  <si>
    <t xml:space="preserve">Bancada em Quartzito Kalahari Escovado e Hidrofugado</t>
  </si>
  <si>
    <t xml:space="preserve">30.06.06.01</t>
  </si>
  <si>
    <t xml:space="preserve">30.06.06.02</t>
  </si>
  <si>
    <t xml:space="preserve">Cuba suspensa "esculpida" Quartzito Kalahari Escovado e Hidrofugado</t>
  </si>
  <si>
    <t xml:space="preserve">30.06.06.03</t>
  </si>
  <si>
    <t xml:space="preserve">Fechamento lateral para bancada em Quartzito Kalahari Escovado e Hidrofugado</t>
  </si>
  <si>
    <t xml:space="preserve">30.06.06.04</t>
  </si>
  <si>
    <t xml:space="preserve">Testeira de mármore h=10cm</t>
  </si>
  <si>
    <t xml:space="preserve">30.06.06.05</t>
  </si>
  <si>
    <t xml:space="preserve">Rodabanca de mármore h=10cm</t>
  </si>
  <si>
    <t xml:space="preserve">30.06.06.06</t>
  </si>
  <si>
    <t xml:space="preserve">30.06.06.07</t>
  </si>
  <si>
    <t xml:space="preserve">30.06.06.08</t>
  </si>
  <si>
    <t xml:space="preserve">30.06.07</t>
  </si>
  <si>
    <t xml:space="preserve">Peças  diversas</t>
  </si>
  <si>
    <t xml:space="preserve">30.06.07.01</t>
  </si>
  <si>
    <t xml:space="preserve">Divisórias à definir (Vestiário Fem.| masc. - Pilotis)</t>
  </si>
  <si>
    <t xml:space="preserve">30.06.07.02</t>
  </si>
  <si>
    <t xml:space="preserve">Peitoril em granito Branco Ornamental White, acabamento levigado</t>
  </si>
  <si>
    <t xml:space="preserve">30.06.07.03</t>
  </si>
  <si>
    <t xml:space="preserve">Soleira| filete em porcelanato, com acabamento acetinado. Ref.: Eliane, Khali OffWhite AC.</t>
  </si>
  <si>
    <t xml:space="preserve">30.06.07.04</t>
  </si>
  <si>
    <t xml:space="preserve">Soleira em porcelanato, com acabamento acetinado. Ref.: Eliane, Munari Branco AC.</t>
  </si>
  <si>
    <t xml:space="preserve">30.06.07.05</t>
  </si>
  <si>
    <t xml:space="preserve">Soleira| filete em granito Branco Ornamental White, acabamento levigado</t>
  </si>
  <si>
    <t xml:space="preserve">30.06.07.06</t>
  </si>
  <si>
    <t xml:space="preserve">Soleira| filete em mármore Branco Paraná Matarazzo escovado</t>
  </si>
  <si>
    <t xml:space="preserve">30.06.07.07</t>
  </si>
  <si>
    <t xml:space="preserve">Soleira| filete em granito Branco Siena levigado.</t>
  </si>
  <si>
    <t xml:space="preserve">30.06.07.08</t>
  </si>
  <si>
    <t xml:space="preserve">Pingadeiras para platibandas e guarda-corpos de alvenaria de mármore branco</t>
  </si>
  <si>
    <t xml:space="preserve">30.06.07.09</t>
  </si>
  <si>
    <t xml:space="preserve">Aduelas de granito para porta de elevadores</t>
  </si>
  <si>
    <t xml:space="preserve">30.06.07.10</t>
  </si>
  <si>
    <t xml:space="preserve">Filete box</t>
  </si>
  <si>
    <t xml:space="preserve">30.06.07.11</t>
  </si>
  <si>
    <t xml:space="preserve">Borda piscina L=27cm</t>
  </si>
  <si>
    <t xml:space="preserve">30.07</t>
  </si>
  <si>
    <t xml:space="preserve">Revestimento de piscinas</t>
  </si>
  <si>
    <t xml:space="preserve">30.07.01</t>
  </si>
  <si>
    <t xml:space="preserve">Argamassas</t>
  </si>
  <si>
    <t xml:space="preserve">30.07.01.01</t>
  </si>
  <si>
    <t xml:space="preserve">30.07.01.02</t>
  </si>
  <si>
    <t xml:space="preserve">30.07.01.03</t>
  </si>
  <si>
    <t xml:space="preserve">Emboço esp. 50mm</t>
  </si>
  <si>
    <t xml:space="preserve">30.07.02</t>
  </si>
  <si>
    <t xml:space="preserve">Revestimentos cerâmicos</t>
  </si>
  <si>
    <t xml:space="preserve">30.07.02.01</t>
  </si>
  <si>
    <t xml:space="preserve">Revestimento 14,5x14,5cm, linha Barlavento Sea da Portobello,  assentado com argamassa colante em pó ACIII</t>
  </si>
  <si>
    <t xml:space="preserve">30.07.03</t>
  </si>
  <si>
    <t xml:space="preserve">Caixilharia especial</t>
  </si>
  <si>
    <t xml:space="preserve">30.07.03.01</t>
  </si>
  <si>
    <t xml:space="preserve">Pilares revestidos em ACM, tonalidade próxima dos perfis das esquadrias, ref.: alumínio anodizado cor Bronze 104</t>
  </si>
  <si>
    <t xml:space="preserve">09/03/2028</t>
  </si>
  <si>
    <t xml:space="preserve">31.01</t>
  </si>
  <si>
    <t xml:space="preserve">Passeios</t>
  </si>
  <si>
    <t xml:space="preserve">31.01.01</t>
  </si>
  <si>
    <t xml:space="preserve">Calçada de concreto magro esp. 10cm + cimentado esp. 3cm</t>
  </si>
  <si>
    <t xml:space="preserve">31.01.02</t>
  </si>
  <si>
    <t xml:space="preserve">Meio Fio</t>
  </si>
  <si>
    <t xml:space="preserve">31.01.03</t>
  </si>
  <si>
    <t xml:space="preserve">Rebaixo no meio-fio</t>
  </si>
  <si>
    <t xml:space="preserve">31.01.04</t>
  </si>
  <si>
    <t xml:space="preserve">Sarjeta</t>
  </si>
  <si>
    <t xml:space="preserve">31.01.05</t>
  </si>
  <si>
    <t xml:space="preserve">Ladrilho hidráulico 20x20cm, modelo rampa, cor cinza.</t>
  </si>
  <si>
    <t xml:space="preserve">31.01.06</t>
  </si>
  <si>
    <t xml:space="preserve">Ladrilho hidráulico anti-derrapante para passeios</t>
  </si>
  <si>
    <t xml:space="preserve">31.01.07</t>
  </si>
  <si>
    <t xml:space="preserve">Piso tatil para Portadores de necessidades especiais</t>
  </si>
  <si>
    <t xml:space="preserve">18/08/2027</t>
  </si>
  <si>
    <t xml:space="preserve">27/02/2029</t>
  </si>
  <si>
    <t xml:space="preserve">32.01</t>
  </si>
  <si>
    <t xml:space="preserve">06/06/2028</t>
  </si>
  <si>
    <t xml:space="preserve">32.01.01</t>
  </si>
  <si>
    <t xml:space="preserve">Limpeza de fachadas</t>
  </si>
  <si>
    <t xml:space="preserve">32.01.02</t>
  </si>
  <si>
    <t xml:space="preserve">32.01.03</t>
  </si>
  <si>
    <t xml:space="preserve">32.01.04</t>
  </si>
  <si>
    <t xml:space="preserve">Reboco esp.50mm</t>
  </si>
  <si>
    <t xml:space="preserve">32.01.05</t>
  </si>
  <si>
    <t xml:space="preserve">32.01.06</t>
  </si>
  <si>
    <t xml:space="preserve">Tela metálica no encontro entre alvenaria e estrutura</t>
  </si>
  <si>
    <t xml:space="preserve">32.02</t>
  </si>
  <si>
    <t xml:space="preserve">09/09/2027</t>
  </si>
  <si>
    <t xml:space="preserve">22/03/2028</t>
  </si>
  <si>
    <t xml:space="preserve">32.02.01</t>
  </si>
  <si>
    <t xml:space="preserve">Porcelanato verde, 30x120cm, ref.: Portobello Matéria Prima Verde, conforme paginação da fachada, instalados com sistema de fachada aerada através de dispositivos metálicos de aço galvanizado.</t>
  </si>
  <si>
    <t xml:space="preserve">32.02.02</t>
  </si>
  <si>
    <t xml:space="preserve">Espalas para porcelanato verde, 30x120cm, ref.: Portobello Matéria Prima Verde, conforme paginação da fachada, instalados com sistema de fachada aerada através de dispositivos metálicos de aço galvanizado.</t>
  </si>
  <si>
    <t xml:space="preserve">32.03</t>
  </si>
  <si>
    <t xml:space="preserve">Tratamento de concreto aparente na fachada</t>
  </si>
  <si>
    <t xml:space="preserve">22/06/2028</t>
  </si>
  <si>
    <t xml:space="preserve">07/11/2028</t>
  </si>
  <si>
    <t xml:space="preserve">32.03.01</t>
  </si>
  <si>
    <t xml:space="preserve">Tratamento de concreto aparente</t>
  </si>
  <si>
    <t xml:space="preserve">32.03.02</t>
  </si>
  <si>
    <t xml:space="preserve">Tratamento de concreto aparante</t>
  </si>
  <si>
    <t xml:space="preserve">32.04</t>
  </si>
  <si>
    <t xml:space="preserve">Pintura para Fachadas</t>
  </si>
  <si>
    <t xml:space="preserve">27/03/2028</t>
  </si>
  <si>
    <t xml:space="preserve">32.04.01</t>
  </si>
  <si>
    <t xml:space="preserve">Pintura acrílica fosca, cor Mármore. Ref. Suvinil (Varandas)</t>
  </si>
  <si>
    <t xml:space="preserve">32.04.02</t>
  </si>
  <si>
    <t xml:space="preserve">Pintura a definir - Barrilete| Cx d'agua| Muros e muretas</t>
  </si>
  <si>
    <t xml:space="preserve">32.04.03</t>
  </si>
  <si>
    <t xml:space="preserve">Pintura preta sob brises e pele de vidro</t>
  </si>
  <si>
    <t xml:space="preserve">32.05</t>
  </si>
  <si>
    <t xml:space="preserve">32.05.01</t>
  </si>
  <si>
    <t xml:space="preserve">Junta de dilatação horizontal para fachadas</t>
  </si>
  <si>
    <t xml:space="preserve">32.05.02</t>
  </si>
  <si>
    <t xml:space="preserve">Junta de dilatação vertical pra fachadas</t>
  </si>
  <si>
    <t xml:space="preserve">32.05.03</t>
  </si>
  <si>
    <t xml:space="preserve">Desbaste de rebarbas, estuque e aplicação de silicone hidrofugante sobre superfícies de concreto aparente (2 demãos silicone incolor hidrofugante)</t>
  </si>
  <si>
    <t xml:space="preserve">32.06</t>
  </si>
  <si>
    <t xml:space="preserve">Muros</t>
  </si>
  <si>
    <t xml:space="preserve">32.06.01</t>
  </si>
  <si>
    <t xml:space="preserve">Pilaretes e cintas de concreto seção de 15x15cm</t>
  </si>
  <si>
    <t xml:space="preserve">32.06.01.01</t>
  </si>
  <si>
    <t xml:space="preserve">Armadura Ca-50</t>
  </si>
  <si>
    <t xml:space="preserve">32.06.01.02</t>
  </si>
  <si>
    <t xml:space="preserve">Armadura Ca-60</t>
  </si>
  <si>
    <t xml:space="preserve">32.06.01.03</t>
  </si>
  <si>
    <t xml:space="preserve">Concreto preparado na obra, controle "A", brita 1 e 2, fck 20 Mpa</t>
  </si>
  <si>
    <t xml:space="preserve">32.06.02</t>
  </si>
  <si>
    <t xml:space="preserve">Alvenaria de vedação com blocos de concreto esp. 14cm</t>
  </si>
  <si>
    <t xml:space="preserve">32.06.02.01</t>
  </si>
  <si>
    <t xml:space="preserve">32.06.03</t>
  </si>
  <si>
    <t xml:space="preserve">Revestimento do muro com argamassa de cimento e areia</t>
  </si>
  <si>
    <t xml:space="preserve">32.06.03.01</t>
  </si>
  <si>
    <t xml:space="preserve">32.06.03.02</t>
  </si>
  <si>
    <t xml:space="preserve">32.06.03.03</t>
  </si>
  <si>
    <t xml:space="preserve">Reboco</t>
  </si>
  <si>
    <t xml:space="preserve">15/10/2027</t>
  </si>
  <si>
    <t xml:space="preserve">03/11/2028</t>
  </si>
  <si>
    <t xml:space="preserve">33.01</t>
  </si>
  <si>
    <t xml:space="preserve">Forro de Gesso</t>
  </si>
  <si>
    <t xml:space="preserve">33.01.01</t>
  </si>
  <si>
    <t xml:space="preserve">Chapisco rolado</t>
  </si>
  <si>
    <t xml:space="preserve">33.01.02</t>
  </si>
  <si>
    <t xml:space="preserve">Gesso Corrido em Tetos</t>
  </si>
  <si>
    <t xml:space="preserve">33.01.03</t>
  </si>
  <si>
    <t xml:space="preserve">Forro de gesso acartonado</t>
  </si>
  <si>
    <t xml:space="preserve">33.01.04</t>
  </si>
  <si>
    <t xml:space="preserve">Sanca renovação de ar</t>
  </si>
  <si>
    <t xml:space="preserve">33.01.05</t>
  </si>
  <si>
    <t xml:space="preserve">Moldura de 50cm</t>
  </si>
  <si>
    <t xml:space="preserve">33.01.06</t>
  </si>
  <si>
    <t xml:space="preserve">Tabica Metálica</t>
  </si>
  <si>
    <t xml:space="preserve">34.01</t>
  </si>
  <si>
    <t xml:space="preserve">Vaso sanitario</t>
  </si>
  <si>
    <t xml:space="preserve">34.01.01</t>
  </si>
  <si>
    <t xml:space="preserve">Bacia com caixa acoplada Deca linha Level cor branco</t>
  </si>
  <si>
    <t xml:space="preserve">34.01.02</t>
  </si>
  <si>
    <t xml:space="preserve">Bacia com caixa acoplada Deca linha Izy cor branco</t>
  </si>
  <si>
    <t xml:space="preserve">34.01.03</t>
  </si>
  <si>
    <t xml:space="preserve">Vaso sanitário de louça branca com caixa acoplada (Guarita, IS zeladoria)</t>
  </si>
  <si>
    <t xml:space="preserve">34.01.04</t>
  </si>
  <si>
    <t xml:space="preserve">Bacia c/ Caixa Acoplada _Deca Vogue Plus Conforto_ Branca Cód.:  P.515.17</t>
  </si>
  <si>
    <t xml:space="preserve">34.01.05</t>
  </si>
  <si>
    <t xml:space="preserve">Ligação flexível cromada 40cm</t>
  </si>
  <si>
    <t xml:space="preserve">34.01.06</t>
  </si>
  <si>
    <t xml:space="preserve">Ducha higiênica despressurizada, acabamento cromado; ref.: Deca 1948.C.ACT.CR</t>
  </si>
  <si>
    <t xml:space="preserve">34.01.07</t>
  </si>
  <si>
    <t xml:space="preserve">(Ducha sauna) Ducha Higiênica Despressurizada Deca Universal – Cromado, Cód.: 1948.C.ACT.CR;</t>
  </si>
  <si>
    <t xml:space="preserve">34.01.08</t>
  </si>
  <si>
    <t xml:space="preserve">34.02</t>
  </si>
  <si>
    <t xml:space="preserve">Lavatorio</t>
  </si>
  <si>
    <t xml:space="preserve">34.02.01</t>
  </si>
  <si>
    <t xml:space="preserve">Lavatório com Coluna Suspensa para banheiro de Deficiente Físico</t>
  </si>
  <si>
    <t xml:space="preserve">34.02.02</t>
  </si>
  <si>
    <t xml:space="preserve">Lavatório suspenso de canto, Deca Izy branco, L.101.17</t>
  </si>
  <si>
    <t xml:space="preserve">34.02.03</t>
  </si>
  <si>
    <t xml:space="preserve">Lavatório de louça suspensa (Lavabo guarita)</t>
  </si>
  <si>
    <t xml:space="preserve">34.02.04</t>
  </si>
  <si>
    <t xml:space="preserve">Lavatório suspenso, Deca Izy branco, L.100.17</t>
  </si>
  <si>
    <t xml:space="preserve">34.02.05</t>
  </si>
  <si>
    <t xml:space="preserve">Cuba de embutir retangular branco, Deca L.375.17</t>
  </si>
  <si>
    <t xml:space="preserve">34.02.06</t>
  </si>
  <si>
    <t xml:space="preserve">Cuba de semi encaixe quadrada com mesa, Deca l.61040.M.17 branca</t>
  </si>
  <si>
    <t xml:space="preserve">34.02.07</t>
  </si>
  <si>
    <t xml:space="preserve">Torneira de mesa bica baixa, para lavatório, ref.: Deca Level 1197.C26, cromado</t>
  </si>
  <si>
    <t xml:space="preserve">34.02.08</t>
  </si>
  <si>
    <t xml:space="preserve">Torneira cromada para lavatório (Lavabo guarita)</t>
  </si>
  <si>
    <t xml:space="preserve">34.02.09</t>
  </si>
  <si>
    <t xml:space="preserve">Torneira de mesa bica baixa, para lavatório, ref.: Deca Link 1197.C.LNK, cromado</t>
  </si>
  <si>
    <t xml:space="preserve">34.02.10</t>
  </si>
  <si>
    <t xml:space="preserve">Torneira de mesa com fechamento automático para lavatório, ref.: Deca, Decamatic Eco 1173.C, cromado</t>
  </si>
  <si>
    <t xml:space="preserve">34.02.11</t>
  </si>
  <si>
    <t xml:space="preserve">Torneira De Mesa Com Fechamento Automático Para Lavatório DECA Decamatic Eco Conforto Cromado Cód.: 1173.C.CONF</t>
  </si>
  <si>
    <t xml:space="preserve">34.02.12</t>
  </si>
  <si>
    <t xml:space="preserve">Misturador monocomando de mesa bica baixa, para lavatório; ref.: Deca Level 2875.C26, cromado</t>
  </si>
  <si>
    <t xml:space="preserve">34.02.13</t>
  </si>
  <si>
    <t xml:space="preserve">34.02.14</t>
  </si>
  <si>
    <t xml:space="preserve">Válvula cromada para lavatório</t>
  </si>
  <si>
    <t xml:space="preserve">34.02.15</t>
  </si>
  <si>
    <t xml:space="preserve">Válvula de Escoamento Click para Lavatório, Cuba e Bidê Cromado, Cód.: 1601.C.CLI</t>
  </si>
  <si>
    <t xml:space="preserve">34.02.16</t>
  </si>
  <si>
    <t xml:space="preserve">Sifão cromado para lavatório</t>
  </si>
  <si>
    <t xml:space="preserve">34.02.17</t>
  </si>
  <si>
    <t xml:space="preserve">Sifão Articulado Cromado, Deca, Cód.: 1682.C.100.112</t>
  </si>
  <si>
    <t xml:space="preserve">34.03</t>
  </si>
  <si>
    <t xml:space="preserve">Pias</t>
  </si>
  <si>
    <t xml:space="preserve">34.03.01</t>
  </si>
  <si>
    <t xml:space="preserve">Cuba simples de embutir, em aço inox escovado 56x34x18cm, Mekal CS-2</t>
  </si>
  <si>
    <t xml:space="preserve">34.03.02</t>
  </si>
  <si>
    <t xml:space="preserve">Cuba de aço inox a definir (Copa SS)</t>
  </si>
  <si>
    <t xml:space="preserve">34.03.03</t>
  </si>
  <si>
    <t xml:space="preserve">Cuba Inox Mekal Retta LR-50 R10 Cód.: 01035516; Ralo Quadrado Elegance 17,5x17,5cm Escovado Mozaik Cód.: RBLE1520;</t>
  </si>
  <si>
    <t xml:space="preserve">34.03.04</t>
  </si>
  <si>
    <t xml:space="preserve">Torneira de mesa bica móvel 90°, ref.: Deca Link 1166.C.LNK, cromado</t>
  </si>
  <si>
    <t xml:space="preserve">34.03.05</t>
  </si>
  <si>
    <t xml:space="preserve">Torneira cromada para pia de cozinha (Copa SS)</t>
  </si>
  <si>
    <t xml:space="preserve">34.03.06</t>
  </si>
  <si>
    <t xml:space="preserve">Torneira bica alta de mesa para cozinha Docol Doc cromado/preto Cód.: 00738957</t>
  </si>
  <si>
    <t xml:space="preserve">34.03.07</t>
  </si>
  <si>
    <t xml:space="preserve">34.03.08</t>
  </si>
  <si>
    <t xml:space="preserve">Válvula de aço inox para pia americana</t>
  </si>
  <si>
    <t xml:space="preserve">34.03.09</t>
  </si>
  <si>
    <t xml:space="preserve">Sifão cromado para pia de cozinha</t>
  </si>
  <si>
    <t xml:space="preserve">34.03.10</t>
  </si>
  <si>
    <t xml:space="preserve">Sifão Articulado Cromado, Deca, Cód.: 1682.C.112</t>
  </si>
  <si>
    <t xml:space="preserve">34.04</t>
  </si>
  <si>
    <t xml:space="preserve">Tanque</t>
  </si>
  <si>
    <t xml:space="preserve">34.04.01</t>
  </si>
  <si>
    <t xml:space="preserve">Tanque para lavanderia, capacidade 32L, 50x40cm, em aço inox escovado, Mekal CT-5</t>
  </si>
  <si>
    <t xml:space="preserve">34.04.02</t>
  </si>
  <si>
    <t xml:space="preserve">Tanque 30L branco, Deca, TQ.02.17</t>
  </si>
  <si>
    <t xml:space="preserve">34.04.03</t>
  </si>
  <si>
    <t xml:space="preserve">34.04.04</t>
  </si>
  <si>
    <t xml:space="preserve">Torneira  de parede para Jardim e Tanque com Adaptador de Mangueira  Deca Standard Cromado Cód.: 1153.C39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</si>
  <si>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</si>
  <si>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</si>
  <si>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</si>
  <si>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</si>
  <si>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</si>
  <si>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34.05</t>
  </si>
  <si>
    <t xml:space="preserve">Banho</t>
  </si>
  <si>
    <t xml:space="preserve">34.05.01</t>
  </si>
  <si>
    <t xml:space="preserve">Chuveiro de Parede com Tubo Deca Acqua Plus Standart Cromado, Cód.: 1990.C.STD;</t>
  </si>
  <si>
    <t xml:space="preserve">34.05.02</t>
  </si>
  <si>
    <t xml:space="preserve">Chuveiro elétrico a definir</t>
  </si>
  <si>
    <t xml:space="preserve">34.05.03</t>
  </si>
  <si>
    <t xml:space="preserve">Registro de pressão com acabamento para chuveiro elétrico</t>
  </si>
  <si>
    <t xml:space="preserve">34.05.04</t>
  </si>
  <si>
    <t xml:space="preserve">Acabamento de monocomando de chuveiro, ref.: Deca Level 4993.C26.CHU, cromado</t>
  </si>
  <si>
    <t xml:space="preserve">34.06</t>
  </si>
  <si>
    <t xml:space="preserve">Acessibilidade</t>
  </si>
  <si>
    <t xml:space="preserve">34.06.01</t>
  </si>
  <si>
    <t xml:space="preserve">Barra para banheiro de P.N.E em aço polido, ref.: Deca Conforto L=70cm</t>
  </si>
  <si>
    <t xml:space="preserve">34.06.02</t>
  </si>
  <si>
    <t xml:space="preserve">Barra para banheiro de P.N.E em aço polido, ref.: Deca Conforto L=80cm</t>
  </si>
  <si>
    <t xml:space="preserve">34.06.03</t>
  </si>
  <si>
    <t xml:space="preserve">Barra para banheiro de P.N.E em aço polido, ref.: Deca Conforto para lavatório</t>
  </si>
  <si>
    <t xml:space="preserve">34.06.04</t>
  </si>
  <si>
    <t xml:space="preserve">Cadeira articulada para banho P.N.E. acabamento inox</t>
  </si>
  <si>
    <t xml:space="preserve">34.07</t>
  </si>
  <si>
    <t xml:space="preserve">34.07.01</t>
  </si>
  <si>
    <t xml:space="preserve">Torneira de limpeza com bico rosqueado</t>
  </si>
  <si>
    <t xml:space="preserve">34.07.02</t>
  </si>
  <si>
    <t xml:space="preserve">Dispenser de sabonete líquido de parede, para espuma de sabão, ref.: Draco Star, Prime Press Espuma 70.032, acabamento white</t>
  </si>
  <si>
    <t xml:space="preserve">34.07.03</t>
  </si>
  <si>
    <t xml:space="preserve">Dispenser de papel toalha para papel interfolhado, ref.: Draco Star 70.106, acabamento white.</t>
  </si>
  <si>
    <t xml:space="preserve">34.07.04</t>
  </si>
  <si>
    <t xml:space="preserve">Suporte de papel higiênico duplo, ref.: Draco Star 70.278, acabamento white.</t>
  </si>
  <si>
    <t xml:space="preserve">34.07.05</t>
  </si>
  <si>
    <t xml:space="preserve">Papeleira Quadrada Deca Clean Cromado, Cód.: 2020.C.CLN</t>
  </si>
  <si>
    <t xml:space="preserve">34.07.06</t>
  </si>
  <si>
    <t xml:space="preserve">Ralo oculto quadrado</t>
  </si>
  <si>
    <t xml:space="preserve">34.07.07</t>
  </si>
  <si>
    <t xml:space="preserve">Ralo Quadrado Elegance 17,5x17,5cm Escovado Mozaik Cód.: RBLE1520</t>
  </si>
  <si>
    <t xml:space="preserve">34.07.08</t>
  </si>
  <si>
    <t xml:space="preserve">Acabamento para registro, ref.: Deca Level, cromado</t>
  </si>
  <si>
    <t xml:space="preserve">34.07.09</t>
  </si>
  <si>
    <t xml:space="preserve">Acabamento de registro, ref.: Deca Link, cromado.</t>
  </si>
  <si>
    <t xml:space="preserve">34.07.10</t>
  </si>
  <si>
    <t xml:space="preserve">Acabamento para Registro de Gaveta Linha Cubo Cromado, Deca Cód.: 4900.C86</t>
  </si>
  <si>
    <t xml:space="preserve">34.07.11</t>
  </si>
  <si>
    <t xml:space="preserve">Acabamento para Registro de Pressão com Mecanismo 1/2 Volta Linha Cubo, Cromado, Deca Cód.: 4916.C86</t>
  </si>
  <si>
    <t xml:space="preserve">02/04/2029</t>
  </si>
  <si>
    <t xml:space="preserve">35.01</t>
  </si>
  <si>
    <t xml:space="preserve">Latex Acrílico</t>
  </si>
  <si>
    <t xml:space="preserve">11/01/2028</t>
  </si>
  <si>
    <t xml:space="preserve">35.01.01</t>
  </si>
  <si>
    <t xml:space="preserve">35.01.02</t>
  </si>
  <si>
    <t xml:space="preserve">35.01.03</t>
  </si>
  <si>
    <t xml:space="preserve">Pintura acrílica fosca, cor Mármore. Ref. Suvinil sobre paredes - Reboco (1 demão selador + 3 demãos Latex acrílico)</t>
  </si>
  <si>
    <t xml:space="preserve">35.01.04</t>
  </si>
  <si>
    <t xml:space="preserve">Pintura  acrílica, cor Branco neve, acabamento acetinado. Ref.: Suvinil sobre paredes - Reboco (1 demão selador + 3 demãos Latex acrílico)</t>
  </si>
  <si>
    <t xml:space="preserve">35.01.05</t>
  </si>
  <si>
    <t xml:space="preserve">Pintura  acrílica, cor Branco neve, acabamento acetinado. Ref.: Suvinil sobre paredes - Drywall (1 demão selador + 3 demãos Latex acrílico)</t>
  </si>
  <si>
    <t xml:space="preserve">35.01.06</t>
  </si>
  <si>
    <t xml:space="preserve">Pintura  acrílica fosca cinza claro sobre paredes - Reboco (1 demão selador + 3 demãos Latex acrílico)</t>
  </si>
  <si>
    <t xml:space="preserve">35.01.07</t>
  </si>
  <si>
    <t xml:space="preserve">Pintura acrílica fosca. Ref.: Branco Neve; Suvinil sob tetos  (2 demãos Latex acrílico)</t>
  </si>
  <si>
    <t xml:space="preserve">35.01.08</t>
  </si>
  <si>
    <t xml:space="preserve">Pintura acrílica fosca. Ref.: Mármore; Suvinil sob tetos  (2 demãos Latex acrílico)</t>
  </si>
  <si>
    <t xml:space="preserve">35.02</t>
  </si>
  <si>
    <t xml:space="preserve">Esmalte sintético</t>
  </si>
  <si>
    <t xml:space="preserve">17/04/2028</t>
  </si>
  <si>
    <t xml:space="preserve">15/01/2029</t>
  </si>
  <si>
    <t xml:space="preserve">35.02.01</t>
  </si>
  <si>
    <t xml:space="preserve">Pintura esmalte sobre esquadrias de aço  (1 demão zarcão + 2 demãos esmalte)</t>
  </si>
  <si>
    <t xml:space="preserve">05/05/2028</t>
  </si>
  <si>
    <t xml:space="preserve">35.02.02</t>
  </si>
  <si>
    <t xml:space="preserve">Pintura de tubulações aparentes para estacionamentos (1 demão zarcão + 2 demãos esmalte)</t>
  </si>
  <si>
    <t xml:space="preserve">35.03</t>
  </si>
  <si>
    <t xml:space="preserve">Pintura Texturizada</t>
  </si>
  <si>
    <t xml:space="preserve">09/03/2029</t>
  </si>
  <si>
    <t xml:space="preserve">35.03.01</t>
  </si>
  <si>
    <t xml:space="preserve">Textura acrílica rolada fosca na cor Mármore. Ref.: Suvinil.</t>
  </si>
  <si>
    <t xml:space="preserve">35.03.02</t>
  </si>
  <si>
    <t xml:space="preserve">Textura DECORART.IT Efeito Velvet tom Coral Cinza de Grife</t>
  </si>
  <si>
    <t xml:space="preserve">35.03.03</t>
  </si>
  <si>
    <t xml:space="preserve">Textura Dacapo Rev. Cristal Areia</t>
  </si>
  <si>
    <t xml:space="preserve">35.04</t>
  </si>
  <si>
    <t xml:space="preserve">Pintura de pisos</t>
  </si>
  <si>
    <t xml:space="preserve">23/02/2029</t>
  </si>
  <si>
    <t xml:space="preserve">35.04.01</t>
  </si>
  <si>
    <t xml:space="preserve">Pintura de demarcação de vagas com borracha clorada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</si>
  <si>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</si>
  <si>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</si>
  <si>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</si>
  <si>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</si>
  <si>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</si>
  <si>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</si>
  <si>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</si>
  <si>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</si>
  <si>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10/05/2027</t>
  </si>
  <si>
    <t xml:space="preserve">35.06.01</t>
  </si>
  <si>
    <t xml:space="preserve">35.07</t>
  </si>
  <si>
    <t xml:space="preserve">Especiais</t>
  </si>
  <si>
    <t xml:space="preserve">09/06/2028</t>
  </si>
  <si>
    <t xml:space="preserve">35.07.01</t>
  </si>
  <si>
    <t xml:space="preserve">Pintura de meia parede em epóxi monolítico de tom cinza médio</t>
  </si>
  <si>
    <t xml:space="preserve">35.07.02</t>
  </si>
  <si>
    <t xml:space="preserve">Arremate em faixa de pintura epóxi fosca de cor cinza chumbo</t>
  </si>
  <si>
    <t xml:space="preserve">12/07/2028</t>
  </si>
  <si>
    <t xml:space="preserve">06/12/2028</t>
  </si>
  <si>
    <t xml:space="preserve">36.01</t>
  </si>
  <si>
    <t xml:space="preserve">Serviços de Paisagismo</t>
  </si>
  <si>
    <t xml:space="preserve">36.01.01</t>
  </si>
  <si>
    <t xml:space="preserve">Drenagens Para Jardins</t>
  </si>
  <si>
    <t xml:space="preserve">36.01.02</t>
  </si>
  <si>
    <t xml:space="preserve">Paisagismo</t>
  </si>
  <si>
    <t xml:space="preserve">36.01.03</t>
  </si>
  <si>
    <t xml:space="preserve">Terra vegetal</t>
  </si>
  <si>
    <t xml:space="preserve">36.01.04</t>
  </si>
  <si>
    <t xml:space="preserve">Irrigação</t>
  </si>
  <si>
    <t xml:space="preserve">25/09/2028</t>
  </si>
  <si>
    <t xml:space="preserve">36.01.05</t>
  </si>
  <si>
    <t xml:space="preserve">Transporte vertical de material para execução de paisagismo em pavimentos elevados</t>
  </si>
  <si>
    <t xml:space="preserve">36.01.06</t>
  </si>
  <si>
    <t xml:space="preserve">Cachepô para floreiras</t>
  </si>
  <si>
    <t xml:space="preserve">14/03/2028</t>
  </si>
  <si>
    <t xml:space="preserve">13/04/2029</t>
  </si>
  <si>
    <t xml:space="preserve">37.01</t>
  </si>
  <si>
    <t xml:space="preserve">Comunicação visual definitiva</t>
  </si>
  <si>
    <t xml:space="preserve">37.01.01</t>
  </si>
  <si>
    <t xml:space="preserve">Numeracao dos apartamentos</t>
  </si>
  <si>
    <t xml:space="preserve">37.01.02</t>
  </si>
  <si>
    <t xml:space="preserve">Letreiro com nome do predio</t>
  </si>
  <si>
    <t xml:space="preserve">37.01.03</t>
  </si>
  <si>
    <t xml:space="preserve">Placas de indicação de ambientes</t>
  </si>
  <si>
    <t xml:space="preserve">37.02</t>
  </si>
  <si>
    <t xml:space="preserve">Despesas Gerais</t>
  </si>
  <si>
    <t xml:space="preserve">24/04/2028</t>
  </si>
  <si>
    <t xml:space="preserve">19/03/2029</t>
  </si>
  <si>
    <t xml:space="preserve">37.02.01</t>
  </si>
  <si>
    <t xml:space="preserve">Arremates Finais</t>
  </si>
  <si>
    <t xml:space="preserve">37.02.02</t>
  </si>
  <si>
    <t xml:space="preserve">Vistoria final de obra</t>
  </si>
  <si>
    <t xml:space="preserve">37.02.03</t>
  </si>
  <si>
    <t xml:space="preserve">Elaboração de manual do proprietário</t>
  </si>
  <si>
    <t xml:space="preserve">37.02.04</t>
  </si>
  <si>
    <t xml:space="preserve">Enchimento de reservatórios com caminhão pipa</t>
  </si>
  <si>
    <t xml:space="preserve">37.02.05</t>
  </si>
  <si>
    <t xml:space="preserve">Enchimento de piscinas com caminhão pipa</t>
  </si>
  <si>
    <t xml:space="preserve">37.03</t>
  </si>
  <si>
    <t xml:space="preserve">Limpeza Final da Obra</t>
  </si>
  <si>
    <t xml:space="preserve">37.03.01</t>
  </si>
  <si>
    <t xml:space="preserve">Limpeza de apartamentos ou salas</t>
  </si>
  <si>
    <t xml:space="preserve">37.03.02</t>
  </si>
  <si>
    <t xml:space="preserve">Limpeza de áreas comuns</t>
  </si>
  <si>
    <t xml:space="preserve">37.03.03</t>
  </si>
  <si>
    <t xml:space="preserve">37.03.04</t>
  </si>
  <si>
    <t xml:space="preserve">Limpeza de vidros</t>
  </si>
  <si>
    <t xml:space="preserve">37.03.05</t>
  </si>
  <si>
    <t xml:space="preserve">Limpeza e desinfecção de Reservatórios</t>
  </si>
  <si>
    <t xml:space="preserve">37.03.06</t>
  </si>
  <si>
    <t xml:space="preserve">Limpeza e desinfecção de Piscinas</t>
  </si>
  <si>
    <t xml:space="preserve">37.04</t>
  </si>
  <si>
    <t xml:space="preserve">Manutenção pós entrega</t>
  </si>
  <si>
    <t xml:space="preserve">26/06/2028</t>
  </si>
  <si>
    <t xml:space="preserve">37.04.01</t>
  </si>
  <si>
    <t xml:space="preserve"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</si>
  <si>
    <t xml:space="preserve">Projeto Botânico </t>
  </si>
  <si>
    <t xml:space="preserve">CÁLCULO (não editar) — situação de cada atividade na data do retrato</t>
  </si>
  <si>
    <t xml:space="preserve">Planilha Gerada Em 24/09/2026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</si>
  <si>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</si>
  <si>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</si>
  <si>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</si>
  <si>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</si>
  <si>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</si>
  <si>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</si>
  <si>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</si>
  <si>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</si>
  <si>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</si>
  <si>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</si>
  <si>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</si>
  <si>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</si>
  <si>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</si>
  <si>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</si>
  <si>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</si>
  <si>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</si>
  <si>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</si>
  <si>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</si>
  <si>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</si>
  <si>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</si>
  <si>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</si>
  <si>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LOCAÇÃO DE OBRA</t>
  </si>
  <si>
    <t xml:space="preserve">Locação de obra</t>
  </si>
  <si>
    <t xml:space="preserve">SIM</t>
  </si>
  <si>
    <t xml:space="preserve">Demolição</t>
  </si>
  <si>
    <t xml:space="preserve">CONTENÇÕES EM ESTACAS</t>
  </si>
  <si>
    <t xml:space="preserve">Contenções em estacas</t>
  </si>
  <si>
    <t xml:space="preserve">VIGA DE COROAMENTO (TRECHO - CENTRAL DE POLÍMEROS)</t>
  </si>
  <si>
    <t xml:space="preserve">Viga de coroamento (trecho - central de polímeros)</t>
  </si>
  <si>
    <t xml:space="preserve">NÃO</t>
  </si>
  <si>
    <t xml:space="preserve">Escavação e Arrasamento</t>
  </si>
  <si>
    <t xml:space="preserve">VIGA DE COROAMENTO (TRECHO - RUA MANACA 1º ETAPA)</t>
  </si>
  <si>
    <t xml:space="preserve">Viga de coroamento (trecho - rua manaca 1º etapa)</t>
  </si>
  <si>
    <t xml:space="preserve">Armação</t>
  </si>
  <si>
    <t xml:space="preserve">VIGA DE COROAMENTO (TRECHO - RUA MANACA 2º ETAPA)</t>
  </si>
  <si>
    <t xml:space="preserve">Viga de coroamento (trecho - rua manaca 2º etapa)</t>
  </si>
  <si>
    <t xml:space="preserve">Forma</t>
  </si>
  <si>
    <t xml:space="preserve">Fundação profunda</t>
  </si>
  <si>
    <t xml:space="preserve">Concretagem</t>
  </si>
  <si>
    <t xml:space="preserve">VIGA DE COROAMENTO (TRECHO - RUA IPÊ 1º ETAPA)</t>
  </si>
  <si>
    <t xml:space="preserve">Viga de coroamento (trecho - rua ipê 1º etapa)</t>
  </si>
  <si>
    <t xml:space="preserve">Aterro</t>
  </si>
  <si>
    <t xml:space="preserve">VIGA DE COROAMENTO (TRECHO - RUA IPÊ 2º ETAPA)</t>
  </si>
  <si>
    <t xml:space="preserve">Viga de coroamento (trecho - rua ipê 2º etapa)</t>
  </si>
  <si>
    <t xml:space="preserve">VIGA DE COROAMENTO (TRECHO - RUA BOM JESUS)</t>
  </si>
  <si>
    <t xml:space="preserve">Viga de coroamento (trecho - rua bom jesus)</t>
  </si>
  <si>
    <t xml:space="preserve">FUNDAÇÃO PROFUNDA - MEDIÇÃO</t>
  </si>
  <si>
    <t xml:space="preserve">Fundação profunda - medição</t>
  </si>
  <si>
    <t xml:space="preserve">VIGA DE COROAMENTO (TRECHO - RUA IPÊ 3º ETAPA)</t>
  </si>
  <si>
    <t xml:space="preserve">Viga de coroamento (trecho - rua ipê 3º etapa)</t>
  </si>
  <si>
    <t xml:space="preserve">TERRAPLENAGEM (FASE 1)</t>
  </si>
  <si>
    <t xml:space="preserve">Terraplenagem (fase 1)</t>
  </si>
  <si>
    <t xml:space="preserve">Fundação superficial</t>
  </si>
  <si>
    <t xml:space="preserve">FUNDAÇÃO SUPERFICIAL - FASE 1</t>
  </si>
  <si>
    <t xml:space="preserve">Fundação superficial - fase 1</t>
  </si>
  <si>
    <t xml:space="preserve">FUNDAÇÃO SUPERFICIAL - FASE 2</t>
  </si>
  <si>
    <t xml:space="preserve">Fundação superficial - fase 2</t>
  </si>
  <si>
    <t xml:space="preserve">CONTENÇÃO - BLOCO DO ELEVADOR</t>
  </si>
  <si>
    <t xml:space="preserve">Contenção - bloco do elevador</t>
  </si>
  <si>
    <t xml:space="preserve">FUNDAÇÃO SUPERFICIAL - FASE 3</t>
  </si>
  <si>
    <t xml:space="preserve">Fundação superficial - fase 3</t>
  </si>
  <si>
    <t xml:space="preserve">FUNDAÇÃO SUPERFICIAL - NUCLEO</t>
  </si>
  <si>
    <t xml:space="preserve">Fundação superficial - nucleo</t>
  </si>
  <si>
    <t xml:space="preserve">FUNDAÇÃO SUPERFICIAL - FASE 4</t>
  </si>
  <si>
    <t xml:space="preserve">Fundação superficial - fase 4</t>
  </si>
  <si>
    <t xml:space="preserve">ESTRUTURA</t>
  </si>
  <si>
    <t xml:space="preserve">Estrutura</t>
  </si>
  <si>
    <t xml:space="preserve">FUNDAÇÃO SUPERFICIAL - FASE 5</t>
  </si>
  <si>
    <t xml:space="preserve">Fundação superficial - fase 5</t>
  </si>
  <si>
    <t xml:space="preserve">PF1 e P20C</t>
  </si>
  <si>
    <t xml:space="preserve">FUNDAÇÃO SUPERFICIAL - FASE 6</t>
  </si>
  <si>
    <t xml:space="preserve">Fundação superficial - fase 6</t>
  </si>
  <si>
    <t xml:space="preserve">PF2 e P155</t>
  </si>
  <si>
    <t xml:space="preserve">Estrutura Térreo - Fase 2</t>
  </si>
  <si>
    <t xml:space="preserve">Estrutura térreo - fase 2</t>
  </si>
  <si>
    <t xml:space="preserve">P144 e P104</t>
  </si>
  <si>
    <t xml:space="preserve">Estrutura Térreo - Fase 3</t>
  </si>
  <si>
    <t xml:space="preserve">Estrutura térreo - fase 3</t>
  </si>
  <si>
    <t xml:space="preserve">P25A e P4 A</t>
  </si>
  <si>
    <t xml:space="preserve">Estrutura Térreo - Fase 4</t>
  </si>
  <si>
    <t xml:space="preserve">Estrutura térreo - fase 4</t>
  </si>
  <si>
    <t xml:space="preserve">P102 e P105</t>
  </si>
  <si>
    <t xml:space="preserve">Estrutura Mezanino</t>
  </si>
  <si>
    <t xml:space="preserve">Estrutura mezanino</t>
  </si>
  <si>
    <t xml:space="preserve">P106 e P127</t>
  </si>
  <si>
    <t xml:space="preserve">Estrutura 2º Pav - Fase 1</t>
  </si>
  <si>
    <t xml:space="preserve">Estrutura 2º pav - fase 1</t>
  </si>
  <si>
    <t xml:space="preserve">P108A e P124</t>
  </si>
  <si>
    <t xml:space="preserve">TERRAPLENAGEM (FASE 2)</t>
  </si>
  <si>
    <t xml:space="preserve">Terraplenagem (fase 2)</t>
  </si>
  <si>
    <t xml:space="preserve">P137B e P149B</t>
  </si>
  <si>
    <t xml:space="preserve">CINTAS FASE 1</t>
  </si>
  <si>
    <t xml:space="preserve">Cintas fase 1</t>
  </si>
  <si>
    <t xml:space="preserve">P108B e P149A</t>
  </si>
  <si>
    <t xml:space="preserve">CINTAS FASE 2</t>
  </si>
  <si>
    <t xml:space="preserve">Cintas fase 2</t>
  </si>
  <si>
    <t xml:space="preserve">P103 e P137A</t>
  </si>
  <si>
    <t xml:space="preserve">FECHAMENTO DE CORTINA - CONTENÇÕES</t>
  </si>
  <si>
    <t xml:space="preserve">Fechamento de cortina - contenções</t>
  </si>
  <si>
    <t xml:space="preserve">P107A e P25B</t>
  </si>
  <si>
    <t xml:space="preserve">CINTAS FASE 3</t>
  </si>
  <si>
    <t xml:space="preserve">Cintas fase 3</t>
  </si>
  <si>
    <t xml:space="preserve">P107B e P137C</t>
  </si>
  <si>
    <t xml:space="preserve">CINTAS FASE 4</t>
  </si>
  <si>
    <t xml:space="preserve">Cintas fase 4</t>
  </si>
  <si>
    <t xml:space="preserve">P154 e P153</t>
  </si>
  <si>
    <t xml:space="preserve">TRATAMENTO DE CONCRETO - TETO</t>
  </si>
  <si>
    <t xml:space="preserve">Tratamento de concreto - teto</t>
  </si>
  <si>
    <t xml:space="preserve">P156 e P152</t>
  </si>
  <si>
    <t xml:space="preserve">TRATAMENTO DE CONTENÇÕES</t>
  </si>
  <si>
    <t xml:space="preserve">P142 e P144</t>
  </si>
  <si>
    <t xml:space="preserve">DISTRIBUIÇÃO HIDRÁULICA - INFRAS ENTERRADAS</t>
  </si>
  <si>
    <t xml:space="preserve">Distribuição hidráulica - infras enterradas</t>
  </si>
  <si>
    <t xml:space="preserve">P150 e P133B</t>
  </si>
  <si>
    <t xml:space="preserve">ENTRADA DE ENERGIA</t>
  </si>
  <si>
    <t xml:space="preserve">Entrada de energia</t>
  </si>
  <si>
    <t xml:space="preserve">P151 e P19E</t>
  </si>
  <si>
    <t xml:space="preserve">ESTRUTURA IGREJA</t>
  </si>
  <si>
    <t xml:space="preserve">Estrutura igreja</t>
  </si>
  <si>
    <t xml:space="preserve">P141 e P143</t>
  </si>
  <si>
    <t xml:space="preserve">INFRA ELÉTRICA - TETO</t>
  </si>
  <si>
    <t xml:space="preserve">Infra elétrica - teto</t>
  </si>
  <si>
    <t xml:space="preserve">P19D e P133A</t>
  </si>
  <si>
    <t xml:space="preserve">ESTRUTURA - PISO ARMADO</t>
  </si>
  <si>
    <t xml:space="preserve">Estrutura - piso armado</t>
  </si>
  <si>
    <t xml:space="preserve">P25C e P134B</t>
  </si>
  <si>
    <t xml:space="preserve">FUNDAÇÃO - PROJEÇÃO IGREJA</t>
  </si>
  <si>
    <t xml:space="preserve">Fundação - projeção igreja</t>
  </si>
  <si>
    <t xml:space="preserve">P135 e P19C</t>
  </si>
  <si>
    <t xml:space="preserve">Alvenaria</t>
  </si>
  <si>
    <t xml:space="preserve">P134D e P14F</t>
  </si>
  <si>
    <t xml:space="preserve">BLOCOS E CINTAS - IGREJA</t>
  </si>
  <si>
    <t xml:space="preserve">Blocos e cintas - igreja</t>
  </si>
  <si>
    <t xml:space="preserve">P112 e P134C</t>
  </si>
  <si>
    <t xml:space="preserve">PRUMADA DE INCÊNDIO</t>
  </si>
  <si>
    <t xml:space="preserve">Prumada de incêndio</t>
  </si>
  <si>
    <t xml:space="preserve">P19B e P134A</t>
  </si>
  <si>
    <t xml:space="preserve">PRUMADA HIDROSSANITÁRIA</t>
  </si>
  <si>
    <t xml:space="preserve">Prumada hidrossanitária</t>
  </si>
  <si>
    <t xml:space="preserve">P136A e P19A</t>
  </si>
  <si>
    <t xml:space="preserve">ENCUNHAMENTO</t>
  </si>
  <si>
    <t xml:space="preserve">Encunhamento</t>
  </si>
  <si>
    <t xml:space="preserve">P10D e P136B</t>
  </si>
  <si>
    <t xml:space="preserve">ALVENARIA - ISOLAMENTO DE CONTENÇÕES</t>
  </si>
  <si>
    <t xml:space="preserve">Alvenaria - isolamento de contenções</t>
  </si>
  <si>
    <t xml:space="preserve">P14B e P122A</t>
  </si>
  <si>
    <t xml:space="preserve">TALISCAMENTO</t>
  </si>
  <si>
    <t xml:space="preserve">Taliscamento</t>
  </si>
  <si>
    <t xml:space="preserve">P136C e P138</t>
  </si>
  <si>
    <t xml:space="preserve">DISTRIBUIÇÃO HIDROSSANITÁRIA</t>
  </si>
  <si>
    <t xml:space="preserve">Distribuição hidrossanitária</t>
  </si>
  <si>
    <t xml:space="preserve">P14D e P7B</t>
  </si>
  <si>
    <t xml:space="preserve">DISTRIBUIÇÃO ELÉTRICA / QUADRO</t>
  </si>
  <si>
    <t xml:space="preserve">Distribuição elétrica / quadro</t>
  </si>
  <si>
    <t xml:space="preserve">P139 e P145E</t>
  </si>
  <si>
    <t xml:space="preserve">DISTRIBUIÇÃO DE GÁS</t>
  </si>
  <si>
    <t xml:space="preserve">Distribuição de gás</t>
  </si>
  <si>
    <t xml:space="preserve">P7A e P11D</t>
  </si>
  <si>
    <t xml:space="preserve">CONTRAMARCO</t>
  </si>
  <si>
    <t xml:space="preserve">Contramarco</t>
  </si>
  <si>
    <t xml:space="preserve">P145F e P1C</t>
  </si>
  <si>
    <t xml:space="preserve">REBOCO INTERNO</t>
  </si>
  <si>
    <t xml:space="preserve">Reboco interno</t>
  </si>
  <si>
    <t xml:space="preserve">P11B e P4A</t>
  </si>
  <si>
    <t xml:space="preserve">SHAFT INTERNO INST. HIDRAÚLICAS</t>
  </si>
  <si>
    <t xml:space="preserve">Shaft interno inst. hidraúlicas</t>
  </si>
  <si>
    <t xml:space="preserve">P122B e P126B</t>
  </si>
  <si>
    <t xml:space="preserve">PRUMADA ELÉTRICA - INFRA</t>
  </si>
  <si>
    <t xml:space="preserve">Prumada elétrica - infra</t>
  </si>
  <si>
    <t xml:space="preserve">P145A e P901A</t>
  </si>
  <si>
    <t xml:space="preserve">CHUMBAMENTO DE PCF</t>
  </si>
  <si>
    <t xml:space="preserve">Chumbamento de PCF</t>
  </si>
  <si>
    <t xml:space="preserve">P901U e P145D</t>
  </si>
  <si>
    <t xml:space="preserve">CONTRAPISO</t>
  </si>
  <si>
    <t xml:space="preserve">Contrapiso</t>
  </si>
  <si>
    <t xml:space="preserve">P20A e P901B</t>
  </si>
  <si>
    <t xml:space="preserve">DISTRIBUIÇÃO HIDRÁULICA</t>
  </si>
  <si>
    <t xml:space="preserve">Distribuição hidráulica</t>
  </si>
  <si>
    <t xml:space="preserve">P145B e P901AD</t>
  </si>
  <si>
    <t xml:space="preserve">DRYWALL 1º FACE</t>
  </si>
  <si>
    <t xml:space="preserve">Drywall 1ª face</t>
  </si>
  <si>
    <t xml:space="preserve">P901C e P901AE</t>
  </si>
  <si>
    <t xml:space="preserve">DISTRIBUIÇÃO DE GÁS - DRYWALL</t>
  </si>
  <si>
    <t xml:space="preserve">Distribuição de gás - drywall</t>
  </si>
  <si>
    <t xml:space="preserve">P901D e P145C</t>
  </si>
  <si>
    <t xml:space="preserve">DISTRIBUIÇÃO ELÉTRICA/QUADRO - DRYWALL</t>
  </si>
  <si>
    <t xml:space="preserve">Distribuição elétrica/quadro - drywall</t>
  </si>
  <si>
    <t xml:space="preserve">P901AF e P901E</t>
  </si>
  <si>
    <t xml:space="preserve">DISTRIBUIÇÃO HIDRÁULICA - DRYWALL</t>
  </si>
  <si>
    <t xml:space="preserve">Distribuição hidráulica - drywall</t>
  </si>
  <si>
    <t xml:space="preserve">P901AH e P901N</t>
  </si>
  <si>
    <t xml:space="preserve">INFRAESTRUTURA - AR CONDICIONADO</t>
  </si>
  <si>
    <t xml:space="preserve">Infraestrutura - ar condicionado</t>
  </si>
  <si>
    <t xml:space="preserve">P901K e P901X</t>
  </si>
  <si>
    <t xml:space="preserve">DRYWALL 2º FACE</t>
  </si>
  <si>
    <t xml:space="preserve">Drywall 2ª face</t>
  </si>
  <si>
    <t xml:space="preserve">P10A </t>
  </si>
  <si>
    <t xml:space="preserve">Serralheria</t>
  </si>
  <si>
    <t xml:space="preserve">P901P e P10C</t>
  </si>
  <si>
    <t xml:space="preserve">Impermeabilização</t>
  </si>
  <si>
    <t xml:space="preserve">P20D </t>
  </si>
  <si>
    <t xml:space="preserve">PREPARAÇÃO PARA FACHADA AERADA - F1 + F2 (1º ETAPA)</t>
  </si>
  <si>
    <t xml:space="preserve">Preparação para fachada aerada - F1 + F2 (1º etapa)</t>
  </si>
  <si>
    <t xml:space="preserve">P901Q e P901L</t>
  </si>
  <si>
    <t xml:space="preserve">REVESTIMENTO PORCELANATO PAREDE</t>
  </si>
  <si>
    <t xml:space="preserve">Revestimento porcelanato parede</t>
  </si>
  <si>
    <t xml:space="preserve">P901R</t>
  </si>
  <si>
    <t xml:space="preserve">FACHADA LOJA</t>
  </si>
  <si>
    <t xml:space="preserve">Fachada loja</t>
  </si>
  <si>
    <t xml:space="preserve">P901AC e P10B</t>
  </si>
  <si>
    <t xml:space="preserve">REVESTIMENTOS PORCELANATO PISO</t>
  </si>
  <si>
    <t xml:space="preserve">Revestimentos porcelanato piso</t>
  </si>
  <si>
    <t xml:space="preserve">P11C </t>
  </si>
  <si>
    <t xml:space="preserve">FACHADA AERADA - F1 + F2 (1º ETAPA)</t>
  </si>
  <si>
    <t xml:space="preserve">Fachada aerada - F1 + F2 (1º etapa)</t>
  </si>
  <si>
    <t xml:space="preserve">P901G e P11A</t>
  </si>
  <si>
    <t xml:space="preserve">DRYWALL</t>
  </si>
  <si>
    <t xml:space="preserve">Drywall</t>
  </si>
  <si>
    <t xml:space="preserve">P901T</t>
  </si>
  <si>
    <t xml:space="preserve">INSTALAÇÃO DE ADUELAS (ELEVADORES)</t>
  </si>
  <si>
    <t xml:space="preserve">Aduelas (elevadores)</t>
  </si>
  <si>
    <t xml:space="preserve">P20B e P901AG</t>
  </si>
  <si>
    <t xml:space="preserve">REVESTIMENTO DE GRANITO PISO</t>
  </si>
  <si>
    <t xml:space="preserve">Revestimento de granito piso</t>
  </si>
  <si>
    <t xml:space="preserve">P2B </t>
  </si>
  <si>
    <t xml:space="preserve">BANCADAS</t>
  </si>
  <si>
    <t xml:space="preserve">P146 </t>
  </si>
  <si>
    <t xml:space="preserve">Inst. elétricas</t>
  </si>
  <si>
    <t xml:space="preserve">P901I e  P3A</t>
  </si>
  <si>
    <t xml:space="preserve">INSTALAÇÕES HIDRÁULICAS</t>
  </si>
  <si>
    <t xml:space="preserve">Inst. hidráulicas</t>
  </si>
  <si>
    <t xml:space="preserve">P901J e P901Y</t>
  </si>
  <si>
    <t xml:space="preserve">FIAÇÃO ELÉTRICA</t>
  </si>
  <si>
    <t xml:space="preserve">Fiação elétrica</t>
  </si>
  <si>
    <t xml:space="preserve">P3C </t>
  </si>
  <si>
    <t xml:space="preserve">PRUMADA ELÉTRICA - CABOS</t>
  </si>
  <si>
    <t xml:space="preserve">Prumada elétrica - cabos</t>
  </si>
  <si>
    <t xml:space="preserve">P4B e P901S</t>
  </si>
  <si>
    <t xml:space="preserve">FIAÇÃO TELECOM/DADOS</t>
  </si>
  <si>
    <t xml:space="preserve">Fiação telecom/dados</t>
  </si>
  <si>
    <t xml:space="preserve">P24C </t>
  </si>
  <si>
    <t xml:space="preserve">INSTALAÇÕES DE INCÊNDIO</t>
  </si>
  <si>
    <t xml:space="preserve">Inst. de incêndio</t>
  </si>
  <si>
    <t xml:space="preserve">P901Z e P14A</t>
  </si>
  <si>
    <t xml:space="preserve">PREPARAÇÃO PARA FACHADA AERADA - F3 + F4 (1º ETAPA)</t>
  </si>
  <si>
    <t xml:space="preserve">Preparação para fachada aerada - F3 + F4 (1º etapa)</t>
  </si>
  <si>
    <t xml:space="preserve">P5A </t>
  </si>
  <si>
    <t xml:space="preserve">Forro</t>
  </si>
  <si>
    <t xml:space="preserve">P6A e P901Z</t>
  </si>
  <si>
    <t xml:space="preserve">SHAFT</t>
  </si>
  <si>
    <t xml:space="preserve">Shaft</t>
  </si>
  <si>
    <t xml:space="preserve">P140 </t>
  </si>
  <si>
    <t xml:space="preserve">PRESSURIZAÇÃO (VENTILAÇÃO)</t>
  </si>
  <si>
    <t xml:space="preserve">Pressurização (ventilação)</t>
  </si>
  <si>
    <t xml:space="preserve">P7C e P148</t>
  </si>
  <si>
    <t xml:space="preserve">RESERVATÓRIO</t>
  </si>
  <si>
    <t xml:space="preserve">P135</t>
  </si>
  <si>
    <t xml:space="preserve">FACHADA AERADA - F3 + F4 (1º ETAPA)</t>
  </si>
  <si>
    <t xml:space="preserve">Fachada aerada - F3 + F4 (1º etapa)</t>
  </si>
  <si>
    <t xml:space="preserve">P5C e P7D</t>
  </si>
  <si>
    <t xml:space="preserve">PEITORIS E REQUADROS DE FACHADA - F1 + F2 (1º ETAPA)</t>
  </si>
  <si>
    <t xml:space="preserve">Peitoris e requadros de fachada - F1 + F2 (1º etapa)</t>
  </si>
  <si>
    <t xml:space="preserve">P14C </t>
  </si>
  <si>
    <t xml:space="preserve">MASSA CORRIDA</t>
  </si>
  <si>
    <t xml:space="preserve">Massa corrida</t>
  </si>
  <si>
    <t xml:space="preserve">P6B e P24B</t>
  </si>
  <si>
    <t xml:space="preserve">PASSEIOS, MURETAS E RAMPAS</t>
  </si>
  <si>
    <t xml:space="preserve">Passeios, muretas e rampas</t>
  </si>
  <si>
    <t xml:space="preserve">P6C </t>
  </si>
  <si>
    <t xml:space="preserve">ESQUADRIA DE ALUMÍNIO</t>
  </si>
  <si>
    <t xml:space="preserve">Esquadria de alumínio</t>
  </si>
  <si>
    <t xml:space="preserve">P101B e P110</t>
  </si>
  <si>
    <t xml:space="preserve">PREPARAÇÃO PARA FACHADA AERADA - F5 (1º ETAPA)</t>
  </si>
  <si>
    <t xml:space="preserve">Preparação para fachada aerada - F5 (1º etapa)</t>
  </si>
  <si>
    <t xml:space="preserve">Nucleo U</t>
  </si>
  <si>
    <t xml:space="preserve">PEITORIS E REQUADROS DE FACHADA - F3 + F4 (1º ETAPA)</t>
  </si>
  <si>
    <t xml:space="preserve">Peitoris e requadros de fachada - F3 + F4 (1º etapa)</t>
  </si>
  <si>
    <t xml:space="preserve">Nucleo A-A</t>
  </si>
  <si>
    <t xml:space="preserve">PINTURA 1º DEMÃO</t>
  </si>
  <si>
    <t xml:space="preserve">Pintura 1ª demão</t>
  </si>
  <si>
    <t xml:space="preserve">Nucleo V</t>
  </si>
  <si>
    <t xml:space="preserve">FACHADA AERADA - F5 (1º ETAPA)</t>
  </si>
  <si>
    <t xml:space="preserve">Fachada aerada - F5 (1º etapa)</t>
  </si>
  <si>
    <t xml:space="preserve">Nucleo AB</t>
  </si>
  <si>
    <t xml:space="preserve">GERADOR/TRANSFORMADOR</t>
  </si>
  <si>
    <t xml:space="preserve">Gerador/transformador</t>
  </si>
  <si>
    <t xml:space="preserve">Nucleo W</t>
  </si>
  <si>
    <t xml:space="preserve">DISJUNTORES / MIOLOS</t>
  </si>
  <si>
    <t xml:space="preserve">Disjuntores / miolos</t>
  </si>
  <si>
    <t xml:space="preserve">Nucleo AC e 101A</t>
  </si>
  <si>
    <t xml:space="preserve">INSTALAÇÃO DE LUMINÁRIAS E SENSORES</t>
  </si>
  <si>
    <t xml:space="preserve">Luminárias e sensores</t>
  </si>
  <si>
    <t xml:space="preserve">Nucleo H e 101B</t>
  </si>
  <si>
    <t xml:space="preserve">PISO VINÍLICO / LAMINADO</t>
  </si>
  <si>
    <t xml:space="preserve">Piso vinílico / laminado</t>
  </si>
  <si>
    <t xml:space="preserve">Nucleo I e PF4</t>
  </si>
  <si>
    <t xml:space="preserve">INSTALAÇÕES INCÊNDIO</t>
  </si>
  <si>
    <t xml:space="preserve">Inst. incêndio</t>
  </si>
  <si>
    <t xml:space="preserve">Nucleo K e PF3</t>
  </si>
  <si>
    <t xml:space="preserve">INST. MÓDULOS CHURRASQUEIRA</t>
  </si>
  <si>
    <t xml:space="preserve">Inst. módulos churrasqueira</t>
  </si>
  <si>
    <t xml:space="preserve">7C e 109B</t>
  </si>
  <si>
    <t xml:space="preserve">ESQUADRIA MADEIRA</t>
  </si>
  <si>
    <t xml:space="preserve">Esquadria madeira</t>
  </si>
  <si>
    <t xml:space="preserve">4A e 119B</t>
  </si>
  <si>
    <t xml:space="preserve">PLACAS E IDEINTIFIC. VISUAIS</t>
  </si>
  <si>
    <t xml:space="preserve">Placas e ideintific. visuais</t>
  </si>
  <si>
    <t xml:space="preserve">4B e 110</t>
  </si>
  <si>
    <t xml:space="preserve">INSTALAÇÃO DE LUMINÁRIAS</t>
  </si>
  <si>
    <t xml:space="preserve">Luminárias</t>
  </si>
  <si>
    <t xml:space="preserve">4C e 118A</t>
  </si>
  <si>
    <t xml:space="preserve">INSTALAÇÃO DE PCF (FOLHA)</t>
  </si>
  <si>
    <t xml:space="preserve">PCF (folha)</t>
  </si>
  <si>
    <t xml:space="preserve">1A e 118B</t>
  </si>
  <si>
    <t xml:space="preserve">MARCENARIA - SHAFTS</t>
  </si>
  <si>
    <t xml:space="preserve">Marcenaria - shafts</t>
  </si>
  <si>
    <t xml:space="preserve">1B e 120A</t>
  </si>
  <si>
    <t xml:space="preserve">PREPARAÇÃO - POÇO DE ELEVADOR</t>
  </si>
  <si>
    <t xml:space="preserve">Preparação - poço de elevador</t>
  </si>
  <si>
    <t xml:space="preserve">1C e 120B</t>
  </si>
  <si>
    <t xml:space="preserve">PREPARAÇÃO PARA FACHADA AERADA - F1 + F2 (2º ETAPA)</t>
  </si>
  <si>
    <t xml:space="preserve">Preparação para fachada aerada - F1 + F2 (2º etapa)</t>
  </si>
  <si>
    <t xml:space="preserve">126A e 129</t>
  </si>
  <si>
    <t xml:space="preserve">RODAPÉ MADEIRA / PVC</t>
  </si>
  <si>
    <t xml:space="preserve">Rodapé madeira / pvc</t>
  </si>
  <si>
    <t xml:space="preserve">126B e 121B</t>
  </si>
  <si>
    <t xml:space="preserve">INSTALAÇÃO DE CORRIMÃO (SERRALHERIA)</t>
  </si>
  <si>
    <t xml:space="preserve">Corrimão (serralheria)</t>
  </si>
  <si>
    <t xml:space="preserve">121A</t>
  </si>
  <si>
    <t xml:space="preserve">LOUÇAS</t>
  </si>
  <si>
    <t xml:space="preserve">Louças</t>
  </si>
  <si>
    <t xml:space="preserve">METAIS</t>
  </si>
  <si>
    <t xml:space="preserve">Metais</t>
  </si>
  <si>
    <t xml:space="preserve">COMUNICAÇÃO E ALARME</t>
  </si>
  <si>
    <t xml:space="preserve">Comunicação e alarme</t>
  </si>
  <si>
    <t xml:space="preserve">REBOCO EXTERNO</t>
  </si>
  <si>
    <t xml:space="preserve">Reboco externo</t>
  </si>
  <si>
    <t xml:space="preserve">FACHADA AERADA - F1 + F2 (2º ETAPA)</t>
  </si>
  <si>
    <t xml:space="preserve">Fachada aerada - F1 + F2 (2º etapa)</t>
  </si>
  <si>
    <t xml:space="preserve">LIMPEZA GROSSA</t>
  </si>
  <si>
    <t xml:space="preserve">Limpeza grossa</t>
  </si>
  <si>
    <t xml:space="preserve">PEITORIS E REQUADROS DE FACHADA - F5 (1º ETAPA)</t>
  </si>
  <si>
    <t xml:space="preserve">Peitoris e requadros de fachada - F5 (1º etapa)</t>
  </si>
  <si>
    <t xml:space="preserve">POLIMENTO DE PISO</t>
  </si>
  <si>
    <t xml:space="preserve">Polimento de piso</t>
  </si>
  <si>
    <t xml:space="preserve">PREPARAÇÃO PARA FACHADA AERADA - F3 + F4 (2º ETAPA)</t>
  </si>
  <si>
    <t xml:space="preserve">Preparação para fachada aerada - F3 + F4 (2º etapa)</t>
  </si>
  <si>
    <t xml:space="preserve">PINTURA 2º DEMÃO</t>
  </si>
  <si>
    <t xml:space="preserve">Pintura 2ª demão</t>
  </si>
  <si>
    <t xml:space="preserve">TEXTURA - EXTERNA</t>
  </si>
  <si>
    <t xml:space="preserve">Textura - externa</t>
  </si>
  <si>
    <t xml:space="preserve">PONTOS DE ANCORAGEM INOX</t>
  </si>
  <si>
    <t xml:space="preserve">Pontos de ancoragem inox</t>
  </si>
  <si>
    <t xml:space="preserve">ACABAMENTOS ELÉTRICOS</t>
  </si>
  <si>
    <t xml:space="preserve">Acabamentos elétricos</t>
  </si>
  <si>
    <t xml:space="preserve">TEXTURA - 1º DEMÃO</t>
  </si>
  <si>
    <t xml:space="preserve">Textura - 1ª demão</t>
  </si>
  <si>
    <t xml:space="preserve">PINTURA DE TUBULAÇÕES (PAREDE E TETO)</t>
  </si>
  <si>
    <t xml:space="preserve">Pintura de tubulações (parede e teto)</t>
  </si>
  <si>
    <t xml:space="preserve">PEITORIS E REQUADROS DE FACHADA - F1 + F2 (2º ETAPA)</t>
  </si>
  <si>
    <t xml:space="preserve">Peitoris e requadros de fachada - F1 + F2 (2º etapa)</t>
  </si>
  <si>
    <t xml:space="preserve">CHECKLIST</t>
  </si>
  <si>
    <t xml:space="preserve">Checklist</t>
  </si>
  <si>
    <t xml:space="preserve">FACHADA AERADA - F3 + F4 (2º ETAPA)</t>
  </si>
  <si>
    <t xml:space="preserve">Fachada aerada - F3 + F4 (2º etapa)</t>
  </si>
  <si>
    <t xml:space="preserve">PINTURA 3º DEMÃO</t>
  </si>
  <si>
    <t xml:space="preserve">Pintura 3ª demão</t>
  </si>
  <si>
    <t xml:space="preserve">PINTURA - CORRIMÃO</t>
  </si>
  <si>
    <t xml:space="preserve">Pintura - corrimão</t>
  </si>
  <si>
    <t xml:space="preserve">PREPARAÇÃO PARA FACHADA AERADA - F5 (2º ETAPA)</t>
  </si>
  <si>
    <t xml:space="preserve">Preparação para fachada aerada - F5 (2º etapa)</t>
  </si>
  <si>
    <t xml:space="preserve">INSTALAÇÃO DE SHADOWBOX E BRISE - F1 + F2</t>
  </si>
  <si>
    <t xml:space="preserve">Shadowbox e brise - F1 + F2</t>
  </si>
  <si>
    <t xml:space="preserve">LIMPEZA FINA</t>
  </si>
  <si>
    <t xml:space="preserve">Limpeza fina</t>
  </si>
  <si>
    <t xml:space="preserve">PISO EMBORRACHADO</t>
  </si>
  <si>
    <t xml:space="preserve">Piso emborrachado</t>
  </si>
  <si>
    <t xml:space="preserve">DEMARCAÇÃO DE VAGAS</t>
  </si>
  <si>
    <t xml:space="preserve">Demarcação de vagas</t>
  </si>
  <si>
    <t xml:space="preserve">INSTALAÇÃO DE METAIS</t>
  </si>
  <si>
    <t xml:space="preserve">INST. CARREGADOR DE VEÍCULOS</t>
  </si>
  <si>
    <t xml:space="preserve">Inst. carregador de veículos</t>
  </si>
  <si>
    <t xml:space="preserve">MONTAGEM - ELEVADOR 1</t>
  </si>
  <si>
    <t xml:space="preserve">Montagem - elevador 1</t>
  </si>
  <si>
    <t xml:space="preserve">Escavação - F3 - F4 / 101 -108 / 110 - 112 - 118 </t>
  </si>
  <si>
    <t xml:space="preserve">REVESTIMENTO ACABAMENTO</t>
  </si>
  <si>
    <t xml:space="preserve">Revestimento acabamento</t>
  </si>
  <si>
    <t xml:space="preserve">Arrasamento - F3 - F4 / 101 -108 / 110 - 112 - 118 / 2</t>
  </si>
  <si>
    <t xml:space="preserve">PEITORIS E REQUADROS DE FACHADA - F3 + F4 (2º ETAPA)</t>
  </si>
  <si>
    <t xml:space="preserve">Peitoris e requadros de fachada - F3 + F4 (2º etapa)</t>
  </si>
  <si>
    <t xml:space="preserve">Armação - F3 - F4 / 101 -108 / 110 - 112 - 118 / 2</t>
  </si>
  <si>
    <t xml:space="preserve">AQUECEDOR (SAUNA)</t>
  </si>
  <si>
    <t xml:space="preserve">Aquecedor (sauna)</t>
  </si>
  <si>
    <t xml:space="preserve">Forma - F3 - F4 / 101 -108 / 110 - 112 - 118 / 2</t>
  </si>
  <si>
    <t xml:space="preserve">IRRIGAÇÃO</t>
  </si>
  <si>
    <t xml:space="preserve">Concreto - F3 - F4 / 101 -108 / 110 - 112 - 118 / 2</t>
  </si>
  <si>
    <t xml:space="preserve">FACHADA AERADA - F5 (2º ETAPA)</t>
  </si>
  <si>
    <t xml:space="preserve">Fachada aerada - F5 (2º etapa)</t>
  </si>
  <si>
    <t xml:space="preserve">TEXTURA - 2º E 3º DEMÃO</t>
  </si>
  <si>
    <t xml:space="preserve">Textura - 2ª e 3ª demão</t>
  </si>
  <si>
    <t xml:space="preserve">Escavação - BL 1 / 3 / 5</t>
  </si>
  <si>
    <t xml:space="preserve">Arrasamento - BL 1 / 3 / 5</t>
  </si>
  <si>
    <t xml:space="preserve">FACHADA</t>
  </si>
  <si>
    <t xml:space="preserve">Fachada</t>
  </si>
  <si>
    <t xml:space="preserve">Armação - BL 1 / 3</t>
  </si>
  <si>
    <t xml:space="preserve">PRESSURIZAÇÃO (HIDRÁULICA)</t>
  </si>
  <si>
    <t xml:space="preserve">Pressurização (hidráulica)</t>
  </si>
  <si>
    <t xml:space="preserve">Forma / Concreto - BL 1</t>
  </si>
  <si>
    <t xml:space="preserve">INSTALAÇÃO DE SHADOWBOX E BRISES - F3 + F4</t>
  </si>
  <si>
    <t xml:space="preserve">Shadowbox e brises - F3 + F4</t>
  </si>
  <si>
    <t xml:space="preserve">Escavação/Arrasamento - BL 7 </t>
  </si>
  <si>
    <t xml:space="preserve">TRATAMENTO DE CONCRETO APARENTE - F1 + F2</t>
  </si>
  <si>
    <t xml:space="preserve">Tratamento de concreto aparente - F1 + F2</t>
  </si>
  <si>
    <t xml:space="preserve">Armação - BL 5 / 7</t>
  </si>
  <si>
    <t xml:space="preserve">LIMPEZA</t>
  </si>
  <si>
    <t xml:space="preserve">Limpeza</t>
  </si>
  <si>
    <t xml:space="preserve">Forma - BL 5</t>
  </si>
  <si>
    <t xml:space="preserve">MONTAGEM - ELEVADOR 2</t>
  </si>
  <si>
    <t xml:space="preserve">Montagem - elevador 2</t>
  </si>
  <si>
    <t xml:space="preserve">Concreto - BL 3</t>
  </si>
  <si>
    <t xml:space="preserve">PEITORIS E REQUADROS DE FACHADA - F5 (2º ETAPA)</t>
  </si>
  <si>
    <t xml:space="preserve">Peitoris e requadros de fachada - F5 (2º etapa)</t>
  </si>
  <si>
    <t xml:space="preserve">Armação - BL 5</t>
  </si>
  <si>
    <t xml:space="preserve">MONTAGEM - BOILERS E AQUECEDORES</t>
  </si>
  <si>
    <t xml:space="preserve">Montagem - boilers e aquecedores</t>
  </si>
  <si>
    <t xml:space="preserve">Forma - BL 7 / </t>
  </si>
  <si>
    <t xml:space="preserve">BRISE</t>
  </si>
  <si>
    <t xml:space="preserve">Brise</t>
  </si>
  <si>
    <t xml:space="preserve">Concreto - BL 5 / 7 / </t>
  </si>
  <si>
    <t xml:space="preserve">EQUIPAMENTOS - PISCINA</t>
  </si>
  <si>
    <t xml:space="preserve">Equipamentos - piscina</t>
  </si>
  <si>
    <t xml:space="preserve">Spda</t>
  </si>
  <si>
    <t xml:space="preserve">TRATAMENTO DE CONCRETO APARENTE - F3 + F4</t>
  </si>
  <si>
    <t xml:space="preserve">Tratamento de concreto aparente - F3 + F4</t>
  </si>
  <si>
    <t xml:space="preserve">Escavação / Arrasamento - BL 4 / 6 </t>
  </si>
  <si>
    <t xml:space="preserve">QUADRA DE RECREAÇÃO</t>
  </si>
  <si>
    <t xml:space="preserve">Quadra de recreação</t>
  </si>
  <si>
    <t xml:space="preserve">Armação - BL 4 / 6</t>
  </si>
  <si>
    <t xml:space="preserve">INSTALAÇÃO DE SHADOWBOX E BRISES - F5</t>
  </si>
  <si>
    <t xml:space="preserve">Shadowbox e brises - F5</t>
  </si>
  <si>
    <t xml:space="preserve">Escavação / Arrasamento - BL  134</t>
  </si>
  <si>
    <t xml:space="preserve">FACHADA EMBASAMENTO</t>
  </si>
  <si>
    <t xml:space="preserve">Fachada embasamento</t>
  </si>
  <si>
    <t xml:space="preserve">Armação - BL 4</t>
  </si>
  <si>
    <t xml:space="preserve">MONTAGEM - ELEVADOR 3</t>
  </si>
  <si>
    <t xml:space="preserve">Montagem - elevador 3</t>
  </si>
  <si>
    <t xml:space="preserve">Forma - BL 4 / 6 </t>
  </si>
  <si>
    <t xml:space="preserve">PRESSURIZAÇÃO (INCÊNDIO)</t>
  </si>
  <si>
    <t xml:space="preserve">Pressurização (incêndio)</t>
  </si>
  <si>
    <t xml:space="preserve">Concreto - BL 4 / 6</t>
  </si>
  <si>
    <t xml:space="preserve">PISO ELEVADO</t>
  </si>
  <si>
    <t xml:space="preserve">Piso elevado</t>
  </si>
  <si>
    <t xml:space="preserve">Escavação / Arrasamento </t>
  </si>
  <si>
    <t xml:space="preserve">TRATAMENTO DE CONCRETO APARENTE - F5</t>
  </si>
  <si>
    <t xml:space="preserve">Tratamento de concreto aparente - F5</t>
  </si>
  <si>
    <t xml:space="preserve">Escavação / Armação - BL 135</t>
  </si>
  <si>
    <t xml:space="preserve">CHECKLIST FINAL</t>
  </si>
  <si>
    <t xml:space="preserve">Checklist final</t>
  </si>
  <si>
    <t xml:space="preserve">Forma - BL  134 / 135</t>
  </si>
  <si>
    <t xml:space="preserve">ENXOVAL</t>
  </si>
  <si>
    <t xml:space="preserve">Enxoval</t>
  </si>
  <si>
    <t xml:space="preserve">Concreto - BL 134 / 135</t>
  </si>
  <si>
    <t xml:space="preserve">VISTORIA APTOS</t>
  </si>
  <si>
    <t xml:space="preserve">Vistoria aptos</t>
  </si>
  <si>
    <t xml:space="preserve">SUBSOLO</t>
  </si>
  <si>
    <t xml:space="preserve">HABITE-SE</t>
  </si>
  <si>
    <t xml:space="preserve">Habite-se</t>
  </si>
  <si>
    <t xml:space="preserve">Escavação</t>
  </si>
  <si>
    <t xml:space="preserve">ENTREGA SÍNDICO</t>
  </si>
  <si>
    <t xml:space="preserve">Entrega síndico</t>
  </si>
  <si>
    <t xml:space="preserve">Arrasamento</t>
  </si>
  <si>
    <t xml:space="preserve">Forma e Armação</t>
  </si>
  <si>
    <t xml:space="preserve">Concreto</t>
  </si>
  <si>
    <t xml:space="preserve">Desforma e Aterramento</t>
  </si>
  <si>
    <t xml:space="preserve">Escavação / Arrasamento - BL 14 / 122</t>
  </si>
  <si>
    <t xml:space="preserve">Escavação / Arrasamento - BL 10 / 19 / 124 / 127</t>
  </si>
  <si>
    <t xml:space="preserve">Armação - BL 14 / 122 </t>
  </si>
  <si>
    <t xml:space="preserve">Forma - BL 14 / 122 </t>
  </si>
  <si>
    <t xml:space="preserve">Concreto - BL 14 / 122</t>
  </si>
  <si>
    <t xml:space="preserve">Armação - BL 10 / 19 / 124 / 127</t>
  </si>
  <si>
    <t xml:space="preserve">Forma - BL 10 / 19 / 124 / 127</t>
  </si>
  <si>
    <t xml:space="preserve">TÉRREO - GERAL</t>
  </si>
  <si>
    <t xml:space="preserve">Polimento</t>
  </si>
  <si>
    <t xml:space="preserve">Escavação / Arrasamento - BL 11 / F1 / F2</t>
  </si>
  <si>
    <t xml:space="preserve">Escavação / Arrasamento - BL 20 </t>
  </si>
  <si>
    <t xml:space="preserve">Armação - BL 11 / F1 / F2</t>
  </si>
  <si>
    <t xml:space="preserve">Escavação / Arrasamento - BL  142 - 144 / 151 - 153 / 137 </t>
  </si>
  <si>
    <t xml:space="preserve">Armação - BL 20</t>
  </si>
  <si>
    <t xml:space="preserve">Forma - BL 11 / F1 / F2</t>
  </si>
  <si>
    <t xml:space="preserve">Concreto - BL 11 / F1 / F2</t>
  </si>
  <si>
    <t xml:space="preserve">Armação - BL 142 - 144 / 151 - 153 / 137 </t>
  </si>
  <si>
    <t xml:space="preserve">Forma - BL 20 / 142 - 144 / 151 - 153 / 137</t>
  </si>
  <si>
    <t xml:space="preserve">Concreto - BL 20 / 142 - 144 / 151 - 153 / 137</t>
  </si>
  <si>
    <t xml:space="preserve">Escavação / Arrasamento - BL 136 - 145 - 154 / 24 - 25</t>
  </si>
  <si>
    <t xml:space="preserve">Escavação / Arrasamento - BL 138 - 140 / 146 - 149 / 155 - 156</t>
  </si>
  <si>
    <t xml:space="preserve">Armação - BL 136 - 138 - 140 / 145 - 149 / 154 - 156 / 24 - 25</t>
  </si>
  <si>
    <t xml:space="preserve">Forma - BL 136 - 138 - 140 / 145 - 149 / 154 - 156 / 24 - 25</t>
  </si>
  <si>
    <t xml:space="preserve">Concreto - BL 136 - 138 - 140 / 145 - 149 / 154 - 156 / 24 - 25</t>
  </si>
  <si>
    <t xml:space="preserve">Escoramento Laje/ Vigas</t>
  </si>
  <si>
    <t xml:space="preserve">Forro Laje</t>
  </si>
  <si>
    <t xml:space="preserve">Montagem Vigas - Armação</t>
  </si>
  <si>
    <t xml:space="preserve">Armação Laje</t>
  </si>
  <si>
    <t xml:space="preserve">Concretagem Laje</t>
  </si>
  <si>
    <t xml:space="preserve">Escoramento Lajes/ Vigas</t>
  </si>
  <si>
    <t xml:space="preserve">Montagem de Pilares</t>
  </si>
  <si>
    <t xml:space="preserve">Forma Pilares</t>
  </si>
  <si>
    <t xml:space="preserve">1º PAV. (INTERMEDIÁRIO)</t>
  </si>
  <si>
    <t xml:space="preserve">Montagem Pilares - Armação</t>
  </si>
  <si>
    <t xml:space="preserve">2º PAV - GARAGEM</t>
  </si>
  <si>
    <t xml:space="preserve">Escoramento Laje/Vigas</t>
  </si>
  <si>
    <t xml:space="preserve">Montagem Laje</t>
  </si>
  <si>
    <t xml:space="preserve">Escavação - C 41 / 45 /47 / 49 /52 / VA1 / C3</t>
  </si>
  <si>
    <t xml:space="preserve">Forma e Armação - C 41 / 45 /47 / 49 /52 / VA1 / C3</t>
  </si>
  <si>
    <t xml:space="preserve">Concreto - C 41 / 45 /47 / 49 /52 / VA1 / C3</t>
  </si>
  <si>
    <t xml:space="preserve">3º PAV - GARAGEM</t>
  </si>
  <si>
    <t xml:space="preserve">Escavação - C 22 / 23 / 26 / 27 / 34 / 37 /43 / 46</t>
  </si>
  <si>
    <t xml:space="preserve">Forma e Armação - C 22 / 23 / 26 / 27 / 34 / 37 /43 / 46</t>
  </si>
  <si>
    <t xml:space="preserve">Concreto - C 22 / 23 / 26 / 27 / 34 / 37 /43 / 46</t>
  </si>
  <si>
    <t xml:space="preserve">Escavação - C 7 / 9 /12 -16 / 20 / 18 / 35-36 / 38-40 / 42 / 44</t>
  </si>
  <si>
    <t xml:space="preserve">Forma e Armação - C 7 / 9 /12 -16 / 20 / 18 / 35-36 / 38-40 / 42 / 44</t>
  </si>
  <si>
    <t xml:space="preserve">Concreto - C 7 / 9 /12 -16 / 20 / 18 / 35-36 / 38-40 / 42 / 44</t>
  </si>
  <si>
    <t xml:space="preserve">Escavação - C 21/ 24-25 /28/48/50/51/ 53-54</t>
  </si>
  <si>
    <t xml:space="preserve">Forma e Armação - C 21/ 24-25 /28/48/50/51/ 53-54</t>
  </si>
  <si>
    <t xml:space="preserve">Concreto - C 21/ 24-25 /28/48/50/51/ 53-54</t>
  </si>
  <si>
    <t xml:space="preserve">4º PAV - GARAGEM</t>
  </si>
  <si>
    <t xml:space="preserve">5º PAV - GARAGEM</t>
  </si>
  <si>
    <t xml:space="preserve">6º PAV - PILOTIS</t>
  </si>
  <si>
    <t xml:space="preserve">7º PAV.</t>
  </si>
  <si>
    <t xml:space="preserve">8º PAV.</t>
  </si>
  <si>
    <t xml:space="preserve">9º PAV.</t>
  </si>
  <si>
    <t xml:space="preserve">P129 e PF4</t>
  </si>
  <si>
    <t xml:space="preserve">P109 e P119</t>
  </si>
  <si>
    <t xml:space="preserve">P123</t>
  </si>
  <si>
    <t xml:space="preserve">10º PAV.</t>
  </si>
  <si>
    <t xml:space="preserve">11º PAV.</t>
  </si>
  <si>
    <t xml:space="preserve">12º PAV.</t>
  </si>
  <si>
    <t xml:space="preserve">13º PAV.</t>
  </si>
  <si>
    <t xml:space="preserve">14º PAV.</t>
  </si>
  <si>
    <t xml:space="preserve">15º PAV.</t>
  </si>
  <si>
    <t xml:space="preserve">16º PAV.</t>
  </si>
  <si>
    <t xml:space="preserve">CX DE ESCADA DE INCÊND.</t>
  </si>
  <si>
    <t xml:space="preserve">HALL - APTOS</t>
  </si>
  <si>
    <t xml:space="preserve">17º PAV.</t>
  </si>
  <si>
    <t xml:space="preserve">TÉRREO - LOJA 1</t>
  </si>
  <si>
    <t xml:space="preserve">18º PAV.</t>
  </si>
  <si>
    <t xml:space="preserve">TÉRREO - LOJA 2</t>
  </si>
  <si>
    <t xml:space="preserve">19º PAV.</t>
  </si>
  <si>
    <t xml:space="preserve">20º PAV.</t>
  </si>
  <si>
    <t xml:space="preserve">TÉRREO - LOJA 3</t>
  </si>
  <si>
    <t xml:space="preserve">21º PAV.</t>
  </si>
  <si>
    <t xml:space="preserve">TÉRREO - LOJA 4</t>
  </si>
  <si>
    <t xml:space="preserve">22º PAV.</t>
  </si>
  <si>
    <t xml:space="preserve">TÉRREO - LOJA 5</t>
  </si>
  <si>
    <t xml:space="preserve">23º PAV.</t>
  </si>
  <si>
    <t xml:space="preserve">TÉRREO - LOJA 6</t>
  </si>
  <si>
    <t xml:space="preserve">24º PAV.</t>
  </si>
  <si>
    <t xml:space="preserve">TÉRREO - LOJA 7</t>
  </si>
  <si>
    <t xml:space="preserve">25º PAV.</t>
  </si>
  <si>
    <t xml:space="preserve">26º PAV.</t>
  </si>
  <si>
    <t xml:space="preserve">TÉRREO - ACESSO COMERCIAL + DML + ARS + ÁREA TEC + LAVABO + DISPENSA</t>
  </si>
  <si>
    <t xml:space="preserve">TÉRREO ÁREA EXTERNA - COMERCIAL</t>
  </si>
  <si>
    <t xml:space="preserve">TÉRREO - ÁREA EXTERNA RESIDENCIAL</t>
  </si>
  <si>
    <t xml:space="preserve">27º PAV.</t>
  </si>
  <si>
    <t xml:space="preserve">TÉRREO - HALL SOCIAL + ECLUSA + CIRCULAÇÃO</t>
  </si>
  <si>
    <t xml:space="preserve">28º PAV.</t>
  </si>
  <si>
    <t xml:space="preserve">29º PAV.</t>
  </si>
  <si>
    <t xml:space="preserve">30º PAV.</t>
  </si>
  <si>
    <t xml:space="preserve">31º PAV. - COBERTURA LINEAR</t>
  </si>
  <si>
    <t xml:space="preserve">32º PAV - COBERTURA GERAL</t>
  </si>
  <si>
    <t xml:space="preserve">6º PAV (PILOTIS) - PLAYGROUND + TERRAÇO DESCOBERTO + QUADRA DE RECREAÇÃO</t>
  </si>
  <si>
    <t xml:space="preserve">6º PAV (PILOTIS) - ACADEMIA</t>
  </si>
  <si>
    <t xml:space="preserve">6º PAV (PILOTIS) - SAUNA + DUCHA</t>
  </si>
  <si>
    <t xml:space="preserve">6º PAV (PILOTIS) - CHURRASQUEIRA + IS MASC. PCD + IS FEM. PCD + CIRCULAÇÃO 1 + HALL 1</t>
  </si>
  <si>
    <t xml:space="preserve">6º PAV (PILOTIS) - COWORKING 1 E 2 + CIRC. 2 + HALL 2 + DML + VEST. MASC. + VEST. FEM</t>
  </si>
  <si>
    <t xml:space="preserve">6º PAV (PILOTIS) - LOUNGE + SALÃO + COZINHA + GOURMET + ESPAÇO KIDS</t>
  </si>
  <si>
    <t xml:space="preserve">6º PAV (PILOTIS) - PISCINA + PRAINHA + DECK</t>
  </si>
  <si>
    <t xml:space="preserve">33º PAV - BARRILETE</t>
  </si>
  <si>
    <t xml:space="preserve">34º PAV - RESERVATÓRIO</t>
  </si>
  <si>
    <t xml:space="preserve">Teste de carga</t>
  </si>
  <si>
    <t xml:space="preserve">Preparação</t>
  </si>
  <si>
    <t xml:space="preserve">Proteção mecânica</t>
  </si>
  <si>
    <t xml:space="preserve">HALL - GARAGENS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</si>
  <si>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</si>
  <si>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</si>
  <si>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</si>
  <si>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</si>
  <si>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</si>
  <si>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</si>
  <si>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</si>
  <si>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</si>
  <si>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</si>
  <si>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</si>
  <si>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</si>
  <si>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</si>
  <si>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</si>
  <si>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</si>
  <si>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</si>
  <si>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</si>
  <si>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</si>
  <si>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ESTRUTURA EM CONTRETO ARMADO</t>
  </si>
  <si>
    <t xml:space="preserve">REVESTIMENTOS DE MASSAS EM PAREDES</t>
  </si>
  <si>
    <t xml:space="preserve">REVESTIMENTOS</t>
  </si>
  <si>
    <t xml:space="preserve">REVESTIMENTO DIVERSOS   FACHADA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</si>
  <si>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</si>
  <si>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</si>
  <si>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</si>
  <si>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</si>
  <si>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</si>
  <si>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</si>
  <si>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DEDUÇÕES DA RECEITA</t>
  </si>
  <si>
    <t xml:space="preserve">MAIS COPY GRAFICA RAPIDA E COPIADORA LTDA</t>
  </si>
  <si>
    <t xml:space="preserve">EMPRESARIAL TRANSPORTES E LOGISTICA ES LTDA</t>
  </si>
  <si>
    <t xml:space="preserve">Soma de [VALOR REAL] (sinal invertido: custos positivos) · aba DADOS, BOTÂNICO, CUSTOS COM OBRAS, sem projeções (A PAGAR sem origem)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</si>
  <si>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</si>
  <si>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</si>
  <si>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</si>
  <si>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</si>
  <si>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</si>
  <si>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</si>
  <si>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</si>
  <si>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</si>
  <si>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</si>
  <si>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</si>
  <si>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</si>
  <si>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</si>
  <si>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</si>
  <si>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</si>
  <si>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</si>
  <si>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Acabamentos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</si>
  <si>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</si>
  <si>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</si>
  <si>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</si>
  <si>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</si>
  <si>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</si>
  <si>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</si>
  <si>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</si>
  <si>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</si>
  <si>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</si>
  <si>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</si>
  <si>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</si>
  <si>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</si>
  <si>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</si>
  <si>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</si>
  <si>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</si>
  <si>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</si>
  <si>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</si>
  <si>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</si>
  <si>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</si>
  <si>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</si>
  <si>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</si>
  <si>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</si>
  <si>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</si>
  <si>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</si>
  <si>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</si>
  <si>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</si>
  <si>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</si>
  <si>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</si>
  <si>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</si>
  <si>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</si>
  <si>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</si>
  <si>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</si>
  <si>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</si>
  <si>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</si>
  <si>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</si>
  <si>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</si>
  <si>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PREVISÃO INFORMADA</t>
  </si>
  <si>
    <t xml:space="preserve">Saldo até a projeção lançado em 3 parcelas iguais em jan, fev e mar/2027 (decisão do usuário).</t>
  </si>
  <si>
    <t xml:space="preserve">CORTE ESQUEMÁTICO</t>
  </si>
  <si>
    <t xml:space="preserve">PAVIMENTOS</t>
  </si>
  <si>
    <t xml:space="preserve">ÁREA DE PROJEÇÃO DO PAVIMENTO</t>
  </si>
  <si>
    <t xml:space="preserve">CONCRETO TORRE (m³)</t>
  </si>
  <si>
    <t xml:space="preserve">FORMA
Plana</t>
  </si>
  <si>
    <t xml:space="preserve">FORMA
Nervurada</t>
  </si>
  <si>
    <t xml:space="preserve">PROTENÇÃO</t>
  </si>
  <si>
    <t xml:space="preserve">AÇO </t>
  </si>
  <si>
    <t xml:space="preserve">Área de sarrafeamento</t>
  </si>
  <si>
    <t xml:space="preserve">Área de Camurça</t>
  </si>
  <si>
    <t xml:space="preserve">CONCRETO 
R$</t>
  </si>
  <si>
    <t xml:space="preserve">AÇO (mat)
R$</t>
  </si>
  <si>
    <t xml:space="preserve">AÇO (mdo)
R$</t>
  </si>
  <si>
    <t xml:space="preserve">PROTENÇÃO
R$</t>
  </si>
  <si>
    <t xml:space="preserve">TRATAMENTO R$</t>
  </si>
  <si>
    <t xml:space="preserve">Cobertura</t>
  </si>
  <si>
    <t xml:space="preserve">Fundo da caixa d'água</t>
  </si>
  <si>
    <t xml:space="preserve">31º Pavimento</t>
  </si>
  <si>
    <t xml:space="preserve">30º Pavimento</t>
  </si>
  <si>
    <t xml:space="preserve">29º Pavimento</t>
  </si>
  <si>
    <t xml:space="preserve">28º Pavimento</t>
  </si>
  <si>
    <t xml:space="preserve">27º Pavimento</t>
  </si>
  <si>
    <t xml:space="preserve">26º Pavimento</t>
  </si>
  <si>
    <t xml:space="preserve">25º Pavimento</t>
  </si>
  <si>
    <t xml:space="preserve">24º Pavimento</t>
  </si>
  <si>
    <t xml:space="preserve">23º Pavimento</t>
  </si>
  <si>
    <t xml:space="preserve">22º Pavimento</t>
  </si>
  <si>
    <t xml:space="preserve">21º Pavimento</t>
  </si>
  <si>
    <t xml:space="preserve">20º Pavimento</t>
  </si>
  <si>
    <t xml:space="preserve">19º Pavimento</t>
  </si>
  <si>
    <t xml:space="preserve">18º Pavimento</t>
  </si>
  <si>
    <t xml:space="preserve">17º Pavimento</t>
  </si>
  <si>
    <t xml:space="preserve">16º Pavimento</t>
  </si>
  <si>
    <t xml:space="preserve">15º Pavimento</t>
  </si>
  <si>
    <t xml:space="preserve">14º Pavimento</t>
  </si>
  <si>
    <t xml:space="preserve">13º Pavimento</t>
  </si>
  <si>
    <t xml:space="preserve">12º Pavimento</t>
  </si>
  <si>
    <t xml:space="preserve">11º Pavimento</t>
  </si>
  <si>
    <t xml:space="preserve">10º Pavimento</t>
  </si>
  <si>
    <t xml:space="preserve">9º Pavimento</t>
  </si>
  <si>
    <t xml:space="preserve">8º Pavimento</t>
  </si>
  <si>
    <t xml:space="preserve">7º Pavimento</t>
  </si>
  <si>
    <t xml:space="preserve">6º Pavimento</t>
  </si>
  <si>
    <t xml:space="preserve">5º Pavimento</t>
  </si>
  <si>
    <t xml:space="preserve">4º Pavimento</t>
  </si>
  <si>
    <t xml:space="preserve">3º Pavimento</t>
  </si>
  <si>
    <t xml:space="preserve">2º Pavimento</t>
  </si>
  <si>
    <t xml:space="preserve">Intermediário</t>
  </si>
  <si>
    <t xml:space="preserve">Térreo</t>
  </si>
  <si>
    <t xml:space="preserve">Subsolo</t>
  </si>
  <si>
    <t xml:space="preserve">Valor de Orçamento</t>
  </si>
  <si>
    <t xml:space="preserve">REAJUSTE</t>
  </si>
  <si>
    <t xml:space="preserve">FORMA PLANA</t>
  </si>
  <si>
    <t xml:space="preserve">FORMA NERVURADA</t>
  </si>
  <si>
    <t xml:space="preserve">Porcentagem a ser executada depois</t>
  </si>
  <si>
    <t xml:space="preserve">ARMAÇÃO - MDO</t>
  </si>
  <si>
    <t xml:space="preserve">SARRAFEAMENTO</t>
  </si>
  <si>
    <t xml:space="preserve">POLIMENTO</t>
  </si>
  <si>
    <t xml:space="preserve">JUNTAS</t>
  </si>
  <si>
    <t xml:space="preserve">ARMAÇÃO - MAT</t>
  </si>
  <si>
    <t xml:space="preserve">CONCRETO FCK 40</t>
  </si>
  <si>
    <t xml:space="preserve">CONCRETO FCK 50</t>
  </si>
  <si>
    <t xml:space="preserve">BOMBEAMENTO</t>
  </si>
  <si>
    <t xml:space="preserve">CONCRETO APARENTE  - fck 40</t>
  </si>
  <si>
    <t xml:space="preserve">CONCRETO APARENTE  - fck 50</t>
  </si>
  <si>
    <t xml:space="preserve">CONCRETO FCK 50 - piso polido</t>
  </si>
  <si>
    <t xml:space="preserve">CONSIDERAÇÕES</t>
  </si>
  <si>
    <t xml:space="preserve">Horas trabalhadas por dia =</t>
  </si>
  <si>
    <t xml:space="preserve">Índice Kg/m³</t>
  </si>
  <si>
    <t xml:space="preserve">Qtt total de aço</t>
  </si>
  <si>
    <t xml:space="preserve">Reorçamento: projeção da ANÁLISE IEC (coluna X) digitada = R$ 11.720.096 − 125.000; o fator da coluna W estava 1 (não atualizado). Usado X ÷ I = 0,9715.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</si>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</sst>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FCFBF8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99CC00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1055724.07</c:v>
                </c:pt>
                <c:pt idx="1">
                  <c:v>7679641.61</c:v>
                </c:pt>
                <c:pt idx="2">
                  <c:v>12548975.130013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11860833.7253524</c:v>
                </c:pt>
                <c:pt idx="3">
                  <c:v>57101507.6627906</c:v>
                </c:pt>
                <c:pt idx="4">
                  <c:v>61139024.585811</c:v>
                </c:pt>
                <c:pt idx="5">
                  <c:v>9035272.61562786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78792763"/>
        <c:axId val="91919532"/>
      </c:barChart>
      <c:catAx>
        <c:axId val="7879276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1919532"/>
        <c:crosses val="autoZero"/>
        <c:auto val="1"/>
        <c:lblAlgn val="ctr"/>
        <c:lblOffset val="100"/>
        <c:noMultiLvlLbl val="0"/>
      </c:catAx>
      <c:valAx>
        <c:axId val="91919532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87927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9868861.02680791</c:v>
                </c:pt>
                <c:pt idx="1">
                  <c:v>1426609.28326608</c:v>
                </c:pt>
                <c:pt idx="2">
                  <c:v>17446985.1359887</c:v>
                </c:pt>
                <c:pt idx="3">
                  <c:v>17091438.1780226</c:v>
                </c:pt>
                <c:pt idx="4">
                  <c:v>11267614.0387053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28955173"/>
        <c:axId val="38414077"/>
      </c:barChart>
      <c:catAx>
        <c:axId val="2895517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8414077"/>
        <c:crosses val="autoZero"/>
        <c:auto val="1"/>
        <c:lblAlgn val="ctr"/>
        <c:lblOffset val="100"/>
        <c:noMultiLvlLbl val="0"/>
      </c:catAx>
      <c:valAx>
        <c:axId val="38414077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89551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0.0065809601334641</c:v>
                </c:pt>
                <c:pt idx="1">
                  <c:v>0.00689443440714209</c:v>
                </c:pt>
                <c:pt idx="2">
                  <c:v>0.00901193656472372</c:v>
                </c:pt>
                <c:pt idx="3">
                  <c:v>0.0105641541794768</c:v>
                </c:pt>
                <c:pt idx="4">
                  <c:v>0.0119788359801327</c:v>
                </c:pt>
                <c:pt idx="5">
                  <c:v>0.01383769409904</c:v>
                </c:pt>
                <c:pt idx="6">
                  <c:v>0.015022995240522</c:v>
                </c:pt>
                <c:pt idx="7">
                  <c:v>0.0164068149929687</c:v>
                </c:pt>
                <c:pt idx="8">
                  <c:v>0.0188728213188284</c:v>
                </c:pt>
                <c:pt idx="9">
                  <c:v>0.0232875397842723</c:v>
                </c:pt>
                <c:pt idx="10">
                  <c:v>0.0310973825784572</c:v>
                </c:pt>
                <c:pt idx="11">
                  <c:v>0.0446778189911618</c:v>
                </c:pt>
                <c:pt idx="12">
                  <c:v>0.0544527636765074</c:v>
                </c:pt>
                <c:pt idx="13">
                  <c:v>0.0667515424732972</c:v>
                </c:pt>
                <c:pt idx="14">
                  <c:v>0.0736429515280084</c:v>
                </c:pt>
                <c:pt idx="15">
                  <c:v>0.0838459113660913</c:v>
                </c:pt>
                <c:pt idx="16">
                  <c:v>0.0928514654738332</c:v>
                </c:pt>
                <c:pt idx="17">
                  <c:v>0.0988151898793359</c:v>
                </c:pt>
                <c:pt idx="18">
                  <c:v>0.10717252128959</c:v>
                </c:pt>
                <c:pt idx="19">
                  <c:v>0.121707437911636</c:v>
                </c:pt>
                <c:pt idx="20">
                  <c:v>0.132678038057576</c:v>
                </c:pt>
                <c:pt idx="21">
                  <c:v>0.156896451478984</c:v>
                </c:pt>
                <c:pt idx="22">
                  <c:v>0.179352397473275</c:v>
                </c:pt>
                <c:pt idx="23">
                  <c:v>0.194167554345273</c:v>
                </c:pt>
                <c:pt idx="24">
                  <c:v>0.206613715110189</c:v>
                </c:pt>
                <c:pt idx="25">
                  <c:v>0.23205866184803</c:v>
                </c:pt>
                <c:pt idx="26">
                  <c:v>0.25146038963293</c:v>
                </c:pt>
                <c:pt idx="27">
                  <c:v>0.26770162013781</c:v>
                </c:pt>
                <c:pt idx="28">
                  <c:v>0.285912068980288</c:v>
                </c:pt>
                <c:pt idx="29">
                  <c:v>0.306358267835634</c:v>
                </c:pt>
                <c:pt idx="30">
                  <c:v>0.334377628202532</c:v>
                </c:pt>
                <c:pt idx="31">
                  <c:v>0.364766526067527</c:v>
                </c:pt>
                <c:pt idx="32">
                  <c:v>0.402077695426673</c:v>
                </c:pt>
                <c:pt idx="33">
                  <c:v>0.439119426106585</c:v>
                </c:pt>
                <c:pt idx="34">
                  <c:v>0.481851237500795</c:v>
                </c:pt>
                <c:pt idx="35">
                  <c:v>0.526915393379374</c:v>
                </c:pt>
                <c:pt idx="36">
                  <c:v>0.562561595970308</c:v>
                </c:pt>
                <c:pt idx="37">
                  <c:v>0.611235649705143</c:v>
                </c:pt>
                <c:pt idx="38">
                  <c:v>0.660083285104276</c:v>
                </c:pt>
                <c:pt idx="39">
                  <c:v>0.706929810079238</c:v>
                </c:pt>
                <c:pt idx="40">
                  <c:v>0.738961157074145</c:v>
                </c:pt>
                <c:pt idx="41">
                  <c:v>0.777864083917251</c:v>
                </c:pt>
                <c:pt idx="42">
                  <c:v>0.811838126006875</c:v>
                </c:pt>
                <c:pt idx="43">
                  <c:v>0.842072563774404</c:v>
                </c:pt>
                <c:pt idx="44">
                  <c:v>0.873465877853034</c:v>
                </c:pt>
                <c:pt idx="45">
                  <c:v>0.893787451535048</c:v>
                </c:pt>
                <c:pt idx="46">
                  <c:v>0.913921988605654</c:v>
                </c:pt>
                <c:pt idx="47">
                  <c:v>0.931652481563379</c:v>
                </c:pt>
                <c:pt idx="48">
                  <c:v>0.943677736855591</c:v>
                </c:pt>
                <c:pt idx="49">
                  <c:v>0.95686599371786</c:v>
                </c:pt>
                <c:pt idx="50">
                  <c:v>0.966241764805568</c:v>
                </c:pt>
                <c:pt idx="51">
                  <c:v>0.972533640077341</c:v>
                </c:pt>
                <c:pt idx="52">
                  <c:v>0.977552506751623</c:v>
                </c:pt>
                <c:pt idx="53">
                  <c:v>0.978908476777891</c:v>
                </c:pt>
                <c:pt idx="54">
                  <c:v>0.983156075435939</c:v>
                </c:pt>
                <c:pt idx="55">
                  <c:v>0.983560040466193</c:v>
                </c:pt>
                <c:pt idx="56">
                  <c:v>0.984281910321614</c:v>
                </c:pt>
                <c:pt idx="57">
                  <c:v>0.984281910321614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239330"/>
        <c:axId val="69500974"/>
      </c:lineChart>
      <c:catAx>
        <c:axId val="20239330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69500974"/>
        <c:crosses val="autoZero"/>
        <c:auto val="1"/>
        <c:lblAlgn val="ctr"/>
        <c:lblOffset val="100"/>
        <c:noMultiLvlLbl val="0"/>
      </c:catAx>
      <c:valAx>
        <c:axId val="695009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02393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0.9662</c:v>
                </c:pt>
                <c:pt idx="1">
                  <c:v>0.6684</c:v>
                </c:pt>
                <c:pt idx="2">
                  <c:v>0.3053</c:v>
                </c:pt>
                <c:pt idx="3">
                  <c:v>0.3026</c:v>
                </c:pt>
                <c:pt idx="4">
                  <c:v>0.6507</c:v>
                </c:pt>
                <c:pt idx="5">
                  <c:v>0.6585</c:v>
                </c:pt>
                <c:pt idx="6">
                  <c:v>0.3357</c:v>
                </c:pt>
                <c:pt idx="7">
                  <c:v>0</c:v>
                </c:pt>
                <c:pt idx="8">
                  <c:v>0.0472</c:v>
                </c:pt>
                <c:pt idx="9">
                  <c:v>0.191</c:v>
                </c:pt>
                <c:pt idx="10">
                  <c:v>0</c:v>
                </c:pt>
                <c:pt idx="11">
                  <c:v>0.6151</c:v>
                </c:pt>
                <c:pt idx="12">
                  <c:v>0.6545</c:v>
                </c:pt>
                <c:pt idx="13">
                  <c:v>0.2329</c:v>
                </c:pt>
                <c:pt idx="14">
                  <c:v>0.2576</c:v>
                </c:pt>
                <c:pt idx="15">
                  <c:v>0.4136</c:v>
                </c:pt>
                <c:pt idx="16">
                  <c:v>0.1817</c:v>
                </c:pt>
                <c:pt idx="17">
                  <c:v>0</c:v>
                </c:pt>
                <c:pt idx="18">
                  <c:v>0.1499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22642319"/>
        <c:axId val="34042306"/>
      </c:barChart>
      <c:catAx>
        <c:axId val="2264231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4042306"/>
        <c:crosses val="autoZero"/>
        <c:auto val="1"/>
        <c:lblAlgn val="ctr"/>
        <c:lblOffset val="100"/>
        <c:noMultiLvlLbl val="0"/>
      </c:catAx>
      <c:valAx>
        <c:axId val="3404230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264231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PAVIMENTAÇÃO</c:v>
                </c:pt>
                <c:pt idx="15">
                  <c:v>REVESTIMENTO DIVERSOS -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17446985.1359887</c:v>
                </c:pt>
                <c:pt idx="1">
                  <c:v>4221352.36495037</c:v>
                </c:pt>
                <c:pt idx="2">
                  <c:v>1277855.13066904</c:v>
                </c:pt>
                <c:pt idx="3">
                  <c:v>3426681.18157836</c:v>
                </c:pt>
                <c:pt idx="4">
                  <c:v>5112480.68097334</c:v>
                </c:pt>
                <c:pt idx="5">
                  <c:v>548357.121351897</c:v>
                </c:pt>
                <c:pt idx="6">
                  <c:v>960290.576369744</c:v>
                </c:pt>
                <c:pt idx="7">
                  <c:v>1544421.12212986</c:v>
                </c:pt>
                <c:pt idx="8">
                  <c:v>2851294.39131396</c:v>
                </c:pt>
                <c:pt idx="9">
                  <c:v>98246.2784116694</c:v>
                </c:pt>
                <c:pt idx="10">
                  <c:v>0</c:v>
                </c:pt>
                <c:pt idx="11">
                  <c:v>718341.111440196</c:v>
                </c:pt>
                <c:pt idx="12">
                  <c:v>1756077.7306493</c:v>
                </c:pt>
                <c:pt idx="13">
                  <c:v>2582122.86454135</c:v>
                </c:pt>
                <c:pt idx="14">
                  <c:v>29339.4085029297</c:v>
                </c:pt>
                <c:pt idx="15">
                  <c:v>2227924.83486531</c:v>
                </c:pt>
                <c:pt idx="16">
                  <c:v>327285.688819881</c:v>
                </c:pt>
                <c:pt idx="17">
                  <c:v>244488.976377602</c:v>
                </c:pt>
                <c:pt idx="18">
                  <c:v>432492.753783118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40"/>
        <c:overlap val="0"/>
        <c:axId val="41661496"/>
        <c:axId val="39076422"/>
      </c:barChart>
      <c:catAx>
        <c:axId val="4166149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39076422"/>
        <c:crosses val="autoZero"/>
        <c:auto val="1"/>
        <c:lblAlgn val="ctr"/>
        <c:lblOffset val="100"/>
        <c:noMultiLvlLbl val="0"/>
      </c:catAx>
      <c:valAx>
        <c:axId val="39076422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166149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1055724.07</c:v>
                </c:pt>
                <c:pt idx="1">
                  <c:v>1106011.92</c:v>
                </c:pt>
                <c:pt idx="2">
                  <c:v>1445703.69</c:v>
                </c:pt>
                <c:pt idx="3">
                  <c:v>1694711.96</c:v>
                </c:pt>
                <c:pt idx="4">
                  <c:v>1921656.6</c:v>
                </c:pt>
                <c:pt idx="5">
                  <c:v>2219856.44</c:v>
                </c:pt>
                <c:pt idx="6">
                  <c:v>2410003.61</c:v>
                </c:pt>
                <c:pt idx="7">
                  <c:v>2631997.33</c:v>
                </c:pt>
                <c:pt idx="8">
                  <c:v>3027596.48</c:v>
                </c:pt>
                <c:pt idx="9">
                  <c:v>3735809.94</c:v>
                </c:pt>
                <c:pt idx="10">
                  <c:v>4988672.57</c:v>
                </c:pt>
                <c:pt idx="11">
                  <c:v>7167259.48</c:v>
                </c:pt>
                <c:pt idx="12">
                  <c:v>8735365.68</c:v>
                </c:pt>
                <c:pt idx="13">
                  <c:v>10708347.82</c:v>
                </c:pt>
                <c:pt idx="14">
                  <c:v>11813874.41</c:v>
                </c:pt>
                <c:pt idx="15">
                  <c:v>13450643.22</c:v>
                </c:pt>
                <c:pt idx="16">
                  <c:v>14895323.03</c:v>
                </c:pt>
                <c:pt idx="17">
                  <c:v>15852029.54</c:v>
                </c:pt>
                <c:pt idx="18">
                  <c:v>17192720.83</c:v>
                </c:pt>
                <c:pt idx="19">
                  <c:v>19524426.39</c:v>
                </c:pt>
                <c:pt idx="20">
                  <c:v>21284340.810013</c:v>
                </c:pt>
                <c:pt idx="21">
                  <c:v>25169482.4105797</c:v>
                </c:pt>
                <c:pt idx="22">
                  <c:v>28771887.2603283</c:v>
                </c:pt>
                <c:pt idx="23">
                  <c:v>31148549.2356928</c:v>
                </c:pt>
                <c:pt idx="24">
                  <c:v>33145174.5353654</c:v>
                </c:pt>
                <c:pt idx="25">
                  <c:v>37227077.8118204</c:v>
                </c:pt>
                <c:pt idx="26">
                  <c:v>40339521.9851184</c:v>
                </c:pt>
                <c:pt idx="27">
                  <c:v>42944956.0893658</c:v>
                </c:pt>
                <c:pt idx="28">
                  <c:v>45866294.1279824</c:v>
                </c:pt>
                <c:pt idx="29">
                  <c:v>49146293.3733559</c:v>
                </c:pt>
                <c:pt idx="30">
                  <c:v>53641186.6055638</c:v>
                </c:pt>
                <c:pt idx="31">
                  <c:v>58516203.3639405</c:v>
                </c:pt>
                <c:pt idx="32">
                  <c:v>64501697.6950789</c:v>
                </c:pt>
                <c:pt idx="33">
                  <c:v>70443968.4094065</c:v>
                </c:pt>
                <c:pt idx="34">
                  <c:v>77299047.4447843</c:v>
                </c:pt>
                <c:pt idx="35">
                  <c:v>84528283.4666421</c:v>
                </c:pt>
                <c:pt idx="36">
                  <c:v>90246682.198156</c:v>
                </c:pt>
                <c:pt idx="37">
                  <c:v>98055021.5696468</c:v>
                </c:pt>
                <c:pt idx="38">
                  <c:v>105891207.08173</c:v>
                </c:pt>
                <c:pt idx="39">
                  <c:v>113406372.499681</c:v>
                </c:pt>
                <c:pt idx="40">
                  <c:v>118544872.556092</c:v>
                </c:pt>
                <c:pt idx="41">
                  <c:v>124785718.181774</c:v>
                </c:pt>
                <c:pt idx="42">
                  <c:v>130235867.287955</c:v>
                </c:pt>
                <c:pt idx="43">
                  <c:v>135086105.406218</c:v>
                </c:pt>
                <c:pt idx="44">
                  <c:v>140122251.597311</c:v>
                </c:pt>
                <c:pt idx="45">
                  <c:v>143382258.35032</c:v>
                </c:pt>
                <c:pt idx="46">
                  <c:v>146612260.506944</c:v>
                </c:pt>
                <c:pt idx="47">
                  <c:v>149456603.55246</c:v>
                </c:pt>
                <c:pt idx="48">
                  <c:v>151385706.783967</c:v>
                </c:pt>
                <c:pt idx="49">
                  <c:v>153501379.866386</c:v>
                </c:pt>
                <c:pt idx="50">
                  <c:v>155005450.246902</c:v>
                </c:pt>
                <c:pt idx="51">
                  <c:v>156014799.04026</c:v>
                </c:pt>
                <c:pt idx="52">
                  <c:v>156819930.547625</c:v>
                </c:pt>
                <c:pt idx="53">
                  <c:v>157037456.587275</c:v>
                </c:pt>
                <c:pt idx="54">
                  <c:v>157718860.524095</c:v>
                </c:pt>
                <c:pt idx="55">
                  <c:v>157783664.989892</c:v>
                </c:pt>
                <c:pt idx="56">
                  <c:v>157899468.059098</c:v>
                </c:pt>
                <c:pt idx="57">
                  <c:v>157899468.059098</c:v>
                </c:pt>
                <c:pt idx="58">
                  <c:v>160420979.399595</c:v>
                </c:pt>
                <c:pt idx="59">
                  <c:v>160420979.399595</c:v>
                </c:pt>
                <c:pt idx="60">
                  <c:v>160420979.399595</c:v>
                </c:pt>
                <c:pt idx="61">
                  <c:v>160420979.399595</c:v>
                </c:pt>
                <c:pt idx="62">
                  <c:v>160420979.399595</c:v>
                </c:pt>
                <c:pt idx="63">
                  <c:v>160420979.399595</c:v>
                </c:pt>
                <c:pt idx="64">
                  <c:v>160420979.399595</c:v>
                </c:pt>
                <c:pt idx="65">
                  <c:v>160420979.399595</c:v>
                </c:pt>
                <c:pt idx="66">
                  <c:v>160420979.399595</c:v>
                </c:pt>
                <c:pt idx="67">
                  <c:v>160420979.399595</c:v>
                </c:pt>
                <c:pt idx="68">
                  <c:v>160420979.399595</c:v>
                </c:pt>
                <c:pt idx="69">
                  <c:v>160420979.399595</c:v>
                </c:pt>
                <c:pt idx="70">
                  <c:v>160420979.399595</c:v>
                </c:pt>
                <c:pt idx="71">
                  <c:v>160420979.399595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523286"/>
        <c:axId val="76308366"/>
      </c:lineChart>
      <c:catAx>
        <c:axId val="22523286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6308366"/>
        <c:crosses val="autoZero"/>
        <c:auto val="1"/>
        <c:lblAlgn val="ctr"/>
        <c:lblOffset val="100"/>
        <c:noMultiLvlLbl val="0"/>
      </c:catAx>
      <c:valAx>
        <c:axId val="76308366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25232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0.00753543902718546</c:v>
                </c:pt>
                <c:pt idx="1">
                  <c:v>0.00788106854565687</c:v>
                </c:pt>
                <c:pt idx="2">
                  <c:v>0.0102065106515528</c:v>
                </c:pt>
                <c:pt idx="3">
                  <c:v>0.0119044866968234</c:v>
                </c:pt>
                <c:pt idx="4">
                  <c:v>0.0134440734295228</c:v>
                </c:pt>
                <c:pt idx="5">
                  <c:v>0.0154553962613438</c:v>
                </c:pt>
                <c:pt idx="6">
                  <c:v>0.0167291683181925</c:v>
                </c:pt>
                <c:pt idx="7">
                  <c:v>0.0182028092017122</c:v>
                </c:pt>
                <c:pt idx="8">
                  <c:v>0.0208154220736595</c:v>
                </c:pt>
                <c:pt idx="9">
                  <c:v>0.0254847672405656</c:v>
                </c:pt>
                <c:pt idx="10">
                  <c:v>0.0337206680781724</c:v>
                </c:pt>
                <c:pt idx="11">
                  <c:v>0.0480036802482248</c:v>
                </c:pt>
                <c:pt idx="12">
                  <c:v>0.0582631645610957</c:v>
                </c:pt>
                <c:pt idx="13">
                  <c:v>0.0710789780228384</c:v>
                </c:pt>
                <c:pt idx="14">
                  <c:v>0.0782401555162307</c:v>
                </c:pt>
                <c:pt idx="15">
                  <c:v>0.0887855593772217</c:v>
                </c:pt>
                <c:pt idx="16">
                  <c:v>0.0980012181327096</c:v>
                </c:pt>
                <c:pt idx="17">
                  <c:v>0.104051042548334</c:v>
                </c:pt>
                <c:pt idx="18">
                  <c:v>0.112463187516083</c:v>
                </c:pt>
                <c:pt idx="19">
                  <c:v>0.127004978730886</c:v>
                </c:pt>
                <c:pt idx="20">
                  <c:v>0.137926961821037</c:v>
                </c:pt>
                <c:pt idx="21">
                  <c:v>0.161998808441074</c:v>
                </c:pt>
                <c:pt idx="22">
                  <c:v>0.184318853865874</c:v>
                </c:pt>
                <c:pt idx="23">
                  <c:v>0.199044351266099</c:v>
                </c:pt>
                <c:pt idx="24">
                  <c:v>0.211415189426642</c:v>
                </c:pt>
                <c:pt idx="25">
                  <c:v>0.236706146537272</c:v>
                </c:pt>
                <c:pt idx="26">
                  <c:v>0.255990457498327</c:v>
                </c:pt>
                <c:pt idx="27">
                  <c:v>0.272133398112617</c:v>
                </c:pt>
                <c:pt idx="28">
                  <c:v>0.29023363960204</c:v>
                </c:pt>
                <c:pt idx="29">
                  <c:v>0.310556100625585</c:v>
                </c:pt>
                <c:pt idx="30">
                  <c:v>0.338405891336783</c:v>
                </c:pt>
                <c:pt idx="31">
                  <c:v>0.368610879402248</c:v>
                </c:pt>
                <c:pt idx="32">
                  <c:v>0.405696246242739</c:v>
                </c:pt>
                <c:pt idx="33">
                  <c:v>0.442513805013099</c:v>
                </c:pt>
                <c:pt idx="34">
                  <c:v>0.48498700884273</c:v>
                </c:pt>
                <c:pt idx="35">
                  <c:v>0.529778442100357</c:v>
                </c:pt>
                <c:pt idx="36">
                  <c:v>0.565208918342752</c:v>
                </c:pt>
                <c:pt idx="37">
                  <c:v>0.613588402807439</c:v>
                </c:pt>
                <c:pt idx="38">
                  <c:v>0.662140418441956</c:v>
                </c:pt>
                <c:pt idx="39">
                  <c:v>0.708703434121678</c:v>
                </c:pt>
                <c:pt idx="40">
                  <c:v>0.740540931420861</c:v>
                </c:pt>
                <c:pt idx="41">
                  <c:v>0.779208422628603</c:v>
                </c:pt>
                <c:pt idx="42">
                  <c:v>0.812976858075377</c:v>
                </c:pt>
                <c:pt idx="43">
                  <c:v>0.843028320816519</c:v>
                </c:pt>
                <c:pt idx="44">
                  <c:v>0.874231646494633</c:v>
                </c:pt>
                <c:pt idx="45">
                  <c:v>0.894430236560769</c:v>
                </c:pt>
                <c:pt idx="46">
                  <c:v>0.914442921937617</c:v>
                </c:pt>
                <c:pt idx="47">
                  <c:v>0.932066112175121</c:v>
                </c:pt>
                <c:pt idx="48">
                  <c:v>0.944018592130105</c:v>
                </c:pt>
                <c:pt idx="49">
                  <c:v>0.95712703531547</c:v>
                </c:pt>
                <c:pt idx="50">
                  <c:v>0.966446065412147</c:v>
                </c:pt>
                <c:pt idx="51">
                  <c:v>0.972699863043691</c:v>
                </c:pt>
                <c:pt idx="52">
                  <c:v>0.977688356166156</c:v>
                </c:pt>
                <c:pt idx="53">
                  <c:v>0.979036120031845</c:v>
                </c:pt>
                <c:pt idx="54">
                  <c:v>0.983258012755405</c:v>
                </c:pt>
                <c:pt idx="55">
                  <c:v>0.983659533039947</c:v>
                </c:pt>
                <c:pt idx="56">
                  <c:v>0.984377034229516</c:v>
                </c:pt>
                <c:pt idx="57">
                  <c:v>0.984377034229516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016265"/>
        <c:axId val="92005911"/>
      </c:lineChart>
      <c:catAx>
        <c:axId val="88016265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2005911"/>
        <c:crosses val="autoZero"/>
        <c:auto val="1"/>
        <c:lblAlgn val="ctr"/>
        <c:lblOffset val="100"/>
        <c:noMultiLvlLbl val="0"/>
      </c:catAx>
      <c:valAx>
        <c:axId val="92005911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80162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354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35436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BOTÂNICO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Agosto/2026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160420979.399595</v>
      </c>
      <c r="C6" s="12"/>
      <c r="D6" s="12" t="n">
        <f aca="false">SUMPRODUCT(('MODELO PARA BI'!$H$1:$CA$1&lt;='VALOR POR PL'!$P$5)*'MODELO PARA BI'!$H$65:$CA$65)</f>
        <v>21284340.810013</v>
      </c>
      <c r="E6" s="12"/>
      <c r="F6" s="12" t="n">
        <f aca="false">SUMPRODUCT((YEAR('MODELO PARA BI'!$H$1:$CA$1)='RETRATO 2027'!$D$5)*'MODELO PARA BI'!$H$65:$CA$65)</f>
        <v>57101507.6627906</v>
      </c>
      <c r="G6" s="8"/>
      <c r="H6" s="12" t="n">
        <f aca="false">SUM('MODELO PARA BI'!$H$65:$CA$65)-D6</f>
        <v>139136638.589582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FIXED(IF(B6=0,0,D6/B6)*100,1)&amp;"% da projeção"</f>
        <v>13.3%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Setembro/2026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1055724.07</v>
      </c>
      <c r="D13" s="24" t="n">
        <f aca="false">C13</f>
        <v>1055724.07</v>
      </c>
      <c r="E13" s="25" t="n">
        <f aca="false">IF($C$20=0,0,C13/$C$20)</f>
        <v>0.0065809601334641</v>
      </c>
      <c r="F13" s="25" t="n">
        <f aca="false">IF($C$20=0,0,D13/$C$20)</f>
        <v>0.0065809601334641</v>
      </c>
      <c r="G13" s="8"/>
      <c r="H13" s="24" t="n">
        <f aca="false">SUMPRODUCT((YEAR('MODELO PARA BI'!$H$1:$CA$1)=B13)*('MODELO PARA BI'!$H$1:$CA$1&lt;='VALOR POR PL'!$P$5)*'MODELO PARA BI'!$H$65:$CA$65)</f>
        <v>1055724.07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7679641.61</v>
      </c>
      <c r="D14" s="27" t="n">
        <f aca="false">D13+C14</f>
        <v>8735365.68</v>
      </c>
      <c r="E14" s="28" t="n">
        <f aca="false">IF($C$20=0,0,C14/$C$20)</f>
        <v>0.0478718035430433</v>
      </c>
      <c r="F14" s="28" t="n">
        <f aca="false">IF($C$20=0,0,D14/$C$20)</f>
        <v>0.0544527636765074</v>
      </c>
      <c r="G14" s="8"/>
      <c r="H14" s="27" t="n">
        <f aca="false">SUMPRODUCT((YEAR('MODELO PARA BI'!$H$1:$CA$1)=B14)*('MODELO PARA BI'!$H$1:$CA$1&lt;='VALOR POR PL'!$P$5)*'MODELO PARA BI'!$H$65:$CA$65)</f>
        <v>7679641.61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24409808.8553654</v>
      </c>
      <c r="D15" s="24" t="n">
        <f aca="false">D14+C15</f>
        <v>33145174.5353654</v>
      </c>
      <c r="E15" s="25" t="n">
        <f aca="false">IF($C$20=0,0,C15/$C$20)</f>
        <v>0.152160951433681</v>
      </c>
      <c r="F15" s="25" t="n">
        <f aca="false">IF($C$20=0,0,D15/$C$20)</f>
        <v>0.206613715110189</v>
      </c>
      <c r="G15" s="8"/>
      <c r="H15" s="24" t="n">
        <f aca="false">SUMPRODUCT((YEAR('MODELO PARA BI'!$H$1:$CA$1)=B15)*('MODELO PARA BI'!$H$1:$CA$1&lt;='VALOR POR PL'!$P$5)*'MODELO PARA BI'!$H$65:$CA$65)</f>
        <v>12548975.130013</v>
      </c>
      <c r="I15" s="24" t="n">
        <f aca="false">C15-H15</f>
        <v>11860833.7253524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57101507.6627906</v>
      </c>
      <c r="D16" s="27" t="n">
        <f aca="false">D15+C16</f>
        <v>90246682.198156</v>
      </c>
      <c r="E16" s="28" t="n">
        <f aca="false">IF($C$20=0,0,C16/$C$20)</f>
        <v>0.355947880860119</v>
      </c>
      <c r="F16" s="28" t="n">
        <f aca="false">IF($C$20=0,0,D16/$C$20)</f>
        <v>0.562561595970308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57101507.6627906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61139024.585811</v>
      </c>
      <c r="D17" s="24" t="n">
        <f aca="false">D16+C17</f>
        <v>151385706.783967</v>
      </c>
      <c r="E17" s="25" t="n">
        <f aca="false">IF($C$20=0,0,C17/$C$20)</f>
        <v>0.381116140885283</v>
      </c>
      <c r="F17" s="25" t="n">
        <f aca="false">IF($C$20=0,0,D17/$C$20)</f>
        <v>0.943677736855591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61139024.585811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9035272.61562786</v>
      </c>
      <c r="D18" s="27" t="n">
        <f aca="false">D17+C18</f>
        <v>160420979.399595</v>
      </c>
      <c r="E18" s="28" t="n">
        <f aca="false">IF($C$20=0,0,C18/$C$20)</f>
        <v>0.0563222631444094</v>
      </c>
      <c r="F18" s="28" t="n">
        <f aca="false">IF($C$20=0,0,D18/$C$20)</f>
        <v>1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9035272.61562786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0</v>
      </c>
      <c r="D19" s="24" t="n">
        <f aca="false">D18+C19</f>
        <v>160420979.399595</v>
      </c>
      <c r="E19" s="25" t="n">
        <f aca="false">IF($C$20=0,0,C19/$C$20)</f>
        <v>0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160420979.399595</v>
      </c>
      <c r="D20" s="31"/>
      <c r="E20" s="32" t="n">
        <f aca="false">SUM(E13:E19)</f>
        <v>1</v>
      </c>
      <c r="F20" s="31"/>
      <c r="G20" s="8"/>
      <c r="H20" s="30" t="n">
        <f aca="false">SUM(H13:H19)</f>
        <v>21284340.810013</v>
      </c>
      <c r="I20" s="30" t="n">
        <f aca="false">SUM(I13:I19)</f>
        <v>139136638.589582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9868861.02680791</v>
      </c>
      <c r="E26" s="36" t="n">
        <f aca="false">IF($D$32=0,0,D26/$D$32)</f>
        <v>0.172830130599841</v>
      </c>
      <c r="F26" s="36" t="n">
        <f aca="false">IFERROR(SUMPRODUCT('RETRATO 2027'!J12:J22,'RETRATO 2027'!M12:M22)/SUM('RETRATO 2027'!M12:M22),0)</f>
        <v>0.577994649737798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1426609.28326608</v>
      </c>
      <c r="E27" s="38" t="n">
        <f aca="false">IF($D$32=0,0,D27/$D$32)</f>
        <v>0.0249837410894794</v>
      </c>
      <c r="F27" s="38" t="n">
        <f aca="false">IFERROR(SUMPRODUCT('RETRATO 2027'!J24:J28,'RETRATO 2027'!M24:M28)/SUM('RETRATO 2027'!M24:M28),0)</f>
        <v>0.999587085853404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17446985.1359887</v>
      </c>
      <c r="E28" s="36" t="n">
        <f aca="false">IF($D$32=0,0,D28/$D$32)</f>
        <v>0.305543335896152</v>
      </c>
      <c r="F28" s="36" t="n">
        <f aca="false">IFERROR(SUMPRODUCT('RETRATO 2027'!J30:J30,'RETRATO 2027'!M30:M30)/SUM('RETRATO 2027'!M30:M30),0)</f>
        <v>0.9674716056056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17091438.1780226</v>
      </c>
      <c r="E29" s="38" t="n">
        <f aca="false">IF($D$32=0,0,D29/$D$32)</f>
        <v>0.299316758481318</v>
      </c>
      <c r="F29" s="38" t="n">
        <f aca="false">IFERROR(SUMPRODUCT('RETRATO 2027'!J31:J37,'RETRATO 2027'!M31:M37)/SUM('RETRATO 2027'!M31:M37),0)</f>
        <v>0.468846657481858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11267614.0387053</v>
      </c>
      <c r="E30" s="36" t="n">
        <f aca="false">IF($D$32=0,0,D30/$D$32)</f>
        <v>0.197326033933211</v>
      </c>
      <c r="F30" s="36" t="n">
        <f aca="false">IFERROR(SUMPRODUCT('RETRATO 2027'!J38:J50,'RETRATO 2027'!M38:M50)/SUM('RETRATO 2027'!M38:M50),0)</f>
        <v>0.248107134825627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57101507.6627906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 t="n">
        <v>1216.76</v>
      </c>
      <c r="D5" s="42" t="s">
        <v>47</v>
      </c>
      <c r="E5" s="44" t="n">
        <f aca="false">E50</f>
        <v>1</v>
      </c>
      <c r="F5" s="45" t="n">
        <f aca="false">F50</f>
        <v>151118325.98</v>
      </c>
      <c r="G5" s="45" t="n">
        <f aca="false">G50</f>
        <v>124214.550971</v>
      </c>
      <c r="H5" s="42" t="s">
        <v>92</v>
      </c>
      <c r="J5" s="42" t="s">
        <v>93</v>
      </c>
      <c r="K5" s="46" t="n">
        <v>46235</v>
      </c>
      <c r="O5" s="47" t="s">
        <v>94</v>
      </c>
      <c r="P5" s="48" t="n">
        <f aca="false">DATE(YEAR(K5),MONTH(K5),1)</f>
        <v>46235</v>
      </c>
    </row>
    <row r="6" customFormat="false" ht="15" hidden="false" customHeight="false" outlineLevel="0" collapsed="false">
      <c r="B6" s="42" t="s">
        <v>95</v>
      </c>
      <c r="C6" s="49" t="n">
        <v>143557.19</v>
      </c>
      <c r="H6" s="43" t="n">
        <v>1216.706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174674646.5044</v>
      </c>
      <c r="D7" s="42" t="s">
        <v>80</v>
      </c>
      <c r="E7" s="44" t="n">
        <f aca="false">IF(F49=0,0,F48/F49)</f>
        <v>0.00376019222702573</v>
      </c>
      <c r="F7" s="45" t="n">
        <f aca="false">F48</f>
        <v>566105.29</v>
      </c>
      <c r="G7" s="45" t="n">
        <f aca="false">G48</f>
        <v>477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1296.889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0.996253893852193</v>
      </c>
      <c r="F8" s="45" t="n">
        <f aca="false">F49</f>
        <v>150552220.69</v>
      </c>
      <c r="G8" s="45" t="n">
        <f aca="false">G49</f>
        <v>123737.550971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0.0158815946671989</v>
      </c>
      <c r="F11" s="49" t="n">
        <v>2400000</v>
      </c>
      <c r="G11" s="49" t="n">
        <v>1972.53897</v>
      </c>
      <c r="H11" s="45" t="n">
        <f aca="false">MAX(G11*IF(S11="",1,S11),PROJETO!$K$8)</f>
        <v>2047.22345746143</v>
      </c>
      <c r="I11" s="55" t="s">
        <v>126</v>
      </c>
      <c r="J11" s="55" t="s">
        <v>63</v>
      </c>
      <c r="K11" s="45" t="n">
        <f aca="false">IF(ISNUMBER($P$7),G11*$P$7,0)</f>
        <v>2558164.09226433</v>
      </c>
      <c r="L11" s="56" t="n">
        <f aca="false">PROJETO!$J$7</f>
        <v>2469182.34229771</v>
      </c>
      <c r="M11" s="45" t="n">
        <f aca="false">L11-K11</f>
        <v>-88981.7499666205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1.03786211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0.000834809274003579</v>
      </c>
      <c r="F12" s="49" t="n">
        <v>126154.98</v>
      </c>
      <c r="G12" s="49" t="n">
        <v>103.685673</v>
      </c>
      <c r="H12" s="45" t="n">
        <f aca="false">MAX(G12*IF(S12="",1,S12),SEGUROS!$K$8)</f>
        <v>191.166414165265</v>
      </c>
      <c r="I12" s="55" t="s">
        <v>126</v>
      </c>
      <c r="J12" s="55" t="s">
        <v>129</v>
      </c>
      <c r="K12" s="45" t="n">
        <f aca="false">IF(ISNUMBER($P$7),G12*$P$7,0)</f>
        <v>134468.808771297</v>
      </c>
      <c r="L12" s="56" t="n">
        <f aca="false">SEGUROS!$J$7</f>
        <v>241135.16</v>
      </c>
      <c r="M12" s="45" t="n">
        <f aca="false">L12-K12</f>
        <v>106666.351228703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SEM CURVA</v>
      </c>
      <c r="P12" s="58" t="n">
        <f aca="false">SEGUROS!$K$14</f>
        <v>0</v>
      </c>
      <c r="Q12" s="55" t="s">
        <v>128</v>
      </c>
      <c r="R12" s="55"/>
      <c r="S12" s="59" t="n">
        <v>0.95674951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0.000992599666699934</v>
      </c>
      <c r="F13" s="49" t="n">
        <v>150000</v>
      </c>
      <c r="G13" s="49" t="n">
        <v>123.283686</v>
      </c>
      <c r="H13" s="45" t="n">
        <f aca="false">MAX(G13*IF(S13="",1,S13),'TAX. DIVERSAS'!$K$8)</f>
        <v>123.283686</v>
      </c>
      <c r="I13" s="55" t="s">
        <v>126</v>
      </c>
      <c r="J13" s="55" t="s">
        <v>66</v>
      </c>
      <c r="K13" s="45" t="n">
        <f aca="false">IF(ISNUMBER($P$7),G13*$P$7,0)</f>
        <v>159885.256252854</v>
      </c>
      <c r="L13" s="56" t="n">
        <f aca="false">'TAX. DIVERSAS'!$J$7</f>
        <v>159786.721461049</v>
      </c>
      <c r="M13" s="45" t="n">
        <f aca="false">L13-K13</f>
        <v>-98.5347918047919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0.00618398280909808</v>
      </c>
      <c r="F14" s="49" t="n">
        <v>934513.13</v>
      </c>
      <c r="G14" s="49" t="n">
        <v>768.068153</v>
      </c>
      <c r="H14" s="45" t="n">
        <f aca="false">MAX(G14*IF(S14="",1,S14),'BARRACÃO DE OBRA'!$K$8)</f>
        <v>972.714666461365</v>
      </c>
      <c r="I14" s="55" t="s">
        <v>126</v>
      </c>
      <c r="J14" s="55" t="s">
        <v>67</v>
      </c>
      <c r="K14" s="45" t="n">
        <f aca="false">IF(ISNUMBER($P$7),G14*$P$7,0)</f>
        <v>996099.138876017</v>
      </c>
      <c r="L14" s="56" t="n">
        <f aca="false">'BARRACÃO DE OBRA'!$J$7</f>
        <v>1221240.71877809</v>
      </c>
      <c r="M14" s="45" t="n">
        <f aca="false">L14-K14</f>
        <v>225141.579902077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1.26644317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0.000330866555566645</v>
      </c>
      <c r="F15" s="49" t="n">
        <v>50000</v>
      </c>
      <c r="G15" s="49" t="n">
        <v>41.094562</v>
      </c>
      <c r="H15" s="45" t="n">
        <f aca="false">MAX(G15*IF(S15="",1,S15),'LIG. PROVISÓRIAS'!$K$8)</f>
        <v>69.3874220706997</v>
      </c>
      <c r="I15" s="55" t="s">
        <v>126</v>
      </c>
      <c r="J15" s="55" t="s">
        <v>137</v>
      </c>
      <c r="K15" s="45" t="n">
        <f aca="false">IF(ISNUMBER($P$7),G15*$P$7,0)</f>
        <v>53295.085417618</v>
      </c>
      <c r="L15" s="56" t="n">
        <f aca="false">'LIG. PROVISÓRIAS'!$J$7</f>
        <v>87467.1354551868</v>
      </c>
      <c r="M15" s="45" t="n">
        <f aca="false">L15-K15</f>
        <v>34172.0500375688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 t="n">
        <v>1.68848185</v>
      </c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0.00345027644144897</v>
      </c>
      <c r="F16" s="49" t="n">
        <v>521400</v>
      </c>
      <c r="G16" s="49" t="n">
        <v>428.534091</v>
      </c>
      <c r="H16" s="45" t="n">
        <f aca="false">MAX(G16*IF(S16="",1,S16),CONSUMOS!$K$8)</f>
        <v>447.683548249062</v>
      </c>
      <c r="I16" s="55" t="s">
        <v>126</v>
      </c>
      <c r="J16" s="55" t="s">
        <v>140</v>
      </c>
      <c r="K16" s="45" t="n">
        <f aca="false">IF(ISNUMBER($P$7),G16*$P$7,0)</f>
        <v>555761.148742899</v>
      </c>
      <c r="L16" s="56" t="n">
        <f aca="false">CONSUMOS!$J$7</f>
        <v>579625.908128584</v>
      </c>
      <c r="M16" s="45" t="n">
        <f aca="false">L16-K16</f>
        <v>23864.7593856846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1.04468596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0.00104818524803513</v>
      </c>
      <c r="F17" s="49" t="n">
        <v>158400</v>
      </c>
      <c r="G17" s="49" t="n">
        <v>130.187572</v>
      </c>
      <c r="H17" s="45" t="n">
        <f aca="false">MAX(G17*IF(S17="",1,S17),DIVERSOS!$K$8)</f>
        <v>152.453292064016</v>
      </c>
      <c r="I17" s="55" t="s">
        <v>126</v>
      </c>
      <c r="J17" s="55" t="s">
        <v>83</v>
      </c>
      <c r="K17" s="45" t="n">
        <f aca="false">IF(ISNUMBER($P$7),G17*$P$7,0)</f>
        <v>168838.830063508</v>
      </c>
      <c r="L17" s="56" t="n">
        <f aca="false">DIVERSOS!$J$7</f>
        <v>195765.174713413</v>
      </c>
      <c r="M17" s="45" t="n">
        <f aca="false">L17-K17</f>
        <v>26926.3446499047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1.171028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0.00515881839574623</v>
      </c>
      <c r="F18" s="49" t="n">
        <v>779592</v>
      </c>
      <c r="G18" s="49" t="n">
        <v>640.739834</v>
      </c>
      <c r="H18" s="45" t="n">
        <f aca="false">MAX(G18*IF(S18="",1,S18),TRANSPORTES!$K$8)</f>
        <v>646.641445129837</v>
      </c>
      <c r="I18" s="55" t="s">
        <v>126</v>
      </c>
      <c r="J18" s="55" t="s">
        <v>145</v>
      </c>
      <c r="K18" s="45" t="n">
        <f aca="false">IF(ISNUMBER($P$7),G18*$P$7,0)</f>
        <v>830968.442576426</v>
      </c>
      <c r="L18" s="56" t="n">
        <f aca="false">TRANSPORTES!$J$7</f>
        <v>835011.905352242</v>
      </c>
      <c r="M18" s="45" t="n">
        <f aca="false">L18-K18</f>
        <v>4043.46277581644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1.00921062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0.00875248565270006</v>
      </c>
      <c r="F19" s="49" t="n">
        <v>1322660.98</v>
      </c>
      <c r="G19" s="49" t="n">
        <v>1087.08347</v>
      </c>
      <c r="H19" s="45" t="n">
        <f aca="false">MAX(G19*IF(S19="",1,S19),CONSULTORIAS!$K$8)</f>
        <v>1071.13920587468</v>
      </c>
      <c r="I19" s="55" t="s">
        <v>126</v>
      </c>
      <c r="J19" s="55" t="s">
        <v>69</v>
      </c>
      <c r="K19" s="45" t="n">
        <f aca="false">IF(ISNUMBER($P$7),G19*$P$7,0)</f>
        <v>1409826.59432483</v>
      </c>
      <c r="L19" s="56" t="n">
        <f aca="false">CONSULTORIAS!$J$7</f>
        <v>1352988.41770466</v>
      </c>
      <c r="M19" s="45" t="n">
        <f aca="false">L19-K19</f>
        <v>-56838.1766201744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0.98533299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0.133590842931067</v>
      </c>
      <c r="F20" s="49" t="n">
        <v>20188024.55</v>
      </c>
      <c r="G20" s="49" t="n">
        <v>16592.360482</v>
      </c>
      <c r="H20" s="45" t="n">
        <f aca="false">MAX(G20*IF(S20="",1,S20),MDO!$K$8)</f>
        <v>16592.360482</v>
      </c>
      <c r="I20" s="55" t="s">
        <v>126</v>
      </c>
      <c r="J20" s="55" t="s">
        <v>82</v>
      </c>
      <c r="K20" s="45" t="n">
        <f aca="false">IF(ISNUMBER($P$7),G20*$P$7,0)</f>
        <v>21518449.7931405</v>
      </c>
      <c r="L20" s="56" t="n">
        <f aca="false">MDO!$J$7</f>
        <v>21332424.0263632</v>
      </c>
      <c r="M20" s="45" t="n">
        <f aca="false">L20-K20</f>
        <v>-186025.766777348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/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0.0428003130530708</v>
      </c>
      <c r="F21" s="49" t="n">
        <v>6467911.66</v>
      </c>
      <c r="G21" s="49" t="n">
        <v>5315.919921</v>
      </c>
      <c r="H21" s="45" t="n">
        <f aca="false">MAX(G21*IF(S21="",1,S21),'EQUIP E FER'!$K$8)</f>
        <v>5300.15774000144</v>
      </c>
      <c r="I21" s="55" t="s">
        <v>126</v>
      </c>
      <c r="J21" s="55" t="s">
        <v>78</v>
      </c>
      <c r="K21" s="45" t="n">
        <f aca="false">IF(ISNUMBER($P$7),G21*$P$7,0)</f>
        <v>6894158.07042577</v>
      </c>
      <c r="L21" s="56" t="n">
        <f aca="false">'EQUIP E FER'!$J$7</f>
        <v>6854195.05722762</v>
      </c>
      <c r="M21" s="45" t="n">
        <f aca="false">L21-K21</f>
        <v>-39963.0131981513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 t="n">
        <v>0.99703491</v>
      </c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0.00116035516449016</v>
      </c>
      <c r="F22" s="49" t="n">
        <v>175350.93</v>
      </c>
      <c r="G22" s="49" t="n">
        <v>144.119392</v>
      </c>
      <c r="H22" s="45" t="n">
        <f aca="false">MAX(G22*IF(S22="",1,S22),'SERV. INICIAIS'!$K$8)</f>
        <v>136.726941995109</v>
      </c>
      <c r="I22" s="55" t="s">
        <v>154</v>
      </c>
      <c r="J22" s="55" t="s">
        <v>81</v>
      </c>
      <c r="K22" s="45" t="n">
        <f aca="false">IF(ISNUMBER($P$7),G22*$P$7,0)</f>
        <v>186906.854171488</v>
      </c>
      <c r="L22" s="56" t="n">
        <f aca="false">'SERV. INICIAIS'!$J$7</f>
        <v>170605.435110053</v>
      </c>
      <c r="M22" s="45" t="n">
        <f aca="false">L22-K22</f>
        <v>-16301.419061435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PREVISÃO INFORMADA</v>
      </c>
      <c r="P22" s="58" t="n">
        <f aca="false">'SERV. INICIAIS'!$K$14</f>
        <v>1</v>
      </c>
      <c r="Q22" s="55" t="s">
        <v>153</v>
      </c>
      <c r="R22" s="55"/>
      <c r="S22" s="59" t="n">
        <v>0.94870607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0.010882555172148</v>
      </c>
      <c r="F23" s="49" t="n">
        <v>1644553.52</v>
      </c>
      <c r="G23" s="49" t="n">
        <v>1351.644127</v>
      </c>
      <c r="H23" s="45" t="n">
        <f aca="false">MAX(G23*IF(S23="",1,S23),CONTENÇÃO!$K$8)</f>
        <v>1144.63052963836</v>
      </c>
      <c r="I23" s="55" t="s">
        <v>154</v>
      </c>
      <c r="J23" s="55" t="s">
        <v>157</v>
      </c>
      <c r="K23" s="45" t="n">
        <f aca="false">IF(ISNUMBER($P$7),G23*$P$7,0)</f>
        <v>1752932.4002209</v>
      </c>
      <c r="L23" s="56" t="n">
        <f aca="false">CONTENÇÃO!$J$7</f>
        <v>1423010.61313945</v>
      </c>
      <c r="M23" s="45" t="n">
        <f aca="false">L23-K23</f>
        <v>-329921.787081448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CURVA PREVISION</v>
      </c>
      <c r="P23" s="58" t="n">
        <f aca="false">CONTENÇÃO!$K$14</f>
        <v>0.7523</v>
      </c>
      <c r="Q23" s="55" t="s">
        <v>156</v>
      </c>
      <c r="R23" s="55"/>
      <c r="S23" s="59" t="n">
        <v>0.84684312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0.00833641090073171</v>
      </c>
      <c r="F24" s="49" t="n">
        <v>1259784.46</v>
      </c>
      <c r="G24" s="49" t="n">
        <v>1035.405812</v>
      </c>
      <c r="H24" s="45" t="n">
        <f aca="false">MAX(G24*IF(S24="",1,S24),TERRAPLENAGEM!$K$8)</f>
        <v>1001.69121786328</v>
      </c>
      <c r="I24" s="55" t="s">
        <v>154</v>
      </c>
      <c r="J24" s="55" t="s">
        <v>71</v>
      </c>
      <c r="K24" s="45" t="n">
        <f aca="false">IF(ISNUMBER($P$7),G24*$P$7,0)</f>
        <v>1342806.40811887</v>
      </c>
      <c r="L24" s="56" t="n">
        <f aca="false">TERRAPLENAGEM!$J$7</f>
        <v>1274343.65832616</v>
      </c>
      <c r="M24" s="45" t="n">
        <f aca="false">L24-K24</f>
        <v>-68462.7497927113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CURVA PREVISION</v>
      </c>
      <c r="P24" s="58" t="n">
        <f aca="false">TERRAPLENAGEM!$K$14</f>
        <v>0.86</v>
      </c>
      <c r="Q24" s="55" t="s">
        <v>159</v>
      </c>
      <c r="R24" s="55"/>
      <c r="S24" s="59" t="n">
        <v>0.96743828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0.0412033363896849</v>
      </c>
      <c r="F25" s="49" t="n">
        <v>6226579.22</v>
      </c>
      <c r="G25" s="49" t="n">
        <v>5117.570899</v>
      </c>
      <c r="H25" s="45" t="n">
        <f aca="false">MAX(G25*IF(S25="",1,S25),'FUND. PROF'!$K$8)</f>
        <v>5539.15691790596</v>
      </c>
      <c r="I25" s="55" t="s">
        <v>154</v>
      </c>
      <c r="J25" s="55" t="s">
        <v>73</v>
      </c>
      <c r="K25" s="45" t="n">
        <f aca="false">IF(ISNUMBER($P$7),G25*$P$7,0)</f>
        <v>6636921.40563321</v>
      </c>
      <c r="L25" s="56" t="n">
        <f aca="false">'FUND. PROF'!$J$7</f>
        <v>6863872.54</v>
      </c>
      <c r="M25" s="45" t="n">
        <f aca="false">L25-K25</f>
        <v>226951.134366789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SEM CURVA</v>
      </c>
      <c r="P25" s="58" t="n">
        <f aca="false">'FUND. PROF'!$K$14</f>
        <v>0.9953</v>
      </c>
      <c r="Q25" s="55" t="s">
        <v>161</v>
      </c>
      <c r="R25" s="55"/>
      <c r="S25" s="59" t="n">
        <v>1.06257434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0.0268517923533446</v>
      </c>
      <c r="F26" s="49" t="n">
        <v>4057797.91</v>
      </c>
      <c r="G26" s="49" t="n">
        <v>3335.068547</v>
      </c>
      <c r="H26" s="45" t="n">
        <f aca="false">MAX(G26*IF(S26="",1,S26),'FUND. SUP'!$K$8)</f>
        <v>3370.8967881922</v>
      </c>
      <c r="I26" s="55" t="s">
        <v>154</v>
      </c>
      <c r="J26" s="55" t="s">
        <v>74</v>
      </c>
      <c r="K26" s="45" t="n">
        <f aca="false">IF(ISNUMBER($P$7),G26*$P$7,0)</f>
        <v>4325213.71285028</v>
      </c>
      <c r="L26" s="56" t="n">
        <f aca="false">'FUND. SUP'!$J$7</f>
        <v>4345864.1654116</v>
      </c>
      <c r="M26" s="45" t="n">
        <f aca="false">L26-K26</f>
        <v>20650.452561317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CURVA PREVISION</v>
      </c>
      <c r="P26" s="58" t="n">
        <f aca="false">'FUND. SUP'!$K$14</f>
        <v>0.7666</v>
      </c>
      <c r="Q26" s="55" t="s">
        <v>163</v>
      </c>
      <c r="R26" s="55"/>
      <c r="S26" s="59" t="n">
        <v>1.01074288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0.169741700244845</v>
      </c>
      <c r="F27" s="49" t="n">
        <v>25651081.59</v>
      </c>
      <c r="G27" s="49" t="n">
        <v>21082.399193</v>
      </c>
      <c r="H27" s="45" t="n">
        <f aca="false">MAX(G27*IF(S27="",1,S27),ESTRUTURA!$K$8)</f>
        <v>20961.9611386582</v>
      </c>
      <c r="I27" s="55" t="s">
        <v>154</v>
      </c>
      <c r="J27" s="55" t="s">
        <v>76</v>
      </c>
      <c r="K27" s="45" t="n">
        <f aca="false">IF(ISNUMBER($P$7),G27*$P$7,0)</f>
        <v>27341531.6070106</v>
      </c>
      <c r="L27" s="56" t="n">
        <f aca="false">ESTRUTURA!$J$7</f>
        <v>27173442.6676606</v>
      </c>
      <c r="M27" s="45" t="n">
        <f aca="false">L27-K27</f>
        <v>-168088.939349972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CURVA PREVISION</v>
      </c>
      <c r="P27" s="58" t="n">
        <f aca="false">ESTRUTURA!$K$14</f>
        <v>0.0807</v>
      </c>
      <c r="Q27" s="55" t="s">
        <v>165</v>
      </c>
      <c r="R27" s="55"/>
      <c r="S27" s="59" t="n">
        <v>0.99428727</v>
      </c>
    </row>
    <row r="28" customFormat="false" ht="15" hidden="false" customHeight="false" outlineLevel="0" collapsed="false">
      <c r="B28" s="55" t="s">
        <v>166</v>
      </c>
      <c r="C28" s="55" t="s">
        <v>167</v>
      </c>
      <c r="D28" s="55" t="s">
        <v>168</v>
      </c>
      <c r="E28" s="44" t="n">
        <f aca="false">IF($F$50=0,0,F28/$F$50)</f>
        <v>0.0392240691627598</v>
      </c>
      <c r="F28" s="49" t="n">
        <v>5927475.67</v>
      </c>
      <c r="G28" s="49" t="n">
        <v>4871.740311</v>
      </c>
      <c r="H28" s="45" t="n">
        <f aca="false">MAX(G28*IF(S28="",1,S28),ALVENARIA!$K$8)</f>
        <v>4871.740311</v>
      </c>
      <c r="I28" s="55" t="s">
        <v>154</v>
      </c>
      <c r="J28" s="55" t="s">
        <v>168</v>
      </c>
      <c r="K28" s="45" t="n">
        <f aca="false">IF(ISNUMBER($P$7),G28*$P$7,0)</f>
        <v>6318106.42019248</v>
      </c>
      <c r="L28" s="56" t="n">
        <f aca="false">ALVENARIA!$J$7</f>
        <v>6315607.9667121</v>
      </c>
      <c r="M28" s="45" t="n">
        <f aca="false">L28-K28</f>
        <v>-2498.45348038059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</v>
      </c>
      <c r="Q28" s="55" t="s">
        <v>167</v>
      </c>
      <c r="R28" s="55"/>
      <c r="S28" s="59"/>
    </row>
    <row r="29" customFormat="false" ht="15" hidden="false" customHeight="false" outlineLevel="0" collapsed="false">
      <c r="B29" s="55" t="s">
        <v>169</v>
      </c>
      <c r="C29" s="55" t="s">
        <v>170</v>
      </c>
      <c r="D29" s="55" t="s">
        <v>171</v>
      </c>
      <c r="E29" s="44" t="n">
        <f aca="false">IF($F$50=0,0,F29/$F$50)</f>
        <v>0.0259951482689128</v>
      </c>
      <c r="F29" s="49" t="n">
        <v>3928343.29</v>
      </c>
      <c r="G29" s="49" t="n">
        <v>3228.670926</v>
      </c>
      <c r="H29" s="45" t="n">
        <f aca="false">MAX(G29*IF(S29="",1,S29),IMPERMEABILIZAÇÃO!$K$8)</f>
        <v>3228.670926</v>
      </c>
      <c r="I29" s="55" t="s">
        <v>154</v>
      </c>
      <c r="J29" s="55" t="s">
        <v>171</v>
      </c>
      <c r="K29" s="45" t="n">
        <f aca="false">IF(ISNUMBER($P$7),G29*$P$7,0)</f>
        <v>4187227.80854921</v>
      </c>
      <c r="L29" s="56" t="n">
        <f aca="false">IMPERMEABILIZAÇÃO!$J$7</f>
        <v>4185571.99695067</v>
      </c>
      <c r="M29" s="45" t="n">
        <f aca="false">L29-K29</f>
        <v>-1655.81159854773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170</v>
      </c>
      <c r="R29" s="55"/>
      <c r="S29" s="59"/>
    </row>
    <row r="30" customFormat="false" ht="15" hidden="false" customHeight="false" outlineLevel="0" collapsed="false">
      <c r="B30" s="55" t="s">
        <v>172</v>
      </c>
      <c r="C30" s="55" t="s">
        <v>173</v>
      </c>
      <c r="D30" s="55" t="s">
        <v>77</v>
      </c>
      <c r="E30" s="44" t="n">
        <f aca="false">IF($F$50=0,0,F30/$F$50)</f>
        <v>0.0745285298587186</v>
      </c>
      <c r="F30" s="49" t="n">
        <v>11262626.67</v>
      </c>
      <c r="G30" s="49" t="n">
        <v>9256.654171</v>
      </c>
      <c r="H30" s="45" t="n">
        <f aca="false">MAX(G30*IF(S30="",1,S30),'INST. ELÉTRICA'!$K$8)</f>
        <v>8992.49258772817</v>
      </c>
      <c r="I30" s="55" t="s">
        <v>154</v>
      </c>
      <c r="J30" s="55" t="s">
        <v>174</v>
      </c>
      <c r="K30" s="45" t="n">
        <f aca="false">IF(ISNUMBER($P$7),G30*$P$7,0)</f>
        <v>12004852.971174</v>
      </c>
      <c r="L30" s="56" t="n">
        <f aca="false">'INST. ELÉTRICA'!$J$7</f>
        <v>11650169.6711975</v>
      </c>
      <c r="M30" s="45" t="n">
        <f aca="false">L30-K30</f>
        <v>-354683.299976517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</v>
      </c>
      <c r="Q30" s="55" t="s">
        <v>173</v>
      </c>
      <c r="R30" s="55"/>
      <c r="S30" s="59" t="n">
        <v>0.97146252</v>
      </c>
    </row>
    <row r="31" customFormat="false" ht="15" hidden="false" customHeight="false" outlineLevel="0" collapsed="false">
      <c r="B31" s="55" t="s">
        <v>175</v>
      </c>
      <c r="C31" s="55" t="s">
        <v>176</v>
      </c>
      <c r="D31" s="55" t="s">
        <v>177</v>
      </c>
      <c r="E31" s="44" t="n">
        <f aca="false">IF($F$50=0,0,F31/$F$50)</f>
        <v>0.0487964643082132</v>
      </c>
      <c r="F31" s="49" t="n">
        <v>7374040</v>
      </c>
      <c r="G31" s="49" t="n">
        <v>6060.658861</v>
      </c>
      <c r="H31" s="45" t="n">
        <f aca="false">MAX(G31*IF(S31="",1,S31),'INST. HIDRO'!$K$8)</f>
        <v>6060.658861</v>
      </c>
      <c r="I31" s="55" t="s">
        <v>154</v>
      </c>
      <c r="J31" s="55" t="s">
        <v>177</v>
      </c>
      <c r="K31" s="45" t="n">
        <f aca="false">IF(ISNUMBER($P$7),G31*$P$7,0)</f>
        <v>7860001.80958343</v>
      </c>
      <c r="L31" s="56" t="n">
        <f aca="false">'INST. HIDRO'!$J$7</f>
        <v>7856893.62374879</v>
      </c>
      <c r="M31" s="45" t="n">
        <f aca="false">L31-K31</f>
        <v>-3108.18583463412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</v>
      </c>
      <c r="Q31" s="55" t="s">
        <v>176</v>
      </c>
      <c r="R31" s="55"/>
      <c r="S31" s="59"/>
    </row>
    <row r="32" customFormat="false" ht="15" hidden="false" customHeight="false" outlineLevel="0" collapsed="false">
      <c r="B32" s="55" t="s">
        <v>178</v>
      </c>
      <c r="C32" s="55" t="s">
        <v>179</v>
      </c>
      <c r="D32" s="55" t="s">
        <v>180</v>
      </c>
      <c r="E32" s="44" t="n">
        <f aca="false">IF($F$50=0,0,F32/$F$50)</f>
        <v>0.00517184130337334</v>
      </c>
      <c r="F32" s="49" t="n">
        <v>781560</v>
      </c>
      <c r="G32" s="49" t="n">
        <v>642.357316</v>
      </c>
      <c r="H32" s="45" t="n">
        <f aca="false">MAX(G32*IF(S32="",1,S32),'INST. INC'!$K$8)</f>
        <v>642.357316</v>
      </c>
      <c r="I32" s="55" t="s">
        <v>154</v>
      </c>
      <c r="J32" s="55" t="s">
        <v>180</v>
      </c>
      <c r="K32" s="45" t="n">
        <f aca="false">IF(ISNUMBER($P$7),G32*$P$7,0)</f>
        <v>833066.137189924</v>
      </c>
      <c r="L32" s="56" t="n">
        <f aca="false">'INST. INC'!$J$7</f>
        <v>832736.706684734</v>
      </c>
      <c r="M32" s="45" t="n">
        <f aca="false">L32-K32</f>
        <v>-329.430505190161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179</v>
      </c>
      <c r="R32" s="55"/>
      <c r="S32" s="59"/>
    </row>
    <row r="33" customFormat="false" ht="15" hidden="false" customHeight="false" outlineLevel="0" collapsed="false">
      <c r="B33" s="55" t="s">
        <v>181</v>
      </c>
      <c r="C33" s="55" t="s">
        <v>182</v>
      </c>
      <c r="D33" s="55" t="s">
        <v>183</v>
      </c>
      <c r="E33" s="44" t="n">
        <f aca="false">IF($F$50=0,0,F33/$F$50)</f>
        <v>0.0177659651970689</v>
      </c>
      <c r="F33" s="49" t="n">
        <v>2684762.92</v>
      </c>
      <c r="G33" s="49" t="n">
        <v>2206.583122</v>
      </c>
      <c r="H33" s="45" t="n">
        <f aca="false">MAX(G33*IF(S33="",1,S33),'INST. ESP'!$K$8)</f>
        <v>2206.583122</v>
      </c>
      <c r="I33" s="55" t="s">
        <v>154</v>
      </c>
      <c r="J33" s="55" t="s">
        <v>183</v>
      </c>
      <c r="K33" s="45" t="n">
        <f aca="false">IF(ISNUMBER($P$7),G33*$P$7,0)</f>
        <v>2861693.37850746</v>
      </c>
      <c r="L33" s="56" t="n">
        <f aca="false">'INST. ESP'!$J$7</f>
        <v>2860561.74074991</v>
      </c>
      <c r="M33" s="45" t="n">
        <f aca="false">L33-K33</f>
        <v>-1131.63775755046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182</v>
      </c>
      <c r="R33" s="55"/>
      <c r="S33" s="59"/>
    </row>
    <row r="34" customFormat="false" ht="15" hidden="false" customHeight="false" outlineLevel="0" collapsed="false">
      <c r="B34" s="55" t="s">
        <v>184</v>
      </c>
      <c r="C34" s="55" t="s">
        <v>185</v>
      </c>
      <c r="D34" s="55" t="s">
        <v>186</v>
      </c>
      <c r="E34" s="44" t="n">
        <f aca="false">IF($F$50=0,0,F34/$F$50)</f>
        <v>0.0214148884260953</v>
      </c>
      <c r="F34" s="49" t="n">
        <v>3236182.09</v>
      </c>
      <c r="G34" s="49" t="n">
        <v>2659.789702</v>
      </c>
      <c r="H34" s="45" t="n">
        <f aca="false">MAX(G34*IF(S34="",1,S34),'ELEVADORES '!$K$8)</f>
        <v>2659.789702</v>
      </c>
      <c r="I34" s="55" t="s">
        <v>154</v>
      </c>
      <c r="J34" s="55" t="s">
        <v>187</v>
      </c>
      <c r="K34" s="45" t="n">
        <f aca="false">IF(ISNUMBER($P$7),G34*$P$7,0)</f>
        <v>3449452.00683708</v>
      </c>
      <c r="L34" s="56" t="n">
        <f aca="false">'ELEVADORES '!$J$7</f>
        <v>3448087.94380953</v>
      </c>
      <c r="M34" s="45" t="n">
        <f aca="false">L34-K34</f>
        <v>-1364.06302754674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185</v>
      </c>
      <c r="R34" s="55"/>
      <c r="S34" s="59"/>
    </row>
    <row r="35" customFormat="false" ht="15" hidden="false" customHeight="false" outlineLevel="0" collapsed="false">
      <c r="B35" s="55" t="s">
        <v>188</v>
      </c>
      <c r="C35" s="55" t="s">
        <v>189</v>
      </c>
      <c r="D35" s="55" t="s">
        <v>190</v>
      </c>
      <c r="E35" s="44" t="n">
        <f aca="false">IF($F$50=0,0,F35/$F$50)</f>
        <v>0.0739915537542405</v>
      </c>
      <c r="F35" s="49" t="n">
        <v>11181479.74</v>
      </c>
      <c r="G35" s="49" t="n">
        <v>9189.960224</v>
      </c>
      <c r="H35" s="45" t="n">
        <f aca="false">MAX(G35*IF(S35="",1,S35),ESQUADRIAS!$K$8)</f>
        <v>9189.960224</v>
      </c>
      <c r="I35" s="55" t="s">
        <v>154</v>
      </c>
      <c r="J35" s="55" t="s">
        <v>191</v>
      </c>
      <c r="K35" s="45" t="n">
        <f aca="false">IF(ISNUMBER($P$7),G35*$P$7,0)</f>
        <v>11918358.3249431</v>
      </c>
      <c r="L35" s="56" t="n">
        <f aca="false">ESQUADRIAS!$J$7</f>
        <v>11913645.2888122</v>
      </c>
      <c r="M35" s="45" t="n">
        <f aca="false">L35-K35</f>
        <v>-4713.03613092378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189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193</v>
      </c>
      <c r="D36" s="55" t="s">
        <v>194</v>
      </c>
      <c r="E36" s="44" t="n">
        <f aca="false">IF($F$50=0,0,F36/$F$50)</f>
        <v>0.00319462750046538</v>
      </c>
      <c r="F36" s="49" t="n">
        <v>482766.76</v>
      </c>
      <c r="G36" s="49" t="n">
        <v>396.781767</v>
      </c>
      <c r="H36" s="45" t="n">
        <f aca="false">MAX(G36*IF(S36="",1,S36),SERRALHERIA!$K$8)</f>
        <v>396.781767</v>
      </c>
      <c r="I36" s="55" t="s">
        <v>154</v>
      </c>
      <c r="J36" s="55" t="s">
        <v>194</v>
      </c>
      <c r="K36" s="45" t="n">
        <f aca="false">IF(ISNUMBER($P$7),G36*$P$7,0)</f>
        <v>514581.909022863</v>
      </c>
      <c r="L36" s="56" t="n">
        <f aca="false">SERRALHERIA!$J$7</f>
        <v>514378.421003505</v>
      </c>
      <c r="M36" s="45" t="n">
        <f aca="false">L36-K36</f>
        <v>-203.488019358134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193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196</v>
      </c>
      <c r="D37" s="55" t="s">
        <v>197</v>
      </c>
      <c r="E37" s="44" t="n">
        <f aca="false">IF($F$50=0,0,F37/$F$50)</f>
        <v>0.0197022322785262</v>
      </c>
      <c r="F37" s="49" t="n">
        <v>2977368.36</v>
      </c>
      <c r="G37" s="49" t="n">
        <v>2447.072966</v>
      </c>
      <c r="H37" s="45" t="n">
        <f aca="false">MAX(G37*IF(S37="",1,S37),MARCENARIA!$K$8)</f>
        <v>2447.072966</v>
      </c>
      <c r="I37" s="55" t="s">
        <v>154</v>
      </c>
      <c r="J37" s="55" t="s">
        <v>197</v>
      </c>
      <c r="K37" s="45" t="n">
        <f aca="false">IF(ISNUMBER($P$7),G37*$P$7,0)</f>
        <v>3173582.01180277</v>
      </c>
      <c r="L37" s="56" t="n">
        <f aca="false">MARCENARIA!$J$7</f>
        <v>3172327.03974385</v>
      </c>
      <c r="M37" s="45" t="n">
        <f aca="false">L37-K37</f>
        <v>-1254.97205892578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196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199</v>
      </c>
      <c r="D38" s="55" t="s">
        <v>200</v>
      </c>
      <c r="E38" s="44" t="n">
        <f aca="false">IF($F$50=0,0,F38/$F$50)</f>
        <v>0.00725308014691125</v>
      </c>
      <c r="F38" s="49" t="n">
        <v>1096073.33</v>
      </c>
      <c r="G38" s="49" t="n">
        <v>900.853067</v>
      </c>
      <c r="H38" s="45" t="n">
        <f aca="false">MAX(G38*IF(S38="",1,S38),'REV. PISOS'!$K$8)</f>
        <v>900.853067</v>
      </c>
      <c r="I38" s="55" t="s">
        <v>154</v>
      </c>
      <c r="J38" s="55" t="s">
        <v>200</v>
      </c>
      <c r="K38" s="45" t="n">
        <f aca="false">IF(ISNUMBER($P$7),G38*$P$7,0)</f>
        <v>1168306.43320856</v>
      </c>
      <c r="L38" s="56" t="n">
        <f aca="false">'REV. PISOS'!$J$7</f>
        <v>1167844.43414111</v>
      </c>
      <c r="M38" s="45" t="n">
        <f aca="false">L38-K38</f>
        <v>-461.999067453435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</v>
      </c>
      <c r="Q38" s="55" t="s">
        <v>199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202</v>
      </c>
      <c r="D39" s="55" t="s">
        <v>203</v>
      </c>
      <c r="E39" s="44" t="n">
        <f aca="false">IF($F$50=0,0,F39/$F$50)</f>
        <v>0.0166637049058714</v>
      </c>
      <c r="F39" s="49" t="n">
        <v>2518191.19</v>
      </c>
      <c r="G39" s="49" t="n">
        <v>2069.679275</v>
      </c>
      <c r="H39" s="45" t="n">
        <f aca="false">MAX(G39*IF(S39="",1,S39),'REV. PAREDE'!$K$8)</f>
        <v>2069.679275</v>
      </c>
      <c r="I39" s="55" t="s">
        <v>154</v>
      </c>
      <c r="J39" s="55" t="s">
        <v>203</v>
      </c>
      <c r="K39" s="45" t="n">
        <f aca="false">IF(ISNUMBER($P$7),G39*$P$7,0)</f>
        <v>2684144.28527547</v>
      </c>
      <c r="L39" s="56" t="n">
        <f aca="false">'REV. PAREDE'!$J$7</f>
        <v>2683082.85813491</v>
      </c>
      <c r="M39" s="45" t="n">
        <f aca="false">L39-K39</f>
        <v>-1061.42714056838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</v>
      </c>
      <c r="Q39" s="55" t="s">
        <v>202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205</v>
      </c>
      <c r="D40" s="55" t="s">
        <v>206</v>
      </c>
      <c r="E40" s="44" t="n">
        <f aca="false">IF($F$50=0,0,F40/$F$50)</f>
        <v>0.0688358356442932</v>
      </c>
      <c r="F40" s="49" t="n">
        <v>10402356.25</v>
      </c>
      <c r="G40" s="49" t="n">
        <v>8549.605448</v>
      </c>
      <c r="H40" s="45" t="n">
        <f aca="false">MAX(G40*IF(S40="",1,S40),'REV. ACAB'!$K$8)</f>
        <v>8549.605448</v>
      </c>
      <c r="I40" s="55" t="s">
        <v>154</v>
      </c>
      <c r="J40" s="55" t="s">
        <v>206</v>
      </c>
      <c r="K40" s="45" t="n">
        <f aca="false">IF(ISNUMBER($P$7),G40*$P$7,0)</f>
        <v>11087889.2598513</v>
      </c>
      <c r="L40" s="56" t="n">
        <f aca="false">'REV. ACAB'!$J$7</f>
        <v>11083504.6272305</v>
      </c>
      <c r="M40" s="45" t="n">
        <f aca="false">L40-K40</f>
        <v>-4384.63262075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</v>
      </c>
      <c r="Q40" s="55" t="s">
        <v>205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208</v>
      </c>
      <c r="D41" s="55" t="s">
        <v>209</v>
      </c>
      <c r="E41" s="44" t="n">
        <f aca="false">IF($F$50=0,0,F41/$F$50)</f>
        <v>0.000707364042757774</v>
      </c>
      <c r="F41" s="49" t="n">
        <v>106895.67</v>
      </c>
      <c r="G41" s="49" t="n">
        <v>87.856614</v>
      </c>
      <c r="H41" s="45" t="n">
        <f aca="false">MAX(G41*IF(S41="",1,S41),PAVIMENTAÇÃO!$K$8)</f>
        <v>87.856614</v>
      </c>
      <c r="I41" s="55" t="s">
        <v>154</v>
      </c>
      <c r="J41" s="55" t="s">
        <v>210</v>
      </c>
      <c r="K41" s="45" t="n">
        <f aca="false">IF(ISNUMBER($P$7),G41*$P$7,0)</f>
        <v>113940.276273846</v>
      </c>
      <c r="L41" s="56" t="n">
        <f aca="false">PAVIMENTAÇÃO!$J$7</f>
        <v>113895.219343671</v>
      </c>
      <c r="M41" s="45" t="n">
        <f aca="false">L41-K41</f>
        <v>-45.0569301748765</v>
      </c>
      <c r="N41" s="47" t="str">
        <f aca="false">IF(D41="","",IF(PAVIMENTAÇÃO!$K$8&gt;PAVIMENTAÇÃO!$K$6+0.01,"⚠ Incorrido acima da meta em INCC",IF(AND(PAVIMENTAÇÃO!$K$18&gt;1,PAVIMENTAÇÃO!$K$17=0),"⚠ Saldo sem curva (preencha a coluna H da aba)",IF(ABS(PAVIMENTAÇÃO!$D$80)&gt;0.01,"⚠ Verificar","OK"))))</f>
        <v>OK</v>
      </c>
      <c r="O41" s="57" t="str">
        <f aca="false">PAVIMENTAÇÃO!$K$16</f>
        <v>CURVA PREVISION</v>
      </c>
      <c r="P41" s="58" t="n">
        <f aca="false">PAVIMENTAÇÃO!$K$14</f>
        <v>0</v>
      </c>
      <c r="Q41" s="55" t="s">
        <v>208</v>
      </c>
      <c r="R41" s="55"/>
      <c r="S41" s="59"/>
    </row>
    <row r="42" customFormat="false" ht="15" hidden="false" customHeight="false" outlineLevel="0" collapsed="false">
      <c r="B42" s="55" t="s">
        <v>211</v>
      </c>
      <c r="C42" s="55" t="s">
        <v>212</v>
      </c>
      <c r="D42" s="55" t="s">
        <v>213</v>
      </c>
      <c r="E42" s="44" t="n">
        <f aca="false">IF($F$50=0,0,F42/$F$50)</f>
        <v>0.0334547267329384</v>
      </c>
      <c r="F42" s="49" t="n">
        <v>5055622.3</v>
      </c>
      <c r="G42" s="49" t="n">
        <v>4155.171665</v>
      </c>
      <c r="H42" s="45" t="n">
        <f aca="false">MAX(G42*IF(S42="",1,S42),'REV. FACHADA'!$K$8)</f>
        <v>4155.171665</v>
      </c>
      <c r="I42" s="55" t="s">
        <v>154</v>
      </c>
      <c r="J42" s="55" t="s">
        <v>213</v>
      </c>
      <c r="K42" s="45" t="n">
        <f aca="false">IF(ISNUMBER($P$7),G42*$P$7,0)</f>
        <v>5388796.42545018</v>
      </c>
      <c r="L42" s="56" t="n">
        <f aca="false">'REV. FACHADA'!$J$7</f>
        <v>5386665.46147319</v>
      </c>
      <c r="M42" s="45" t="n">
        <f aca="false">L42-K42</f>
        <v>-2130.96397699229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</v>
      </c>
      <c r="Q42" s="55" t="s">
        <v>212</v>
      </c>
      <c r="R42" s="55"/>
      <c r="S42" s="59"/>
    </row>
    <row r="43" customFormat="false" ht="15" hidden="false" customHeight="false" outlineLevel="0" collapsed="false">
      <c r="B43" s="55" t="s">
        <v>214</v>
      </c>
      <c r="C43" s="55" t="s">
        <v>215</v>
      </c>
      <c r="D43" s="55" t="s">
        <v>216</v>
      </c>
      <c r="E43" s="44" t="n">
        <f aca="false">IF($F$50=0,0,F43/$F$50)</f>
        <v>0.0111868952295285</v>
      </c>
      <c r="F43" s="49" t="n">
        <v>1690544.88</v>
      </c>
      <c r="G43" s="49" t="n">
        <v>1389.444021</v>
      </c>
      <c r="H43" s="45" t="n">
        <f aca="false">MAX(G43*IF(S43="",1,S43),FORRO!$K$8)</f>
        <v>1389.444021</v>
      </c>
      <c r="I43" s="55" t="s">
        <v>154</v>
      </c>
      <c r="J43" s="55" t="s">
        <v>217</v>
      </c>
      <c r="K43" s="45" t="n">
        <f aca="false">IF(ISNUMBER($P$7),G43*$P$7,0)</f>
        <v>1801954.66695067</v>
      </c>
      <c r="L43" s="56" t="n">
        <f aca="false">FORRO!$J$7</f>
        <v>1801242.09587166</v>
      </c>
      <c r="M43" s="45" t="n">
        <f aca="false">L43-K43</f>
        <v>-712.571079009213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215</v>
      </c>
      <c r="R43" s="55"/>
      <c r="S43" s="59"/>
    </row>
    <row r="44" customFormat="false" ht="15" hidden="false" customHeight="false" outlineLevel="0" collapsed="false">
      <c r="B44" s="55" t="s">
        <v>218</v>
      </c>
      <c r="C44" s="55" t="s">
        <v>219</v>
      </c>
      <c r="D44" s="55" t="s">
        <v>220</v>
      </c>
      <c r="E44" s="44" t="n">
        <f aca="false">IF($F$50=0,0,F44/$F$50)</f>
        <v>0.0135695885108692</v>
      </c>
      <c r="F44" s="49" t="n">
        <v>2050613.5</v>
      </c>
      <c r="G44" s="49" t="n">
        <v>1685.381265</v>
      </c>
      <c r="H44" s="45" t="n">
        <f aca="false">MAX(G44*IF(S44="",1,S44),LOUÇAS!$K$8)</f>
        <v>1685.381265</v>
      </c>
      <c r="I44" s="55" t="s">
        <v>154</v>
      </c>
      <c r="J44" s="55" t="s">
        <v>221</v>
      </c>
      <c r="K44" s="45" t="n">
        <f aca="false">IF(ISNUMBER($P$7),G44*$P$7,0)</f>
        <v>2185752.42338459</v>
      </c>
      <c r="L44" s="56" t="n">
        <f aca="false">LOUÇAS!$J$7</f>
        <v>2184888.0820161</v>
      </c>
      <c r="M44" s="45" t="n">
        <f aca="false">L44-K44</f>
        <v>-864.341368484311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219</v>
      </c>
      <c r="R44" s="55"/>
      <c r="S44" s="59"/>
    </row>
    <row r="45" customFormat="false" ht="15" hidden="false" customHeight="false" outlineLevel="0" collapsed="false">
      <c r="B45" s="55" t="s">
        <v>222</v>
      </c>
      <c r="C45" s="55" t="s">
        <v>223</v>
      </c>
      <c r="D45" s="55" t="s">
        <v>224</v>
      </c>
      <c r="E45" s="44" t="n">
        <f aca="false">IF($F$50=0,0,F45/$F$50)</f>
        <v>0.0243302518483867</v>
      </c>
      <c r="F45" s="49" t="n">
        <v>3676746.93</v>
      </c>
      <c r="G45" s="49" t="n">
        <v>3021.886086</v>
      </c>
      <c r="H45" s="45" t="n">
        <f aca="false">MAX(G45*IF(S45="",1,S45),PINTURA!$K$8)</f>
        <v>3021.886086</v>
      </c>
      <c r="I45" s="55" t="s">
        <v>154</v>
      </c>
      <c r="J45" s="55" t="s">
        <v>225</v>
      </c>
      <c r="K45" s="45" t="n">
        <f aca="false">IF(ISNUMBER($P$7),G45*$P$7,0)</f>
        <v>3919050.82418645</v>
      </c>
      <c r="L45" s="56" t="n">
        <f aca="false">PINTURA!$J$7</f>
        <v>3917501.06140623</v>
      </c>
      <c r="M45" s="45" t="n">
        <f aca="false">L45-K45</f>
        <v>-1549.76278021885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</v>
      </c>
      <c r="Q45" s="55" t="s">
        <v>223</v>
      </c>
      <c r="R45" s="55"/>
      <c r="S45" s="59"/>
    </row>
    <row r="46" customFormat="false" ht="15" hidden="false" customHeight="false" outlineLevel="0" collapsed="false">
      <c r="B46" s="55" t="s">
        <v>226</v>
      </c>
      <c r="C46" s="55" t="s">
        <v>227</v>
      </c>
      <c r="D46" s="55" t="s">
        <v>228</v>
      </c>
      <c r="E46" s="44" t="n">
        <f aca="false">IF($F$50=0,0,F46/$F$50)</f>
        <v>0.0073915562044264</v>
      </c>
      <c r="F46" s="49" t="n">
        <v>1116999.6</v>
      </c>
      <c r="G46" s="49" t="n">
        <v>918.052182</v>
      </c>
      <c r="H46" s="45" t="n">
        <f aca="false">MAX(G46*IF(S46="",1,S46),PAISAGISMO!$K$8)</f>
        <v>918.052182</v>
      </c>
      <c r="I46" s="55" t="s">
        <v>154</v>
      </c>
      <c r="J46" s="55" t="s">
        <v>228</v>
      </c>
      <c r="K46" s="45" t="n">
        <f aca="false">IF(ISNUMBER($P$7),G46*$P$7,0)</f>
        <v>1190611.7762618</v>
      </c>
      <c r="L46" s="56" t="n">
        <f aca="false">PAISAGISMO!$J$7</f>
        <v>1190140.95669366</v>
      </c>
      <c r="M46" s="45" t="n">
        <f aca="false">L46-K46</f>
        <v>-470.819568134379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</v>
      </c>
      <c r="Q46" s="55" t="s">
        <v>227</v>
      </c>
      <c r="R46" s="55"/>
      <c r="S46" s="59"/>
    </row>
    <row r="47" customFormat="false" ht="15" hidden="false" customHeight="false" outlineLevel="0" collapsed="false">
      <c r="B47" s="55" t="s">
        <v>229</v>
      </c>
      <c r="C47" s="55" t="s">
        <v>230</v>
      </c>
      <c r="D47" s="55" t="s">
        <v>231</v>
      </c>
      <c r="E47" s="44" t="n">
        <f aca="false">IF($F$50=0,0,F47/$F$50)</f>
        <v>0.00587464560795554</v>
      </c>
      <c r="F47" s="49" t="n">
        <v>887766.61</v>
      </c>
      <c r="G47" s="49" t="n">
        <v>729.647598</v>
      </c>
      <c r="H47" s="45" t="n">
        <f aca="false">MAX(G47*IF(S47="",1,S47),LIMPEZA!$K$8)</f>
        <v>729.647598</v>
      </c>
      <c r="I47" s="55" t="s">
        <v>154</v>
      </c>
      <c r="J47" s="55" t="s">
        <v>231</v>
      </c>
      <c r="K47" s="45" t="n">
        <f aca="false">IF(ISNUMBER($P$7),G47*$P$7,0)</f>
        <v>946271.943722622</v>
      </c>
      <c r="L47" s="56" t="n">
        <f aca="false">LIMPEZA!$J$7</f>
        <v>945897.746728468</v>
      </c>
      <c r="M47" s="45" t="n">
        <f aca="false">L47-K47</f>
        <v>-374.196994153899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230</v>
      </c>
      <c r="R47" s="55"/>
      <c r="S47" s="59"/>
    </row>
    <row r="48" customFormat="false" ht="15" hidden="false" customHeight="false" outlineLevel="0" collapsed="false">
      <c r="B48" s="55"/>
      <c r="C48" s="55" t="s">
        <v>232</v>
      </c>
      <c r="D48" s="55" t="s">
        <v>80</v>
      </c>
      <c r="E48" s="44" t="n">
        <f aca="false">IF($F$50=0,0,F48/$F$50)</f>
        <v>0.00374610614780713</v>
      </c>
      <c r="F48" s="49" t="n">
        <v>566105.29</v>
      </c>
      <c r="G48" s="49" t="n">
        <v>477</v>
      </c>
      <c r="H48" s="56" t="n">
        <f aca="false">'TAX. ADM'!$K$8</f>
        <v>476.964710261372</v>
      </c>
      <c r="I48" s="55" t="s">
        <v>126</v>
      </c>
      <c r="J48" s="55" t="s">
        <v>80</v>
      </c>
      <c r="K48" s="45" t="n">
        <f aca="false">IF(ISNUMBER($P$7),G48*$P$7,0)</f>
        <v>618616.053</v>
      </c>
      <c r="L48" s="56" t="n">
        <f aca="false">'TAX. ADM'!$J$7</f>
        <v>566105.29</v>
      </c>
      <c r="M48" s="45" t="n">
        <f aca="false">L48-K48</f>
        <v>-52510.7629999999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233</v>
      </c>
      <c r="R48" s="55"/>
      <c r="S48" s="59"/>
    </row>
    <row r="49" customFormat="false" ht="15" hidden="false" customHeight="false" outlineLevel="0" collapsed="false">
      <c r="D49" s="42" t="s">
        <v>234</v>
      </c>
      <c r="E49" s="60" t="n">
        <f aca="false">SUM(E11:E47)</f>
        <v>0.996253893852193</v>
      </c>
      <c r="F49" s="61" t="n">
        <f aca="false">SUM(F11:F47)</f>
        <v>150552220.69</v>
      </c>
      <c r="G49" s="61" t="n">
        <f aca="false">SUM(G11:G47)</f>
        <v>123737.550971</v>
      </c>
      <c r="H49" s="61" t="n">
        <f aca="false">SUM(H11:H47)</f>
        <v>123972.959897459</v>
      </c>
      <c r="K49" s="61" t="n">
        <f aca="false">SUM(K11:K47)</f>
        <v>160473868.741229</v>
      </c>
      <c r="L49" s="61" t="n">
        <f aca="false">SUM(L11:L47)</f>
        <v>159804604.589582</v>
      </c>
      <c r="M49" s="61" t="n">
        <f aca="false">SUM(M11:M47)</f>
        <v>-669264.151647318</v>
      </c>
    </row>
    <row r="50" customFormat="false" ht="15" hidden="false" customHeight="false" outlineLevel="0" collapsed="false">
      <c r="D50" s="42" t="s">
        <v>235</v>
      </c>
      <c r="E50" s="60" t="n">
        <f aca="false">SUM(E11:E48)</f>
        <v>1</v>
      </c>
      <c r="F50" s="61" t="n">
        <f aca="false">SUM(F11:F48)</f>
        <v>151118325.98</v>
      </c>
      <c r="G50" s="61" t="n">
        <f aca="false">SUM(G11:G48)</f>
        <v>124214.550971</v>
      </c>
      <c r="H50" s="61" t="n">
        <f aca="false">SUM(H11:H48)</f>
        <v>124449.92460772</v>
      </c>
      <c r="K50" s="61" t="n">
        <f aca="false">SUM(K11:K48)</f>
        <v>161092484.794229</v>
      </c>
      <c r="L50" s="61" t="n">
        <f aca="false">SUM(L11:L48)</f>
        <v>160370709.879582</v>
      </c>
      <c r="M50" s="61" t="n">
        <f aca="false">SUM(M11:M48)</f>
        <v>-721774.914647318</v>
      </c>
    </row>
    <row r="53" customFormat="false" ht="15" hidden="false" customHeight="false" outlineLevel="0" collapsed="false">
      <c r="D53" s="62" t="s">
        <v>236</v>
      </c>
      <c r="E53" s="62" t="s">
        <v>237</v>
      </c>
      <c r="F53" s="62" t="s">
        <v>238</v>
      </c>
      <c r="G53" s="62"/>
      <c r="H53" s="62"/>
    </row>
    <row r="54" customFormat="false" ht="15" hidden="false" customHeight="false" outlineLevel="0" collapsed="false">
      <c r="D54" s="47" t="s">
        <v>239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240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241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242</v>
      </c>
      <c r="E57" s="66" t="n">
        <f aca="false">IF(ISNUMBER(P7),P7,0)</f>
        <v>1296.889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243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244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245</v>
      </c>
      <c r="E62" s="54" t="s">
        <v>246</v>
      </c>
      <c r="F62" s="54" t="s">
        <v>247</v>
      </c>
      <c r="G62" s="54" t="s">
        <v>248</v>
      </c>
    </row>
    <row r="63" customFormat="false" ht="15" hidden="false" customHeight="false" outlineLevel="0" collapsed="false">
      <c r="D63" s="47" t="s">
        <v>249</v>
      </c>
      <c r="E63" s="67" t="n">
        <v>21284340.810013</v>
      </c>
      <c r="F63" s="56" t="n">
        <f aca="false">SUMPRODUCT((PROJETO!$B$5:$B$76&lt;=DATE(2026,8,1))*PROJETO!$C$5:$C$76)+SUMPRODUCT((SEGUROS!$B$5:$B$76&lt;=DATE(2026,8,1))*SEGUROS!$C$5:$C$76)+SUMPRODUCT(('TAX. DIVERSAS'!$B$5:$B$76&lt;=DATE(2026,8,1))*'TAX. DIVERSAS'!$C$5:$C$76)+SUMPRODUCT(('BARRACÃO DE OBRA'!$B$5:$B$76&lt;=DATE(2026,8,1))*'BARRACÃO DE OBRA'!$C$5:$C$76)+SUMPRODUCT(('LIG. PROVISÓRIAS'!$B$5:$B$76&lt;=DATE(2026,8,1))*'LIG. PROVISÓRIAS'!$C$5:$C$76)+SUMPRODUCT((CONSUMOS!$B$5:$B$76&lt;=DATE(2026,8,1))*CONSUMOS!$C$5:$C$76)+SUMPRODUCT((DIVERSOS!$B$5:$B$76&lt;=DATE(2026,8,1))*DIVERSOS!$C$5:$C$76)+SUMPRODUCT((TRANSPORTES!$B$5:$B$76&lt;=DATE(2026,8,1))*TRANSPORTES!$C$5:$C$76)+SUMPRODUCT((CONSULTORIAS!$B$5:$B$76&lt;=DATE(2026,8,1))*CONSULTORIAS!$C$5:$C$76)+SUMPRODUCT((MDO!$B$5:$B$76&lt;=DATE(2026,8,1))*MDO!$C$5:$C$76)+SUMPRODUCT(('EQUIP E FER'!$B$5:$B$76&lt;=DATE(2026,8,1))*'EQUIP E FER'!$C$5:$C$76)+SUMPRODUCT(('SERV. INICIAIS'!$B$5:$B$76&lt;=DATE(2026,8,1))*'SERV. INICIAIS'!$C$5:$C$76)+SUMPRODUCT((CONTENÇÃO!$B$5:$B$76&lt;=DATE(2026,8,1))*CONTENÇÃO!$C$5:$C$76)+SUMPRODUCT((TERRAPLENAGEM!$B$5:$B$76&lt;=DATE(2026,8,1))*TERRAPLENAGEM!$C$5:$C$76)+SUMPRODUCT(('FUND. PROF'!$B$5:$B$76&lt;=DATE(2026,8,1))*'FUND. PROF'!$C$5:$C$76)+SUMPRODUCT(('FUND. SUP'!$B$5:$B$76&lt;=DATE(2026,8,1))*'FUND. SUP'!$C$5:$C$76)+SUMPRODUCT((ESTRUTURA!$B$5:$B$76&lt;=DATE(2026,8,1))*ESTRUTURA!$C$5:$C$76)+SUMPRODUCT((ALVENARIA!$B$5:$B$76&lt;=DATE(2026,8,1))*ALVENARIA!$C$5:$C$76)+SUMPRODUCT((IMPERMEABILIZAÇÃO!$B$5:$B$76&lt;=DATE(2026,8,1))*IMPERMEABILIZAÇÃO!$C$5:$C$76)+SUMPRODUCT(('INST. ELÉTRICA'!$B$5:$B$76&lt;=DATE(2026,8,1))*'INST. ELÉTRICA'!$C$5:$C$76)+SUMPRODUCT(('INST. HIDRO'!$B$5:$B$76&lt;=DATE(2026,8,1))*'INST. HIDRO'!$C$5:$C$76)+SUMPRODUCT(('INST. INC'!$B$5:$B$76&lt;=DATE(2026,8,1))*'INST. INC'!$C$5:$C$76)+SUMPRODUCT(('INST. ESP'!$B$5:$B$76&lt;=DATE(2026,8,1))*'INST. ESP'!$C$5:$C$76)+SUMPRODUCT(('ELEVADORES '!$B$5:$B$76&lt;=DATE(2026,8,1))*'ELEVADORES '!$C$5:$C$76)+SUMPRODUCT((ESQUADRIAS!$B$5:$B$76&lt;=DATE(2026,8,1))*ESQUADRIAS!$C$5:$C$76)+SUMPRODUCT((SERRALHERIA!$B$5:$B$76&lt;=DATE(2026,8,1))*SERRALHERIA!$C$5:$C$76)+SUMPRODUCT((MARCENARIA!$B$5:$B$76&lt;=DATE(2026,8,1))*MARCENARIA!$C$5:$C$76)+SUMPRODUCT(('REV. PISOS'!$B$5:$B$76&lt;=DATE(2026,8,1))*'REV. PISOS'!$C$5:$C$76)+SUMPRODUCT(('REV. PAREDE'!$B$5:$B$76&lt;=DATE(2026,8,1))*'REV. PAREDE'!$C$5:$C$76)+SUMPRODUCT(('REV. ACAB'!$B$5:$B$76&lt;=DATE(2026,8,1))*'REV. ACAB'!$C$5:$C$76)+SUMPRODUCT((PAVIMENTAÇÃO!$B$5:$B$76&lt;=DATE(2026,8,1))*PAVIMENTAÇÃO!$C$5:$C$76)+SUMPRODUCT(('REV. FACHADA'!$B$5:$B$76&lt;=DATE(2026,8,1))*'REV. FACHADA'!$C$5:$C$76)+SUMPRODUCT((FORRO!$B$5:$B$76&lt;=DATE(2026,8,1))*FORRO!$C$5:$C$76)+SUMPRODUCT((LOUÇAS!$B$5:$B$76&lt;=DATE(2026,8,1))*LOUÇAS!$C$5:$C$76)+SUMPRODUCT((PINTURA!$B$5:$B$76&lt;=DATE(2026,8,1))*PINTURA!$C$5:$C$76)+SUMPRODUCT((PAISAGISMO!$B$5:$B$76&lt;=DATE(2026,8,1))*PAISAGISMO!$C$5:$C$76)+SUMPRODUCT((LIMPEZA!$B$5:$B$76&lt;=DATE(2026,8,1))*LIMPEZA!$C$5:$C$76)+SUMPRODUCT(('TAX. ADM'!$B$5:$B$76&lt;=DATE(2026,8,1))*'TAX. ADM'!$C$5:$C$76)</f>
        <v>21234071.29</v>
      </c>
      <c r="G63" s="68" t="n">
        <f aca="false">E63-F63</f>
        <v>50269.520013012</v>
      </c>
    </row>
    <row r="64" customFormat="false" ht="15" hidden="false" customHeight="false" outlineLevel="0" collapsed="false">
      <c r="D64" s="47" t="s">
        <v>250</v>
      </c>
      <c r="E64" s="69" t="n">
        <v>17165</v>
      </c>
      <c r="F64" s="52" t="n">
        <f aca="false">SUMPRODUCT((PROJETO!$B$5:$B$76&lt;=DATE(2026,8,1))*PROJETO!$L$5:$L$76)+SUMPRODUCT((SEGUROS!$B$5:$B$76&lt;=DATE(2026,8,1))*SEGUROS!$L$5:$L$76)+SUMPRODUCT(('TAX. DIVERSAS'!$B$5:$B$76&lt;=DATE(2026,8,1))*'TAX. DIVERSAS'!$L$5:$L$76)+SUMPRODUCT(('BARRACÃO DE OBRA'!$B$5:$B$76&lt;=DATE(2026,8,1))*'BARRACÃO DE OBRA'!$L$5:$L$76)+SUMPRODUCT(('LIG. PROVISÓRIAS'!$B$5:$B$76&lt;=DATE(2026,8,1))*'LIG. PROVISÓRIAS'!$L$5:$L$76)+SUMPRODUCT((CONSUMOS!$B$5:$B$76&lt;=DATE(2026,8,1))*CONSUMOS!$L$5:$L$76)+SUMPRODUCT((DIVERSOS!$B$5:$B$76&lt;=DATE(2026,8,1))*DIVERSOS!$L$5:$L$76)+SUMPRODUCT((TRANSPORTES!$B$5:$B$76&lt;=DATE(2026,8,1))*TRANSPORTES!$L$5:$L$76)+SUMPRODUCT((CONSULTORIAS!$B$5:$B$76&lt;=DATE(2026,8,1))*CONSULTORIAS!$L$5:$L$76)+SUMPRODUCT((MDO!$B$5:$B$76&lt;=DATE(2026,8,1))*MDO!$L$5:$L$76)+SUMPRODUCT(('EQUIP E FER'!$B$5:$B$76&lt;=DATE(2026,8,1))*'EQUIP E FER'!$L$5:$L$76)+SUMPRODUCT(('SERV. INICIAIS'!$B$5:$B$76&lt;=DATE(2026,8,1))*'SERV. INICIAIS'!$L$5:$L$76)+SUMPRODUCT((CONTENÇÃO!$B$5:$B$76&lt;=DATE(2026,8,1))*CONTENÇÃO!$L$5:$L$76)+SUMPRODUCT((TERRAPLENAGEM!$B$5:$B$76&lt;=DATE(2026,8,1))*TERRAPLENAGEM!$L$5:$L$76)+SUMPRODUCT(('FUND. PROF'!$B$5:$B$76&lt;=DATE(2026,8,1))*'FUND. PROF'!$L$5:$L$76)+SUMPRODUCT(('FUND. SUP'!$B$5:$B$76&lt;=DATE(2026,8,1))*'FUND. SUP'!$L$5:$L$76)+SUMPRODUCT((ESTRUTURA!$B$5:$B$76&lt;=DATE(2026,8,1))*ESTRUTURA!$L$5:$L$76)+SUMPRODUCT((ALVENARIA!$B$5:$B$76&lt;=DATE(2026,8,1))*ALVENARIA!$L$5:$L$76)+SUMPRODUCT((IMPERMEABILIZAÇÃO!$B$5:$B$76&lt;=DATE(2026,8,1))*IMPERMEABILIZAÇÃO!$L$5:$L$76)+SUMPRODUCT(('INST. ELÉTRICA'!$B$5:$B$76&lt;=DATE(2026,8,1))*'INST. ELÉTRICA'!$L$5:$L$76)+SUMPRODUCT(('INST. HIDRO'!$B$5:$B$76&lt;=DATE(2026,8,1))*'INST. HIDRO'!$L$5:$L$76)+SUMPRODUCT(('INST. INC'!$B$5:$B$76&lt;=DATE(2026,8,1))*'INST. INC'!$L$5:$L$76)+SUMPRODUCT(('INST. ESP'!$B$5:$B$76&lt;=DATE(2026,8,1))*'INST. ESP'!$L$5:$L$76)+SUMPRODUCT(('ELEVADORES '!$B$5:$B$76&lt;=DATE(2026,8,1))*'ELEVADORES '!$L$5:$L$76)+SUMPRODUCT((ESQUADRIAS!$B$5:$B$76&lt;=DATE(2026,8,1))*ESQUADRIAS!$L$5:$L$76)+SUMPRODUCT((SERRALHERIA!$B$5:$B$76&lt;=DATE(2026,8,1))*SERRALHERIA!$L$5:$L$76)+SUMPRODUCT((MARCENARIA!$B$5:$B$76&lt;=DATE(2026,8,1))*MARCENARIA!$L$5:$L$76)+SUMPRODUCT(('REV. PISOS'!$B$5:$B$76&lt;=DATE(2026,8,1))*'REV. PISOS'!$L$5:$L$76)+SUMPRODUCT(('REV. PAREDE'!$B$5:$B$76&lt;=DATE(2026,8,1))*'REV. PAREDE'!$L$5:$L$76)+SUMPRODUCT(('REV. ACAB'!$B$5:$B$76&lt;=DATE(2026,8,1))*'REV. ACAB'!$L$5:$L$76)+SUMPRODUCT((PAVIMENTAÇÃO!$B$5:$B$76&lt;=DATE(2026,8,1))*PAVIMENTAÇÃO!$L$5:$L$76)+SUMPRODUCT(('REV. FACHADA'!$B$5:$B$76&lt;=DATE(2026,8,1))*'REV. FACHADA'!$L$5:$L$76)+SUMPRODUCT((FORRO!$B$5:$B$76&lt;=DATE(2026,8,1))*FORRO!$L$5:$L$76)+SUMPRODUCT((LOUÇAS!$B$5:$B$76&lt;=DATE(2026,8,1))*LOUÇAS!$L$5:$L$76)+SUMPRODUCT((PINTURA!$B$5:$B$76&lt;=DATE(2026,8,1))*PINTURA!$L$5:$L$76)+SUMPRODUCT((PAISAGISMO!$B$5:$B$76&lt;=DATE(2026,8,1))*PAISAGISMO!$L$5:$L$76)+SUMPRODUCT((LIMPEZA!$B$5:$B$76&lt;=DATE(2026,8,1))*LIMPEZA!$L$5:$L$76)+SUMPRODUCT(('TAX. ADM'!$B$5:$B$76&lt;=DATE(2026,8,1))*'TAX. ADM'!$L$5:$L$76)</f>
        <v>17124.0262017616</v>
      </c>
      <c r="G64" s="70" t="n">
        <f aca="false">E64-F64</f>
        <v>40.9737982384067</v>
      </c>
    </row>
    <row r="65" customFormat="false" ht="15" hidden="false" customHeight="false" outlineLevel="0" collapsed="false">
      <c r="D65" s="47" t="s">
        <v>251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ACAB'!$K$8)+MAX(0,PAVIMENTAÇÃO!$K$6-PAVIMENTAÇÃO!$K$8)+MAX(0,'REV. FACHADA'!$K$6-'REV. FACHADA'!$K$8)+MAX(0,FORRO!$K$6-FORRO!$K$8)+MAX(0,LOUÇAS!$K$6-LOUÇAS!$K$8)+MAX(0,PINTURA!$K$6-PINTURA!$K$8)+MAX(0,PAISAGISMO!$K$6-PAISAGISMO!$K$8)+MAX(0,LIMPEZA!$K$6-LIMPEZA!$K$8)+MAX(0,'TAX. ADM'!$K$6-'TAX. ADM'!$K$8)</f>
        <v>103614.824027195</v>
      </c>
      <c r="G65" s="71" t="n">
        <f aca="false">IF(F65&gt;0,1-G64/F65,1)</f>
        <v>0.99960455660063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BOTÂNICO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ago/2026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252</v>
      </c>
      <c r="C5" s="73"/>
      <c r="D5" s="74" t="n">
        <v>2027</v>
      </c>
      <c r="E5" s="75" t="s">
        <v>253</v>
      </c>
      <c r="F5" s="76" t="n">
        <f aca="false">'VALOR POR PL'!$P$5</f>
        <v>46235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1296.889</v>
      </c>
      <c r="H5" s="8"/>
      <c r="I5" s="8"/>
      <c r="J5" s="75" t="s">
        <v>254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255</v>
      </c>
      <c r="C7" s="11"/>
      <c r="D7" s="11" t="s">
        <v>256</v>
      </c>
      <c r="E7" s="11"/>
      <c r="F7" s="11" t="s">
        <v>257</v>
      </c>
      <c r="G7" s="11"/>
      <c r="H7" s="11" t="s">
        <v>258</v>
      </c>
      <c r="I7" s="11"/>
      <c r="J7" s="11" t="s">
        <v>259</v>
      </c>
      <c r="K7" s="11" t="s">
        <v>260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57101507.6627906</v>
      </c>
      <c r="C8" s="79"/>
      <c r="D8" s="80" t="n">
        <f aca="false">G53</f>
        <v>44029.6028902941</v>
      </c>
      <c r="E8" s="80"/>
      <c r="F8" s="79" t="n">
        <f aca="false">H53</f>
        <v>57101507.6627906</v>
      </c>
      <c r="G8" s="79"/>
      <c r="H8" s="81" t="n">
        <f aca="false">IFERROR(SUMPRODUCT(D12:D50,N12:N50)/SUMPRODUCT(ISNUMBER(D12:D50)*N12:N50),0)</f>
        <v>0.569774010624715</v>
      </c>
      <c r="I8" s="81"/>
      <c r="J8" s="81" t="n">
        <f aca="false">IFERROR(SUMPRODUCT(J12:J50,M12:M50)/SUM(M12:M50),0)</f>
        <v>0.593286146683801</v>
      </c>
      <c r="K8" s="82" t="str">
        <f aca="false" t="array" ref="K8:K8">INDEX(C12:C50,MATCH(MAX(IF(LEN(B12:B50)=2,F12:F50)),IF(LEN(B12:B50)=2,F12:F50),0))</f>
        <v>ESTRUTURA EM CONCRETO ARMADO</v>
      </c>
      <c r="L8" s="8"/>
      <c r="M8" s="8"/>
    </row>
    <row r="9" customFormat="false" ht="18" hidden="false" customHeight="true" outlineLevel="0" collapsed="false">
      <c r="A9" s="8"/>
      <c r="B9" s="14" t="s">
        <v>261</v>
      </c>
      <c r="C9" s="14"/>
      <c r="D9" s="14" t="s">
        <v>262</v>
      </c>
      <c r="E9" s="14"/>
      <c r="F9" s="14" t="s">
        <v>263</v>
      </c>
      <c r="G9" s="14"/>
      <c r="H9" s="14" t="s">
        <v>264</v>
      </c>
      <c r="I9" s="14"/>
      <c r="J9" s="14" t="s">
        <v>265</v>
      </c>
      <c r="K9" s="14" t="str">
        <f aca="false" t="array" ref="K9:K9">"R$ "&amp;FIXED(MAX(IF(LEN(B12:B50)=2,F12:F50))/1000000,1)&amp;" mi no ano"</f>
        <v>R$ 17.4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266</v>
      </c>
      <c r="C11" s="83" t="s">
        <v>267</v>
      </c>
      <c r="D11" s="84" t="s">
        <v>268</v>
      </c>
      <c r="E11" s="84" t="s">
        <v>269</v>
      </c>
      <c r="F11" s="84" t="s">
        <v>270</v>
      </c>
      <c r="G11" s="84" t="s">
        <v>271</v>
      </c>
      <c r="H11" s="84" t="s">
        <v>272</v>
      </c>
      <c r="I11" s="84" t="s">
        <v>273</v>
      </c>
      <c r="J11" s="84" t="s">
        <v>274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275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15577.1341469263</v>
      </c>
      <c r="G12" s="89" t="n">
        <f aca="false">SUMPRODUCT((YEAR('MODELO PARA BI'!$H$1:$CA$1)=$D$5)*'MODELO PARA BI'!$H$29:$CA$29)</f>
        <v>12.0111544989018</v>
      </c>
      <c r="H12" s="89" t="n">
        <f aca="false">IF(ISNUMBER($G$5),G12*$G$5,0)</f>
        <v>15577.1341469263</v>
      </c>
      <c r="I12" s="87" t="n">
        <f aca="false">IF($F$53=0,0,F12/$F$53)</f>
        <v>0.000272797247997655</v>
      </c>
      <c r="J12" s="87" t="n">
        <f aca="false">IF('VALOR POR PL'!L11=0,0,SUMPRODUCT((PROJETO!$B$5:$B$76&lt;=DATE($D$5,12,1))*(PROJETO!$C$5:$C$76+PROJETO!$D$5:$D$76))/'VALOR POR PL'!L11)</f>
        <v>0.935183681296256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2469182.34229771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56612.19</v>
      </c>
      <c r="G13" s="98" t="n">
        <f aca="false">SUMPRODUCT((YEAR('MODELO PARA BI'!$H$1:$CA$1)=$D$5)*'MODELO PARA BI'!$H$40:$CA$40)</f>
        <v>43.6523017775615</v>
      </c>
      <c r="H13" s="98" t="n">
        <f aca="false">IF(ISNUMBER($G$5),G13*$G$5,0)</f>
        <v>56612.19</v>
      </c>
      <c r="I13" s="96" t="n">
        <f aca="false">IF($F$53=0,0,F13/$F$53)</f>
        <v>0.000991430740048402</v>
      </c>
      <c r="J13" s="96" t="n">
        <f aca="false">IF('VALOR POR PL'!L12=0,0,SUMPRODUCT((SEGUROS!$B$5:$B$76&lt;=DATE($D$5,12,1))*(SEGUROS!$C$5:$C$76+SEGUROS!$D$5:$D$76))/'VALOR POR PL'!L12)</f>
        <v>1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241135.16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2823.15509184955</v>
      </c>
      <c r="G14" s="89" t="n">
        <f aca="false">SUMPRODUCT((YEAR('MODELO PARA BI'!$H$1:$CA$1)=$D$5)*'MODELO PARA BI'!$H$50:$CA$50)</f>
        <v>2.17686717355884</v>
      </c>
      <c r="H14" s="89" t="n">
        <f aca="false">IF(ISNUMBER($G$5),G14*$G$5,0)</f>
        <v>2823.15509184955</v>
      </c>
      <c r="I14" s="87" t="n">
        <f aca="false">IF($F$53=0,0,F14/$F$53)</f>
        <v>4.94409903941857E-005</v>
      </c>
      <c r="J14" s="87" t="n">
        <f aca="false">IF('VALOR POR PL'!L13=0,0,SUMPRODUCT(('TAX. DIVERSAS'!$B$5:$B$76&lt;=DATE($D$5,12,1))*('TAX. DIVERSAS'!$C$5:$C$76+'TAX. DIVERSAS'!$D$5:$D$76))/'VALOR POR PL'!L13)</f>
        <v>0.0664038187240884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159786.721461049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342909.29372435</v>
      </c>
      <c r="G15" s="98" t="n">
        <f aca="false">SUMPRODUCT((YEAR('MODELO PARA BI'!$H$1:$CA$1)=$D$5)*'MODELO PARA BI'!$H$3:$CA$3)</f>
        <v>264.409131178035</v>
      </c>
      <c r="H15" s="98" t="n">
        <f aca="false">IF(ISNUMBER($G$5),G15*$G$5,0)</f>
        <v>342909.29372435</v>
      </c>
      <c r="I15" s="96" t="n">
        <f aca="false">IF($F$53=0,0,F15/$F$53)</f>
        <v>0.00600525814045716</v>
      </c>
      <c r="J15" s="96" t="n">
        <f aca="false">IF('VALOR POR PL'!L14=0,0,SUMPRODUCT(('BARRACÃO DE OBRA'!$B$5:$B$76&lt;=DATE($D$5,12,1))*('BARRACÃO DE OBRA'!$C$5:$C$76+'BARRACÃO DE OBRA'!$D$5:$D$76))/'VALOR POR PL'!L14)</f>
        <v>0.865484582830182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1221240.71877809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27945.6354551868</v>
      </c>
      <c r="G16" s="89" t="n">
        <f aca="false">SUMPRODUCT((YEAR('MODELO PARA BI'!$H$1:$CA$1)=$D$5)*'MODELO PARA BI'!$H$42:$CA$42)</f>
        <v>21.5482091799582</v>
      </c>
      <c r="H16" s="89" t="n">
        <f aca="false">IF(ISNUMBER($G$5),G16*$G$5,0)</f>
        <v>27945.6354551868</v>
      </c>
      <c r="I16" s="87" t="n">
        <f aca="false">IF($F$53=0,0,F16/$F$53)</f>
        <v>0.00048940276008504</v>
      </c>
      <c r="J16" s="87" t="n">
        <f aca="false">IF('VALOR POR PL'!L15=0,0,SUMPRODUCT(('LIG. PROVISÓRIAS'!$B$5:$B$76&lt;=DATE($D$5,12,1))*('LIG. PROVISÓRIAS'!$C$5:$C$76+'LIG. PROVISÓRIAS'!$D$5:$D$76))/'VALOR POR PL'!L15)</f>
        <v>1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87467.1354551868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153690.342613098</v>
      </c>
      <c r="G17" s="98" t="n">
        <f aca="false">SUMPRODUCT((YEAR('MODELO PARA BI'!$H$1:$CA$1)=$D$5)*'MODELO PARA BI'!$H$5:$CA$5)</f>
        <v>118.506936687024</v>
      </c>
      <c r="H17" s="98" t="n">
        <f aca="false">IF(ISNUMBER($G$5),G17*$G$5,0)</f>
        <v>153690.342613098</v>
      </c>
      <c r="I17" s="96" t="n">
        <f aca="false">IF($F$53=0,0,F17/$F$53)</f>
        <v>0.00269152862864334</v>
      </c>
      <c r="J17" s="96" t="n">
        <f aca="false">IF('VALOR POR PL'!L16=0,0,SUMPRODUCT((CONSUMOS!$B$5:$B$76&lt;=DATE($D$5,12,1))*(CONSUMOS!$C$5:$C$76+CONSUMOS!$D$5:$D$76))/'VALOR POR PL'!L16)</f>
        <v>0.419705496134542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579625.908128584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62345.5677395971</v>
      </c>
      <c r="G18" s="89" t="n">
        <f aca="false">SUMPRODUCT((YEAR('MODELO PARA BI'!$H$1:$CA$1)=$D$5)*'MODELO PARA BI'!$H$9:$CA$9)</f>
        <v>48.0731718285814</v>
      </c>
      <c r="H18" s="89" t="n">
        <f aca="false">IF(ISNUMBER($G$5),G18*$G$5,0)</f>
        <v>62345.5677395971</v>
      </c>
      <c r="I18" s="87" t="n">
        <f aca="false">IF($F$53=0,0,F18/$F$53)</f>
        <v>0.00109183750642408</v>
      </c>
      <c r="J18" s="87" t="n">
        <f aca="false">IF('VALOR POR PL'!L17=0,0,SUMPRODUCT((DIVERSOS!$B$5:$B$76&lt;=DATE($D$5,12,1))*(DIVERSOS!$C$5:$C$76+DIVERSOS!$D$5:$D$76))/'VALOR POR PL'!L17)</f>
        <v>0.61800308210059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195765.174713413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349046.015301896</v>
      </c>
      <c r="G19" s="98" t="n">
        <f aca="false">SUMPRODUCT((YEAR('MODELO PARA BI'!$H$1:$CA$1)=$D$5)*'MODELO PARA BI'!$H$46:$CA$46)</f>
        <v>269.141009987667</v>
      </c>
      <c r="H19" s="98" t="n">
        <f aca="false">IF(ISNUMBER($G$5),G19*$G$5,0)</f>
        <v>349046.015301896</v>
      </c>
      <c r="I19" s="96" t="n">
        <f aca="false">IF($F$53=0,0,F19/$F$53)</f>
        <v>0.00611272853535085</v>
      </c>
      <c r="J19" s="96" t="n">
        <f aca="false">IF('VALOR POR PL'!L18=0,0,SUMPRODUCT((TRANSPORTES!$B$5:$B$76&lt;=DATE($D$5,12,1))*(TRANSPORTES!$C$5:$C$76+TRANSPORTES!$D$5:$D$76))/'VALOR POR PL'!L18)</f>
        <v>0.589658310985726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835011.905352242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236040.196216758</v>
      </c>
      <c r="G20" s="89" t="n">
        <f aca="false">SUMPRODUCT((YEAR('MODELO PARA BI'!$H$1:$CA$1)=$D$5)*'MODELO PARA BI'!$H$4:$CA$4)</f>
        <v>182.004933511471</v>
      </c>
      <c r="H20" s="89" t="n">
        <f aca="false">IF(ISNUMBER($G$5),G20*$G$5,0)</f>
        <v>236040.196216758</v>
      </c>
      <c r="I20" s="87" t="n">
        <f aca="false">IF($F$53=0,0,F20/$F$53)</f>
        <v>0.00413369464096603</v>
      </c>
      <c r="J20" s="87" t="n">
        <f aca="false">IF('VALOR POR PL'!L19=0,0,SUMPRODUCT((CONSULTORIAS!$B$5:$B$76&lt;=DATE($D$5,12,1))*(CONSULTORIAS!$C$5:$C$76+CONSULTORIAS!$D$5:$D$76))/'VALOR POR PL'!L19)</f>
        <v>0.77175170275053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1352988.41770466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5901875.5295059</v>
      </c>
      <c r="G21" s="98" t="n">
        <f aca="false">SUMPRODUCT((YEAR('MODELO PARA BI'!$H$1:$CA$1)=$D$5)*'MODELO PARA BI'!$H$49:$CA$49)</f>
        <v>4550.79465513694</v>
      </c>
      <c r="H21" s="98" t="n">
        <f aca="false">IF(ISNUMBER($G$5),G21*$G$5,0)</f>
        <v>5901875.5295059</v>
      </c>
      <c r="I21" s="96" t="n">
        <f aca="false">IF($F$53=0,0,F21/$F$53)</f>
        <v>0.103357612978611</v>
      </c>
      <c r="J21" s="96" t="n">
        <f aca="false">IF('VALOR POR PL'!L20=0,0,SUMPRODUCT((MDO!$B$5:$B$76&lt;=DATE($D$5,12,1))*(MDO!$C$5:$C$76+MDO!$D$5:$D$76))/'VALOR POR PL'!L20)</f>
        <v>0.506390704392884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21332424.0263632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2719995.96701235</v>
      </c>
      <c r="G22" s="89" t="n">
        <f aca="false">SUMPRODUCT((YEAR('MODELO PARA BI'!$H$1:$CA$1)=$D$5)*'MODELO PARA BI'!$H$11:$CA$11)</f>
        <v>2097.32364682895</v>
      </c>
      <c r="H22" s="89" t="n">
        <f aca="false">IF(ISNUMBER($G$5),G22*$G$5,0)</f>
        <v>2719995.96701235</v>
      </c>
      <c r="I22" s="87" t="n">
        <f aca="false">IF($F$53=0,0,F22/$F$53)</f>
        <v>0.0476343984308631</v>
      </c>
      <c r="J22" s="87" t="n">
        <f aca="false">IF('VALOR POR PL'!L21=0,0,SUMPRODUCT(('EQUIP E FER'!$B$5:$B$76&lt;=DATE($D$5,12,1))*('EQUIP E FER'!$C$5:$C$76+'EQUIP E FER'!$D$5:$D$76))/'VALOR POR PL'!L21)</f>
        <v>0.585220275566869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6854195.05722762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276</v>
      </c>
      <c r="C23" s="102" t="s">
        <v>277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9868861.02680791</v>
      </c>
      <c r="G23" s="104" t="n">
        <f aca="false">SUM(G12:G22)</f>
        <v>7609.64201778865</v>
      </c>
      <c r="H23" s="104" t="n">
        <f aca="false">SUM(H12:H22)</f>
        <v>9868861.02680791</v>
      </c>
      <c r="I23" s="103" t="n">
        <f aca="false">IF($F$53=0,0,F23/$F$53)</f>
        <v>0.172830130599841</v>
      </c>
      <c r="J23" s="103" t="n">
        <f aca="false">IFERROR(SUMPRODUCT(J12:J22,M12:M22)/SUM(M12:M22),0)</f>
        <v>0.577994649737798</v>
      </c>
      <c r="K23" s="105"/>
      <c r="L23" s="105"/>
      <c r="M23" s="8" t="n">
        <f aca="false">SUM(M12:M22)</f>
        <v>35328822.5674817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1</v>
      </c>
      <c r="F24" s="89" t="n">
        <f aca="false">SUMPRODUCT((YEAR('SERV. INICIAIS'!$B$5:$B$76)=$D$5)*('SERV. INICIAIS'!$C$5:$C$76+'SERV. INICIAIS'!$D$5:$D$76))</f>
        <v>58439.3951100531</v>
      </c>
      <c r="G24" s="89" t="n">
        <f aca="false">SUMPRODUCT((YEAR('MODELO PARA BI'!$H$1:$CA$1)=$D$5)*'MODELO PARA BI'!$H$52:$CA$52)</f>
        <v>45.0612158095666</v>
      </c>
      <c r="H24" s="89" t="n">
        <f aca="false">IF(ISNUMBER($G$5),G24*$G$5,0)</f>
        <v>58439.3951100531</v>
      </c>
      <c r="I24" s="87" t="n">
        <f aca="false">IF($F$53=0,0,F24/$F$53)</f>
        <v>0.00102342998463654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170605.435110053</v>
      </c>
      <c r="N24" s="93" t="n">
        <f aca="false">IF('VALOR POR PL'!I22="DIRETO",'VALOR POR PL'!L22,0)</f>
        <v>170605.435110053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0.7523</v>
      </c>
      <c r="F25" s="98" t="n">
        <f aca="false">SUMPRODUCT((YEAR(CONTENÇÃO!$B$5:$B$76)=$D$5)*(CONTENÇÃO!$C$5:$C$76+CONTENÇÃO!$D$5:$D$76))</f>
        <v>51363.5827444319</v>
      </c>
      <c r="G25" s="98" t="n">
        <f aca="false">SUMPRODUCT((YEAR('MODELO PARA BI'!$H$1:$CA$1)=$D$5)*'MODELO PARA BI'!$H$6:$CA$6)</f>
        <v>39.6052266188023</v>
      </c>
      <c r="H25" s="98" t="n">
        <f aca="false">IF(ISNUMBER($G$5),G25*$G$5,0)</f>
        <v>51363.5827444319</v>
      </c>
      <c r="I25" s="96" t="n">
        <f aca="false">IF($F$53=0,0,F25/$F$53)</f>
        <v>0.000899513600372101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4 atividades)</v>
      </c>
      <c r="L25" s="100"/>
      <c r="M25" s="92" t="n">
        <f aca="false">'VALOR POR PL'!L23</f>
        <v>1423010.61313945</v>
      </c>
      <c r="N25" s="93" t="n">
        <f aca="false">IF('VALOR POR PL'!I23="DIRETO",'VALOR POR PL'!L23,0)</f>
        <v>1423010.61313945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0.86</v>
      </c>
      <c r="F26" s="89" t="n">
        <f aca="false">SUMPRODUCT((YEAR(TERRAPLENAGEM!$B$5:$B$76)=$D$5)*(TERRAPLENAGEM!$C$5:$C$76+TERRAPLENAGEM!$D$5:$D$76))</f>
        <v>3123.88</v>
      </c>
      <c r="G26" s="89" t="n">
        <f aca="false">SUMPRODUCT((YEAR('MODELO PARA BI'!$H$1:$CA$1)=$D$5)*'MODELO PARA BI'!$H$44:$CA$44)</f>
        <v>2.40874893687895</v>
      </c>
      <c r="H26" s="89" t="n">
        <f aca="false">IF(ISNUMBER($G$5),G26*$G$5,0)</f>
        <v>3123.88</v>
      </c>
      <c r="I26" s="87" t="n">
        <f aca="false">IF($F$53=0,0,F26/$F$53)</f>
        <v>5.47074872076562E-005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2 atividades)</v>
      </c>
      <c r="L26" s="91"/>
      <c r="M26" s="92" t="n">
        <f aca="false">'VALOR POR PL'!L24</f>
        <v>1274343.65832616</v>
      </c>
      <c r="N26" s="93" t="n">
        <f aca="false">IF('VALOR POR PL'!I24="DIRETO",'VALOR POR PL'!L24,0)</f>
        <v>1274343.65832616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0.9953</v>
      </c>
      <c r="F27" s="98" t="n">
        <f aca="false">SUMPRODUCT((YEAR('FUND. PROF'!$B$5:$B$76)=$D$5)*('FUND. PROF'!$C$5:$C$76+'FUND. PROF'!$D$5:$D$76))</f>
        <v>12311.38</v>
      </c>
      <c r="G27" s="98" t="n">
        <f aca="false">SUMPRODUCT((YEAR('MODELO PARA BI'!$H$1:$CA$1)=$D$5)*'MODELO PARA BI'!$H$15:$CA$15)</f>
        <v>9.49300981040012</v>
      </c>
      <c r="H27" s="98" t="n">
        <f aca="false">IF(ISNUMBER($G$5),G27*$G$5,0)</f>
        <v>12311.38</v>
      </c>
      <c r="I27" s="96" t="n">
        <f aca="false">IF($F$53=0,0,F27/$F$53)</f>
        <v>0.000215605165326003</v>
      </c>
      <c r="J27" s="96" t="n">
        <f aca="false">IF('VALOR POR PL'!L25=0,0,SUMPRODUCT(('FUND. PROF'!$B$5:$B$76&lt;=DATE($D$5,12,1))*('FUND. PROF'!$C$5:$C$76+'FUND. PROF'!$D$5:$D$76))/'VALOR POR PL'!L25)</f>
        <v>0.999702208922429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133 atividades)</v>
      </c>
      <c r="L27" s="100"/>
      <c r="M27" s="92" t="n">
        <f aca="false">'VALOR POR PL'!L25</f>
        <v>6863872.54</v>
      </c>
      <c r="N27" s="93" t="n">
        <f aca="false">IF('VALOR POR PL'!I25="DIRETO",'VALOR POR PL'!L25,0)</f>
        <v>6863872.54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0.7666</v>
      </c>
      <c r="F28" s="89" t="n">
        <f aca="false">SUMPRODUCT((YEAR('FUND. SUP'!$B$5:$B$76)=$D$5)*('FUND. SUP'!$C$5:$C$76+'FUND. SUP'!$D$5:$D$76))</f>
        <v>1301371.0454116</v>
      </c>
      <c r="G28" s="89" t="n">
        <f aca="false">SUMPRODUCT((YEAR('MODELO PARA BI'!$H$1:$CA$1)=$D$5)*'MODELO PARA BI'!$H$16:$CA$16)</f>
        <v>1003.45599770805</v>
      </c>
      <c r="H28" s="89" t="n">
        <f aca="false">IF(ISNUMBER($G$5),G28*$G$5,0)</f>
        <v>1301371.0454116</v>
      </c>
      <c r="I28" s="87" t="n">
        <f aca="false">IF($F$53=0,0,F28/$F$53)</f>
        <v>0.0227904848519371</v>
      </c>
      <c r="J28" s="87" t="n">
        <f aca="false">IF('VALOR POR PL'!L26=0,0,SUMPRODUCT(('FUND. SUP'!$B$5:$B$76&lt;=DATE($D$5,12,1))*('FUND. SUP'!$C$5:$C$76+'FUND. SUP'!$D$5:$D$76))/'VALOR POR PL'!L26)</f>
        <v>0.999132766267755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82 atividades)</v>
      </c>
      <c r="L28" s="91"/>
      <c r="M28" s="92" t="n">
        <f aca="false">'VALOR POR PL'!L26</f>
        <v>4345864.1654116</v>
      </c>
      <c r="N28" s="93" t="n">
        <f aca="false">IF('VALOR POR PL'!I26="DIRETO",'VALOR POR PL'!L26,0)</f>
        <v>4345864.1654116</v>
      </c>
    </row>
    <row r="29" customFormat="false" ht="29.25" hidden="false" customHeight="true" outlineLevel="0" collapsed="false">
      <c r="A29" s="8"/>
      <c r="B29" s="101" t="s">
        <v>278</v>
      </c>
      <c r="C29" s="102" t="s">
        <v>279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0.887945250982814</v>
      </c>
      <c r="F29" s="104" t="n">
        <f aca="false">SUM(F24:F28)</f>
        <v>1426609.28326608</v>
      </c>
      <c r="G29" s="104" t="n">
        <f aca="false">SUM(G24:G28)</f>
        <v>1100.0241988837</v>
      </c>
      <c r="H29" s="104" t="n">
        <f aca="false">SUM(H24:H28)</f>
        <v>1426609.28326609</v>
      </c>
      <c r="I29" s="103" t="n">
        <f aca="false">IF($F$53=0,0,F29/$F$53)</f>
        <v>0.0249837410894794</v>
      </c>
      <c r="J29" s="103" t="n">
        <f aca="false">IFERROR(SUMPRODUCT(J24:J28,M24:M28)/SUM(M24:M28),0)</f>
        <v>0.999587085853404</v>
      </c>
      <c r="K29" s="105"/>
      <c r="L29" s="105"/>
      <c r="M29" s="8" t="n">
        <f aca="false">SUM(M24:M28)</f>
        <v>14077696.4119873</v>
      </c>
      <c r="N29" s="0" t="n">
        <f aca="false">SUM(N24:N28)</f>
        <v>14077696.4119873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0.9662</v>
      </c>
      <c r="E30" s="88" t="n">
        <f aca="false">IF('VALOR POR PL'!I27&lt;&gt;"DIRETO","",ESTRUTURA!$K$14)</f>
        <v>0.0807</v>
      </c>
      <c r="F30" s="89" t="n">
        <f aca="false">SUMPRODUCT((YEAR(ESTRUTURA!$B$5:$B$76)=$D$5)*(ESTRUTURA!$C$5:$C$76+ESTRUTURA!$D$5:$D$76))</f>
        <v>17446985.1359887</v>
      </c>
      <c r="G30" s="89" t="n">
        <f aca="false">SUMPRODUCT((YEAR('MODELO PARA BI'!$H$1:$CA$1)=$D$5)*'MODELO PARA BI'!$H$13:$CA$13)</f>
        <v>13452.9517452833</v>
      </c>
      <c r="H30" s="89" t="n">
        <f aca="false">IF(ISNUMBER($G$5),G30*$G$5,0)</f>
        <v>17446985.1359887</v>
      </c>
      <c r="I30" s="87" t="n">
        <f aca="false">IF($F$53=0,0,F30/$F$53)</f>
        <v>0.305543335896152</v>
      </c>
      <c r="J30" s="87" t="n">
        <f aca="false">IF('VALOR POR PL'!L27=0,0,SUMPRODUCT((ESTRUTURA!$B$5:$B$76&lt;=DATE($D$5,12,1))*(ESTRUTURA!$C$5:$C$76+ESTRUTURA!$D$5:$D$76))/'VALOR POR PL'!L27)</f>
        <v>0.9674716056056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Estrutura: até 32º pav. (restam serviços no 32º pav.)</v>
      </c>
      <c r="L30" s="91" t="s">
        <v>280</v>
      </c>
      <c r="M30" s="92" t="n">
        <f aca="false">'VALOR POR PL'!L27</f>
        <v>27173442.6676606</v>
      </c>
      <c r="N30" s="93" t="n">
        <f aca="false">IF('VALOR POR PL'!I27="DIRETO",'VALOR POR PL'!L27,0)</f>
        <v>27173442.6676606</v>
      </c>
    </row>
    <row r="31" customFormat="false" ht="42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0.6684</v>
      </c>
      <c r="E31" s="97" t="n">
        <f aca="false">IF('VALOR POR PL'!I28&lt;&gt;"DIRETO","",ALVENARIA!$K$14)</f>
        <v>0</v>
      </c>
      <c r="F31" s="98" t="n">
        <f aca="false">SUMPRODUCT((YEAR(ALVENARIA!$B$5:$B$76)=$D$5)*(ALVENARIA!$C$5:$C$76+ALVENARIA!$D$5:$D$76))</f>
        <v>4221352.36495037</v>
      </c>
      <c r="G31" s="98" t="n">
        <f aca="false">SUMPRODUCT((YEAR('MODELO PARA BI'!$H$1:$CA$1)=$D$5)*'MODELO PARA BI'!$H$2:$CA$2)</f>
        <v>3254.98355291036</v>
      </c>
      <c r="H31" s="98" t="n">
        <f aca="false">IF(ISNUMBER($G$5),G31*$G$5,0)</f>
        <v>4221352.36495037</v>
      </c>
      <c r="I31" s="96" t="n">
        <f aca="false">IF($F$53=0,0,F31/$F$53)</f>
        <v>0.0739271612560442</v>
      </c>
      <c r="J31" s="96" t="n">
        <f aca="false">IF('VALOR POR PL'!L28=0,0,SUMPRODUCT((ALVENARIA!$B$5:$B$76&lt;=DATE($D$5,12,1))*(ALVENARIA!$C$5:$C$76+ALVENARIA!$D$5:$D$76))/'VALOR POR PL'!L28)</f>
        <v>0.6684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28º pav., executando 29º pav. / Encunhamento: até 27º pav. / Drywall 1ª face: até 20º pav., executando 21º pav. / Drywall 2ª face: até 17º pav., executando 18º pav. / Drywall: até térreo</v>
      </c>
      <c r="L31" s="100" t="s">
        <v>281</v>
      </c>
      <c r="M31" s="92" t="n">
        <f aca="false">'VALOR POR PL'!L28</f>
        <v>6315607.9667121</v>
      </c>
      <c r="N31" s="93" t="n">
        <f aca="false">IF('VALOR POR PL'!I28="DIRETO",'VALOR POR PL'!L28,0)</f>
        <v>6315607.9667121</v>
      </c>
    </row>
    <row r="32" customFormat="false" ht="15.75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0.3053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1277855.13066904</v>
      </c>
      <c r="G32" s="89" t="n">
        <f aca="false">SUMPRODUCT((YEAR('MODELO PARA BI'!$H$1:$CA$1)=$D$5)*'MODELO PARA BI'!$H$17:$CA$17)</f>
        <v>985.323439915859</v>
      </c>
      <c r="H32" s="89" t="n">
        <f aca="false">IF(ISNUMBER($G$5),G32*$G$5,0)</f>
        <v>1277855.13066904</v>
      </c>
      <c r="I32" s="87" t="n">
        <f aca="false">IF($F$53=0,0,F32/$F$53)</f>
        <v>0.0223786583397295</v>
      </c>
      <c r="J32" s="87" t="n">
        <f aca="false">IF('VALOR POR PL'!L29=0,0,SUMPRODUCT((IMPERMEABILIZAÇÃO!$B$5:$B$76&lt;=DATE($D$5,12,1))*(IMPERMEABILIZAÇÃO!$C$5:$C$76+IMPERMEABILIZAÇÃO!$D$5:$D$76))/'VALOR POR PL'!L29)</f>
        <v>0.3053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até 16º pav., executando 17º pav.</v>
      </c>
      <c r="L32" s="91" t="s">
        <v>282</v>
      </c>
      <c r="M32" s="92" t="n">
        <f aca="false">'VALOR POR PL'!L29</f>
        <v>4185571.99695067</v>
      </c>
      <c r="N32" s="93" t="n">
        <f aca="false">IF('VALOR POR PL'!I29="DIRETO",'VALOR POR PL'!L29,0)</f>
        <v>4185571.99695067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0.3026</v>
      </c>
      <c r="E33" s="97" t="n">
        <f aca="false">IF('VALOR POR PL'!I30&lt;&gt;"DIRETO","",'INST. ELÉTRICA'!$K$14)</f>
        <v>0</v>
      </c>
      <c r="F33" s="98" t="n">
        <f aca="false">SUMPRODUCT((YEAR('INST. ELÉTRICA'!$B$5:$B$76)=$D$5)*('INST. ELÉTRICA'!$C$5:$C$76+'INST. ELÉTRICA'!$D$5:$D$76))</f>
        <v>3426681.18157836</v>
      </c>
      <c r="G33" s="98" t="n">
        <f aca="false">SUMPRODUCT((YEAR('MODELO PARA BI'!$H$1:$CA$1)=$D$5)*'MODELO PARA BI'!$H$19:$CA$19)</f>
        <v>2642.23166483667</v>
      </c>
      <c r="H33" s="98" t="n">
        <f aca="false">IF(ISNUMBER($G$5),G33*$G$5,0)</f>
        <v>3426681.18157836</v>
      </c>
      <c r="I33" s="96" t="n">
        <f aca="false">IF($F$53=0,0,F33/$F$53)</f>
        <v>0.0600103451175828</v>
      </c>
      <c r="J33" s="96" t="n">
        <f aca="false">IF('VALOR POR PL'!L30=0,0,SUMPRODUCT(('INST. ELÉTRICA'!$B$5:$B$76&lt;=DATE($D$5,12,1))*('INST. ELÉTRICA'!$C$5:$C$76+'INST. ELÉTRICA'!$D$5:$D$76))/'VALOR POR PL'!L30)</f>
        <v>0.322117428114043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Distribuição elétrica / quadro: até 25º pav., executando 26º pav. / Prumada elétrica - infra: até 22º pav., executando 23º pav. / Distribuição elétrica/quadro - drywall: até 18º pav., executando 20º pav. / Fiação elétrica: até 12º pav., executando 13º pav. / Prumada elétrica - cabos: até 12º pav., executando 13º pav. / Fiação telecom/dados: até 12º pav., executando 13º pav.</v>
      </c>
      <c r="L33" s="100" t="s">
        <v>283</v>
      </c>
      <c r="M33" s="92" t="n">
        <f aca="false">'VALOR POR PL'!L30</f>
        <v>11650169.6711975</v>
      </c>
      <c r="N33" s="93" t="n">
        <f aca="false">IF('VALOR POR PL'!I30="DIRETO",'VALOR POR PL'!L30,0)</f>
        <v>11650169.6711975</v>
      </c>
    </row>
    <row r="34" customFormat="false" ht="69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0.6507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5112480.68097334</v>
      </c>
      <c r="G34" s="89" t="n">
        <f aca="false">SUMPRODUCT((YEAR('MODELO PARA BI'!$H$1:$CA$1)=$D$5)*'MODELO PARA BI'!$H$21:$CA$21)</f>
        <v>3942.11122229685</v>
      </c>
      <c r="H34" s="89" t="n">
        <f aca="false">IF(ISNUMBER($G$5),G34*$G$5,0)</f>
        <v>5112480.68097334</v>
      </c>
      <c r="I34" s="87" t="n">
        <f aca="false">IF($F$53=0,0,F34/$F$53)</f>
        <v>0.08953319956392</v>
      </c>
      <c r="J34" s="87" t="n">
        <f aca="false">IF('VALOR POR PL'!L31=0,0,SUMPRODUCT(('INST. HIDRO'!$B$5:$B$76&lt;=DATE($D$5,12,1))*('INST. HIDRO'!$C$5:$C$76+'INST. HIDRO'!$D$5:$D$76))/'VALOR POR PL'!L31)</f>
        <v>0.6507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até 27º pav., executando 28º pav. / Distribuição hidrossanitária: até 25º pav., executando 26º pav. / Distribuição de gás: até 25º pav., executando 26º pav. / Shaft interno inst. hidraúlicas: até 22º pav., executando 23º pav. / Distribuição hidráulica: até 4º pav. (restam serviços no 1º pav.) / Distribuição de gás - drywall: até 18º pav., executando 20º pav. / Distribuição hidráulica - drywall: até 18º pav., executando 20º pav.</v>
      </c>
      <c r="L34" s="91" t="s">
        <v>284</v>
      </c>
      <c r="M34" s="92" t="n">
        <f aca="false">'VALOR POR PL'!L31</f>
        <v>7856893.62374879</v>
      </c>
      <c r="N34" s="93" t="n">
        <f aca="false">IF('VALOR POR PL'!I31="DIRETO",'VALOR POR PL'!L31,0)</f>
        <v>7856893.62374879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0.6585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548357.121351897</v>
      </c>
      <c r="G35" s="98" t="n">
        <f aca="false">SUMPRODUCT((YEAR('MODELO PARA BI'!$H$1:$CA$1)=$D$5)*'MODELO PARA BI'!$H$18:$CA$18)</f>
        <v>422.825023075913</v>
      </c>
      <c r="H35" s="98" t="n">
        <f aca="false">IF(ISNUMBER($G$5),G35*$G$5,0)</f>
        <v>548357.121351897</v>
      </c>
      <c r="I35" s="96" t="n">
        <f aca="false">IF($F$53=0,0,F35/$F$53)</f>
        <v>0.00960319865090403</v>
      </c>
      <c r="J35" s="96" t="n">
        <f aca="false">IF('VALOR POR PL'!L32=0,0,SUMPRODUCT(('INST. INC'!$B$5:$B$76&lt;=DATE($D$5,12,1))*('INST. INC'!$C$5:$C$76+'INST. INC'!$D$5:$D$76))/'VALOR POR PL'!L32)</f>
        <v>0.6585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até 27º pav., executando 28º pav.</v>
      </c>
      <c r="L35" s="100" t="s">
        <v>285</v>
      </c>
      <c r="M35" s="92" t="n">
        <f aca="false">'VALOR POR PL'!L32</f>
        <v>832736.706684734</v>
      </c>
      <c r="N35" s="93" t="n">
        <f aca="false">IF('VALOR POR PL'!I32="DIRETO",'VALOR POR PL'!L32,0)</f>
        <v>832736.706684734</v>
      </c>
    </row>
    <row r="36" customFormat="false" ht="15.7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0.3357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960290.576369744</v>
      </c>
      <c r="G36" s="89" t="n">
        <f aca="false">SUMPRODUCT((YEAR('MODELO PARA BI'!$H$1:$CA$1)=$D$5)*'MODELO PARA BI'!$H$20:$CA$20)</f>
        <v>740.457029375486</v>
      </c>
      <c r="H36" s="89" t="n">
        <f aca="false">IF(ISNUMBER($G$5),G36*$G$5,0)</f>
        <v>960290.576369744</v>
      </c>
      <c r="I36" s="87" t="n">
        <f aca="false">IF($F$53=0,0,F36/$F$53)</f>
        <v>0.0168172543191097</v>
      </c>
      <c r="J36" s="87" t="n">
        <f aca="false">IF('VALOR POR PL'!L33=0,0,SUMPRODUCT(('INST. ESP'!$B$5:$B$76&lt;=DATE($D$5,12,1))*('INST. ESP'!$C$5:$C$76+'INST. ESP'!$D$5:$D$76))/'VALOR POR PL'!L33)</f>
        <v>0.3357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18º pav., executando 20º pav.</v>
      </c>
      <c r="L36" s="91" t="s">
        <v>286</v>
      </c>
      <c r="M36" s="92" t="n">
        <f aca="false">'VALOR POR PL'!L33</f>
        <v>2860561.74074991</v>
      </c>
      <c r="N36" s="93" t="n">
        <f aca="false">IF('VALOR POR PL'!I33="DIRETO",'VALOR POR PL'!L33,0)</f>
        <v>2860561.74074991</v>
      </c>
    </row>
    <row r="37" customFormat="false" ht="15.7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1544421.12212986</v>
      </c>
      <c r="G37" s="98" t="n">
        <f aca="false">SUMPRODUCT((YEAR('MODELO PARA BI'!$H$1:$CA$1)=$D$5)*'MODELO PARA BI'!$H$10:$CA$10)</f>
        <v>1190.86608193135</v>
      </c>
      <c r="H37" s="98" t="n">
        <f aca="false">IF(ISNUMBER($G$5),G37*$G$5,0)</f>
        <v>1544421.12212986</v>
      </c>
      <c r="I37" s="96" t="n">
        <f aca="false">IF($F$53=0,0,F37/$F$53)</f>
        <v>0.0270469412340274</v>
      </c>
      <c r="J37" s="96" t="n">
        <f aca="false">IF('VALOR POR PL'!L34=0,0,SUMPRODUCT(('ELEVADORES '!$B$5:$B$76&lt;=DATE($D$5,12,1))*('ELEVADORES '!$C$5:$C$76+'ELEVADORES '!$D$5:$D$76))/'VALOR POR PL'!L34)</f>
        <v>0.447906534664411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Aduelas (elevadores): em execução</v>
      </c>
      <c r="L37" s="100" t="s">
        <v>287</v>
      </c>
      <c r="M37" s="92" t="n">
        <f aca="false">'VALOR POR PL'!L34</f>
        <v>3448087.94380953</v>
      </c>
      <c r="N37" s="93" t="n">
        <f aca="false">IF('VALOR POR PL'!I34="DIRETO",'VALOR POR PL'!L34,0)</f>
        <v>3448087.94380953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0.0472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2851294.39131396</v>
      </c>
      <c r="G38" s="89" t="n">
        <f aca="false">SUMPRODUCT((YEAR('MODELO PARA BI'!$H$1:$CA$1)=$D$5)*'MODELO PARA BI'!$H$12:$CA$12)</f>
        <v>2198.56471241098</v>
      </c>
      <c r="H38" s="89" t="n">
        <f aca="false">IF(ISNUMBER($G$5),G38*$G$5,0)</f>
        <v>2851294.39131396</v>
      </c>
      <c r="I38" s="87" t="n">
        <f aca="false">IF($F$53=0,0,F38/$F$53)</f>
        <v>0.0499337847286293</v>
      </c>
      <c r="J38" s="87" t="n">
        <f aca="false">IF('VALOR POR PL'!L35=0,0,SUMPRODUCT((ESQUADRIAS!$B$5:$B$76&lt;=DATE($D$5,12,1))*(ESQUADRIAS!$C$5:$C$76+ESQUADRIAS!$D$5:$D$76))/'VALOR POR PL'!L35)</f>
        <v>0.239330139700528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até 24º pav., executando 25º pav. / Esquadria de alumínio: até 7º pav., executando 8º pav.</v>
      </c>
      <c r="L38" s="91" t="s">
        <v>287</v>
      </c>
      <c r="M38" s="92" t="n">
        <f aca="false">'VALOR POR PL'!L35</f>
        <v>11913645.2888122</v>
      </c>
      <c r="N38" s="93" t="n">
        <f aca="false">IF('VALOR POR PL'!I35="DIRETO",'VALOR POR PL'!L35,0)</f>
        <v>11913645.2888122</v>
      </c>
    </row>
    <row r="39" customFormat="false" ht="29.2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0.191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98246.2784116694</v>
      </c>
      <c r="G39" s="98" t="n">
        <f aca="false">SUMPRODUCT((YEAR('MODELO PARA BI'!$H$1:$CA$1)=$D$5)*'MODELO PARA BI'!$H$41:$CA$41)</f>
        <v>75.7553486934267</v>
      </c>
      <c r="H39" s="98" t="n">
        <f aca="false">IF(ISNUMBER($G$5),G39*$G$5,0)</f>
        <v>98246.2784116695</v>
      </c>
      <c r="I39" s="96" t="n">
        <f aca="false">IF($F$53=0,0,F39/$F$53)</f>
        <v>0.00172055489308368</v>
      </c>
      <c r="J39" s="96" t="n">
        <f aca="false">IF('VALOR POR PL'!L36=0,0,SUMPRODUCT((SERRALHERIA!$B$5:$B$76&lt;=DATE($D$5,12,1))*(SERRALHERIA!$C$5:$C$76+SERRALHERIA!$D$5:$D$76))/'VALOR POR PL'!L36)</f>
        <v>0.191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Chumbamento de PCF: até 4º pav., executando 5º pav. / Serralheria: até 3º pav., executando 4º pav.</v>
      </c>
      <c r="L39" s="100"/>
      <c r="M39" s="92" t="n">
        <f aca="false">'VALOR POR PL'!L36</f>
        <v>514378.421003505</v>
      </c>
      <c r="N39" s="93" t="n">
        <f aca="false">IF('VALOR POR PL'!I36="DIRETO",'VALOR POR PL'!L36,0)</f>
        <v>514378.421003505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0</v>
      </c>
      <c r="G40" s="89" t="n">
        <f aca="false">SUMPRODUCT((YEAR('MODELO PARA BI'!$H$1:$CA$1)=$D$5)*'MODELO PARA BI'!$H$25:$CA$25)</f>
        <v>0</v>
      </c>
      <c r="H40" s="89" t="n">
        <f aca="false">IF(ISNUMBER($G$5),G40*$G$5,0)</f>
        <v>0</v>
      </c>
      <c r="I40" s="87" t="n">
        <f aca="false">IF($F$53=0,0,F40/$F$53)</f>
        <v>0</v>
      </c>
      <c r="J40" s="87" t="n">
        <f aca="false">IF('VALOR POR PL'!L37=0,0,SUMPRODUCT((MARCENARIA!$B$5:$B$76&lt;=DATE($D$5,12,1))*(MARCENARIA!$C$5:$C$76+MARCENARIA!$D$5:$D$76))/'VALOR POR PL'!L37)</f>
        <v>0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>Não iniciado · início previsto em fev/2028</v>
      </c>
      <c r="L40" s="91"/>
      <c r="M40" s="92" t="n">
        <f aca="false">'VALOR POR PL'!L37</f>
        <v>3172327.03974385</v>
      </c>
      <c r="N40" s="93" t="n">
        <f aca="false">IF('VALOR POR PL'!I37="DIRETO",'VALOR POR PL'!L37,0)</f>
        <v>3172327.03974385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0.6151</v>
      </c>
      <c r="E41" s="97" t="n">
        <f aca="false">IF('VALOR POR PL'!I38&lt;&gt;"DIRETO","",'REV. PISOS'!$K$14)</f>
        <v>0</v>
      </c>
      <c r="F41" s="98" t="n">
        <f aca="false">SUMPRODUCT((YEAR('REV. PISOS'!$B$5:$B$76)=$D$5)*('REV. PISOS'!$C$5:$C$76+'REV. PISOS'!$D$5:$D$76))</f>
        <v>718341.111440196</v>
      </c>
      <c r="G41" s="98" t="n">
        <f aca="false">SUMPRODUCT((YEAR('MODELO PARA BI'!$H$1:$CA$1)=$D$5)*'MODELO PARA BI'!$H$33:$CA$33)</f>
        <v>553.895600502585</v>
      </c>
      <c r="H41" s="98" t="n">
        <f aca="false">IF(ISNUMBER($G$5),G41*$G$5,0)</f>
        <v>718341.111440196</v>
      </c>
      <c r="I41" s="96" t="n">
        <f aca="false">IF($F$53=0,0,F41/$F$53)</f>
        <v>0.0125800725907679</v>
      </c>
      <c r="J41" s="96" t="n">
        <f aca="false">IF('VALOR POR PL'!L38=0,0,SUMPRODUCT(('REV. PISOS'!$B$5:$B$76&lt;=DATE($D$5,12,1))*('REV. PISOS'!$C$5:$C$76+'REV. PISOS'!$D$5:$D$76))/'VALOR POR PL'!L38)</f>
        <v>0.6151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21º pav., executando 22º pav.</v>
      </c>
      <c r="L41" s="100" t="s">
        <v>288</v>
      </c>
      <c r="M41" s="92" t="n">
        <f aca="false">'VALOR POR PL'!L38</f>
        <v>1167844.43414111</v>
      </c>
      <c r="N41" s="93" t="n">
        <f aca="false">IF('VALOR POR PL'!I38="DIRETO",'VALOR POR PL'!L38,0)</f>
        <v>1167844.43414111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0.6545</v>
      </c>
      <c r="E42" s="88" t="n">
        <f aca="false">IF('VALOR POR PL'!I39&lt;&gt;"DIRETO","",'REV. PAREDE'!$K$14)</f>
        <v>0</v>
      </c>
      <c r="F42" s="89" t="n">
        <f aca="false">SUMPRODUCT((YEAR('REV. PAREDE'!$B$5:$B$76)=$D$5)*('REV. PAREDE'!$C$5:$C$76+'REV. PAREDE'!$D$5:$D$76))</f>
        <v>1756077.7306493</v>
      </c>
      <c r="G42" s="89" t="n">
        <f aca="false">SUMPRODUCT((YEAR('MODELO PARA BI'!$H$1:$CA$1)=$D$5)*'MODELO PARA BI'!$H$34:$CA$34)</f>
        <v>1354.06941584769</v>
      </c>
      <c r="H42" s="89" t="n">
        <f aca="false">IF(ISNUMBER($G$5),G42*$G$5,0)</f>
        <v>1756077.7306493</v>
      </c>
      <c r="I42" s="87" t="n">
        <f aca="false">IF($F$53=0,0,F42/$F$53)</f>
        <v>0.0307536140905369</v>
      </c>
      <c r="J42" s="87" t="n">
        <f aca="false">IF('VALOR POR PL'!L39=0,0,SUMPRODUCT(('REV. PAREDE'!$B$5:$B$76&lt;=DATE($D$5,12,1))*('REV. PAREDE'!$C$5:$C$76+'REV. PAREDE'!$D$5:$D$76))/'VALOR POR PL'!L39)</f>
        <v>0.6545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Taliscamento: até 26º pav., executando 27º pav. / Reboco interno: até 23º pav., executando 24º pav.</v>
      </c>
      <c r="L42" s="91" t="s">
        <v>289</v>
      </c>
      <c r="M42" s="92" t="n">
        <f aca="false">'VALOR POR PL'!L39</f>
        <v>2683082.85813491</v>
      </c>
      <c r="N42" s="93" t="n">
        <f aca="false">IF('VALOR POR PL'!I39="DIRETO",'VALOR POR PL'!L39,0)</f>
        <v>2683082.85813491</v>
      </c>
    </row>
    <row r="43" customFormat="false" ht="29.2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0.2329</v>
      </c>
      <c r="E43" s="97" t="n">
        <f aca="false">IF('VALOR POR PL'!I40&lt;&gt;"DIRETO","",'REV. ACAB'!$K$14)</f>
        <v>0</v>
      </c>
      <c r="F43" s="98" t="n">
        <f aca="false">SUMPRODUCT((YEAR('REV. ACAB'!$B$5:$B$76)=$D$5)*('REV. ACAB'!$C$5:$C$76+'REV. ACAB'!$D$5:$D$76))</f>
        <v>2582122.86454135</v>
      </c>
      <c r="G43" s="98" t="n">
        <f aca="false">SUMPRODUCT((YEAR('MODELO PARA BI'!$H$1:$CA$1)=$D$5)*'MODELO PARA BI'!$H$32:$CA$32)</f>
        <v>1991.01300461439</v>
      </c>
      <c r="H43" s="98" t="n">
        <f aca="false">IF(ISNUMBER($G$5),G43*$G$5,0)</f>
        <v>2582122.86454135</v>
      </c>
      <c r="I43" s="96" t="n">
        <f aca="false">IF($F$53=0,0,F43/$F$53)</f>
        <v>0.0452198719478637</v>
      </c>
      <c r="J43" s="96" t="n">
        <f aca="false">IF('VALOR POR PL'!L40=0,0,SUMPRODUCT(('REV. ACAB'!$B$5:$B$76&lt;=DATE($D$5,12,1))*('REV. ACAB'!$C$5:$C$76+'REV. ACAB'!$D$5:$D$76))/'VALOR POR PL'!L40)</f>
        <v>0.23296989096729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porcelanato parede: até 15º pav., executando 16º pav. / Revestimentos porcelanato piso: até 14º pav., executando 15º pav. / Bancadas: até 13º pav., executando 14º pav.</v>
      </c>
      <c r="L43" s="100" t="s">
        <v>290</v>
      </c>
      <c r="M43" s="92" t="n">
        <f aca="false">'VALOR POR PL'!L40</f>
        <v>11083504.6272305</v>
      </c>
      <c r="N43" s="93" t="n">
        <f aca="false">IF('VALOR POR PL'!I40="DIRETO",'VALOR POR PL'!L40,0)</f>
        <v>11083504.6272305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PAVIMENTAÇÃO</v>
      </c>
      <c r="D44" s="87" t="n">
        <f aca="false">IF(OR('VALOR POR PL'!I41&lt;&gt;"DIRETO",'CP RESUMO'!$C$35=""),"",IFERROR(INDEX('CP RESUMO'!$D$35:$BW$35,MATCH(DATE($D$5,12,1),'CP RESUMO'!$D$4:$BW$4,0))/100,""))</f>
        <v>0.2576</v>
      </c>
      <c r="E44" s="88" t="n">
        <f aca="false">IF('VALOR POR PL'!I41&lt;&gt;"DIRETO","",PAVIMENTAÇÃO!$K$14)</f>
        <v>0</v>
      </c>
      <c r="F44" s="89" t="n">
        <f aca="false">SUMPRODUCT((YEAR(PAVIMENTAÇÃO!$B$5:$B$76)=$D$5)*(PAVIMENTAÇÃO!$C$5:$C$76+PAVIMENTAÇÃO!$D$5:$D$76))</f>
        <v>29339.4085029297</v>
      </c>
      <c r="G44" s="89" t="n">
        <f aca="false">SUMPRODUCT((YEAR('MODELO PARA BI'!$H$1:$CA$1)=$D$5)*'MODELO PARA BI'!$H$27:$CA$27)</f>
        <v>22.6229141452581</v>
      </c>
      <c r="H44" s="89" t="n">
        <f aca="false">IF(ISNUMBER($G$5),G44*$G$5,0)</f>
        <v>29339.4085029297</v>
      </c>
      <c r="I44" s="87" t="n">
        <f aca="false">IF($F$53=0,0,F44/$F$53)</f>
        <v>0.000513811450937368</v>
      </c>
      <c r="J44" s="87" t="n">
        <f aca="false">IF('VALOR POR PL'!L41=0,0,SUMPRODUCT((PAVIMENTAÇÃO!$B$5:$B$76&lt;=DATE($D$5,12,1))*(PAVIMENTAÇÃO!$C$5:$C$76+PAVIMENTAÇÃO!$D$5:$D$76))/'VALOR POR PL'!L41)</f>
        <v>0.2576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Passeios, muretas e rampas: em execução (térreo)</v>
      </c>
      <c r="L44" s="91"/>
      <c r="M44" s="92" t="n">
        <f aca="false">'VALOR POR PL'!L41</f>
        <v>113895.219343671</v>
      </c>
      <c r="N44" s="93" t="n">
        <f aca="false">IF('VALOR POR PL'!I41="DIRETO",'VALOR POR PL'!L41,0)</f>
        <v>113895.219343671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- FACHADA</v>
      </c>
      <c r="D45" s="96" t="n">
        <f aca="false">IF(OR('VALOR POR PL'!I42&lt;&gt;"DIRETO",'CP RESUMO'!$C$36=""),"",IFERROR(INDEX('CP RESUMO'!$D$36:$BW$36,MATCH(DATE($D$5,12,1),'CP RESUMO'!$D$4:$BW$4,0))/100,""))</f>
        <v>0.4136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2227924.83486531</v>
      </c>
      <c r="G45" s="98" t="n">
        <f aca="false">SUMPRODUCT((YEAR('MODELO PARA BI'!$H$1:$CA$1)=$D$5)*'MODELO PARA BI'!$H$31:$CA$31)</f>
        <v>1717.8993999219</v>
      </c>
      <c r="H45" s="98" t="n">
        <f aca="false">IF(ISNUMBER($G$5),G45*$G$5,0)</f>
        <v>2227924.83486531</v>
      </c>
      <c r="I45" s="96" t="n">
        <f aca="false">IF($F$53=0,0,F45/$F$53)</f>
        <v>0.0390169178723298</v>
      </c>
      <c r="J45" s="96" t="n">
        <f aca="false">IF('VALOR POR PL'!L42=0,0,SUMPRODUCT(('REV. FACHADA'!$B$5:$B$76&lt;=DATE($D$5,12,1))*('REV. FACHADA'!$C$5:$C$76+'REV. FACHADA'!$D$5:$D$76))/'VALOR POR PL'!L42)</f>
        <v>0.4136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Preparação para fachada aerada - F1 + F2 (1º etapa): concluído / Fachada loja: até térreo (restam serviços no térreo) / Fachada aerada - F1 + F2 (1º etapa): concluído / Preparação para fachada aerada - F3 + F4 (1º etapa): concluído / Fachada aerada - F3 + F4 (1º etapa): em execução / Peitoris e requadros de fachada - F1 + F2 (1º etapa): concluído / Preparação para fachada aerada - F5 (1º etapa): em execução</v>
      </c>
      <c r="L45" s="100" t="s">
        <v>291</v>
      </c>
      <c r="M45" s="92" t="n">
        <f aca="false">'VALOR POR PL'!L42</f>
        <v>5386665.46147319</v>
      </c>
      <c r="N45" s="93" t="n">
        <f aca="false">IF('VALOR POR PL'!I42="DIRETO",'VALOR POR PL'!L42,0)</f>
        <v>5386665.46147319</v>
      </c>
    </row>
    <row r="46" customFormat="false" ht="15.7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0.1817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327285.688819881</v>
      </c>
      <c r="G46" s="89" t="n">
        <f aca="false">SUMPRODUCT((YEAR('MODELO PARA BI'!$H$1:$CA$1)=$D$5)*'MODELO PARA BI'!$H$14:$CA$14)</f>
        <v>252.362144192665</v>
      </c>
      <c r="H46" s="89" t="n">
        <f aca="false">IF(ISNUMBER($G$5),G46*$G$5,0)</f>
        <v>327285.688819881</v>
      </c>
      <c r="I46" s="87" t="n">
        <f aca="false">IF($F$53=0,0,F46/$F$53)</f>
        <v>0.00573164706530422</v>
      </c>
      <c r="J46" s="87" t="n">
        <f aca="false">IF('VALOR POR PL'!L43=0,0,SUMPRODUCT((FORRO!$B$5:$B$76&lt;=DATE($D$5,12,1))*(FORRO!$C$5:$C$76+FORRO!$D$5:$D$76))/'VALOR POR PL'!L43)</f>
        <v>0.1817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11º pav., executando 12º pav.</v>
      </c>
      <c r="L46" s="91" t="s">
        <v>292</v>
      </c>
      <c r="M46" s="92" t="n">
        <f aca="false">'VALOR POR PL'!L43</f>
        <v>1801242.09587166</v>
      </c>
      <c r="N46" s="93" t="n">
        <f aca="false">IF('VALOR POR PL'!I43="DIRETO",'VALOR POR PL'!L43,0)</f>
        <v>1801242.09587166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244488.976377602</v>
      </c>
      <c r="G47" s="98" t="n">
        <f aca="false">SUMPRODUCT((YEAR('MODELO PARA BI'!$H$1:$CA$1)=$D$5)*'MODELO PARA BI'!$H$23:$CA$23)</f>
        <v>188.519585236363</v>
      </c>
      <c r="H47" s="98" t="n">
        <f aca="false">IF(ISNUMBER($G$5),G47*$G$5,0)</f>
        <v>244488.976377602</v>
      </c>
      <c r="I47" s="96" t="n">
        <f aca="false">IF($F$53=0,0,F47/$F$53)</f>
        <v>0.0042816553605102</v>
      </c>
      <c r="J47" s="96" t="n">
        <f aca="false">IF('VALOR POR PL'!L44=0,0,SUMPRODUCT((LOUÇAS!$B$5:$B$76&lt;=DATE($D$5,12,1))*(LOUÇAS!$C$5:$C$76+LOUÇAS!$D$5:$D$76))/'VALOR POR PL'!L44)</f>
        <v>0.1119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Não iniciado · início previsto em mar/2028</v>
      </c>
      <c r="L47" s="100"/>
      <c r="M47" s="92" t="n">
        <f aca="false">'VALOR POR PL'!L44</f>
        <v>2184888.0820161</v>
      </c>
      <c r="N47" s="93" t="n">
        <f aca="false">IF('VALOR POR PL'!I44="DIRETO",'VALOR POR PL'!L44,0)</f>
        <v>2184888.0820161</v>
      </c>
    </row>
    <row r="48" customFormat="false" ht="15.7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0.1499</v>
      </c>
      <c r="E48" s="88" t="n">
        <f aca="false">IF('VALOR POR PL'!I45&lt;&gt;"DIRETO","",PINTURA!$K$14)</f>
        <v>0</v>
      </c>
      <c r="F48" s="89" t="n">
        <f aca="false">SUMPRODUCT((YEAR(PINTURA!$B$5:$B$76)=$D$5)*(PINTURA!$C$5:$C$76+PINTURA!$D$5:$D$76))</f>
        <v>432492.753783118</v>
      </c>
      <c r="G48" s="89" t="n">
        <f aca="false">SUMPRODUCT((YEAR('MODELO PARA BI'!$H$1:$CA$1)=$D$5)*'MODELO PARA BI'!$H$28:$CA$28)</f>
        <v>333.484788430712</v>
      </c>
      <c r="H48" s="89" t="n">
        <f aca="false">IF(ISNUMBER($G$5),G48*$G$5,0)</f>
        <v>432492.753783118</v>
      </c>
      <c r="I48" s="87" t="n">
        <f aca="false">IF($F$53=0,0,F48/$F$53)</f>
        <v>0.00757410393324773</v>
      </c>
      <c r="J48" s="87" t="n">
        <f aca="false">IF('VALOR POR PL'!L45=0,0,SUMPRODUCT((PINTURA!$B$5:$B$76&lt;=DATE($D$5,12,1))*(PINTURA!$C$5:$C$76+PINTURA!$D$5:$D$76))/'VALOR POR PL'!L45)</f>
        <v>0.152244566321349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térreo, executando 7º pav.</v>
      </c>
      <c r="L48" s="91" t="s">
        <v>293</v>
      </c>
      <c r="M48" s="92" t="n">
        <f aca="false">'VALOR POR PL'!L45</f>
        <v>3917501.06140623</v>
      </c>
      <c r="N48" s="93" t="n">
        <f aca="false">IF('VALOR POR PL'!I45="DIRETO",'VALOR POR PL'!L45,0)</f>
        <v>3917501.06140623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PAISAGISMO</v>
      </c>
      <c r="D49" s="96" t="n">
        <f aca="false">IF(OR('VALOR POR PL'!I46&lt;&gt;"DIRETO",'CP RESUMO'!$C$40=""),"",IFERROR(INDEX('CP RESUMO'!$D$40:$BW$40,MATCH(DATE($D$5,12,1),'CP RESUMO'!$D$4:$BW$4,0))/100,""))</f>
        <v>0</v>
      </c>
      <c r="E49" s="97" t="n">
        <f aca="false">IF('VALOR POR PL'!I46&lt;&gt;"DIRETO","",PAISAGISMO!$K$14)</f>
        <v>0</v>
      </c>
      <c r="F49" s="98" t="n">
        <f aca="false">SUMPRODUCT((YEAR(PAISAGISMO!$B$5:$B$76)=$D$5)*(PAISAGISMO!$C$5:$C$76+PAISAGISMO!$D$5:$D$76))</f>
        <v>0</v>
      </c>
      <c r="G49" s="98" t="n">
        <f aca="false">SUMPRODUCT((YEAR('MODELO PARA BI'!$H$1:$CA$1)=$D$5)*'MODELO PARA BI'!$H$26:$CA$26)</f>
        <v>0</v>
      </c>
      <c r="H49" s="98" t="n">
        <f aca="false">IF(ISNUMBER($G$5),G49*$G$5,0)</f>
        <v>0</v>
      </c>
      <c r="I49" s="96" t="n">
        <f aca="false">IF($F$53=0,0,F49/$F$53)</f>
        <v>0</v>
      </c>
      <c r="J49" s="96" t="n">
        <f aca="false">IF('VALOR POR PL'!L46=0,0,SUMPRODUCT((PAISAGISMO!$B$5:$B$76&lt;=DATE($D$5,12,1))*(PAISAGISMO!$C$5:$C$76+PAISAGISMO!$D$5:$D$76))/'VALOR POR PL'!L46)</f>
        <v>0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Não iniciado · início previsto em jun/2028</v>
      </c>
      <c r="L49" s="100"/>
      <c r="M49" s="92" t="n">
        <f aca="false">'VALOR POR PL'!L46</f>
        <v>1190140.95669366</v>
      </c>
      <c r="N49" s="93" t="n">
        <f aca="false">IF('VALOR POR PL'!I46="DIRETO",'VALOR POR PL'!L46,0)</f>
        <v>1190140.95669366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0</v>
      </c>
      <c r="G50" s="89" t="n">
        <f aca="false">SUMPRODUCT((YEAR('MODELO PARA BI'!$H$1:$CA$1)=$D$5)*'MODELO PARA BI'!$H$24:$CA$24)</f>
        <v>0</v>
      </c>
      <c r="H50" s="89" t="n">
        <f aca="false">IF(ISNUMBER($G$5),G50*$G$5,0)</f>
        <v>0</v>
      </c>
      <c r="I50" s="87" t="n">
        <f aca="false">IF($F$53=0,0,F50/$F$53)</f>
        <v>0</v>
      </c>
      <c r="J50" s="87" t="n">
        <f aca="false">IF('VALOR POR PL'!L47=0,0,SUMPRODUCT((LIMPEZA!$B$5:$B$76&lt;=DATE($D$5,12,1))*(LIMPEZA!$C$5:$C$76+LIMPEZA!$D$5:$D$76))/'VALOR POR PL'!L47)</f>
        <v>0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Não iniciado · início previsto em mar/2028</v>
      </c>
      <c r="L50" s="91"/>
      <c r="M50" s="92" t="n">
        <f aca="false">'VALOR POR PL'!L47</f>
        <v>945897.746728468</v>
      </c>
      <c r="N50" s="93" t="n">
        <f aca="false">IF('VALOR POR PL'!I47="DIRETO",'VALOR POR PL'!L47,0)</f>
        <v>945897.746728468</v>
      </c>
    </row>
    <row r="51" customFormat="false" ht="19.5" hidden="false" customHeight="true" outlineLevel="0" collapsed="false">
      <c r="A51" s="8"/>
      <c r="B51" s="31"/>
      <c r="C51" s="31" t="s">
        <v>294</v>
      </c>
      <c r="D51" s="31"/>
      <c r="E51" s="31"/>
      <c r="F51" s="106" t="n">
        <f aca="false">F23+F29+SUM(F30:F50)</f>
        <v>57101507.6627906</v>
      </c>
      <c r="G51" s="106" t="n">
        <f aca="false">G23+G29+SUM(G30:G50)</f>
        <v>44029.6028902941</v>
      </c>
      <c r="H51" s="106" t="n">
        <f aca="false">H23+H29+SUM(H30:H50)</f>
        <v>57101507.6627906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BI'!$H$43:$CA$43)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566105.29</v>
      </c>
    </row>
    <row r="53" customFormat="false" ht="19.5" hidden="false" customHeight="true" outlineLevel="0" collapsed="false">
      <c r="A53" s="8"/>
      <c r="B53" s="31"/>
      <c r="C53" s="31" t="s">
        <v>295</v>
      </c>
      <c r="D53" s="31"/>
      <c r="E53" s="31"/>
      <c r="F53" s="106" t="n">
        <f aca="false">F51+F52</f>
        <v>57101507.6627906</v>
      </c>
      <c r="G53" s="106" t="n">
        <f aca="false">G51+G52</f>
        <v>44029.6028902941</v>
      </c>
      <c r="H53" s="106" t="n">
        <f aca="false">H51+H52</f>
        <v>57101507.6627906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296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297</v>
      </c>
      <c r="C55" s="8"/>
      <c r="D55" s="8"/>
      <c r="E55" s="8"/>
      <c r="F55" s="8"/>
      <c r="G55" s="8"/>
      <c r="H55" s="15" t="s">
        <v>298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{E998FAE9-4737-4883-994D-6B58842481BE}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{A750F521-1F50-4E2B-92E9-4E858D4F2680}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98FAE9-4737-4883-994D-6B58842481B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A750F521-1F50-4E2B-92E9-4E858D4F2680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299</v>
      </c>
      <c r="B1" s="54" t="s">
        <v>300</v>
      </c>
      <c r="C1" s="54" t="s">
        <v>301</v>
      </c>
      <c r="D1" s="54" t="s">
        <v>302</v>
      </c>
      <c r="E1" s="54" t="s">
        <v>303</v>
      </c>
      <c r="F1" s="54" t="s">
        <v>304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305</v>
      </c>
      <c r="B2" s="55" t="s">
        <v>306</v>
      </c>
      <c r="C2" s="55" t="s">
        <v>168</v>
      </c>
      <c r="D2" s="56" t="n">
        <f aca="false">ALVENARIA!$K$5</f>
        <v>4871.740311</v>
      </c>
      <c r="E2" s="45" t="n">
        <f aca="false">SUM(H2:CA2)</f>
        <v>4869.81381345057</v>
      </c>
      <c r="F2" s="45" t="n">
        <f aca="false">IF(D2="","",D2-E2)</f>
        <v>1.92649754942886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0</v>
      </c>
      <c r="U2" s="93" t="n">
        <f aca="false">ALVENARIA!E18</f>
        <v>0</v>
      </c>
      <c r="V2" s="93" t="n">
        <f aca="false">ALVENARIA!E19</f>
        <v>0</v>
      </c>
      <c r="W2" s="93" t="n">
        <f aca="false">ALVENARIA!E20</f>
        <v>0</v>
      </c>
      <c r="X2" s="93" t="n">
        <f aca="false">ALVENARIA!E21</f>
        <v>0</v>
      </c>
      <c r="Y2" s="93" t="n">
        <f aca="false">ALVENARIA!E22</f>
        <v>0</v>
      </c>
      <c r="Z2" s="93" t="n">
        <f aca="false">ALVENARIA!E23</f>
        <v>0</v>
      </c>
      <c r="AA2" s="93" t="n">
        <f aca="false">ALVENARIA!E24</f>
        <v>0</v>
      </c>
      <c r="AB2" s="93" t="n">
        <f aca="false">ALVENARIA!E25</f>
        <v>0</v>
      </c>
      <c r="AC2" s="93" t="n">
        <f aca="false">ALVENARIA!E26</f>
        <v>0</v>
      </c>
      <c r="AD2" s="93" t="n">
        <f aca="false">ALVENARIA!E27</f>
        <v>0</v>
      </c>
      <c r="AE2" s="93" t="n">
        <f aca="false">ALVENARIA!E28</f>
        <v>0</v>
      </c>
      <c r="AF2" s="93" t="n">
        <f aca="false">ALVENARIA!E29</f>
        <v>0</v>
      </c>
      <c r="AG2" s="93" t="n">
        <f aca="false">ALVENARIA!E30</f>
        <v>0</v>
      </c>
      <c r="AH2" s="93" t="n">
        <f aca="false">ALVENARIA!E31</f>
        <v>0</v>
      </c>
      <c r="AI2" s="93" t="n">
        <f aca="false">ALVENARIA!E32</f>
        <v>54.0549333293014</v>
      </c>
      <c r="AJ2" s="93" t="n">
        <f aca="false">ALVENARIA!E33</f>
        <v>143.659507496792</v>
      </c>
      <c r="AK2" s="93" t="n">
        <f aca="false">ALVENARIA!E34</f>
        <v>231.803137520247</v>
      </c>
      <c r="AL2" s="93" t="n">
        <f aca="false">ALVENARIA!E35</f>
        <v>268.813722502472</v>
      </c>
      <c r="AM2" s="93" t="n">
        <f aca="false">ALVENARIA!E36</f>
        <v>300.954493671245</v>
      </c>
      <c r="AN2" s="93" t="n">
        <f aca="false">ALVENARIA!E37</f>
        <v>418.317006575404</v>
      </c>
      <c r="AO2" s="93" t="n">
        <f aca="false">ALVENARIA!E38</f>
        <v>465.067219184529</v>
      </c>
      <c r="AP2" s="93" t="n">
        <f aca="false">ALVENARIA!E39</f>
        <v>511.817431793655</v>
      </c>
      <c r="AQ2" s="93" t="n">
        <f aca="false">ALVENARIA!E40</f>
        <v>507.921580742895</v>
      </c>
      <c r="AR2" s="93" t="n">
        <f aca="false">ALVENARIA!E41</f>
        <v>352.574520093822</v>
      </c>
      <c r="AS2" s="93" t="n">
        <f aca="false">ALVENARIA!E42</f>
        <v>376.923589161074</v>
      </c>
      <c r="AT2" s="93" t="n">
        <f aca="false">ALVENARIA!E43</f>
        <v>385.689254025285</v>
      </c>
      <c r="AU2" s="93" t="n">
        <f aca="false">ALVENARIA!E44</f>
        <v>309.720158535456</v>
      </c>
      <c r="AV2" s="93" t="n">
        <f aca="false">ALVENARIA!E45</f>
        <v>209.88897535972</v>
      </c>
      <c r="AW2" s="93" t="n">
        <f aca="false">ALVENARIA!E46</f>
        <v>183.104999385742</v>
      </c>
      <c r="AX2" s="93" t="n">
        <f aca="false">ALVENARIA!E47</f>
        <v>53.567951947956</v>
      </c>
      <c r="AY2" s="93" t="n">
        <f aca="false">ALVENARIA!E48</f>
        <v>48.2111567531604</v>
      </c>
      <c r="AZ2" s="93" t="n">
        <f aca="false">ALVENARIA!E49</f>
        <v>47.7241753718158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305</v>
      </c>
      <c r="B3" s="55" t="s">
        <v>307</v>
      </c>
      <c r="C3" s="55" t="s">
        <v>67</v>
      </c>
      <c r="D3" s="56" t="n">
        <f aca="false">'BARRACÃO DE OBRA'!$K$5</f>
        <v>768.068153</v>
      </c>
      <c r="E3" s="45" t="n">
        <f aca="false">SUM(H3:CA3)</f>
        <v>972.547406374673</v>
      </c>
      <c r="F3" s="45" t="n">
        <f aca="false">IF(D3="","",D3-E3)</f>
        <v>-204.479253374673</v>
      </c>
      <c r="H3" s="93" t="n">
        <f aca="false">'BARRACÃO DE OBRA'!E5</f>
        <v>53.8981367600457</v>
      </c>
      <c r="I3" s="93" t="n">
        <f aca="false">'BARRACÃO DE OBRA'!E6</f>
        <v>0</v>
      </c>
      <c r="J3" s="93" t="n">
        <f aca="false">'BARRACÃO DE OBRA'!E7</f>
        <v>0</v>
      </c>
      <c r="K3" s="93" t="n">
        <f aca="false">'BARRACÃO DE OBRA'!E8</f>
        <v>0</v>
      </c>
      <c r="L3" s="93" t="n">
        <f aca="false">'BARRACÃO DE OBRA'!E9</f>
        <v>0</v>
      </c>
      <c r="M3" s="93" t="n">
        <f aca="false">'BARRACÃO DE OBRA'!E10</f>
        <v>0</v>
      </c>
      <c r="N3" s="93" t="n">
        <f aca="false">'BARRACÃO DE OBRA'!E11</f>
        <v>51.319148084758</v>
      </c>
      <c r="O3" s="93" t="n">
        <f aca="false">'BARRACÃO DE OBRA'!E12</f>
        <v>58.3516912011936</v>
      </c>
      <c r="P3" s="93" t="n">
        <f aca="false">'BARRACÃO DE OBRA'!E13</f>
        <v>54.8961869177928</v>
      </c>
      <c r="Q3" s="93" t="n">
        <f aca="false">'BARRACÃO DE OBRA'!E14</f>
        <v>58.4218053459824</v>
      </c>
      <c r="R3" s="93" t="n">
        <f aca="false">'BARRACÃO DE OBRA'!E15</f>
        <v>48.4673041241668</v>
      </c>
      <c r="S3" s="93" t="n">
        <f aca="false">'BARRACÃO DE OBRA'!E16</f>
        <v>33.2200748511178</v>
      </c>
      <c r="T3" s="93" t="n">
        <f aca="false">'BARRACÃO DE OBRA'!E17</f>
        <v>41.9000521918543</v>
      </c>
      <c r="U3" s="93" t="n">
        <f aca="false">'BARRACÃO DE OBRA'!E18</f>
        <v>18.3373078875635</v>
      </c>
      <c r="V3" s="93" t="n">
        <f aca="false">'BARRACÃO DE OBRA'!E19</f>
        <v>14.1587577721868</v>
      </c>
      <c r="W3" s="93" t="n">
        <f aca="false">'BARRACÃO DE OBRA'!E20</f>
        <v>11.5488209008957</v>
      </c>
      <c r="X3" s="93" t="n">
        <f aca="false">'BARRACÃO DE OBRA'!E21</f>
        <v>10.8278556299676</v>
      </c>
      <c r="Y3" s="93" t="n">
        <f aca="false">'BARRACÃO DE OBRA'!E22</f>
        <v>15.6490581925639</v>
      </c>
      <c r="Z3" s="93" t="n">
        <f aca="false">'BARRACÃO DE OBRA'!E23</f>
        <v>11.6132546123387</v>
      </c>
      <c r="AA3" s="93" t="n">
        <f aca="false">'BARRACÃO DE OBRA'!E24</f>
        <v>22.2300456912322</v>
      </c>
      <c r="AB3" s="93" t="n">
        <f aca="false">'BARRACÃO DE OBRA'!E25</f>
        <v>12.6719634448284</v>
      </c>
      <c r="AC3" s="93" t="n">
        <f aca="false">'BARRACÃO DE OBRA'!E26</f>
        <v>23.7233931166315</v>
      </c>
      <c r="AD3" s="93" t="n">
        <f aca="false">'BARRACÃO DE OBRA'!E27</f>
        <v>16.8908422969391</v>
      </c>
      <c r="AE3" s="93" t="n">
        <f aca="false">'BARRACÃO DE OBRA'!E28</f>
        <v>11.8521535579646</v>
      </c>
      <c r="AF3" s="93" t="n">
        <f aca="false">'BARRACÃO DE OBRA'!E29</f>
        <v>11.4913670912739</v>
      </c>
      <c r="AG3" s="93" t="n">
        <f aca="false">'BARRACÃO DE OBRA'!E30</f>
        <v>8.77219066214234</v>
      </c>
      <c r="AH3" s="93" t="n">
        <f aca="false">'BARRACÃO DE OBRA'!E31</f>
        <v>72.499184657723</v>
      </c>
      <c r="AI3" s="93" t="n">
        <f aca="false">'BARRACÃO DE OBRA'!E32</f>
        <v>73.0119502066636</v>
      </c>
      <c r="AJ3" s="93" t="n">
        <f aca="false">'BARRACÃO DE OBRA'!E33</f>
        <v>37.0952991046226</v>
      </c>
      <c r="AK3" s="93" t="n">
        <f aca="false">'BARRACÃO DE OBRA'!E34</f>
        <v>8.77219066214234</v>
      </c>
      <c r="AL3" s="93" t="n">
        <f aca="false">'BARRACÃO DE OBRA'!E35</f>
        <v>8.77219066214234</v>
      </c>
      <c r="AM3" s="93" t="n">
        <f aca="false">'BARRACÃO DE OBRA'!E36</f>
        <v>8.77219066214234</v>
      </c>
      <c r="AN3" s="93" t="n">
        <f aca="false">'BARRACÃO DE OBRA'!E37</f>
        <v>8.77219066214234</v>
      </c>
      <c r="AO3" s="93" t="n">
        <f aca="false">'BARRACÃO DE OBRA'!E38</f>
        <v>11.6251719118869</v>
      </c>
      <c r="AP3" s="93" t="n">
        <f aca="false">'BARRACÃO DE OBRA'!E39</f>
        <v>8.77219066214234</v>
      </c>
      <c r="AQ3" s="93" t="n">
        <f aca="false">'BARRACÃO DE OBRA'!E40</f>
        <v>8.77219066214234</v>
      </c>
      <c r="AR3" s="93" t="n">
        <f aca="false">'BARRACÃO DE OBRA'!E41</f>
        <v>8.77219066214234</v>
      </c>
      <c r="AS3" s="93" t="n">
        <f aca="false">'BARRACÃO DE OBRA'!E42</f>
        <v>8.77219066214234</v>
      </c>
      <c r="AT3" s="93" t="n">
        <f aca="false">'BARRACÃO DE OBRA'!E43</f>
        <v>8.77219066214234</v>
      </c>
      <c r="AU3" s="93" t="n">
        <f aca="false">'BARRACÃO DE OBRA'!E44</f>
        <v>8.77219066214234</v>
      </c>
      <c r="AV3" s="93" t="n">
        <f aca="false">'BARRACÃO DE OBRA'!E45</f>
        <v>8.77219066214234</v>
      </c>
      <c r="AW3" s="93" t="n">
        <f aca="false">'BARRACÃO DE OBRA'!E46</f>
        <v>8.77219066214234</v>
      </c>
      <c r="AX3" s="93" t="n">
        <f aca="false">'BARRACÃO DE OBRA'!E47</f>
        <v>8.77219066214234</v>
      </c>
      <c r="AY3" s="93" t="n">
        <f aca="false">'BARRACÃO DE OBRA'!E48</f>
        <v>8.77219066214234</v>
      </c>
      <c r="AZ3" s="93" t="n">
        <f aca="false">'BARRACÃO DE OBRA'!E49</f>
        <v>8.77219066214234</v>
      </c>
      <c r="BA3" s="93" t="n">
        <f aca="false">'BARRACÃO DE OBRA'!E50</f>
        <v>0.92050102438061</v>
      </c>
      <c r="BB3" s="93" t="n">
        <f aca="false">'BARRACÃO DE OBRA'!E51</f>
        <v>0.92050102438061</v>
      </c>
      <c r="BC3" s="93" t="n">
        <f aca="false">'BARRACÃO DE OBRA'!E52</f>
        <v>0.92050102438061</v>
      </c>
      <c r="BD3" s="93" t="n">
        <f aca="false">'BARRACÃO DE OBRA'!E53</f>
        <v>1.25455792690544</v>
      </c>
      <c r="BE3" s="93" t="n">
        <f aca="false">'BARRACÃO DE OBRA'!E54</f>
        <v>1.22476909760107</v>
      </c>
      <c r="BF3" s="93" t="n">
        <f aca="false">'BARRACÃO DE OBRA'!E55</f>
        <v>1.22476909760107</v>
      </c>
      <c r="BG3" s="93" t="n">
        <f aca="false">'BARRACÃO DE OBRA'!E56</f>
        <v>50.0259310329526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305</v>
      </c>
      <c r="B4" s="55" t="s">
        <v>308</v>
      </c>
      <c r="C4" s="55" t="s">
        <v>69</v>
      </c>
      <c r="D4" s="56" t="n">
        <f aca="false">CONSULTORIAS!$K$5</f>
        <v>1087.08347</v>
      </c>
      <c r="E4" s="45" t="n">
        <f aca="false">SUM(H4:CA4)</f>
        <v>1070.94400909557</v>
      </c>
      <c r="F4" s="45" t="n">
        <f aca="false">IF(D4="","",D4-E4)</f>
        <v>16.1394609044289</v>
      </c>
      <c r="H4" s="93" t="n">
        <f aca="false">CONSULTORIAS!E5</f>
        <v>37.8286998660252</v>
      </c>
      <c r="I4" s="93" t="n">
        <f aca="false">CONSULTORIAS!E6</f>
        <v>0</v>
      </c>
      <c r="J4" s="93" t="n">
        <f aca="false">CONSULTORIAS!E7</f>
        <v>12.2865966646078</v>
      </c>
      <c r="K4" s="93" t="n">
        <f aca="false">CONSULTORIAS!E8</f>
        <v>0.516579456986081</v>
      </c>
      <c r="L4" s="93" t="n">
        <f aca="false">CONSULTORIAS!E9</f>
        <v>0</v>
      </c>
      <c r="M4" s="93" t="n">
        <f aca="false">CONSULTORIAS!E10</f>
        <v>0</v>
      </c>
      <c r="N4" s="93" t="n">
        <f aca="false">CONSULTORIAS!E11</f>
        <v>0</v>
      </c>
      <c r="O4" s="93" t="n">
        <f aca="false">CONSULTORIAS!E12</f>
        <v>16.6728240494816</v>
      </c>
      <c r="P4" s="93" t="n">
        <f aca="false">CONSULTORIAS!E13</f>
        <v>4.94442371452101</v>
      </c>
      <c r="Q4" s="93" t="n">
        <f aca="false">CONSULTORIAS!E14</f>
        <v>7.9716052634386</v>
      </c>
      <c r="R4" s="93" t="n">
        <f aca="false">CONSULTORIAS!E15</f>
        <v>23.5356966382952</v>
      </c>
      <c r="S4" s="93" t="n">
        <f aca="false">CONSULTORIAS!E16</f>
        <v>208.45743383215</v>
      </c>
      <c r="T4" s="93" t="n">
        <f aca="false">CONSULTORIAS!E17</f>
        <v>49.9069991637904</v>
      </c>
      <c r="U4" s="93" t="n">
        <f aca="false">CONSULTORIAS!E18</f>
        <v>21.3454014272826</v>
      </c>
      <c r="V4" s="93" t="n">
        <f aca="false">CONSULTORIAS!E19</f>
        <v>22.1074405815164</v>
      </c>
      <c r="W4" s="93" t="n">
        <f aca="false">CONSULTORIAS!E20</f>
        <v>34.2211595590375</v>
      </c>
      <c r="X4" s="93" t="n">
        <f aca="false">CONSULTORIAS!E21</f>
        <v>17.6269795149772</v>
      </c>
      <c r="Y4" s="93" t="n">
        <f aca="false">CONSULTORIAS!E22</f>
        <v>17.8271261002837</v>
      </c>
      <c r="Z4" s="93" t="n">
        <f aca="false">CONSULTORIAS!E23</f>
        <v>14.5363923222824</v>
      </c>
      <c r="AA4" s="93" t="n">
        <f aca="false">CONSULTORIAS!E24</f>
        <v>32.8947689088512</v>
      </c>
      <c r="AB4" s="93" t="n">
        <f aca="false">CONSULTORIAS!E25</f>
        <v>25.1438712179685</v>
      </c>
      <c r="AC4" s="93" t="n">
        <f aca="false">CONSULTORIAS!E26</f>
        <v>43.5184681746202</v>
      </c>
      <c r="AD4" s="93" t="n">
        <f aca="false">CONSULTORIAS!E27</f>
        <v>26.0026598538771</v>
      </c>
      <c r="AE4" s="93" t="n">
        <f aca="false">CONSULTORIAS!E28</f>
        <v>16.7361673746964</v>
      </c>
      <c r="AF4" s="93" t="n">
        <f aca="false">CONSULTORIAS!E29</f>
        <v>16.7361673746964</v>
      </c>
      <c r="AG4" s="93" t="n">
        <f aca="false">CONSULTORIAS!E30</f>
        <v>18.8666279805926</v>
      </c>
      <c r="AH4" s="93" t="n">
        <f aca="false">CONSULTORIAS!E31</f>
        <v>14.3138596312583</v>
      </c>
      <c r="AI4" s="93" t="n">
        <f aca="false">CONSULTORIAS!E32</f>
        <v>14.3138596312583</v>
      </c>
      <c r="AJ4" s="93" t="n">
        <f aca="false">CONSULTORIAS!E33</f>
        <v>15.9293580777963</v>
      </c>
      <c r="AK4" s="93" t="n">
        <f aca="false">CONSULTORIAS!E34</f>
        <v>14.3138596312583</v>
      </c>
      <c r="AL4" s="93" t="n">
        <f aca="false">CONSULTORIAS!E35</f>
        <v>18.0038049466462</v>
      </c>
      <c r="AM4" s="93" t="n">
        <f aca="false">CONSULTORIAS!E36</f>
        <v>15.9293580777963</v>
      </c>
      <c r="AN4" s="93" t="n">
        <f aca="false">CONSULTORIAS!E37</f>
        <v>14.3138596312583</v>
      </c>
      <c r="AO4" s="93" t="n">
        <f aca="false">CONSULTORIAS!E38</f>
        <v>14.3138596312583</v>
      </c>
      <c r="AP4" s="93" t="n">
        <f aca="false">CONSULTORIAS!E39</f>
        <v>15.9293580777963</v>
      </c>
      <c r="AQ4" s="93" t="n">
        <f aca="false">CONSULTORIAS!E40</f>
        <v>14.3138596312583</v>
      </c>
      <c r="AR4" s="93" t="n">
        <f aca="false">CONSULTORIAS!E41</f>
        <v>11.4632685632936</v>
      </c>
      <c r="AS4" s="93" t="n">
        <f aca="false">CONSULTORIAS!E42</f>
        <v>12.7666086509118</v>
      </c>
      <c r="AT4" s="93" t="n">
        <f aca="false">CONSULTORIAS!E43</f>
        <v>11.1511102043739</v>
      </c>
      <c r="AU4" s="93" t="n">
        <f aca="false">CONSULTORIAS!E44</f>
        <v>8.21384030157759</v>
      </c>
      <c r="AV4" s="93" t="n">
        <f aca="false">CONSULTORIAS!E45</f>
        <v>9.82933874811555</v>
      </c>
      <c r="AW4" s="93" t="n">
        <f aca="false">CONSULTORIAS!E46</f>
        <v>8.21384030157759</v>
      </c>
      <c r="AX4" s="93" t="n">
        <f aca="false">CONSULTORIAS!E47</f>
        <v>11.9037856169654</v>
      </c>
      <c r="AY4" s="93" t="n">
        <f aca="false">CONSULTORIAS!E48</f>
        <v>9.82933874811555</v>
      </c>
      <c r="AZ4" s="93" t="n">
        <f aca="false">CONSULTORIAS!E49</f>
        <v>35.7507456402928</v>
      </c>
      <c r="BA4" s="93" t="n">
        <f aca="false">CONSULTORIAS!E50</f>
        <v>37.3662440868307</v>
      </c>
      <c r="BB4" s="93" t="n">
        <f aca="false">CONSULTORIAS!E51</f>
        <v>8.21384030157759</v>
      </c>
      <c r="BC4" s="93" t="n">
        <f aca="false">CONSULTORIAS!E52</f>
        <v>7.69834943363684</v>
      </c>
      <c r="BD4" s="93" t="n">
        <f aca="false">CONSULTORIAS!E53</f>
        <v>9.3138478801748</v>
      </c>
      <c r="BE4" s="93" t="n">
        <f aca="false">CONSULTORIAS!E54</f>
        <v>6.96550059288917</v>
      </c>
      <c r="BF4" s="93" t="n">
        <f aca="false">CONSULTORIAS!E55</f>
        <v>4.1750941852327</v>
      </c>
      <c r="BG4" s="93" t="n">
        <f aca="false">CONSULTORIAS!E56</f>
        <v>56.7301298324424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305</v>
      </c>
      <c r="B5" s="55" t="s">
        <v>309</v>
      </c>
      <c r="C5" s="55" t="s">
        <v>70</v>
      </c>
      <c r="D5" s="56" t="n">
        <f aca="false">CONSUMOS!$K$5</f>
        <v>428.534091</v>
      </c>
      <c r="E5" s="45" t="n">
        <f aca="false">SUM(H5:CA5)</f>
        <v>447.5211842958</v>
      </c>
      <c r="F5" s="45" t="n">
        <f aca="false">IF(D5="","",D5-E5)</f>
        <v>-18.9870932958</v>
      </c>
      <c r="H5" s="93" t="n">
        <f aca="false">CONSUMOS!E5</f>
        <v>0</v>
      </c>
      <c r="I5" s="93" t="n">
        <f aca="false">CONSUMOS!E6</f>
        <v>0</v>
      </c>
      <c r="J5" s="93" t="n">
        <f aca="false">CONSUMOS!E7</f>
        <v>0</v>
      </c>
      <c r="K5" s="93" t="n">
        <f aca="false">CONSUMOS!E8</f>
        <v>0</v>
      </c>
      <c r="L5" s="93" t="n">
        <f aca="false">CONSUMOS!E9</f>
        <v>0</v>
      </c>
      <c r="M5" s="93" t="n">
        <f aca="false">CONSUMOS!E10</f>
        <v>0</v>
      </c>
      <c r="N5" s="93" t="n">
        <f aca="false">CONSUMOS!E11</f>
        <v>0</v>
      </c>
      <c r="O5" s="93" t="n">
        <f aca="false">CONSUMOS!E12</f>
        <v>0</v>
      </c>
      <c r="P5" s="93" t="n">
        <f aca="false">CONSUMOS!E13</f>
        <v>0</v>
      </c>
      <c r="Q5" s="93" t="n">
        <f aca="false">CONSUMOS!E14</f>
        <v>0</v>
      </c>
      <c r="R5" s="93" t="n">
        <f aca="false">CONSUMOS!E15</f>
        <v>0.369736803353524</v>
      </c>
      <c r="S5" s="93" t="n">
        <f aca="false">CONSUMOS!E16</f>
        <v>2.28148230343015</v>
      </c>
      <c r="T5" s="93" t="n">
        <f aca="false">CONSUMOS!E17</f>
        <v>0.130194656889447</v>
      </c>
      <c r="U5" s="93" t="n">
        <f aca="false">CONSUMOS!E18</f>
        <v>1.95391241645352</v>
      </c>
      <c r="V5" s="93" t="n">
        <f aca="false">CONSUMOS!E19</f>
        <v>1.57810558968658</v>
      </c>
      <c r="W5" s="93" t="n">
        <f aca="false">CONSUMOS!E20</f>
        <v>2.35413304083369</v>
      </c>
      <c r="X5" s="93" t="n">
        <f aca="false">CONSUMOS!E21</f>
        <v>1.26577022860282</v>
      </c>
      <c r="Y5" s="93" t="n">
        <f aca="false">CONSUMOS!E22</f>
        <v>4.98937195786558</v>
      </c>
      <c r="Z5" s="93" t="n">
        <f aca="false">CONSUMOS!E23</f>
        <v>1.84330347068382</v>
      </c>
      <c r="AA5" s="93" t="n">
        <f aca="false">CONSUMOS!E24</f>
        <v>3.49473894993213</v>
      </c>
      <c r="AB5" s="93" t="n">
        <f aca="false">CONSUMOS!E25</f>
        <v>8.12828237420473</v>
      </c>
      <c r="AC5" s="93" t="n">
        <f aca="false">CONSUMOS!E26</f>
        <v>11.7074652255333</v>
      </c>
      <c r="AD5" s="93" t="n">
        <f aca="false">CONSUMOS!E27</f>
        <v>11.2480923249363</v>
      </c>
      <c r="AE5" s="93" t="n">
        <f aca="false">CONSUMOS!E28</f>
        <v>9.35943924518447</v>
      </c>
      <c r="AF5" s="93" t="n">
        <f aca="false">CONSUMOS!E29</f>
        <v>8.95592672242928</v>
      </c>
      <c r="AG5" s="93" t="n">
        <f aca="false">CONSUMOS!E30</f>
        <v>8.64640776831538</v>
      </c>
      <c r="AH5" s="93" t="n">
        <f aca="false">CONSUMOS!E31</f>
        <v>9.34055753492761</v>
      </c>
      <c r="AI5" s="93" t="n">
        <f aca="false">CONSUMOS!E32</f>
        <v>9.50276595042655</v>
      </c>
      <c r="AJ5" s="93" t="n">
        <f aca="false">CONSUMOS!E33</f>
        <v>9.16075385536513</v>
      </c>
      <c r="AK5" s="93" t="n">
        <f aca="false">CONSUMOS!E34</f>
        <v>9.41059830541449</v>
      </c>
      <c r="AL5" s="93" t="n">
        <f aca="false">CONSUMOS!E35</f>
        <v>9.52893475589463</v>
      </c>
      <c r="AM5" s="93" t="n">
        <f aca="false">CONSUMOS!E36</f>
        <v>9.73689915761163</v>
      </c>
      <c r="AN5" s="93" t="n">
        <f aca="false">CONSUMOS!E37</f>
        <v>10.0290718372478</v>
      </c>
      <c r="AO5" s="93" t="n">
        <f aca="false">CONSUMOS!E38</f>
        <v>10.4814444163907</v>
      </c>
      <c r="AP5" s="93" t="n">
        <f aca="false">CONSUMOS!E39</f>
        <v>10.8031472609034</v>
      </c>
      <c r="AQ5" s="93" t="n">
        <f aca="false">CONSUMOS!E40</f>
        <v>10.7911044646033</v>
      </c>
      <c r="AR5" s="93" t="n">
        <f aca="false">CONSUMOS!E41</f>
        <v>11.0752513799237</v>
      </c>
      <c r="AS5" s="93" t="n">
        <f aca="false">CONSUMOS!E42</f>
        <v>10.0884890520737</v>
      </c>
      <c r="AT5" s="93" t="n">
        <f aca="false">CONSUMOS!E43</f>
        <v>10.8731050348616</v>
      </c>
      <c r="AU5" s="93" t="n">
        <f aca="false">CONSUMOS!E44</f>
        <v>10.6985882341711</v>
      </c>
      <c r="AV5" s="93" t="n">
        <f aca="false">CONSUMOS!E45</f>
        <v>10.5921451862395</v>
      </c>
      <c r="AW5" s="93" t="n">
        <f aca="false">CONSUMOS!E46</f>
        <v>10.2607234482277</v>
      </c>
      <c r="AX5" s="93" t="n">
        <f aca="false">CONSUMOS!E47</f>
        <v>10.8810644019545</v>
      </c>
      <c r="AY5" s="93" t="n">
        <f aca="false">CONSUMOS!E48</f>
        <v>10.4627286991911</v>
      </c>
      <c r="AZ5" s="93" t="n">
        <f aca="false">CONSUMOS!E49</f>
        <v>10.3454795032356</v>
      </c>
      <c r="BA5" s="93" t="n">
        <f aca="false">CONSUMOS!E50</f>
        <v>10.2553950710915</v>
      </c>
      <c r="BB5" s="93" t="n">
        <f aca="false">CONSUMOS!E51</f>
        <v>9.75979789985281</v>
      </c>
      <c r="BC5" s="93" t="n">
        <f aca="false">CONSUMOS!E52</f>
        <v>9.2741686116992</v>
      </c>
      <c r="BD5" s="93" t="n">
        <f aca="false">CONSUMOS!E53</f>
        <v>8.68198008047402</v>
      </c>
      <c r="BE5" s="93" t="n">
        <f aca="false">CONSUMOS!E54</f>
        <v>8.40014046864875</v>
      </c>
      <c r="BF5" s="93" t="n">
        <f aca="false">CONSUMOS!E55</f>
        <v>8.37091739092813</v>
      </c>
      <c r="BG5" s="93" t="n">
        <f aca="false">CONSUMOS!E56</f>
        <v>8.02863140732232</v>
      </c>
      <c r="BH5" s="93" t="n">
        <f aca="false">CONSUMOS!E57</f>
        <v>7.69598962034003</v>
      </c>
      <c r="BI5" s="93" t="n">
        <f aca="false">CONSUMOS!E58</f>
        <v>7.69598962034003</v>
      </c>
      <c r="BJ5" s="93" t="n">
        <f aca="false">CONSUMOS!E59</f>
        <v>7.69598962034003</v>
      </c>
      <c r="BK5" s="93" t="n">
        <f aca="false">CONSUMOS!E60</f>
        <v>0</v>
      </c>
      <c r="BL5" s="93" t="n">
        <f aca="false">CONSUMOS!E61</f>
        <v>89.2929689477648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305</v>
      </c>
      <c r="B6" s="55" t="s">
        <v>310</v>
      </c>
      <c r="C6" s="55" t="s">
        <v>72</v>
      </c>
      <c r="D6" s="56" t="n">
        <f aca="false">CONTENÇÃO!$K$5</f>
        <v>1351.644127</v>
      </c>
      <c r="E6" s="45" t="n">
        <f aca="false">SUM(H6:CA6)</f>
        <v>1144.53125923452</v>
      </c>
      <c r="F6" s="45" t="n">
        <f aca="false">IF(D6="","",D6-E6)</f>
        <v>207.112867765475</v>
      </c>
      <c r="H6" s="93" t="n">
        <f aca="false">CONTENÇÃO!E5</f>
        <v>0</v>
      </c>
      <c r="I6" s="93" t="n">
        <f aca="false">CONTENÇÃO!E6</f>
        <v>0</v>
      </c>
      <c r="J6" s="93" t="n">
        <f aca="false">CONTENÇÃO!E7</f>
        <v>0</v>
      </c>
      <c r="K6" s="93" t="n">
        <f aca="false">CONTENÇÃO!E8</f>
        <v>0</v>
      </c>
      <c r="L6" s="93" t="n">
        <f aca="false">CONTENÇÃO!E9</f>
        <v>0</v>
      </c>
      <c r="M6" s="93" t="n">
        <f aca="false">CONTENÇÃO!E10</f>
        <v>0</v>
      </c>
      <c r="N6" s="93" t="n">
        <f aca="false">CONTENÇÃO!E11</f>
        <v>0</v>
      </c>
      <c r="O6" s="93" t="n">
        <f aca="false">CONTENÇÃO!E12</f>
        <v>9.92167511654554</v>
      </c>
      <c r="P6" s="93" t="n">
        <f aca="false">CONTENÇÃO!E13</f>
        <v>88.6113736597009</v>
      </c>
      <c r="Q6" s="93" t="n">
        <f aca="false">CONTENÇÃO!E14</f>
        <v>194.337315291853</v>
      </c>
      <c r="R6" s="93" t="n">
        <f aca="false">CONTENÇÃO!E15</f>
        <v>233.81968100946</v>
      </c>
      <c r="S6" s="93" t="n">
        <f aca="false">CONTENÇÃO!E16</f>
        <v>163.948408699831</v>
      </c>
      <c r="T6" s="93" t="n">
        <f aca="false">CONTENÇÃO!E17</f>
        <v>118.915590057004</v>
      </c>
      <c r="U6" s="93" t="n">
        <f aca="false">CONTENÇÃO!E18</f>
        <v>3.75898518717321</v>
      </c>
      <c r="V6" s="93" t="n">
        <f aca="false">CONTENÇÃO!E19</f>
        <v>0.693279461757173</v>
      </c>
      <c r="W6" s="93" t="n">
        <f aca="false">CONTENÇÃO!E20</f>
        <v>2.11035928225334</v>
      </c>
      <c r="X6" s="93" t="n">
        <f aca="false">CONTENÇÃO!E21</f>
        <v>0.275425276187391</v>
      </c>
      <c r="Y6" s="93" t="n">
        <f aca="false">CONTENÇÃO!E22</f>
        <v>3.368235493175</v>
      </c>
      <c r="Z6" s="93" t="n">
        <f aca="false">CONTENÇÃO!E23</f>
        <v>4.80072088899231</v>
      </c>
      <c r="AA6" s="93" t="n">
        <f aca="false">CONTENÇÃO!E24</f>
        <v>40.5583224868076</v>
      </c>
      <c r="AB6" s="93" t="n">
        <f aca="false">CONTENÇÃO!E25</f>
        <v>0</v>
      </c>
      <c r="AC6" s="93" t="n">
        <f aca="false">CONTENÇÃO!E26</f>
        <v>0</v>
      </c>
      <c r="AD6" s="93" t="n">
        <f aca="false">CONTENÇÃO!E27</f>
        <v>86.3442237475856</v>
      </c>
      <c r="AE6" s="93" t="n">
        <f aca="false">CONTENÇÃO!E28</f>
        <v>138.806617698614</v>
      </c>
      <c r="AF6" s="93" t="n">
        <f aca="false">CONTENÇÃO!E29</f>
        <v>14.6558192587818</v>
      </c>
      <c r="AG6" s="93" t="n">
        <f aca="false">CONTENÇÃO!E30</f>
        <v>0</v>
      </c>
      <c r="AH6" s="93" t="n">
        <f aca="false">CONTENÇÃO!E31</f>
        <v>0</v>
      </c>
      <c r="AI6" s="93" t="n">
        <f aca="false">CONTENÇÃO!E32</f>
        <v>7.21563680469184</v>
      </c>
      <c r="AJ6" s="93" t="n">
        <f aca="false">CONTENÇÃO!E33</f>
        <v>22.1089350266965</v>
      </c>
      <c r="AK6" s="93" t="n">
        <f aca="false">CONTENÇÃO!E34</f>
        <v>10.280654787414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305</v>
      </c>
      <c r="B7" s="55" t="s">
        <v>311</v>
      </c>
      <c r="C7" s="55" t="s">
        <v>312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305</v>
      </c>
      <c r="B8" s="55" t="s">
        <v>313</v>
      </c>
      <c r="C8" s="55" t="s">
        <v>314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305</v>
      </c>
      <c r="B9" s="55" t="s">
        <v>315</v>
      </c>
      <c r="C9" s="55" t="s">
        <v>83</v>
      </c>
      <c r="D9" s="56" t="n">
        <f aca="false">DIVERSOS!$K$5</f>
        <v>130.187572</v>
      </c>
      <c r="E9" s="45" t="n">
        <f aca="false">SUM(H9:CA9)</f>
        <v>152.40766295735</v>
      </c>
      <c r="F9" s="45" t="n">
        <f aca="false">IF(D9="","",D9-E9)</f>
        <v>-22.2200909573496</v>
      </c>
      <c r="H9" s="93" t="n">
        <f aca="false">DIVERSOS!E5</f>
        <v>6.60690171273853</v>
      </c>
      <c r="I9" s="93" t="n">
        <f aca="false">DIVERSOS!E6</f>
        <v>1.25542717745716</v>
      </c>
      <c r="J9" s="93" t="n">
        <f aca="false">DIVERSOS!E7</f>
        <v>0</v>
      </c>
      <c r="K9" s="93" t="n">
        <f aca="false">DIVERSOS!E8</f>
        <v>0</v>
      </c>
      <c r="L9" s="93" t="n">
        <f aca="false">DIVERSOS!E9</f>
        <v>0.0562280596591533</v>
      </c>
      <c r="M9" s="93" t="n">
        <f aca="false">DIVERSOS!E10</f>
        <v>0</v>
      </c>
      <c r="N9" s="93" t="n">
        <f aca="false">DIVERSOS!E11</f>
        <v>0</v>
      </c>
      <c r="O9" s="93" t="n">
        <f aca="false">DIVERSOS!E12</f>
        <v>0</v>
      </c>
      <c r="P9" s="93" t="n">
        <f aca="false">DIVERSOS!E13</f>
        <v>0</v>
      </c>
      <c r="Q9" s="93" t="n">
        <f aca="false">DIVERSOS!E14</f>
        <v>0.69757710172825</v>
      </c>
      <c r="R9" s="93" t="n">
        <f aca="false">DIVERSOS!E15</f>
        <v>3.43930900654147</v>
      </c>
      <c r="S9" s="93" t="n">
        <f aca="false">DIVERSOS!E16</f>
        <v>0.58207473199563</v>
      </c>
      <c r="T9" s="93" t="n">
        <f aca="false">DIVERSOS!E17</f>
        <v>1.45265970829557</v>
      </c>
      <c r="U9" s="93" t="n">
        <f aca="false">DIVERSOS!E18</f>
        <v>0.90777471310455</v>
      </c>
      <c r="V9" s="93" t="n">
        <f aca="false">DIVERSOS!E19</f>
        <v>0.935903089204913</v>
      </c>
      <c r="W9" s="93" t="n">
        <f aca="false">DIVERSOS!E20</f>
        <v>1.82861990360661</v>
      </c>
      <c r="X9" s="93" t="n">
        <f aca="false">DIVERSOS!E21</f>
        <v>1.26607983792349</v>
      </c>
      <c r="Y9" s="93" t="n">
        <f aca="false">DIVERSOS!E22</f>
        <v>1.51286500694502</v>
      </c>
      <c r="Z9" s="93" t="n">
        <f aca="false">DIVERSOS!E23</f>
        <v>1.21749967399138</v>
      </c>
      <c r="AA9" s="93" t="n">
        <f aca="false">DIVERSOS!E24</f>
        <v>1.97011714247794</v>
      </c>
      <c r="AB9" s="93" t="n">
        <f aca="false">DIVERSOS!E25</f>
        <v>3.963122518581</v>
      </c>
      <c r="AC9" s="93" t="n">
        <f aca="false">DIVERSOS!E26</f>
        <v>5.47341213174297</v>
      </c>
      <c r="AD9" s="93" t="n">
        <f aca="false">DIVERSOS!E27</f>
        <v>3.36374177951736</v>
      </c>
      <c r="AE9" s="93" t="n">
        <f aca="false">DIVERSOS!E28</f>
        <v>6.97914079722325</v>
      </c>
      <c r="AF9" s="93" t="n">
        <f aca="false">DIVERSOS!E29</f>
        <v>3.16366703169037</v>
      </c>
      <c r="AG9" s="93" t="n">
        <f aca="false">DIVERSOS!E30</f>
        <v>2.9990904201981</v>
      </c>
      <c r="AH9" s="93" t="n">
        <f aca="false">DIVERSOS!E31</f>
        <v>3.63746441322073</v>
      </c>
      <c r="AI9" s="93" t="n">
        <f aca="false">DIVERSOS!E32</f>
        <v>3.79103355069779</v>
      </c>
      <c r="AJ9" s="93" t="n">
        <f aca="false">DIVERSOS!E33</f>
        <v>3.6091796674911</v>
      </c>
      <c r="AK9" s="93" t="n">
        <f aca="false">DIVERSOS!E34</f>
        <v>3.80934463247174</v>
      </c>
      <c r="AL9" s="93" t="n">
        <f aca="false">DIVERSOS!E35</f>
        <v>3.93958982500847</v>
      </c>
      <c r="AM9" s="93" t="n">
        <f aca="false">DIVERSOS!E36</f>
        <v>3.98284622289526</v>
      </c>
      <c r="AN9" s="93" t="n">
        <f aca="false">DIVERSOS!E37</f>
        <v>4.13820035615858</v>
      </c>
      <c r="AO9" s="93" t="n">
        <f aca="false">DIVERSOS!E38</f>
        <v>4.44606006690964</v>
      </c>
      <c r="AP9" s="93" t="n">
        <f aca="false">DIVERSOS!E39</f>
        <v>4.61712216309196</v>
      </c>
      <c r="AQ9" s="93" t="n">
        <f aca="false">DIVERSOS!E40</f>
        <v>4.47607774604842</v>
      </c>
      <c r="AR9" s="93" t="n">
        <f aca="false">DIVERSOS!E41</f>
        <v>4.62716276438961</v>
      </c>
      <c r="AS9" s="93" t="n">
        <f aca="false">DIVERSOS!E42</f>
        <v>4.10247812798624</v>
      </c>
      <c r="AT9" s="93" t="n">
        <f aca="false">DIVERSOS!E43</f>
        <v>4.51967626812758</v>
      </c>
      <c r="AU9" s="93" t="n">
        <f aca="false">DIVERSOS!E44</f>
        <v>4.35956214610093</v>
      </c>
      <c r="AV9" s="93" t="n">
        <f aca="false">DIVERSOS!E45</f>
        <v>4.30296290471191</v>
      </c>
      <c r="AW9" s="93" t="n">
        <f aca="false">DIVERSOS!E46</f>
        <v>4.0594225421254</v>
      </c>
      <c r="AX9" s="93" t="n">
        <f aca="false">DIVERSOS!E47</f>
        <v>4.38926745097711</v>
      </c>
      <c r="AY9" s="93" t="n">
        <f aca="false">DIVERSOS!E48</f>
        <v>4.16683466356301</v>
      </c>
      <c r="AZ9" s="93" t="n">
        <f aca="false">DIVERSOS!E49</f>
        <v>4.10448624824577</v>
      </c>
      <c r="BA9" s="93" t="n">
        <f aca="false">DIVERSOS!E50</f>
        <v>3.92194811665436</v>
      </c>
      <c r="BB9" s="93" t="n">
        <f aca="false">DIVERSOS!E51</f>
        <v>3.65842323874428</v>
      </c>
      <c r="BC9" s="93" t="n">
        <f aca="false">DIVERSOS!E52</f>
        <v>3.4002087232983</v>
      </c>
      <c r="BD9" s="93" t="n">
        <f aca="false">DIVERSOS!E53</f>
        <v>2.74872244872918</v>
      </c>
      <c r="BE9" s="93" t="n">
        <f aca="false">DIVERSOS!E54</f>
        <v>2.3969072167417</v>
      </c>
      <c r="BF9" s="93" t="n">
        <f aca="false">DIVERSOS!E55</f>
        <v>2.38136287843644</v>
      </c>
      <c r="BG9" s="93" t="n">
        <f aca="false">DIVERSOS!E56</f>
        <v>1.86276954015365</v>
      </c>
      <c r="BH9" s="93" t="n">
        <f aca="false">DIVERSOS!E57</f>
        <v>3.28733748974774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305</v>
      </c>
      <c r="B10" s="55" t="s">
        <v>316</v>
      </c>
      <c r="C10" s="55" t="s">
        <v>187</v>
      </c>
      <c r="D10" s="56" t="n">
        <f aca="false">'ELEVADORES '!$K$5</f>
        <v>2659.789702</v>
      </c>
      <c r="E10" s="45" t="n">
        <f aca="false">SUM(H10:CA10)</f>
        <v>2658.73790571863</v>
      </c>
      <c r="F10" s="45" t="n">
        <f aca="false">IF(D10="","",D10-E10)</f>
        <v>1.05179628136739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0</v>
      </c>
      <c r="AA10" s="93" t="n">
        <f aca="false">'ELEVADORES '!E24</f>
        <v>0</v>
      </c>
      <c r="AB10" s="93" t="n">
        <f aca="false">'ELEVADORES '!E25</f>
        <v>0</v>
      </c>
      <c r="AC10" s="93" t="n">
        <f aca="false">'ELEVADORES '!E26</f>
        <v>0</v>
      </c>
      <c r="AD10" s="93" t="n">
        <f aca="false">'ELEVADORES '!E27</f>
        <v>0</v>
      </c>
      <c r="AE10" s="93" t="n">
        <f aca="false">'ELEVADORES '!E28</f>
        <v>0</v>
      </c>
      <c r="AF10" s="93" t="n">
        <f aca="false">'ELEVADORES '!E29</f>
        <v>0</v>
      </c>
      <c r="AG10" s="93" t="n">
        <f aca="false">'ELEVADORES '!E30</f>
        <v>0</v>
      </c>
      <c r="AH10" s="93" t="n">
        <f aca="false">'ELEVADORES '!E31</f>
        <v>0</v>
      </c>
      <c r="AI10" s="93" t="n">
        <f aca="false">'ELEVADORES '!E32</f>
        <v>0</v>
      </c>
      <c r="AJ10" s="93" t="n">
        <f aca="false">'ELEVADORES '!E33</f>
        <v>0</v>
      </c>
      <c r="AK10" s="93" t="n">
        <f aca="false">'ELEVADORES '!E34</f>
        <v>0</v>
      </c>
      <c r="AL10" s="93" t="n">
        <f aca="false">'ELEVADORES '!E35</f>
        <v>0</v>
      </c>
      <c r="AM10" s="93" t="n">
        <f aca="false">'ELEVADORES '!E36</f>
        <v>0</v>
      </c>
      <c r="AN10" s="93" t="n">
        <f aca="false">'ELEVADORES '!E37</f>
        <v>238.173216386269</v>
      </c>
      <c r="AO10" s="93" t="n">
        <f aca="false">'ELEVADORES '!E38</f>
        <v>238.173216386269</v>
      </c>
      <c r="AP10" s="93" t="n">
        <f aca="false">'ELEVADORES '!E39</f>
        <v>238.173216386269</v>
      </c>
      <c r="AQ10" s="93" t="n">
        <f aca="false">'ELEVADORES '!E40</f>
        <v>238.173216386269</v>
      </c>
      <c r="AR10" s="93" t="n">
        <f aca="false">'ELEVADORES '!E41</f>
        <v>238.173216386269</v>
      </c>
      <c r="AS10" s="93" t="n">
        <f aca="false">'ELEVADORES '!E42</f>
        <v>238.173216386269</v>
      </c>
      <c r="AT10" s="93" t="n">
        <f aca="false">'ELEVADORES '!E43</f>
        <v>238.173216386269</v>
      </c>
      <c r="AU10" s="93" t="n">
        <f aca="false">'ELEVADORES '!E44</f>
        <v>243.317462902536</v>
      </c>
      <c r="AV10" s="93" t="n">
        <f aca="false">'ELEVADORES '!E45</f>
        <v>243.317462902536</v>
      </c>
      <c r="AW10" s="93" t="n">
        <f aca="false">'ELEVADORES '!E46</f>
        <v>243.317462902536</v>
      </c>
      <c r="AX10" s="93" t="n">
        <f aca="false">'ELEVADORES '!E47</f>
        <v>238.173216386269</v>
      </c>
      <c r="AY10" s="93" t="n">
        <f aca="false">'ELEVADORES '!E48</f>
        <v>0</v>
      </c>
      <c r="AZ10" s="93" t="n">
        <f aca="false">'ELEVADORES '!E49</f>
        <v>0</v>
      </c>
      <c r="BA10" s="93" t="n">
        <f aca="false">'ELEVADORES '!E50</f>
        <v>23.3997859208692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 t="s">
        <v>305</v>
      </c>
      <c r="B11" s="55" t="s">
        <v>317</v>
      </c>
      <c r="C11" s="55" t="s">
        <v>78</v>
      </c>
      <c r="D11" s="56" t="n">
        <f aca="false">'EQUIP E FER'!$K$5</f>
        <v>5315.919921</v>
      </c>
      <c r="E11" s="45" t="n">
        <f aca="false">SUM(H11:CA11)</f>
        <v>5298.29545764417</v>
      </c>
      <c r="F11" s="45" t="n">
        <f aca="false">IF(D11="","",D11-E11)</f>
        <v>17.6244633558281</v>
      </c>
      <c r="H11" s="93" t="n">
        <f aca="false">'EQUIP E FER'!E5</f>
        <v>0</v>
      </c>
      <c r="I11" s="93" t="n">
        <f aca="false">'EQUIP E FER'!E6</f>
        <v>0</v>
      </c>
      <c r="J11" s="93" t="n">
        <f aca="false">'EQUIP E FER'!E7</f>
        <v>0</v>
      </c>
      <c r="K11" s="93" t="n">
        <f aca="false">'EQUIP E FER'!E8</f>
        <v>0</v>
      </c>
      <c r="L11" s="93" t="n">
        <f aca="false">'EQUIP E FER'!E9</f>
        <v>0</v>
      </c>
      <c r="M11" s="93" t="n">
        <f aca="false">'EQUIP E FER'!E10</f>
        <v>0</v>
      </c>
      <c r="N11" s="93" t="n">
        <f aca="false">'EQUIP E FER'!E11</f>
        <v>0</v>
      </c>
      <c r="O11" s="93" t="n">
        <f aca="false">'EQUIP E FER'!E12</f>
        <v>0.555899315225231</v>
      </c>
      <c r="P11" s="93" t="n">
        <f aca="false">'EQUIP E FER'!E13</f>
        <v>4.34074460058552</v>
      </c>
      <c r="Q11" s="93" t="n">
        <f aca="false">'EQUIP E FER'!E14</f>
        <v>5.11385053665773</v>
      </c>
      <c r="R11" s="93" t="n">
        <f aca="false">'EQUIP E FER'!E15</f>
        <v>7.77201568119271</v>
      </c>
      <c r="S11" s="93" t="n">
        <f aca="false">'EQUIP E FER'!E16</f>
        <v>45.6460947118754</v>
      </c>
      <c r="T11" s="93" t="n">
        <f aca="false">'EQUIP E FER'!E17</f>
        <v>47.9977217970608</v>
      </c>
      <c r="U11" s="93" t="n">
        <f aca="false">'EQUIP E FER'!E18</f>
        <v>116.849938077792</v>
      </c>
      <c r="V11" s="93" t="n">
        <f aca="false">'EQUIP E FER'!E19</f>
        <v>9.5024349425747</v>
      </c>
      <c r="W11" s="93" t="n">
        <f aca="false">'EQUIP E FER'!E20</f>
        <v>5.40002613894856</v>
      </c>
      <c r="X11" s="93" t="n">
        <f aca="false">'EQUIP E FER'!E21</f>
        <v>1.84463645514793</v>
      </c>
      <c r="Y11" s="93" t="n">
        <f aca="false">'EQUIP E FER'!E22</f>
        <v>22.4412781981514</v>
      </c>
      <c r="Z11" s="93" t="n">
        <f aca="false">'EQUIP E FER'!E23</f>
        <v>19.093008891641</v>
      </c>
      <c r="AA11" s="93" t="n">
        <f aca="false">'EQUIP E FER'!E24</f>
        <v>49.0337239634874</v>
      </c>
      <c r="AB11" s="93" t="n">
        <f aca="false">'EQUIP E FER'!E25</f>
        <v>96.8078224119412</v>
      </c>
      <c r="AC11" s="93" t="n">
        <f aca="false">'EQUIP E FER'!E26</f>
        <v>155.743889120639</v>
      </c>
      <c r="AD11" s="93" t="n">
        <f aca="false">'EQUIP E FER'!E27</f>
        <v>178.152288397258</v>
      </c>
      <c r="AE11" s="93" t="n">
        <f aca="false">'EQUIP E FER'!E28</f>
        <v>82.9365100974326</v>
      </c>
      <c r="AF11" s="93" t="n">
        <f aca="false">'EQUIP E FER'!E29</f>
        <v>159.585366024932</v>
      </c>
      <c r="AG11" s="93" t="n">
        <f aca="false">'EQUIP E FER'!E30</f>
        <v>75.3817898254442</v>
      </c>
      <c r="AH11" s="93" t="n">
        <f aca="false">'EQUIP E FER'!E31</f>
        <v>153.139189764124</v>
      </c>
      <c r="AI11" s="93" t="n">
        <f aca="false">'EQUIP E FER'!E32</f>
        <v>126.530670905491</v>
      </c>
      <c r="AJ11" s="93" t="n">
        <f aca="false">'EQUIP E FER'!E33</f>
        <v>129.857062182022</v>
      </c>
      <c r="AK11" s="93" t="n">
        <f aca="false">'EQUIP E FER'!E34</f>
        <v>209.703395691988</v>
      </c>
      <c r="AL11" s="93" t="n">
        <f aca="false">'EQUIP E FER'!E35</f>
        <v>167.761601247236</v>
      </c>
      <c r="AM11" s="93" t="n">
        <f aca="false">'EQUIP E FER'!E36</f>
        <v>205.295155007314</v>
      </c>
      <c r="AN11" s="93" t="n">
        <f aca="false">'EQUIP E FER'!E37</f>
        <v>179.1727522123</v>
      </c>
      <c r="AO11" s="93" t="n">
        <f aca="false">'EQUIP E FER'!E38</f>
        <v>176.353761633289</v>
      </c>
      <c r="AP11" s="93" t="n">
        <f aca="false">'EQUIP E FER'!E39</f>
        <v>220.272674707622</v>
      </c>
      <c r="AQ11" s="93" t="n">
        <f aca="false">'EQUIP E FER'!E40</f>
        <v>251.343243216683</v>
      </c>
      <c r="AR11" s="93" t="n">
        <f aca="false">'EQUIP E FER'!E41</f>
        <v>202.512350435436</v>
      </c>
      <c r="AS11" s="93" t="n">
        <f aca="false">'EQUIP E FER'!E42</f>
        <v>188.194643516427</v>
      </c>
      <c r="AT11" s="93" t="n">
        <f aca="false">'EQUIP E FER'!E43</f>
        <v>191.267112812352</v>
      </c>
      <c r="AU11" s="93" t="n">
        <f aca="false">'EQUIP E FER'!E44</f>
        <v>184.109027470172</v>
      </c>
      <c r="AV11" s="93" t="n">
        <f aca="false">'EQUIP E FER'!E45</f>
        <v>192.512230994525</v>
      </c>
      <c r="AW11" s="93" t="n">
        <f aca="false">'EQUIP E FER'!E46</f>
        <v>202.210480327111</v>
      </c>
      <c r="AX11" s="93" t="n">
        <f aca="false">'EQUIP E FER'!E47</f>
        <v>191.836763982163</v>
      </c>
      <c r="AY11" s="93" t="n">
        <f aca="false">'EQUIP E FER'!E48</f>
        <v>202.57080872054</v>
      </c>
      <c r="AZ11" s="93" t="n">
        <f aca="false">'EQUIP E FER'!E49</f>
        <v>244.791018094966</v>
      </c>
      <c r="BA11" s="93" t="n">
        <f aca="false">'EQUIP E FER'!E50</f>
        <v>161.243419085318</v>
      </c>
      <c r="BB11" s="93" t="n">
        <f aca="false">'EQUIP E FER'!E51</f>
        <v>179.330024234385</v>
      </c>
      <c r="BC11" s="93" t="n">
        <f aca="false">'EQUIP E FER'!E52</f>
        <v>14.3977447441673</v>
      </c>
      <c r="BD11" s="93" t="n">
        <f aca="false">'EQUIP E FER'!E53</f>
        <v>84.0415061301414</v>
      </c>
      <c r="BE11" s="93" t="n">
        <f aca="false">'EQUIP E FER'!E54</f>
        <v>80.2162818567153</v>
      </c>
      <c r="BF11" s="93" t="n">
        <f aca="false">'EQUIP E FER'!E55</f>
        <v>66.15402003497</v>
      </c>
      <c r="BG11" s="93" t="n">
        <f aca="false">'EQUIP E FER'!E56</f>
        <v>4.87928863360567</v>
      </c>
      <c r="BH11" s="93" t="n">
        <f aca="false">'EQUIP E FER'!E57</f>
        <v>2.20009540755946</v>
      </c>
      <c r="BI11" s="93" t="n">
        <f aca="false">'EQUIP E FER'!E58</f>
        <v>2.20009540755946</v>
      </c>
      <c r="BJ11" s="93" t="n">
        <f aca="false">'EQUIP E FER'!E59</f>
        <v>0</v>
      </c>
      <c r="BK11" s="93" t="n">
        <f aca="false">'EQUIP E FER'!E60</f>
        <v>0</v>
      </c>
      <c r="BL11" s="93" t="n">
        <f aca="false">'EQUIP E FER'!E61</f>
        <v>0</v>
      </c>
      <c r="BM11" s="93" t="n">
        <f aca="false">'EQUIP E FER'!E62</f>
        <v>0</v>
      </c>
      <c r="BN11" s="93" t="n">
        <f aca="false">'EQUIP E FER'!E63</f>
        <v>0</v>
      </c>
      <c r="BO11" s="93" t="n">
        <f aca="false">'EQUIP E FER'!E64</f>
        <v>0</v>
      </c>
      <c r="BP11" s="93" t="n">
        <f aca="false">'EQUIP E FER'!E65</f>
        <v>0</v>
      </c>
      <c r="BQ11" s="93" t="n">
        <f aca="false">'EQUIP E FER'!E66</f>
        <v>0</v>
      </c>
      <c r="BR11" s="93" t="n">
        <f aca="false">'EQUIP E FER'!E67</f>
        <v>0</v>
      </c>
      <c r="BS11" s="93" t="n">
        <f aca="false">'EQUIP E FER'!E68</f>
        <v>0</v>
      </c>
      <c r="BT11" s="93" t="n">
        <f aca="false">'EQUIP E FER'!E69</f>
        <v>0</v>
      </c>
      <c r="BU11" s="93" t="n">
        <f aca="false">'EQUIP E FER'!E70</f>
        <v>0</v>
      </c>
      <c r="BV11" s="93" t="n">
        <f aca="false">'EQUIP E FER'!E71</f>
        <v>0</v>
      </c>
      <c r="BW11" s="93" t="n">
        <f aca="false">'EQUIP E FER'!E72</f>
        <v>0</v>
      </c>
      <c r="BX11" s="93" t="n">
        <f aca="false">'EQUIP E FER'!E73</f>
        <v>0</v>
      </c>
      <c r="BY11" s="93" t="n">
        <f aca="false">'EQUIP E FER'!E74</f>
        <v>0</v>
      </c>
      <c r="BZ11" s="93" t="n">
        <f aca="false">'EQUIP E FER'!E75</f>
        <v>0</v>
      </c>
      <c r="CA11" s="93" t="n">
        <f aca="false">'EQUIP E FER'!E76</f>
        <v>0</v>
      </c>
    </row>
    <row r="12" customFormat="false" ht="15" hidden="false" customHeight="false" outlineLevel="0" collapsed="false">
      <c r="A12" s="55" t="s">
        <v>305</v>
      </c>
      <c r="B12" s="55" t="s">
        <v>318</v>
      </c>
      <c r="C12" s="55" t="s">
        <v>190</v>
      </c>
      <c r="D12" s="56" t="n">
        <f aca="false">ESQUADRIAS!$K$5</f>
        <v>9189.960224</v>
      </c>
      <c r="E12" s="45" t="n">
        <f aca="false">SUM(H12:CA12)</f>
        <v>9186.32611488895</v>
      </c>
      <c r="F12" s="45" t="n">
        <f aca="false">IF(D12="","",D12-E12)</f>
        <v>3.63410911105348</v>
      </c>
      <c r="H12" s="93" t="n">
        <f aca="false">ESQUADRIAS!E5</f>
        <v>0</v>
      </c>
      <c r="I12" s="93" t="n">
        <f aca="false">ESQUADRIAS!E6</f>
        <v>0</v>
      </c>
      <c r="J12" s="93" t="n">
        <f aca="false">ESQUADRIAS!E7</f>
        <v>0</v>
      </c>
      <c r="K12" s="93" t="n">
        <f aca="false">ESQUADRIAS!E8</f>
        <v>0</v>
      </c>
      <c r="L12" s="93" t="n">
        <f aca="false">ESQUADRIAS!E9</f>
        <v>0</v>
      </c>
      <c r="M12" s="93" t="n">
        <f aca="false">ESQUADRIAS!E10</f>
        <v>0</v>
      </c>
      <c r="N12" s="93" t="n">
        <f aca="false">ESQUADRIAS!E11</f>
        <v>0</v>
      </c>
      <c r="O12" s="93" t="n">
        <f aca="false">ESQUADRIAS!E12</f>
        <v>0</v>
      </c>
      <c r="P12" s="93" t="n">
        <f aca="false">ESQUADRIAS!E13</f>
        <v>0</v>
      </c>
      <c r="Q12" s="93" t="n">
        <f aca="false">ESQUADRIAS!E14</f>
        <v>0</v>
      </c>
      <c r="R12" s="93" t="n">
        <f aca="false">ESQUADRIAS!E15</f>
        <v>0</v>
      </c>
      <c r="S12" s="93" t="n">
        <f aca="false">ESQUADRIAS!E16</f>
        <v>0</v>
      </c>
      <c r="T12" s="93" t="n">
        <f aca="false">ESQUADRIAS!E17</f>
        <v>0</v>
      </c>
      <c r="U12" s="93" t="n">
        <f aca="false">ESQUADRIAS!E18</f>
        <v>0</v>
      </c>
      <c r="V12" s="93" t="n">
        <f aca="false">ESQUADRIAS!E19</f>
        <v>0</v>
      </c>
      <c r="W12" s="93" t="n">
        <f aca="false">ESQUADRIAS!E20</f>
        <v>0</v>
      </c>
      <c r="X12" s="93" t="n">
        <f aca="false">ESQUADRIAS!E21</f>
        <v>0</v>
      </c>
      <c r="Y12" s="93" t="n">
        <f aca="false">ESQUADRIAS!E22</f>
        <v>0</v>
      </c>
      <c r="Z12" s="93" t="n">
        <f aca="false">ESQUADRIAS!E23</f>
        <v>0</v>
      </c>
      <c r="AA12" s="93" t="n">
        <f aca="false">ESQUADRIAS!E24</f>
        <v>0</v>
      </c>
      <c r="AB12" s="93" t="n">
        <f aca="false">ESQUADRIAS!E25</f>
        <v>0</v>
      </c>
      <c r="AC12" s="93" t="n">
        <f aca="false">ESQUADRIAS!E26</f>
        <v>0</v>
      </c>
      <c r="AD12" s="93" t="n">
        <f aca="false">ESQUADRIAS!E27</f>
        <v>0</v>
      </c>
      <c r="AE12" s="93" t="n">
        <f aca="false">ESQUADRIAS!E28</f>
        <v>0</v>
      </c>
      <c r="AF12" s="93" t="n">
        <f aca="false">ESQUADRIAS!E29</f>
        <v>0</v>
      </c>
      <c r="AG12" s="93" t="n">
        <f aca="false">ESQUADRIAS!E30</f>
        <v>0</v>
      </c>
      <c r="AH12" s="93" t="n">
        <f aca="false">ESQUADRIAS!E31</f>
        <v>0</v>
      </c>
      <c r="AI12" s="93" t="n">
        <f aca="false">ESQUADRIAS!E32</f>
        <v>0</v>
      </c>
      <c r="AJ12" s="93" t="n">
        <f aca="false">ESQUADRIAS!E33</f>
        <v>0</v>
      </c>
      <c r="AK12" s="93" t="n">
        <f aca="false">ESQUADRIAS!E34</f>
        <v>0</v>
      </c>
      <c r="AL12" s="93" t="n">
        <f aca="false">ESQUADRIAS!E35</f>
        <v>610.712420114161</v>
      </c>
      <c r="AM12" s="93" t="n">
        <f aca="false">ESQUADRIAS!E36</f>
        <v>732.854904136994</v>
      </c>
      <c r="AN12" s="93" t="n">
        <f aca="false">ESQUADRIAS!E37</f>
        <v>732.854904136994</v>
      </c>
      <c r="AO12" s="93" t="n">
        <f aca="false">ESQUADRIAS!E38</f>
        <v>122.142484022832</v>
      </c>
      <c r="AP12" s="93" t="n">
        <f aca="false">ESQUADRIAS!E39</f>
        <v>0</v>
      </c>
      <c r="AQ12" s="93" t="n">
        <f aca="false">ESQUADRIAS!E40</f>
        <v>0</v>
      </c>
      <c r="AR12" s="93" t="n">
        <f aca="false">ESQUADRIAS!E41</f>
        <v>0</v>
      </c>
      <c r="AS12" s="93" t="n">
        <f aca="false">ESQUADRIAS!E42</f>
        <v>1098.8829765816</v>
      </c>
      <c r="AT12" s="93" t="n">
        <f aca="false">ESQUADRIAS!E43</f>
        <v>1267.35972704886</v>
      </c>
      <c r="AU12" s="93" t="n">
        <f aca="false">ESQUADRIAS!E44</f>
        <v>1267.35972704886</v>
      </c>
      <c r="AV12" s="93" t="n">
        <f aca="false">ESQUADRIAS!E45</f>
        <v>424.97596691521</v>
      </c>
      <c r="AW12" s="93" t="n">
        <f aca="false">ESQUADRIAS!E46</f>
        <v>73.2854904136993</v>
      </c>
      <c r="AX12" s="93" t="n">
        <f aca="false">ESQUADRIAS!E47</f>
        <v>326.000620013261</v>
      </c>
      <c r="AY12" s="93" t="n">
        <f aca="false">ESQUADRIAS!E48</f>
        <v>427.086667174683</v>
      </c>
      <c r="AZ12" s="93" t="n">
        <f aca="false">ESQUADRIAS!E49</f>
        <v>427.086667174683</v>
      </c>
      <c r="BA12" s="93" t="n">
        <f aca="false">ESQUADRIAS!E50</f>
        <v>427.086667174683</v>
      </c>
      <c r="BB12" s="93" t="n">
        <f aca="false">ESQUADRIAS!E51</f>
        <v>174.371537575122</v>
      </c>
      <c r="BC12" s="93" t="n">
        <f aca="false">ESQUADRIAS!E52</f>
        <v>101.086047161422</v>
      </c>
      <c r="BD12" s="93" t="n">
        <f aca="false">ESQUADRIAS!E53</f>
        <v>101.086047161422</v>
      </c>
      <c r="BE12" s="93" t="n">
        <f aca="false">ESQUADRIAS!E54</f>
        <v>101.086047161422</v>
      </c>
      <c r="BF12" s="93" t="n">
        <f aca="false">ESQUADRIAS!E55</f>
        <v>101.086047161422</v>
      </c>
      <c r="BG12" s="93" t="n">
        <f aca="false">ESQUADRIAS!E56</f>
        <v>101.086047161422</v>
      </c>
      <c r="BH12" s="93" t="n">
        <f aca="false">ESQUADRIAS!E57</f>
        <v>101.086047161422</v>
      </c>
      <c r="BI12" s="93" t="n">
        <f aca="false">ESQUADRIAS!E58</f>
        <v>0</v>
      </c>
      <c r="BJ12" s="93" t="n">
        <f aca="false">ESQUADRIAS!E59</f>
        <v>467.749072388785</v>
      </c>
      <c r="BK12" s="93" t="n">
        <f aca="false">ESQUADRIAS!E60</f>
        <v>0</v>
      </c>
      <c r="BL12" s="93" t="n">
        <f aca="false">ESQUADRIAS!E61</f>
        <v>0</v>
      </c>
      <c r="BM12" s="93" t="n">
        <f aca="false">ESQUADRIAS!E62</f>
        <v>0</v>
      </c>
      <c r="BN12" s="93" t="n">
        <f aca="false">ESQUADRIAS!E63</f>
        <v>0</v>
      </c>
      <c r="BO12" s="93" t="n">
        <f aca="false">ESQUADRIAS!E64</f>
        <v>0</v>
      </c>
      <c r="BP12" s="93" t="n">
        <f aca="false">ESQUADRIAS!E65</f>
        <v>0</v>
      </c>
      <c r="BQ12" s="93" t="n">
        <f aca="false">ESQUADRIAS!E66</f>
        <v>0</v>
      </c>
      <c r="BR12" s="93" t="n">
        <f aca="false">ESQUADRIAS!E67</f>
        <v>0</v>
      </c>
      <c r="BS12" s="93" t="n">
        <f aca="false">ESQUADRIAS!E68</f>
        <v>0</v>
      </c>
      <c r="BT12" s="93" t="n">
        <f aca="false">ESQUADRIAS!E69</f>
        <v>0</v>
      </c>
      <c r="BU12" s="93" t="n">
        <f aca="false">ESQUADRIAS!E70</f>
        <v>0</v>
      </c>
      <c r="BV12" s="93" t="n">
        <f aca="false">ESQUADRIAS!E71</f>
        <v>0</v>
      </c>
      <c r="BW12" s="93" t="n">
        <f aca="false">ESQUADRIAS!E72</f>
        <v>0</v>
      </c>
      <c r="BX12" s="93" t="n">
        <f aca="false">ESQUADRIAS!E73</f>
        <v>0</v>
      </c>
      <c r="BY12" s="93" t="n">
        <f aca="false">ESQUADRIAS!E74</f>
        <v>0</v>
      </c>
      <c r="BZ12" s="93" t="n">
        <f aca="false">ESQUADRIAS!E75</f>
        <v>0</v>
      </c>
      <c r="CA12" s="93" t="n">
        <f aca="false">ESQUADRIAS!E76</f>
        <v>0</v>
      </c>
    </row>
    <row r="13" customFormat="false" ht="15" hidden="false" customHeight="false" outlineLevel="0" collapsed="false">
      <c r="A13" s="55" t="s">
        <v>305</v>
      </c>
      <c r="B13" s="55" t="s">
        <v>319</v>
      </c>
      <c r="C13" s="55" t="s">
        <v>76</v>
      </c>
      <c r="D13" s="56" t="n">
        <f aca="false">ESTRUTURA!$K$5</f>
        <v>21082.399193</v>
      </c>
      <c r="E13" s="45" t="n">
        <f aca="false">SUM(H13:CA13)</f>
        <v>20954.9947517589</v>
      </c>
      <c r="F13" s="45" t="n">
        <f aca="false">IF(D13="","",D13-E13)</f>
        <v>127.404441241113</v>
      </c>
      <c r="H13" s="93" t="n">
        <f aca="false">ESTRUTURA!E5</f>
        <v>0</v>
      </c>
      <c r="I13" s="93" t="n">
        <f aca="false">ESTRUTURA!E6</f>
        <v>0</v>
      </c>
      <c r="J13" s="93" t="n">
        <f aca="false">ESTRUTURA!E7</f>
        <v>0</v>
      </c>
      <c r="K13" s="93" t="n">
        <f aca="false">ESTRUTURA!E8</f>
        <v>0</v>
      </c>
      <c r="L13" s="93" t="n">
        <f aca="false">ESTRUTURA!E9</f>
        <v>0</v>
      </c>
      <c r="M13" s="93" t="n">
        <f aca="false">ESTRUTURA!E10</f>
        <v>0</v>
      </c>
      <c r="N13" s="93" t="n">
        <f aca="false">ESTRUTURA!E11</f>
        <v>0</v>
      </c>
      <c r="O13" s="93" t="n">
        <f aca="false">ESTRUTURA!E12</f>
        <v>0</v>
      </c>
      <c r="P13" s="93" t="n">
        <f aca="false">ESTRUTURA!E13</f>
        <v>0</v>
      </c>
      <c r="Q13" s="93" t="n">
        <f aca="false">ESTRUTURA!E14</f>
        <v>0</v>
      </c>
      <c r="R13" s="93" t="n">
        <f aca="false">ESTRUTURA!E15</f>
        <v>0</v>
      </c>
      <c r="S13" s="93" t="n">
        <f aca="false">ESTRUTURA!E16</f>
        <v>0</v>
      </c>
      <c r="T13" s="93" t="n">
        <f aca="false">ESTRUTURA!E17</f>
        <v>0</v>
      </c>
      <c r="U13" s="93" t="n">
        <f aca="false">ESTRUTURA!E18</f>
        <v>0</v>
      </c>
      <c r="V13" s="93" t="n">
        <f aca="false">ESTRUTURA!E19</f>
        <v>0</v>
      </c>
      <c r="W13" s="93" t="n">
        <f aca="false">ESTRUTURA!E20</f>
        <v>0</v>
      </c>
      <c r="X13" s="93" t="n">
        <f aca="false">ESTRUTURA!E21</f>
        <v>0</v>
      </c>
      <c r="Y13" s="93" t="n">
        <f aca="false">ESTRUTURA!E22</f>
        <v>17.4973695497346</v>
      </c>
      <c r="Z13" s="93" t="n">
        <f aca="false">ESTRUTURA!E23</f>
        <v>38.8668955624566</v>
      </c>
      <c r="AA13" s="93" t="n">
        <f aca="false">ESTRUTURA!E24</f>
        <v>209.23215135308</v>
      </c>
      <c r="AB13" s="93" t="n">
        <f aca="false">ESTRUTURA!E25</f>
        <v>501.628913499922</v>
      </c>
      <c r="AC13" s="93" t="n">
        <f aca="false">ESTRUTURA!E26</f>
        <v>2080.63633065045</v>
      </c>
      <c r="AD13" s="93" t="n">
        <f aca="false">ESTRUTURA!E27</f>
        <v>1937.44328914796</v>
      </c>
      <c r="AE13" s="93" t="n">
        <f aca="false">ESTRUTURA!E28</f>
        <v>1137.33734589531</v>
      </c>
      <c r="AF13" s="93" t="n">
        <f aca="false">ESTRUTURA!E29</f>
        <v>897.840099116455</v>
      </c>
      <c r="AG13" s="93" t="n">
        <f aca="false">ESTRUTURA!E30</f>
        <v>1628.02306132329</v>
      </c>
      <c r="AH13" s="93" t="n">
        <f aca="false">ESTRUTURA!E31</f>
        <v>958.044690872956</v>
      </c>
      <c r="AI13" s="93" t="n">
        <f aca="false">ESTRUTURA!E32</f>
        <v>1015.21872991486</v>
      </c>
      <c r="AJ13" s="93" t="n">
        <f aca="false">ESTRUTURA!E33</f>
        <v>1174.62913219047</v>
      </c>
      <c r="AK13" s="93" t="n">
        <f aca="false">ESTRUTURA!E34</f>
        <v>1159.01944272614</v>
      </c>
      <c r="AL13" s="93" t="n">
        <f aca="false">ESTRUTURA!E35</f>
        <v>1281.9457472577</v>
      </c>
      <c r="AM13" s="93" t="n">
        <f aca="false">ESTRUTURA!E36</f>
        <v>1129.75127498053</v>
      </c>
      <c r="AN13" s="93" t="n">
        <f aca="false">ESTRUTURA!E37</f>
        <v>1266.33605779338</v>
      </c>
      <c r="AO13" s="93" t="n">
        <f aca="false">ESTRUTURA!E38</f>
        <v>1110.23916315012</v>
      </c>
      <c r="AP13" s="93" t="n">
        <f aca="false">ESTRUTURA!E39</f>
        <v>1118.04400788229</v>
      </c>
      <c r="AQ13" s="93" t="n">
        <f aca="false">ESTRUTURA!E40</f>
        <v>965.849535605118</v>
      </c>
      <c r="AR13" s="93" t="n">
        <f aca="false">ESTRUTURA!E41</f>
        <v>645.850901586453</v>
      </c>
      <c r="AS13" s="93" t="n">
        <f aca="false">ESTRUTURA!E42</f>
        <v>479.997951027997</v>
      </c>
      <c r="AT13" s="93" t="n">
        <f aca="false">ESTRUTURA!E43</f>
        <v>179.511428839739</v>
      </c>
      <c r="AU13" s="93" t="n">
        <f aca="false">ESTRUTURA!E44</f>
        <v>0</v>
      </c>
      <c r="AV13" s="93" t="n">
        <f aca="false">ESTRUTURA!E45</f>
        <v>0</v>
      </c>
      <c r="AW13" s="93" t="n">
        <f aca="false">ESTRUTURA!E46</f>
        <v>0</v>
      </c>
      <c r="AX13" s="93" t="n">
        <f aca="false">ESTRUTURA!E47</f>
        <v>0</v>
      </c>
      <c r="AY13" s="93" t="n">
        <f aca="false">ESTRUTURA!E48</f>
        <v>18.4871565723821</v>
      </c>
      <c r="AZ13" s="93" t="n">
        <f aca="false">ESTRUTURA!E49</f>
        <v>0</v>
      </c>
      <c r="BA13" s="93" t="n">
        <f aca="false">ESTRUTURA!E50</f>
        <v>0</v>
      </c>
      <c r="BB13" s="93" t="n">
        <f aca="false">ESTRUTURA!E51</f>
        <v>0</v>
      </c>
      <c r="BC13" s="93" t="n">
        <f aca="false">ESTRUTURA!E52</f>
        <v>0.175435214578888</v>
      </c>
      <c r="BD13" s="93" t="n">
        <f aca="false">ESTRUTURA!E53</f>
        <v>0</v>
      </c>
      <c r="BE13" s="93" t="n">
        <f aca="false">ESTRUTURA!E54</f>
        <v>0</v>
      </c>
      <c r="BF13" s="93" t="n">
        <f aca="false">ESTRUTURA!E55</f>
        <v>3.38864004552433</v>
      </c>
      <c r="BG13" s="93" t="n">
        <f aca="false">ESTRUTURA!E56</f>
        <v>0</v>
      </c>
      <c r="BH13" s="93" t="n">
        <f aca="false">ESTRUTURA!E57</f>
        <v>0</v>
      </c>
      <c r="BI13" s="93" t="n">
        <f aca="false">ESTRUTURA!E58</f>
        <v>0</v>
      </c>
      <c r="BJ13" s="93" t="n">
        <f aca="false">ESTRUTURA!E59</f>
        <v>0</v>
      </c>
      <c r="BK13" s="93" t="n">
        <f aca="false">ESTRUTURA!E60</f>
        <v>0</v>
      </c>
      <c r="BL13" s="93" t="n">
        <f aca="false">ESTRUTURA!E61</f>
        <v>0</v>
      </c>
      <c r="BM13" s="93" t="n">
        <f aca="false">ESTRUTURA!E62</f>
        <v>0</v>
      </c>
      <c r="BN13" s="93" t="n">
        <f aca="false">ESTRUTURA!E63</f>
        <v>0</v>
      </c>
      <c r="BO13" s="93" t="n">
        <f aca="false">ESTRUTURA!E64</f>
        <v>0</v>
      </c>
      <c r="BP13" s="93" t="n">
        <f aca="false">ESTRUTURA!E65</f>
        <v>0</v>
      </c>
      <c r="BQ13" s="93" t="n">
        <f aca="false">ESTRUTURA!E66</f>
        <v>0</v>
      </c>
      <c r="BR13" s="93" t="n">
        <f aca="false">ESTRUTURA!E67</f>
        <v>0</v>
      </c>
      <c r="BS13" s="93" t="n">
        <f aca="false">ESTRUTURA!E68</f>
        <v>0</v>
      </c>
      <c r="BT13" s="93" t="n">
        <f aca="false">ESTRUTURA!E69</f>
        <v>0</v>
      </c>
      <c r="BU13" s="93" t="n">
        <f aca="false">ESTRUTURA!E70</f>
        <v>0</v>
      </c>
      <c r="BV13" s="93" t="n">
        <f aca="false">ESTRUTURA!E71</f>
        <v>0</v>
      </c>
      <c r="BW13" s="93" t="n">
        <f aca="false">ESTRUTURA!E72</f>
        <v>0</v>
      </c>
      <c r="BX13" s="93" t="n">
        <f aca="false">ESTRUTURA!E73</f>
        <v>0</v>
      </c>
      <c r="BY13" s="93" t="n">
        <f aca="false">ESTRUTURA!E74</f>
        <v>0</v>
      </c>
      <c r="BZ13" s="93" t="n">
        <f aca="false">ESTRUTURA!E75</f>
        <v>0</v>
      </c>
      <c r="CA13" s="93" t="n">
        <f aca="false">ESTRUTURA!E76</f>
        <v>0</v>
      </c>
    </row>
    <row r="14" customFormat="false" ht="15" hidden="false" customHeight="false" outlineLevel="0" collapsed="false">
      <c r="A14" s="55" t="s">
        <v>305</v>
      </c>
      <c r="B14" s="55" t="s">
        <v>320</v>
      </c>
      <c r="C14" s="55" t="s">
        <v>216</v>
      </c>
      <c r="D14" s="56" t="n">
        <f aca="false">FORRO!$K$5</f>
        <v>1389.444021</v>
      </c>
      <c r="E14" s="45" t="n">
        <f aca="false">SUM(H14:CA14)</f>
        <v>1388.8945745331</v>
      </c>
      <c r="F14" s="45" t="n">
        <f aca="false">IF(D14="","",D14-E14)</f>
        <v>0.549446466898189</v>
      </c>
      <c r="H14" s="93" t="n">
        <f aca="false">FORRO!E5</f>
        <v>0</v>
      </c>
      <c r="I14" s="93" t="n">
        <f aca="false">FORRO!E6</f>
        <v>0</v>
      </c>
      <c r="J14" s="93" t="n">
        <f aca="false">FORRO!E7</f>
        <v>0</v>
      </c>
      <c r="K14" s="93" t="n">
        <f aca="false">FORRO!E8</f>
        <v>0</v>
      </c>
      <c r="L14" s="93" t="n">
        <f aca="false">FORRO!E9</f>
        <v>0</v>
      </c>
      <c r="M14" s="93" t="n">
        <f aca="false">FORRO!E10</f>
        <v>0</v>
      </c>
      <c r="N14" s="93" t="n">
        <f aca="false">FORRO!E11</f>
        <v>0</v>
      </c>
      <c r="O14" s="93" t="n">
        <f aca="false">FORRO!E12</f>
        <v>0</v>
      </c>
      <c r="P14" s="93" t="n">
        <f aca="false">FORRO!E13</f>
        <v>0</v>
      </c>
      <c r="Q14" s="93" t="n">
        <f aca="false">FORRO!E14</f>
        <v>0</v>
      </c>
      <c r="R14" s="93" t="n">
        <f aca="false">FORRO!E15</f>
        <v>0</v>
      </c>
      <c r="S14" s="93" t="n">
        <f aca="false">FORRO!E16</f>
        <v>0</v>
      </c>
      <c r="T14" s="93" t="n">
        <f aca="false">FORRO!E17</f>
        <v>0</v>
      </c>
      <c r="U14" s="93" t="n">
        <f aca="false">FORRO!E18</f>
        <v>0</v>
      </c>
      <c r="V14" s="93" t="n">
        <f aca="false">FORRO!E19</f>
        <v>0</v>
      </c>
      <c r="W14" s="93" t="n">
        <f aca="false">FORRO!E20</f>
        <v>0</v>
      </c>
      <c r="X14" s="93" t="n">
        <f aca="false">FORRO!E21</f>
        <v>0</v>
      </c>
      <c r="Y14" s="93" t="n">
        <f aca="false">FORRO!E22</f>
        <v>0</v>
      </c>
      <c r="Z14" s="93" t="n">
        <f aca="false">FORRO!E23</f>
        <v>0</v>
      </c>
      <c r="AA14" s="93" t="n">
        <f aca="false">FORRO!E24</f>
        <v>0</v>
      </c>
      <c r="AB14" s="93" t="n">
        <f aca="false">FORRO!E25</f>
        <v>0</v>
      </c>
      <c r="AC14" s="93" t="n">
        <f aca="false">FORRO!E26</f>
        <v>0</v>
      </c>
      <c r="AD14" s="93" t="n">
        <f aca="false">FORRO!E27</f>
        <v>0</v>
      </c>
      <c r="AE14" s="93" t="n">
        <f aca="false">FORRO!E28</f>
        <v>0</v>
      </c>
      <c r="AF14" s="93" t="n">
        <f aca="false">FORRO!E29</f>
        <v>0</v>
      </c>
      <c r="AG14" s="93" t="n">
        <f aca="false">FORRO!E30</f>
        <v>0</v>
      </c>
      <c r="AH14" s="93" t="n">
        <f aca="false">FORRO!E31</f>
        <v>0</v>
      </c>
      <c r="AI14" s="93" t="n">
        <f aca="false">FORRO!E32</f>
        <v>0</v>
      </c>
      <c r="AJ14" s="93" t="n">
        <f aca="false">FORRO!E33</f>
        <v>0</v>
      </c>
      <c r="AK14" s="93" t="n">
        <f aca="false">FORRO!E34</f>
        <v>0</v>
      </c>
      <c r="AL14" s="93" t="n">
        <f aca="false">FORRO!E35</f>
        <v>0</v>
      </c>
      <c r="AM14" s="93" t="n">
        <f aca="false">FORRO!E36</f>
        <v>0</v>
      </c>
      <c r="AN14" s="93" t="n">
        <f aca="false">FORRO!E37</f>
        <v>0</v>
      </c>
      <c r="AO14" s="93" t="n">
        <f aca="false">FORRO!E38</f>
        <v>0</v>
      </c>
      <c r="AP14" s="93" t="n">
        <f aca="false">FORRO!E39</f>
        <v>54.0279989493377</v>
      </c>
      <c r="AQ14" s="93" t="n">
        <f aca="false">FORRO!E40</f>
        <v>106.944882239049</v>
      </c>
      <c r="AR14" s="93" t="n">
        <f aca="false">FORRO!E41</f>
        <v>91.3892630042781</v>
      </c>
      <c r="AS14" s="93" t="n">
        <f aca="false">FORRO!E42</f>
        <v>119.722712324753</v>
      </c>
      <c r="AT14" s="93" t="n">
        <f aca="false">FORRO!E43</f>
        <v>139.167236368217</v>
      </c>
      <c r="AU14" s="93" t="n">
        <f aca="false">FORRO!E44</f>
        <v>235.695409298267</v>
      </c>
      <c r="AV14" s="93" t="n">
        <f aca="false">FORRO!E45</f>
        <v>118.33381775022</v>
      </c>
      <c r="AW14" s="93" t="n">
        <f aca="false">FORRO!E46</f>
        <v>127.917190314499</v>
      </c>
      <c r="AX14" s="93" t="n">
        <f aca="false">FORRO!E47</f>
        <v>109.028224100848</v>
      </c>
      <c r="AY14" s="93" t="n">
        <f aca="false">FORRO!E48</f>
        <v>104.028203632529</v>
      </c>
      <c r="AZ14" s="93" t="n">
        <f aca="false">FORRO!E49</f>
        <v>114.583802398981</v>
      </c>
      <c r="BA14" s="93" t="n">
        <f aca="false">FORRO!E50</f>
        <v>23.7500972245162</v>
      </c>
      <c r="BB14" s="93" t="n">
        <f aca="false">FORRO!E51</f>
        <v>31.6667962993547</v>
      </c>
      <c r="BC14" s="93" t="n">
        <f aca="false">FORRO!E52</f>
        <v>12.6389406282512</v>
      </c>
      <c r="BD14" s="93" t="n">
        <f aca="false">FORRO!E53</f>
        <v>0</v>
      </c>
      <c r="BE14" s="93" t="n">
        <f aca="false">FORRO!E54</f>
        <v>0</v>
      </c>
      <c r="BF14" s="93" t="n">
        <f aca="false">FORRO!E55</f>
        <v>0</v>
      </c>
      <c r="BG14" s="93" t="n">
        <f aca="false">FORRO!E56</f>
        <v>0</v>
      </c>
      <c r="BH14" s="93" t="n">
        <f aca="false">FORRO!E57</f>
        <v>0</v>
      </c>
      <c r="BI14" s="93" t="n">
        <f aca="false">FORRO!E58</f>
        <v>0</v>
      </c>
      <c r="BJ14" s="93" t="n">
        <f aca="false">FORRO!E59</f>
        <v>0</v>
      </c>
      <c r="BK14" s="93" t="n">
        <f aca="false">FORRO!E60</f>
        <v>0</v>
      </c>
      <c r="BL14" s="93" t="n">
        <f aca="false">FORRO!E61</f>
        <v>0</v>
      </c>
      <c r="BM14" s="93" t="n">
        <f aca="false">FORRO!E62</f>
        <v>0</v>
      </c>
      <c r="BN14" s="93" t="n">
        <f aca="false">FORRO!E63</f>
        <v>0</v>
      </c>
      <c r="BO14" s="93" t="n">
        <f aca="false">FORRO!E64</f>
        <v>0</v>
      </c>
      <c r="BP14" s="93" t="n">
        <f aca="false">FORRO!E65</f>
        <v>0</v>
      </c>
      <c r="BQ14" s="93" t="n">
        <f aca="false">FORRO!E66</f>
        <v>0</v>
      </c>
      <c r="BR14" s="93" t="n">
        <f aca="false">FORRO!E67</f>
        <v>0</v>
      </c>
      <c r="BS14" s="93" t="n">
        <f aca="false">FORRO!E68</f>
        <v>0</v>
      </c>
      <c r="BT14" s="93" t="n">
        <f aca="false">FORRO!E69</f>
        <v>0</v>
      </c>
      <c r="BU14" s="93" t="n">
        <f aca="false">FORRO!E70</f>
        <v>0</v>
      </c>
      <c r="BV14" s="93" t="n">
        <f aca="false">FORRO!E71</f>
        <v>0</v>
      </c>
      <c r="BW14" s="93" t="n">
        <f aca="false">FORRO!E72</f>
        <v>0</v>
      </c>
      <c r="BX14" s="93" t="n">
        <f aca="false">FORRO!E73</f>
        <v>0</v>
      </c>
      <c r="BY14" s="93" t="n">
        <f aca="false">FORRO!E74</f>
        <v>0</v>
      </c>
      <c r="BZ14" s="93" t="n">
        <f aca="false">FORRO!E75</f>
        <v>0</v>
      </c>
      <c r="CA14" s="93" t="n">
        <f aca="false">FORRO!E76</f>
        <v>0</v>
      </c>
    </row>
    <row r="15" customFormat="false" ht="15" hidden="false" customHeight="false" outlineLevel="0" collapsed="false">
      <c r="A15" s="55" t="s">
        <v>305</v>
      </c>
      <c r="B15" s="55" t="s">
        <v>321</v>
      </c>
      <c r="C15" s="55" t="s">
        <v>73</v>
      </c>
      <c r="D15" s="56" t="n">
        <f aca="false">'FUND. PROF'!$K$5</f>
        <v>5117.570899</v>
      </c>
      <c r="E15" s="45" t="n">
        <f aca="false">SUM(H15:CA15)</f>
        <v>5539.15691790596</v>
      </c>
      <c r="F15" s="45" t="n">
        <f aca="false">IF(D15="","",D15-E15)</f>
        <v>-421.586018905955</v>
      </c>
      <c r="H15" s="93" t="n">
        <f aca="false">'FUND. PROF'!E5</f>
        <v>0</v>
      </c>
      <c r="I15" s="93" t="n">
        <f aca="false">'FUND. PROF'!E6</f>
        <v>0</v>
      </c>
      <c r="J15" s="93" t="n">
        <f aca="false">'FUND. PROF'!E7</f>
        <v>0</v>
      </c>
      <c r="K15" s="93" t="n">
        <f aca="false">'FUND. PROF'!E8</f>
        <v>0</v>
      </c>
      <c r="L15" s="93" t="n">
        <f aca="false">'FUND. PROF'!E9</f>
        <v>0</v>
      </c>
      <c r="M15" s="93" t="n">
        <f aca="false">'FUND. PROF'!E10</f>
        <v>0</v>
      </c>
      <c r="N15" s="93" t="n">
        <f aca="false">'FUND. PROF'!E11</f>
        <v>0</v>
      </c>
      <c r="O15" s="93" t="n">
        <f aca="false">'FUND. PROF'!E12</f>
        <v>0</v>
      </c>
      <c r="P15" s="93" t="n">
        <f aca="false">'FUND. PROF'!E13</f>
        <v>1.58625008835331</v>
      </c>
      <c r="Q15" s="93" t="n">
        <f aca="false">'FUND. PROF'!E14</f>
        <v>119.694711043391</v>
      </c>
      <c r="R15" s="93" t="n">
        <f aca="false">'FUND. PROF'!E15</f>
        <v>426.304374503009</v>
      </c>
      <c r="S15" s="93" t="n">
        <f aca="false">'FUND. PROF'!E16</f>
        <v>914.829643131345</v>
      </c>
      <c r="T15" s="93" t="n">
        <f aca="false">'FUND. PROF'!E17</f>
        <v>713.492823823587</v>
      </c>
      <c r="U15" s="93" t="n">
        <f aca="false">'FUND. PROF'!E18</f>
        <v>1108.40713608981</v>
      </c>
      <c r="V15" s="93" t="n">
        <f aca="false">'FUND. PROF'!E19</f>
        <v>519.325890521499</v>
      </c>
      <c r="W15" s="93" t="n">
        <f aca="false">'FUND. PROF'!E20</f>
        <v>988.651462778859</v>
      </c>
      <c r="X15" s="93" t="n">
        <f aca="false">'FUND. PROF'!E21</f>
        <v>481.385065081467</v>
      </c>
      <c r="Y15" s="93" t="n">
        <f aca="false">'FUND. PROF'!E22</f>
        <v>34.4490534707385</v>
      </c>
      <c r="Z15" s="93" t="n">
        <f aca="false">'FUND. PROF'!E23</f>
        <v>12.2539181550489</v>
      </c>
      <c r="AA15" s="93" t="n">
        <f aca="false">'FUND. PROF'!E24</f>
        <v>60.8503210494004</v>
      </c>
      <c r="AB15" s="93" t="n">
        <f aca="false">'FUND. PROF'!E25</f>
        <v>29.0390850720455</v>
      </c>
      <c r="AC15" s="93" t="n">
        <f aca="false">'FUND. PROF'!E26</f>
        <v>78.7026800288999</v>
      </c>
      <c r="AD15" s="93" t="n">
        <f aca="false">'FUND. PROF'!E27</f>
        <v>26.6789756100946</v>
      </c>
      <c r="AE15" s="93" t="n">
        <f aca="false">'FUND. PROF'!E28</f>
        <v>7.98887183097397</v>
      </c>
      <c r="AF15" s="93" t="n">
        <f aca="false">'FUND. PROF'!E29</f>
        <v>4.44756644554777</v>
      </c>
      <c r="AG15" s="93" t="n">
        <f aca="false">'FUND. PROF'!E30</f>
        <v>0</v>
      </c>
      <c r="AH15" s="93" t="n">
        <f aca="false">'FUND. PROF'!E31</f>
        <v>2.18060296602099</v>
      </c>
      <c r="AI15" s="93" t="n">
        <f aca="false">'FUND. PROF'!E32</f>
        <v>7.31240684437913</v>
      </c>
      <c r="AJ15" s="93" t="n">
        <f aca="false">'FUND. PROF'!E33</f>
        <v>0</v>
      </c>
      <c r="AK15" s="93" t="n">
        <f aca="false">'FUND. PROF'!E34</f>
        <v>0</v>
      </c>
      <c r="AL15" s="93" t="n">
        <f aca="false">'FUND. PROF'!E35</f>
        <v>0</v>
      </c>
      <c r="AM15" s="93" t="n">
        <f aca="false">'FUND. PROF'!E36</f>
        <v>0</v>
      </c>
      <c r="AN15" s="93" t="n">
        <f aca="false">'FUND. PROF'!E37</f>
        <v>0</v>
      </c>
      <c r="AO15" s="93" t="n">
        <f aca="false">'FUND. PROF'!E38</f>
        <v>0</v>
      </c>
      <c r="AP15" s="93" t="n">
        <f aca="false">'FUND. PROF'!E39</f>
        <v>0</v>
      </c>
      <c r="AQ15" s="93" t="n">
        <f aca="false">'FUND. PROF'!E40</f>
        <v>0</v>
      </c>
      <c r="AR15" s="93" t="n">
        <f aca="false">'FUND. PROF'!E41</f>
        <v>0</v>
      </c>
      <c r="AS15" s="93" t="n">
        <f aca="false">'FUND. PROF'!E42</f>
        <v>0</v>
      </c>
      <c r="AT15" s="93" t="n">
        <f aca="false">'FUND. PROF'!E43</f>
        <v>0</v>
      </c>
      <c r="AU15" s="93" t="n">
        <f aca="false">'FUND. PROF'!E44</f>
        <v>0</v>
      </c>
      <c r="AV15" s="93" t="n">
        <f aca="false">'FUND. PROF'!E45</f>
        <v>0</v>
      </c>
      <c r="AW15" s="93" t="n">
        <f aca="false">'FUND. PROF'!E46</f>
        <v>0</v>
      </c>
      <c r="AX15" s="93" t="n">
        <f aca="false">'FUND. PROF'!E47</f>
        <v>0</v>
      </c>
      <c r="AY15" s="93" t="n">
        <f aca="false">'FUND. PROF'!E48</f>
        <v>1.57607937148052</v>
      </c>
      <c r="AZ15" s="93" t="n">
        <f aca="false">'FUND. PROF'!E49</f>
        <v>0</v>
      </c>
      <c r="BA15" s="93" t="n">
        <f aca="false">'FUND. PROF'!E50</f>
        <v>0</v>
      </c>
      <c r="BB15" s="93" t="n">
        <f aca="false">'FUND. PROF'!E51</f>
        <v>0</v>
      </c>
      <c r="BC15" s="93" t="n">
        <f aca="false">'FUND. PROF'!E52</f>
        <v>0</v>
      </c>
      <c r="BD15" s="93" t="n">
        <f aca="false">'FUND. PROF'!E53</f>
        <v>0</v>
      </c>
      <c r="BE15" s="93" t="n">
        <f aca="false">'FUND. PROF'!E54</f>
        <v>0</v>
      </c>
      <c r="BF15" s="93" t="n">
        <f aca="false">'FUND. PROF'!E55</f>
        <v>0</v>
      </c>
      <c r="BG15" s="93" t="n">
        <f aca="false">'FUND. PROF'!E56</f>
        <v>0</v>
      </c>
      <c r="BH15" s="93" t="n">
        <f aca="false">'FUND. PROF'!E57</f>
        <v>0</v>
      </c>
      <c r="BI15" s="93" t="n">
        <f aca="false">'FUND. PROF'!E58</f>
        <v>0</v>
      </c>
      <c r="BJ15" s="93" t="n">
        <f aca="false">'FUND. PROF'!E59</f>
        <v>0</v>
      </c>
      <c r="BK15" s="93" t="n">
        <f aca="false">'FUND. PROF'!E60</f>
        <v>0</v>
      </c>
      <c r="BL15" s="93" t="n">
        <f aca="false">'FUND. PROF'!E61</f>
        <v>0</v>
      </c>
      <c r="BM15" s="93" t="n">
        <f aca="false">'FUND. PROF'!E62</f>
        <v>0</v>
      </c>
      <c r="BN15" s="93" t="n">
        <f aca="false">'FUND. PROF'!E63</f>
        <v>0</v>
      </c>
      <c r="BO15" s="93" t="n">
        <f aca="false">'FUND. PROF'!E64</f>
        <v>0</v>
      </c>
      <c r="BP15" s="93" t="n">
        <f aca="false">'FUND. PROF'!E65</f>
        <v>0</v>
      </c>
      <c r="BQ15" s="93" t="n">
        <f aca="false">'FUND. PROF'!E66</f>
        <v>0</v>
      </c>
      <c r="BR15" s="93" t="n">
        <f aca="false">'FUND. PROF'!E67</f>
        <v>0</v>
      </c>
      <c r="BS15" s="93" t="n">
        <f aca="false">'FUND. PROF'!E68</f>
        <v>0</v>
      </c>
      <c r="BT15" s="93" t="n">
        <f aca="false">'FUND. PROF'!E69</f>
        <v>0</v>
      </c>
      <c r="BU15" s="93" t="n">
        <f aca="false">'FUND. PROF'!E70</f>
        <v>0</v>
      </c>
      <c r="BV15" s="93" t="n">
        <f aca="false">'FUND. PROF'!E71</f>
        <v>0</v>
      </c>
      <c r="BW15" s="93" t="n">
        <f aca="false">'FUND. PROF'!E72</f>
        <v>0</v>
      </c>
      <c r="BX15" s="93" t="n">
        <f aca="false">'FUND. PROF'!E73</f>
        <v>0</v>
      </c>
      <c r="BY15" s="93" t="n">
        <f aca="false">'FUND. PROF'!E74</f>
        <v>0</v>
      </c>
      <c r="BZ15" s="93" t="n">
        <f aca="false">'FUND. PROF'!E75</f>
        <v>0</v>
      </c>
      <c r="CA15" s="93" t="n">
        <f aca="false">'FUND. PROF'!E76</f>
        <v>0</v>
      </c>
    </row>
    <row r="16" customFormat="false" ht="15" hidden="false" customHeight="false" outlineLevel="0" collapsed="false">
      <c r="A16" s="55" t="s">
        <v>305</v>
      </c>
      <c r="B16" s="55" t="s">
        <v>322</v>
      </c>
      <c r="C16" s="55" t="s">
        <v>74</v>
      </c>
      <c r="D16" s="56" t="n">
        <f aca="false">'FUND. SUP'!$K$5</f>
        <v>3335.068547</v>
      </c>
      <c r="E16" s="45" t="n">
        <f aca="false">SUM(H16:CA16)</f>
        <v>3370.50810060526</v>
      </c>
      <c r="F16" s="45" t="n">
        <f aca="false">IF(D16="","",D16-E16)</f>
        <v>-35.439553605263</v>
      </c>
      <c r="H16" s="93" t="n">
        <f aca="false">'FUND. SUP'!E5</f>
        <v>0</v>
      </c>
      <c r="I16" s="93" t="n">
        <f aca="false">'FUND. SUP'!E6</f>
        <v>0</v>
      </c>
      <c r="J16" s="93" t="n">
        <f aca="false">'FUND. SUP'!E7</f>
        <v>0</v>
      </c>
      <c r="K16" s="93" t="n">
        <f aca="false">'FUND. SUP'!E8</f>
        <v>0</v>
      </c>
      <c r="L16" s="93" t="n">
        <f aca="false">'FUND. SUP'!E9</f>
        <v>0</v>
      </c>
      <c r="M16" s="93" t="n">
        <f aca="false">'FUND. SUP'!E10</f>
        <v>0</v>
      </c>
      <c r="N16" s="93" t="n">
        <f aca="false">'FUND. SUP'!E11</f>
        <v>0</v>
      </c>
      <c r="O16" s="93" t="n">
        <f aca="false">'FUND. SUP'!E12</f>
        <v>0</v>
      </c>
      <c r="P16" s="93" t="n">
        <f aca="false">'FUND. SUP'!E13</f>
        <v>0</v>
      </c>
      <c r="Q16" s="93" t="n">
        <f aca="false">'FUND. SUP'!E14</f>
        <v>0</v>
      </c>
      <c r="R16" s="93" t="n">
        <f aca="false">'FUND. SUP'!E15</f>
        <v>0</v>
      </c>
      <c r="S16" s="93" t="n">
        <f aca="false">'FUND. SUP'!E16</f>
        <v>0</v>
      </c>
      <c r="T16" s="93" t="n">
        <f aca="false">'FUND. SUP'!E17</f>
        <v>0</v>
      </c>
      <c r="U16" s="93" t="n">
        <f aca="false">'FUND. SUP'!E18</f>
        <v>0</v>
      </c>
      <c r="V16" s="93" t="n">
        <f aca="false">'FUND. SUP'!E19</f>
        <v>0</v>
      </c>
      <c r="W16" s="93" t="n">
        <f aca="false">'FUND. SUP'!E20</f>
        <v>0</v>
      </c>
      <c r="X16" s="93" t="n">
        <f aca="false">'FUND. SUP'!E21</f>
        <v>15.9872250431071</v>
      </c>
      <c r="Y16" s="93" t="n">
        <f aca="false">'FUND. SUP'!E22</f>
        <v>239.432137531036</v>
      </c>
      <c r="Z16" s="93" t="n">
        <f aca="false">'FUND. SUP'!E23</f>
        <v>546.96102186327</v>
      </c>
      <c r="AA16" s="93" t="n">
        <f aca="false">'FUND. SUP'!E24</f>
        <v>1129.89953672335</v>
      </c>
      <c r="AB16" s="93" t="n">
        <f aca="false">'FUND. SUP'!E25</f>
        <v>370.655337503827</v>
      </c>
      <c r="AC16" s="93" t="n">
        <f aca="false">'FUND. SUP'!E26</f>
        <v>39.0209262319289</v>
      </c>
      <c r="AD16" s="93" t="n">
        <f aca="false">'FUND. SUP'!E27</f>
        <v>6.81219441293742</v>
      </c>
      <c r="AE16" s="93" t="n">
        <f aca="false">'FUND. SUP'!E28</f>
        <v>0</v>
      </c>
      <c r="AF16" s="93" t="n">
        <f aca="false">'FUND. SUP'!E29</f>
        <v>15.3776306222044</v>
      </c>
      <c r="AG16" s="93" t="n">
        <f aca="false">'FUND. SUP'!E30</f>
        <v>17.5640397906066</v>
      </c>
      <c r="AH16" s="93" t="n">
        <f aca="false">'FUND. SUP'!E31</f>
        <v>384.201268487916</v>
      </c>
      <c r="AI16" s="93" t="n">
        <f aca="false">'FUND. SUP'!E32</f>
        <v>225.839206566342</v>
      </c>
      <c r="AJ16" s="93" t="n">
        <f aca="false">'FUND. SUP'!E33</f>
        <v>107.572788258642</v>
      </c>
      <c r="AK16" s="93" t="n">
        <f aca="false">'FUND. SUP'!E34</f>
        <v>0</v>
      </c>
      <c r="AL16" s="93" t="n">
        <f aca="false">'FUND. SUP'!E35</f>
        <v>0</v>
      </c>
      <c r="AM16" s="93" t="n">
        <f aca="false">'FUND. SUP'!E36</f>
        <v>0</v>
      </c>
      <c r="AN16" s="93" t="n">
        <f aca="false">'FUND. SUP'!E37</f>
        <v>0</v>
      </c>
      <c r="AO16" s="93" t="n">
        <f aca="false">'FUND. SUP'!E38</f>
        <v>0</v>
      </c>
      <c r="AP16" s="93" t="n">
        <f aca="false">'FUND. SUP'!E39</f>
        <v>73.1669167103308</v>
      </c>
      <c r="AQ16" s="93" t="n">
        <f aca="false">'FUND. SUP'!E40</f>
        <v>162.44797579139</v>
      </c>
      <c r="AR16" s="93" t="n">
        <f aca="false">'FUND. SUP'!E41</f>
        <v>32.6638021028264</v>
      </c>
      <c r="AS16" s="93" t="n">
        <f aca="false">'FUND. SUP'!E42</f>
        <v>0</v>
      </c>
      <c r="AT16" s="93" t="n">
        <f aca="false">'FUND. SUP'!E43</f>
        <v>0</v>
      </c>
      <c r="AU16" s="93" t="n">
        <f aca="false">'FUND. SUP'!E44</f>
        <v>0</v>
      </c>
      <c r="AV16" s="93" t="n">
        <f aca="false">'FUND. SUP'!E45</f>
        <v>0</v>
      </c>
      <c r="AW16" s="93" t="n">
        <f aca="false">'FUND. SUP'!E46</f>
        <v>0</v>
      </c>
      <c r="AX16" s="93" t="n">
        <f aca="false">'FUND. SUP'!E47</f>
        <v>0</v>
      </c>
      <c r="AY16" s="93" t="n">
        <f aca="false">'FUND. SUP'!E48</f>
        <v>2.90609296555064</v>
      </c>
      <c r="AZ16" s="93" t="n">
        <f aca="false">'FUND. SUP'!E49</f>
        <v>0</v>
      </c>
      <c r="BA16" s="93" t="n">
        <f aca="false">'FUND. SUP'!E50</f>
        <v>0</v>
      </c>
      <c r="BB16" s="93" t="n">
        <f aca="false">'FUND. SUP'!E51</f>
        <v>0</v>
      </c>
      <c r="BC16" s="93" t="n">
        <f aca="false">'FUND. SUP'!E52</f>
        <v>0</v>
      </c>
      <c r="BD16" s="93" t="n">
        <f aca="false">'FUND. SUP'!E53</f>
        <v>0</v>
      </c>
      <c r="BE16" s="93" t="n">
        <f aca="false">'FUND. SUP'!E54</f>
        <v>0</v>
      </c>
      <c r="BF16" s="93" t="n">
        <f aca="false">'FUND. SUP'!E55</f>
        <v>0</v>
      </c>
      <c r="BG16" s="93" t="n">
        <f aca="false">'FUND. SUP'!E56</f>
        <v>0</v>
      </c>
      <c r="BH16" s="93" t="n">
        <f aca="false">'FUND. SUP'!E57</f>
        <v>0</v>
      </c>
      <c r="BI16" s="93" t="n">
        <f aca="false">'FUND. SUP'!E58</f>
        <v>0</v>
      </c>
      <c r="BJ16" s="93" t="n">
        <f aca="false">'FUND. SUP'!E59</f>
        <v>0</v>
      </c>
      <c r="BK16" s="93" t="n">
        <f aca="false">'FUND. SUP'!E60</f>
        <v>0</v>
      </c>
      <c r="BL16" s="93" t="n">
        <f aca="false">'FUND. SUP'!E61</f>
        <v>0</v>
      </c>
      <c r="BM16" s="93" t="n">
        <f aca="false">'FUND. SUP'!E62</f>
        <v>0</v>
      </c>
      <c r="BN16" s="93" t="n">
        <f aca="false">'FUND. SUP'!E63</f>
        <v>0</v>
      </c>
      <c r="BO16" s="93" t="n">
        <f aca="false">'FUND. SUP'!E64</f>
        <v>0</v>
      </c>
      <c r="BP16" s="93" t="n">
        <f aca="false">'FUND. SUP'!E65</f>
        <v>0</v>
      </c>
      <c r="BQ16" s="93" t="n">
        <f aca="false">'FUND. SUP'!E66</f>
        <v>0</v>
      </c>
      <c r="BR16" s="93" t="n">
        <f aca="false">'FUND. SUP'!E67</f>
        <v>0</v>
      </c>
      <c r="BS16" s="93" t="n">
        <f aca="false">'FUND. SUP'!E68</f>
        <v>0</v>
      </c>
      <c r="BT16" s="93" t="n">
        <f aca="false">'FUND. SUP'!E69</f>
        <v>0</v>
      </c>
      <c r="BU16" s="93" t="n">
        <f aca="false">'FUND. SUP'!E70</f>
        <v>0</v>
      </c>
      <c r="BV16" s="93" t="n">
        <f aca="false">'FUND. SUP'!E71</f>
        <v>0</v>
      </c>
      <c r="BW16" s="93" t="n">
        <f aca="false">'FUND. SUP'!E72</f>
        <v>0</v>
      </c>
      <c r="BX16" s="93" t="n">
        <f aca="false">'FUND. SUP'!E73</f>
        <v>0</v>
      </c>
      <c r="BY16" s="93" t="n">
        <f aca="false">'FUND. SUP'!E74</f>
        <v>0</v>
      </c>
      <c r="BZ16" s="93" t="n">
        <f aca="false">'FUND. SUP'!E75</f>
        <v>0</v>
      </c>
      <c r="CA16" s="93" t="n">
        <f aca="false">'FUND. SUP'!E76</f>
        <v>0</v>
      </c>
    </row>
    <row r="17" customFormat="false" ht="15" hidden="false" customHeight="false" outlineLevel="0" collapsed="false">
      <c r="A17" s="55" t="s">
        <v>305</v>
      </c>
      <c r="B17" s="55" t="s">
        <v>323</v>
      </c>
      <c r="C17" s="55" t="s">
        <v>171</v>
      </c>
      <c r="D17" s="56" t="n">
        <f aca="false">IMPERMEABILIZAÇÃO!$K$5</f>
        <v>3228.670926</v>
      </c>
      <c r="E17" s="45" t="n">
        <f aca="false">SUM(H17:CA17)</f>
        <v>3227.39416939358</v>
      </c>
      <c r="F17" s="45" t="n">
        <f aca="false">IF(D17="","",D17-E17)</f>
        <v>1.27675660642353</v>
      </c>
      <c r="H17" s="93" t="n">
        <f aca="false">IMPERMEABILIZAÇÃO!E5</f>
        <v>0</v>
      </c>
      <c r="I17" s="93" t="n">
        <f aca="false">IMPERMEABILIZAÇÃO!E6</f>
        <v>0</v>
      </c>
      <c r="J17" s="93" t="n">
        <f aca="false">IMPERMEABILIZAÇÃO!E7</f>
        <v>0</v>
      </c>
      <c r="K17" s="93" t="n">
        <f aca="false">IMPERMEABILIZAÇÃO!E8</f>
        <v>0</v>
      </c>
      <c r="L17" s="93" t="n">
        <f aca="false">IMPERMEABILIZAÇÃO!E9</f>
        <v>0</v>
      </c>
      <c r="M17" s="93" t="n">
        <f aca="false">IMPERMEABILIZAÇÃO!E10</f>
        <v>0</v>
      </c>
      <c r="N17" s="93" t="n">
        <f aca="false">IMPERMEABILIZAÇÃO!E11</f>
        <v>0</v>
      </c>
      <c r="O17" s="93" t="n">
        <f aca="false">IMPERMEABILIZAÇÃO!E12</f>
        <v>0</v>
      </c>
      <c r="P17" s="93" t="n">
        <f aca="false">IMPERMEABILIZAÇÃO!E13</f>
        <v>0</v>
      </c>
      <c r="Q17" s="93" t="n">
        <f aca="false">IMPERMEABILIZAÇÃO!E14</f>
        <v>0</v>
      </c>
      <c r="R17" s="93" t="n">
        <f aca="false">IMPERMEABILIZAÇÃO!E15</f>
        <v>0</v>
      </c>
      <c r="S17" s="93" t="n">
        <f aca="false">IMPERMEABILIZAÇÃO!E16</f>
        <v>0</v>
      </c>
      <c r="T17" s="93" t="n">
        <f aca="false">IMPERMEABILIZAÇÃO!E17</f>
        <v>0</v>
      </c>
      <c r="U17" s="93" t="n">
        <f aca="false">IMPERMEABILIZAÇÃO!E18</f>
        <v>0</v>
      </c>
      <c r="V17" s="93" t="n">
        <f aca="false">IMPERMEABILIZAÇÃO!E19</f>
        <v>0</v>
      </c>
      <c r="W17" s="93" t="n">
        <f aca="false">IMPERMEABILIZAÇÃO!E20</f>
        <v>0</v>
      </c>
      <c r="X17" s="93" t="n">
        <f aca="false">IMPERMEABILIZAÇÃO!E21</f>
        <v>0</v>
      </c>
      <c r="Y17" s="93" t="n">
        <f aca="false">IMPERMEABILIZAÇÃO!E22</f>
        <v>0</v>
      </c>
      <c r="Z17" s="93" t="n">
        <f aca="false">IMPERMEABILIZAÇÃO!E23</f>
        <v>0</v>
      </c>
      <c r="AA17" s="93" t="n">
        <f aca="false">IMPERMEABILIZAÇÃO!E24</f>
        <v>0</v>
      </c>
      <c r="AB17" s="93" t="n">
        <f aca="false">IMPERMEABILIZAÇÃO!E25</f>
        <v>0</v>
      </c>
      <c r="AC17" s="93" t="n">
        <f aca="false">IMPERMEABILIZAÇÃO!E26</f>
        <v>0</v>
      </c>
      <c r="AD17" s="93" t="n">
        <f aca="false">IMPERMEABILIZAÇÃO!E27</f>
        <v>0</v>
      </c>
      <c r="AE17" s="93" t="n">
        <f aca="false">IMPERMEABILIZAÇÃO!E28</f>
        <v>0</v>
      </c>
      <c r="AF17" s="93" t="n">
        <f aca="false">IMPERMEABILIZAÇÃO!E29</f>
        <v>0</v>
      </c>
      <c r="AG17" s="93" t="n">
        <f aca="false">IMPERMEABILIZAÇÃO!E30</f>
        <v>0</v>
      </c>
      <c r="AH17" s="93" t="n">
        <f aca="false">IMPERMEABILIZAÇÃO!E31</f>
        <v>0</v>
      </c>
      <c r="AI17" s="93" t="n">
        <f aca="false">IMPERMEABILIZAÇÃO!E32</f>
        <v>0</v>
      </c>
      <c r="AJ17" s="93" t="n">
        <f aca="false">IMPERMEABILIZAÇÃO!E33</f>
        <v>0</v>
      </c>
      <c r="AK17" s="93" t="n">
        <f aca="false">IMPERMEABILIZAÇÃO!E34</f>
        <v>0</v>
      </c>
      <c r="AL17" s="93" t="n">
        <f aca="false">IMPERMEABILIZAÇÃO!E35</f>
        <v>0</v>
      </c>
      <c r="AM17" s="93" t="n">
        <f aca="false">IMPERMEABILIZAÇÃO!E36</f>
        <v>0</v>
      </c>
      <c r="AN17" s="93" t="n">
        <f aca="false">IMPERMEABILIZAÇÃO!E37</f>
        <v>128.127548524925</v>
      </c>
      <c r="AO17" s="93" t="n">
        <f aca="false">IMPERMEABILIZAÇÃO!E38</f>
        <v>179.120376401343</v>
      </c>
      <c r="AP17" s="93" t="n">
        <f aca="false">IMPERMEABILIZAÇÃO!E39</f>
        <v>247.863872209427</v>
      </c>
      <c r="AQ17" s="93" t="n">
        <f aca="false">IMPERMEABILIZAÇÃO!E40</f>
        <v>247.541132792487</v>
      </c>
      <c r="AR17" s="93" t="n">
        <f aca="false">IMPERMEABILIZAÇÃO!E41</f>
        <v>182.670509987676</v>
      </c>
      <c r="AS17" s="93" t="n">
        <f aca="false">IMPERMEABILIZAÇÃO!E42</f>
        <v>210.103360427522</v>
      </c>
      <c r="AT17" s="93" t="n">
        <f aca="false">IMPERMEABILIZAÇÃO!E43</f>
        <v>209.780621010582</v>
      </c>
      <c r="AU17" s="93" t="n">
        <f aca="false">IMPERMEABILIZAÇÃO!E44</f>
        <v>420.206720855044</v>
      </c>
      <c r="AV17" s="93" t="n">
        <f aca="false">IMPERMEABILIZAÇÃO!E45</f>
        <v>284.656165740513</v>
      </c>
      <c r="AW17" s="93" t="n">
        <f aca="false">IMPERMEABILIZAÇÃO!E46</f>
        <v>515.737588269094</v>
      </c>
      <c r="AX17" s="93" t="n">
        <f aca="false">IMPERMEABILIZAÇÃO!E47</f>
        <v>432.470818698739</v>
      </c>
      <c r="AY17" s="93" t="n">
        <f aca="false">IMPERMEABILIZAÇÃO!E48</f>
        <v>92.3034732446563</v>
      </c>
      <c r="AZ17" s="93" t="n">
        <f aca="false">IMPERMEABILIZAÇÃO!E49</f>
        <v>68.4207563911435</v>
      </c>
      <c r="BA17" s="93" t="n">
        <f aca="false">IMPERMEABILIZAÇÃO!E50</f>
        <v>8.39122484042346</v>
      </c>
      <c r="BB17" s="93" t="n">
        <f aca="false">IMPERMEABILIZAÇÃO!E51</f>
        <v>0</v>
      </c>
      <c r="BC17" s="93" t="n">
        <f aca="false">IMPERMEABILIZAÇÃO!E52</f>
        <v>0</v>
      </c>
      <c r="BD17" s="93" t="n">
        <f aca="false">IMPERMEABILIZAÇÃO!E53</f>
        <v>0</v>
      </c>
      <c r="BE17" s="93" t="n">
        <f aca="false">IMPERMEABILIZAÇÃO!E54</f>
        <v>0</v>
      </c>
      <c r="BF17" s="93" t="n">
        <f aca="false">IMPERMEABILIZAÇÃO!E55</f>
        <v>0</v>
      </c>
      <c r="BG17" s="93" t="n">
        <f aca="false">IMPERMEABILIZAÇÃO!E56</f>
        <v>0</v>
      </c>
      <c r="BH17" s="93" t="n">
        <f aca="false">IMPERMEABILIZAÇÃO!E57</f>
        <v>0</v>
      </c>
      <c r="BI17" s="93" t="n">
        <f aca="false">IMPERMEABILIZAÇÃO!E58</f>
        <v>0</v>
      </c>
      <c r="BJ17" s="93" t="n">
        <f aca="false">IMPERMEABILIZAÇÃO!E59</f>
        <v>0</v>
      </c>
      <c r="BK17" s="93" t="n">
        <f aca="false">IMPERMEABILIZAÇÃO!E60</f>
        <v>0</v>
      </c>
      <c r="BL17" s="93" t="n">
        <f aca="false">IMPERMEABILIZAÇÃO!E61</f>
        <v>0</v>
      </c>
      <c r="BM17" s="93" t="n">
        <f aca="false">IMPERMEABILIZAÇÃO!E62</f>
        <v>0</v>
      </c>
      <c r="BN17" s="93" t="n">
        <f aca="false">IMPERMEABILIZAÇÃO!E63</f>
        <v>0</v>
      </c>
      <c r="BO17" s="93" t="n">
        <f aca="false">IMPERMEABILIZAÇÃO!E64</f>
        <v>0</v>
      </c>
      <c r="BP17" s="93" t="n">
        <f aca="false">IMPERMEABILIZAÇÃO!E65</f>
        <v>0</v>
      </c>
      <c r="BQ17" s="93" t="n">
        <f aca="false">IMPERMEABILIZAÇÃO!E66</f>
        <v>0</v>
      </c>
      <c r="BR17" s="93" t="n">
        <f aca="false">IMPERMEABILIZAÇÃO!E67</f>
        <v>0</v>
      </c>
      <c r="BS17" s="93" t="n">
        <f aca="false">IMPERMEABILIZAÇÃO!E68</f>
        <v>0</v>
      </c>
      <c r="BT17" s="93" t="n">
        <f aca="false">IMPERMEABILIZAÇÃO!E69</f>
        <v>0</v>
      </c>
      <c r="BU17" s="93" t="n">
        <f aca="false">IMPERMEABILIZAÇÃO!E70</f>
        <v>0</v>
      </c>
      <c r="BV17" s="93" t="n">
        <f aca="false">IMPERMEABILIZAÇÃO!E71</f>
        <v>0</v>
      </c>
      <c r="BW17" s="93" t="n">
        <f aca="false">IMPERMEABILIZAÇÃO!E72</f>
        <v>0</v>
      </c>
      <c r="BX17" s="93" t="n">
        <f aca="false">IMPERMEABILIZAÇÃO!E73</f>
        <v>0</v>
      </c>
      <c r="BY17" s="93" t="n">
        <f aca="false">IMPERMEABILIZAÇÃO!E74</f>
        <v>0</v>
      </c>
      <c r="BZ17" s="93" t="n">
        <f aca="false">IMPERMEABILIZAÇÃO!E75</f>
        <v>0</v>
      </c>
      <c r="CA17" s="93" t="n">
        <f aca="false">IMPERMEABILIZAÇÃO!E76</f>
        <v>0</v>
      </c>
    </row>
    <row r="18" customFormat="false" ht="15" hidden="false" customHeight="false" outlineLevel="0" collapsed="false">
      <c r="A18" s="55" t="s">
        <v>305</v>
      </c>
      <c r="B18" s="55" t="s">
        <v>324</v>
      </c>
      <c r="C18" s="55" t="s">
        <v>180</v>
      </c>
      <c r="D18" s="56" t="n">
        <f aca="false">'INST. INC'!$K$5</f>
        <v>642.357316</v>
      </c>
      <c r="E18" s="45" t="n">
        <f aca="false">SUM(H18:CA18)</f>
        <v>642.103300039351</v>
      </c>
      <c r="F18" s="45" t="n">
        <f aca="false">IF(D18="","",D18-E18)</f>
        <v>0.254015960649099</v>
      </c>
      <c r="H18" s="93" t="n">
        <f aca="false">'INST. INC'!E5</f>
        <v>0</v>
      </c>
      <c r="I18" s="93" t="n">
        <f aca="false">'INST. INC'!E6</f>
        <v>0</v>
      </c>
      <c r="J18" s="93" t="n">
        <f aca="false">'INST. INC'!E7</f>
        <v>0</v>
      </c>
      <c r="K18" s="93" t="n">
        <f aca="false">'INST. INC'!E8</f>
        <v>0</v>
      </c>
      <c r="L18" s="93" t="n">
        <f aca="false">'INST. INC'!E9</f>
        <v>0</v>
      </c>
      <c r="M18" s="93" t="n">
        <f aca="false">'INST. INC'!E10</f>
        <v>0</v>
      </c>
      <c r="N18" s="93" t="n">
        <f aca="false">'INST. INC'!E11</f>
        <v>0</v>
      </c>
      <c r="O18" s="93" t="n">
        <f aca="false">'INST. INC'!E12</f>
        <v>0</v>
      </c>
      <c r="P18" s="93" t="n">
        <f aca="false">'INST. INC'!E13</f>
        <v>0</v>
      </c>
      <c r="Q18" s="93" t="n">
        <f aca="false">'INST. INC'!E14</f>
        <v>0</v>
      </c>
      <c r="R18" s="93" t="n">
        <f aca="false">'INST. INC'!E15</f>
        <v>0</v>
      </c>
      <c r="S18" s="93" t="n">
        <f aca="false">'INST. INC'!E16</f>
        <v>0</v>
      </c>
      <c r="T18" s="93" t="n">
        <f aca="false">'INST. INC'!E17</f>
        <v>0</v>
      </c>
      <c r="U18" s="93" t="n">
        <f aca="false">'INST. INC'!E18</f>
        <v>0</v>
      </c>
      <c r="V18" s="93" t="n">
        <f aca="false">'INST. INC'!E19</f>
        <v>0</v>
      </c>
      <c r="W18" s="93" t="n">
        <f aca="false">'INST. INC'!E20</f>
        <v>0</v>
      </c>
      <c r="X18" s="93" t="n">
        <f aca="false">'INST. INC'!E21</f>
        <v>0</v>
      </c>
      <c r="Y18" s="93" t="n">
        <f aca="false">'INST. INC'!E22</f>
        <v>0</v>
      </c>
      <c r="Z18" s="93" t="n">
        <f aca="false">'INST. INC'!E23</f>
        <v>0</v>
      </c>
      <c r="AA18" s="93" t="n">
        <f aca="false">'INST. INC'!E24</f>
        <v>0</v>
      </c>
      <c r="AB18" s="93" t="n">
        <f aca="false">'INST. INC'!E25</f>
        <v>0</v>
      </c>
      <c r="AC18" s="93" t="n">
        <f aca="false">'INST. INC'!E26</f>
        <v>0</v>
      </c>
      <c r="AD18" s="93" t="n">
        <f aca="false">'INST. INC'!E27</f>
        <v>0</v>
      </c>
      <c r="AE18" s="93" t="n">
        <f aca="false">'INST. INC'!E28</f>
        <v>0</v>
      </c>
      <c r="AF18" s="93" t="n">
        <f aca="false">'INST. INC'!E29</f>
        <v>0</v>
      </c>
      <c r="AG18" s="93" t="n">
        <f aca="false">'INST. INC'!E30</f>
        <v>0</v>
      </c>
      <c r="AH18" s="93" t="n">
        <f aca="false">'INST. INC'!E31</f>
        <v>0</v>
      </c>
      <c r="AI18" s="93" t="n">
        <f aca="false">'INST. INC'!E32</f>
        <v>3.78840947023217</v>
      </c>
      <c r="AJ18" s="93" t="n">
        <f aca="false">'INST. INC'!E33</f>
        <v>40.0030355924516</v>
      </c>
      <c r="AK18" s="93" t="n">
        <f aca="false">'INST. INC'!E34</f>
        <v>38.1409360223374</v>
      </c>
      <c r="AL18" s="93" t="n">
        <f aca="false">'INST. INC'!E35</f>
        <v>41.8651351625657</v>
      </c>
      <c r="AM18" s="93" t="n">
        <f aca="false">'INST. INC'!E36</f>
        <v>46.8735409028726</v>
      </c>
      <c r="AN18" s="93" t="n">
        <f aca="false">'INST. INC'!E37</f>
        <v>49.3135334430222</v>
      </c>
      <c r="AO18" s="93" t="n">
        <f aca="false">'INST. INC'!E38</f>
        <v>44.8830206727506</v>
      </c>
      <c r="AP18" s="93" t="n">
        <f aca="false">'INST. INC'!E39</f>
        <v>64.5955919839587</v>
      </c>
      <c r="AQ18" s="93" t="n">
        <f aca="false">'INST. INC'!E40</f>
        <v>51.3682640031481</v>
      </c>
      <c r="AR18" s="93" t="n">
        <f aca="false">'INST. INC'!E41</f>
        <v>41.9935558225735</v>
      </c>
      <c r="AS18" s="93" t="n">
        <f aca="false">'INST. INC'!E42</f>
        <v>55.9271974334275</v>
      </c>
      <c r="AT18" s="93" t="n">
        <f aca="false">'INST. INC'!E43</f>
        <v>100.938638766186</v>
      </c>
      <c r="AU18" s="93" t="n">
        <f aca="false">'INST. INC'!E44</f>
        <v>13.4841693008263</v>
      </c>
      <c r="AV18" s="93" t="n">
        <f aca="false">'INST. INC'!E45</f>
        <v>19.3915196611885</v>
      </c>
      <c r="AW18" s="93" t="n">
        <f aca="false">'INST. INC'!E46</f>
        <v>15.5388998609522</v>
      </c>
      <c r="AX18" s="93" t="n">
        <f aca="false">'INST. INC'!E47</f>
        <v>1.73367891010631</v>
      </c>
      <c r="AY18" s="93" t="n">
        <f aca="false">'INST. INC'!E48</f>
        <v>1.79788924011019</v>
      </c>
      <c r="AZ18" s="93" t="n">
        <f aca="false">'INST. INC'!E49</f>
        <v>1.86209957011407</v>
      </c>
      <c r="BA18" s="93" t="n">
        <f aca="false">'INST. INC'!E50</f>
        <v>1.73367891010631</v>
      </c>
      <c r="BB18" s="93" t="n">
        <f aca="false">'INST. INC'!E51</f>
        <v>1.86209957011407</v>
      </c>
      <c r="BC18" s="93" t="n">
        <f aca="false">'INST. INC'!E52</f>
        <v>1.86209957011416</v>
      </c>
      <c r="BD18" s="93" t="n">
        <f aca="false">'INST. INC'!E53</f>
        <v>1.21999627007475</v>
      </c>
      <c r="BE18" s="93" t="n">
        <f aca="false">'INST. INC'!E54</f>
        <v>1.66946858010225</v>
      </c>
      <c r="BF18" s="93" t="n">
        <f aca="false">'INST. INC'!E55</f>
        <v>0.256841320015781</v>
      </c>
      <c r="BG18" s="93" t="n">
        <f aca="false">'INST. INC'!E56</f>
        <v>0</v>
      </c>
      <c r="BH18" s="93" t="n">
        <f aca="false">'INST. INC'!E57</f>
        <v>0</v>
      </c>
      <c r="BI18" s="93" t="n">
        <f aca="false">'INST. INC'!E58</f>
        <v>0</v>
      </c>
      <c r="BJ18" s="93" t="n">
        <f aca="false">'INST. INC'!E59</f>
        <v>0</v>
      </c>
      <c r="BK18" s="93" t="n">
        <f aca="false">'INST. INC'!E60</f>
        <v>0</v>
      </c>
      <c r="BL18" s="93" t="n">
        <f aca="false">'INST. INC'!E61</f>
        <v>0</v>
      </c>
      <c r="BM18" s="93" t="n">
        <f aca="false">'INST. INC'!E62</f>
        <v>0</v>
      </c>
      <c r="BN18" s="93" t="n">
        <f aca="false">'INST. INC'!E63</f>
        <v>0</v>
      </c>
      <c r="BO18" s="93" t="n">
        <f aca="false">'INST. INC'!E64</f>
        <v>0</v>
      </c>
      <c r="BP18" s="93" t="n">
        <f aca="false">'INST. INC'!E65</f>
        <v>0</v>
      </c>
      <c r="BQ18" s="93" t="n">
        <f aca="false">'INST. INC'!E66</f>
        <v>0</v>
      </c>
      <c r="BR18" s="93" t="n">
        <f aca="false">'INST. INC'!E67</f>
        <v>0</v>
      </c>
      <c r="BS18" s="93" t="n">
        <f aca="false">'INST. INC'!E68</f>
        <v>0</v>
      </c>
      <c r="BT18" s="93" t="n">
        <f aca="false">'INST. INC'!E69</f>
        <v>0</v>
      </c>
      <c r="BU18" s="93" t="n">
        <f aca="false">'INST. INC'!E70</f>
        <v>0</v>
      </c>
      <c r="BV18" s="93" t="n">
        <f aca="false">'INST. INC'!E71</f>
        <v>0</v>
      </c>
      <c r="BW18" s="93" t="n">
        <f aca="false">'INST. INC'!E72</f>
        <v>0</v>
      </c>
      <c r="BX18" s="93" t="n">
        <f aca="false">'INST. INC'!E73</f>
        <v>0</v>
      </c>
      <c r="BY18" s="93" t="n">
        <f aca="false">'INST. INC'!E74</f>
        <v>0</v>
      </c>
      <c r="BZ18" s="93" t="n">
        <f aca="false">'INST. INC'!E75</f>
        <v>0</v>
      </c>
      <c r="CA18" s="93" t="n">
        <f aca="false">'INST. INC'!E76</f>
        <v>0</v>
      </c>
    </row>
    <row r="19" customFormat="false" ht="15" hidden="false" customHeight="false" outlineLevel="0" collapsed="false">
      <c r="A19" s="55" t="s">
        <v>305</v>
      </c>
      <c r="B19" s="55" t="s">
        <v>325</v>
      </c>
      <c r="C19" s="55" t="s">
        <v>77</v>
      </c>
      <c r="D19" s="56" t="n">
        <f aca="false">'INST. ELÉTRICA'!$K$5</f>
        <v>9256.654171</v>
      </c>
      <c r="E19" s="45" t="n">
        <f aca="false">SUM(H19:CA19)</f>
        <v>8989.03830347447</v>
      </c>
      <c r="F19" s="45" t="n">
        <f aca="false">IF(D19="","",D19-E19)</f>
        <v>267.61586752553</v>
      </c>
      <c r="H19" s="93" t="n">
        <f aca="false">'INST. ELÉTRICA'!E5</f>
        <v>0</v>
      </c>
      <c r="I19" s="93" t="n">
        <f aca="false">'INST. ELÉTRICA'!E6</f>
        <v>0</v>
      </c>
      <c r="J19" s="93" t="n">
        <f aca="false">'INST. ELÉTRICA'!E7</f>
        <v>0</v>
      </c>
      <c r="K19" s="93" t="n">
        <f aca="false">'INST. ELÉTRICA'!E8</f>
        <v>0</v>
      </c>
      <c r="L19" s="93" t="n">
        <f aca="false">'INST. ELÉTRICA'!E9</f>
        <v>0</v>
      </c>
      <c r="M19" s="93" t="n">
        <f aca="false">'INST. ELÉTRICA'!E10</f>
        <v>0</v>
      </c>
      <c r="N19" s="93" t="n">
        <f aca="false">'INST. ELÉTRICA'!E11</f>
        <v>0</v>
      </c>
      <c r="O19" s="93" t="n">
        <f aca="false">'INST. ELÉTRICA'!E12</f>
        <v>0</v>
      </c>
      <c r="P19" s="93" t="n">
        <f aca="false">'INST. ELÉTRICA'!E13</f>
        <v>0</v>
      </c>
      <c r="Q19" s="93" t="n">
        <f aca="false">'INST. ELÉTRICA'!E14</f>
        <v>0</v>
      </c>
      <c r="R19" s="93" t="n">
        <f aca="false">'INST. ELÉTRICA'!E15</f>
        <v>1.82859985143444</v>
      </c>
      <c r="S19" s="93" t="n">
        <f aca="false">'INST. ELÉTRICA'!E16</f>
        <v>0</v>
      </c>
      <c r="T19" s="93" t="n">
        <f aca="false">'INST. ELÉTRICA'!E17</f>
        <v>0</v>
      </c>
      <c r="U19" s="93" t="n">
        <f aca="false">'INST. ELÉTRICA'!E18</f>
        <v>0</v>
      </c>
      <c r="V19" s="93" t="n">
        <f aca="false">'INST. ELÉTRICA'!E19</f>
        <v>0</v>
      </c>
      <c r="W19" s="93" t="n">
        <f aca="false">'INST. ELÉTRICA'!E20</f>
        <v>0</v>
      </c>
      <c r="X19" s="93" t="n">
        <f aca="false">'INST. ELÉTRICA'!E21</f>
        <v>165.920087452725</v>
      </c>
      <c r="Y19" s="93" t="n">
        <f aca="false">'INST. ELÉTRICA'!E22</f>
        <v>2.52984390432008</v>
      </c>
      <c r="Z19" s="93" t="n">
        <f aca="false">'INST. ELÉTRICA'!E23</f>
        <v>73.4859027627571</v>
      </c>
      <c r="AA19" s="93" t="n">
        <f aca="false">'INST. ELÉTRICA'!E24</f>
        <v>4.76497383251412</v>
      </c>
      <c r="AB19" s="93" t="n">
        <f aca="false">'INST. ELÉTRICA'!E25</f>
        <v>5.13740960097587</v>
      </c>
      <c r="AC19" s="93" t="n">
        <f aca="false">'INST. ELÉTRICA'!E26</f>
        <v>3.60788779918713</v>
      </c>
      <c r="AD19" s="93" t="n">
        <f aca="false">'INST. ELÉTRICA'!E27</f>
        <v>0</v>
      </c>
      <c r="AE19" s="93" t="n">
        <f aca="false">'INST. ELÉTRICA'!E28</f>
        <v>0</v>
      </c>
      <c r="AF19" s="93" t="n">
        <f aca="false">'INST. ELÉTRICA'!E29</f>
        <v>0</v>
      </c>
      <c r="AG19" s="93" t="n">
        <f aca="false">'INST. ELÉTRICA'!E30</f>
        <v>242.743028031921</v>
      </c>
      <c r="AH19" s="93" t="n">
        <f aca="false">'INST. ELÉTRICA'!E31</f>
        <v>121.371514015961</v>
      </c>
      <c r="AI19" s="93" t="n">
        <f aca="false">'INST. ELÉTRICA'!E32</f>
        <v>0</v>
      </c>
      <c r="AJ19" s="93" t="n">
        <f aca="false">'INST. ELÉTRICA'!E33</f>
        <v>4.36588179913526</v>
      </c>
      <c r="AK19" s="93" t="n">
        <f aca="false">'INST. ELÉTRICA'!E34</f>
        <v>99.5421050202844</v>
      </c>
      <c r="AL19" s="93" t="n">
        <f aca="false">'INST. ELÉTRICA'!E35</f>
        <v>132.722806693712</v>
      </c>
      <c r="AM19" s="93" t="n">
        <f aca="false">'INST. ELÉTRICA'!E36</f>
        <v>302.119020500161</v>
      </c>
      <c r="AN19" s="93" t="n">
        <f aca="false">'INST. ELÉTRICA'!E37</f>
        <v>260.206555228463</v>
      </c>
      <c r="AO19" s="93" t="n">
        <f aca="false">'INST. ELÉTRICA'!E38</f>
        <v>220.040442676418</v>
      </c>
      <c r="AP19" s="93" t="n">
        <f aca="false">'INST. ELÉTRICA'!E39</f>
        <v>366.734071127363</v>
      </c>
      <c r="AQ19" s="93" t="n">
        <f aca="false">'INST. ELÉTRICA'!E40</f>
        <v>532.637579494504</v>
      </c>
      <c r="AR19" s="93" t="n">
        <f aca="false">'INST. ELÉTRICA'!E41</f>
        <v>359.748660248747</v>
      </c>
      <c r="AS19" s="93" t="n">
        <f aca="false">'INST. ELÉTRICA'!E42</f>
        <v>788.478252923831</v>
      </c>
      <c r="AT19" s="93" t="n">
        <f aca="false">'INST. ELÉTRICA'!E43</f>
        <v>934.29870501495</v>
      </c>
      <c r="AU19" s="93" t="n">
        <f aca="false">'INST. ELÉTRICA'!E44</f>
        <v>537.876637653466</v>
      </c>
      <c r="AV19" s="93" t="n">
        <f aca="false">'INST. ELÉTRICA'!E45</f>
        <v>334.426545813762</v>
      </c>
      <c r="AW19" s="93" t="n">
        <f aca="false">'INST. ELÉTRICA'!E46</f>
        <v>807.688132840027</v>
      </c>
      <c r="AX19" s="93" t="n">
        <f aca="false">'INST. ELÉTRICA'!E47</f>
        <v>462.783470708339</v>
      </c>
      <c r="AY19" s="93" t="n">
        <f aca="false">'INST. ELÉTRICA'!E48</f>
        <v>383.324421964077</v>
      </c>
      <c r="AZ19" s="93" t="n">
        <f aca="false">'INST. ELÉTRICA'!E49</f>
        <v>516.04722865779</v>
      </c>
      <c r="BA19" s="93" t="n">
        <f aca="false">'INST. ELÉTRICA'!E50</f>
        <v>215.674560877283</v>
      </c>
      <c r="BB19" s="93" t="n">
        <f aca="false">'INST. ELÉTRICA'!E51</f>
        <v>350.14372029065</v>
      </c>
      <c r="BC19" s="93" t="n">
        <f aca="false">'INST. ELÉTRICA'!E52</f>
        <v>156.298568409042</v>
      </c>
      <c r="BD19" s="93" t="n">
        <f aca="false">'INST. ELÉTRICA'!E53</f>
        <v>137.961864852676</v>
      </c>
      <c r="BE19" s="93" t="n">
        <f aca="false">'INST. ELÉTRICA'!E54</f>
        <v>254.967497069499</v>
      </c>
      <c r="BF19" s="93" t="n">
        <f aca="false">'INST. ELÉTRICA'!E55</f>
        <v>201.70373912005</v>
      </c>
      <c r="BG19" s="93" t="n">
        <f aca="false">'INST. ELÉTRICA'!E56</f>
        <v>7.8585872384438</v>
      </c>
      <c r="BH19" s="93" t="n">
        <f aca="false">'INST. ELÉTRICA'!E57</f>
        <v>0</v>
      </c>
      <c r="BI19" s="93" t="n">
        <f aca="false">'INST. ELÉTRICA'!E58</f>
        <v>0</v>
      </c>
      <c r="BJ19" s="93" t="n">
        <f aca="false">'INST. ELÉTRICA'!E59</f>
        <v>0</v>
      </c>
      <c r="BK19" s="93" t="n">
        <f aca="false">'INST. ELÉTRICA'!E60</f>
        <v>0</v>
      </c>
      <c r="BL19" s="93" t="n">
        <f aca="false">'INST. ELÉTRICA'!E61</f>
        <v>0</v>
      </c>
      <c r="BM19" s="93" t="n">
        <f aca="false">'INST. ELÉTRICA'!E62</f>
        <v>0</v>
      </c>
      <c r="BN19" s="93" t="n">
        <f aca="false">'INST. ELÉTRICA'!E63</f>
        <v>0</v>
      </c>
      <c r="BO19" s="93" t="n">
        <f aca="false">'INST. ELÉTRICA'!E64</f>
        <v>0</v>
      </c>
      <c r="BP19" s="93" t="n">
        <f aca="false">'INST. ELÉTRICA'!E65</f>
        <v>0</v>
      </c>
      <c r="BQ19" s="93" t="n">
        <f aca="false">'INST. ELÉTRICA'!E66</f>
        <v>0</v>
      </c>
      <c r="BR19" s="93" t="n">
        <f aca="false">'INST. ELÉTRICA'!E67</f>
        <v>0</v>
      </c>
      <c r="BS19" s="93" t="n">
        <f aca="false">'INST. ELÉTRICA'!E68</f>
        <v>0</v>
      </c>
      <c r="BT19" s="93" t="n">
        <f aca="false">'INST. ELÉTRICA'!E69</f>
        <v>0</v>
      </c>
      <c r="BU19" s="93" t="n">
        <f aca="false">'INST. ELÉTRICA'!E70</f>
        <v>0</v>
      </c>
      <c r="BV19" s="93" t="n">
        <f aca="false">'INST. ELÉTRICA'!E71</f>
        <v>0</v>
      </c>
      <c r="BW19" s="93" t="n">
        <f aca="false">'INST. ELÉTRICA'!E72</f>
        <v>0</v>
      </c>
      <c r="BX19" s="93" t="n">
        <f aca="false">'INST. ELÉTRICA'!E73</f>
        <v>0</v>
      </c>
      <c r="BY19" s="93" t="n">
        <f aca="false">'INST. ELÉTRICA'!E74</f>
        <v>0</v>
      </c>
      <c r="BZ19" s="93" t="n">
        <f aca="false">'INST. ELÉTRICA'!E75</f>
        <v>0</v>
      </c>
      <c r="CA19" s="93" t="n">
        <f aca="false">'INST. ELÉTRICA'!E76</f>
        <v>0</v>
      </c>
    </row>
    <row r="20" customFormat="false" ht="15" hidden="false" customHeight="false" outlineLevel="0" collapsed="false">
      <c r="A20" s="55" t="s">
        <v>305</v>
      </c>
      <c r="B20" s="55" t="s">
        <v>326</v>
      </c>
      <c r="C20" s="55" t="s">
        <v>183</v>
      </c>
      <c r="D20" s="56" t="n">
        <f aca="false">'INST. ESP'!$K$5</f>
        <v>2206.583122</v>
      </c>
      <c r="E20" s="45" t="n">
        <f aca="false">SUM(H20:CA20)</f>
        <v>2205.71054326924</v>
      </c>
      <c r="F20" s="45" t="n">
        <f aca="false">IF(D20="","",D20-E20)</f>
        <v>0.872578730755322</v>
      </c>
      <c r="H20" s="93" t="n">
        <f aca="false">'INST. ESP'!E5</f>
        <v>0</v>
      </c>
      <c r="I20" s="93" t="n">
        <f aca="false">'INST. ESP'!E6</f>
        <v>0</v>
      </c>
      <c r="J20" s="93" t="n">
        <f aca="false">'INST. ESP'!E7</f>
        <v>0</v>
      </c>
      <c r="K20" s="93" t="n">
        <f aca="false">'INST. ESP'!E8</f>
        <v>0</v>
      </c>
      <c r="L20" s="93" t="n">
        <f aca="false">'INST. ESP'!E9</f>
        <v>0</v>
      </c>
      <c r="M20" s="93" t="n">
        <f aca="false">'INST. ESP'!E10</f>
        <v>0</v>
      </c>
      <c r="N20" s="93" t="n">
        <f aca="false">'INST. ESP'!E11</f>
        <v>0</v>
      </c>
      <c r="O20" s="93" t="n">
        <f aca="false">'INST. ESP'!E12</f>
        <v>0</v>
      </c>
      <c r="P20" s="93" t="n">
        <f aca="false">'INST. ESP'!E13</f>
        <v>0</v>
      </c>
      <c r="Q20" s="93" t="n">
        <f aca="false">'INST. ESP'!E14</f>
        <v>0</v>
      </c>
      <c r="R20" s="93" t="n">
        <f aca="false">'INST. ESP'!E15</f>
        <v>0</v>
      </c>
      <c r="S20" s="93" t="n">
        <f aca="false">'INST. ESP'!E16</f>
        <v>0</v>
      </c>
      <c r="T20" s="93" t="n">
        <f aca="false">'INST. ESP'!E17</f>
        <v>0</v>
      </c>
      <c r="U20" s="93" t="n">
        <f aca="false">'INST. ESP'!E18</f>
        <v>0</v>
      </c>
      <c r="V20" s="93" t="n">
        <f aca="false">'INST. ESP'!E19</f>
        <v>0</v>
      </c>
      <c r="W20" s="93" t="n">
        <f aca="false">'INST. ESP'!E20</f>
        <v>0</v>
      </c>
      <c r="X20" s="93" t="n">
        <f aca="false">'INST. ESP'!E21</f>
        <v>0</v>
      </c>
      <c r="Y20" s="93" t="n">
        <f aca="false">'INST. ESP'!E22</f>
        <v>0</v>
      </c>
      <c r="Z20" s="93" t="n">
        <f aca="false">'INST. ESP'!E23</f>
        <v>0</v>
      </c>
      <c r="AA20" s="93" t="n">
        <f aca="false">'INST. ESP'!E24</f>
        <v>0</v>
      </c>
      <c r="AB20" s="93" t="n">
        <f aca="false">'INST. ESP'!E25</f>
        <v>0</v>
      </c>
      <c r="AC20" s="93" t="n">
        <f aca="false">'INST. ESP'!E26</f>
        <v>0</v>
      </c>
      <c r="AD20" s="93" t="n">
        <f aca="false">'INST. ESP'!E27</f>
        <v>0</v>
      </c>
      <c r="AE20" s="93" t="n">
        <f aca="false">'INST. ESP'!E28</f>
        <v>0</v>
      </c>
      <c r="AF20" s="93" t="n">
        <f aca="false">'INST. ESP'!E29</f>
        <v>0</v>
      </c>
      <c r="AG20" s="93" t="n">
        <f aca="false">'INST. ESP'!E30</f>
        <v>0</v>
      </c>
      <c r="AH20" s="93" t="n">
        <f aca="false">'INST. ESP'!E31</f>
        <v>0</v>
      </c>
      <c r="AI20" s="93" t="n">
        <f aca="false">'INST. ESP'!E32</f>
        <v>0</v>
      </c>
      <c r="AJ20" s="93" t="n">
        <f aca="false">'INST. ESP'!E33</f>
        <v>0</v>
      </c>
      <c r="AK20" s="93" t="n">
        <f aca="false">'INST. ESP'!E34</f>
        <v>0</v>
      </c>
      <c r="AL20" s="93" t="n">
        <f aca="false">'INST. ESP'!E35</f>
        <v>11.9108369336539</v>
      </c>
      <c r="AM20" s="93" t="n">
        <f aca="false">'INST. ESP'!E36</f>
        <v>75.2147295254813</v>
      </c>
      <c r="AN20" s="93" t="n">
        <f aca="false">'INST. ESP'!E37</f>
        <v>113.152950869712</v>
      </c>
      <c r="AO20" s="93" t="n">
        <f aca="false">'INST. ESP'!E38</f>
        <v>108.30038767452</v>
      </c>
      <c r="AP20" s="93" t="n">
        <f aca="false">'INST. ESP'!E39</f>
        <v>142.047758986539</v>
      </c>
      <c r="AQ20" s="93" t="n">
        <f aca="false">'INST. ESP'!E40</f>
        <v>189.470535666828</v>
      </c>
      <c r="AR20" s="93" t="n">
        <f aca="false">'INST. ESP'!E41</f>
        <v>100.359829718751</v>
      </c>
      <c r="AS20" s="93" t="n">
        <f aca="false">'INST. ESP'!E42</f>
        <v>109.623814000481</v>
      </c>
      <c r="AT20" s="93" t="n">
        <f aca="false">'INST. ESP'!E43</f>
        <v>108.962100837501</v>
      </c>
      <c r="AU20" s="93" t="n">
        <f aca="false">'INST. ESP'!E44</f>
        <v>168.736856560097</v>
      </c>
      <c r="AV20" s="93" t="n">
        <f aca="false">'INST. ESP'!E45</f>
        <v>121.534650934135</v>
      </c>
      <c r="AW20" s="93" t="n">
        <f aca="false">'INST. ESP'!E46</f>
        <v>151.752885376924</v>
      </c>
      <c r="AX20" s="93" t="n">
        <f aca="false">'INST. ESP'!E47</f>
        <v>89.1107059480775</v>
      </c>
      <c r="AY20" s="93" t="n">
        <f aca="false">'INST. ESP'!E48</f>
        <v>115.799803521635</v>
      </c>
      <c r="AZ20" s="93" t="n">
        <f aca="false">'INST. ESP'!E49</f>
        <v>227.629328065386</v>
      </c>
      <c r="BA20" s="93" t="n">
        <f aca="false">'INST. ESP'!E50</f>
        <v>120.431795662501</v>
      </c>
      <c r="BB20" s="93" t="n">
        <f aca="false">'INST. ESP'!E51</f>
        <v>66.3918873524041</v>
      </c>
      <c r="BC20" s="93" t="n">
        <f aca="false">'INST. ESP'!E52</f>
        <v>48.5256319519235</v>
      </c>
      <c r="BD20" s="93" t="n">
        <f aca="false">'INST. ESP'!E53</f>
        <v>35.9530818552889</v>
      </c>
      <c r="BE20" s="93" t="n">
        <f aca="false">'INST. ESP'!E54</f>
        <v>63.7450347004809</v>
      </c>
      <c r="BF20" s="93" t="n">
        <f aca="false">'INST. ESP'!E55</f>
        <v>37.0559371269235</v>
      </c>
      <c r="BG20" s="93" t="n">
        <f aca="false">'INST. ESP'!E56</f>
        <v>0</v>
      </c>
      <c r="BH20" s="93" t="n">
        <f aca="false">'INST. ESP'!E57</f>
        <v>0</v>
      </c>
      <c r="BI20" s="93" t="n">
        <f aca="false">'INST. ESP'!E58</f>
        <v>0</v>
      </c>
      <c r="BJ20" s="93" t="n">
        <f aca="false">'INST. ESP'!E59</f>
        <v>0</v>
      </c>
      <c r="BK20" s="93" t="n">
        <f aca="false">'INST. ESP'!E60</f>
        <v>0</v>
      </c>
      <c r="BL20" s="93" t="n">
        <f aca="false">'INST. ESP'!E61</f>
        <v>0</v>
      </c>
      <c r="BM20" s="93" t="n">
        <f aca="false">'INST. ESP'!E62</f>
        <v>0</v>
      </c>
      <c r="BN20" s="93" t="n">
        <f aca="false">'INST. ESP'!E63</f>
        <v>0</v>
      </c>
      <c r="BO20" s="93" t="n">
        <f aca="false">'INST. ESP'!E64</f>
        <v>0</v>
      </c>
      <c r="BP20" s="93" t="n">
        <f aca="false">'INST. ESP'!E65</f>
        <v>0</v>
      </c>
      <c r="BQ20" s="93" t="n">
        <f aca="false">'INST. ESP'!E66</f>
        <v>0</v>
      </c>
      <c r="BR20" s="93" t="n">
        <f aca="false">'INST. ESP'!E67</f>
        <v>0</v>
      </c>
      <c r="BS20" s="93" t="n">
        <f aca="false">'INST. ESP'!E68</f>
        <v>0</v>
      </c>
      <c r="BT20" s="93" t="n">
        <f aca="false">'INST. ESP'!E69</f>
        <v>0</v>
      </c>
      <c r="BU20" s="93" t="n">
        <f aca="false">'INST. ESP'!E70</f>
        <v>0</v>
      </c>
      <c r="BV20" s="93" t="n">
        <f aca="false">'INST. ESP'!E71</f>
        <v>0</v>
      </c>
      <c r="BW20" s="93" t="n">
        <f aca="false">'INST. ESP'!E72</f>
        <v>0</v>
      </c>
      <c r="BX20" s="93" t="n">
        <f aca="false">'INST. ESP'!E73</f>
        <v>0</v>
      </c>
      <c r="BY20" s="93" t="n">
        <f aca="false">'INST. ESP'!E74</f>
        <v>0</v>
      </c>
      <c r="BZ20" s="93" t="n">
        <f aca="false">'INST. ESP'!E75</f>
        <v>0</v>
      </c>
      <c r="CA20" s="93" t="n">
        <f aca="false">'INST. ESP'!E76</f>
        <v>0</v>
      </c>
    </row>
    <row r="21" customFormat="false" ht="15" hidden="false" customHeight="false" outlineLevel="0" collapsed="false">
      <c r="A21" s="55" t="s">
        <v>305</v>
      </c>
      <c r="B21" s="55" t="s">
        <v>327</v>
      </c>
      <c r="C21" s="55" t="s">
        <v>177</v>
      </c>
      <c r="D21" s="56" t="n">
        <f aca="false">'INST. HIDRO'!$K$5</f>
        <v>6060.658861</v>
      </c>
      <c r="E21" s="45" t="n">
        <f aca="false">SUM(H21:CA21)</f>
        <v>6058.26221345759</v>
      </c>
      <c r="F21" s="45" t="n">
        <f aca="false">IF(D21="","",D21-E21)</f>
        <v>2.39664754241403</v>
      </c>
      <c r="H21" s="93" t="n">
        <f aca="false">'INST. HIDRO'!E5</f>
        <v>0</v>
      </c>
      <c r="I21" s="93" t="n">
        <f aca="false">'INST. HIDRO'!E6</f>
        <v>0</v>
      </c>
      <c r="J21" s="93" t="n">
        <f aca="false">'INST. HIDRO'!E7</f>
        <v>0</v>
      </c>
      <c r="K21" s="93" t="n">
        <f aca="false">'INST. HIDRO'!E8</f>
        <v>0</v>
      </c>
      <c r="L21" s="93" t="n">
        <f aca="false">'INST. HIDRO'!E9</f>
        <v>0</v>
      </c>
      <c r="M21" s="93" t="n">
        <f aca="false">'INST. HIDRO'!E10</f>
        <v>0</v>
      </c>
      <c r="N21" s="93" t="n">
        <f aca="false">'INST. HIDRO'!E11</f>
        <v>0</v>
      </c>
      <c r="O21" s="93" t="n">
        <f aca="false">'INST. HIDRO'!E12</f>
        <v>0</v>
      </c>
      <c r="P21" s="93" t="n">
        <f aca="false">'INST. HIDRO'!E13</f>
        <v>0</v>
      </c>
      <c r="Q21" s="93" t="n">
        <f aca="false">'INST. HIDRO'!E14</f>
        <v>0</v>
      </c>
      <c r="R21" s="93" t="n">
        <f aca="false">'INST. HIDRO'!E15</f>
        <v>0</v>
      </c>
      <c r="S21" s="93" t="n">
        <f aca="false">'INST. HIDRO'!E16</f>
        <v>0</v>
      </c>
      <c r="T21" s="93" t="n">
        <f aca="false">'INST. HIDRO'!E17</f>
        <v>0</v>
      </c>
      <c r="U21" s="93" t="n">
        <f aca="false">'INST. HIDRO'!E18</f>
        <v>0</v>
      </c>
      <c r="V21" s="93" t="n">
        <f aca="false">'INST. HIDRO'!E19</f>
        <v>0</v>
      </c>
      <c r="W21" s="93" t="n">
        <f aca="false">'INST. HIDRO'!E20</f>
        <v>0</v>
      </c>
      <c r="X21" s="93" t="n">
        <f aca="false">'INST. HIDRO'!E21</f>
        <v>0</v>
      </c>
      <c r="Y21" s="93" t="n">
        <f aca="false">'INST. HIDRO'!E22</f>
        <v>0</v>
      </c>
      <c r="Z21" s="93" t="n">
        <f aca="false">'INST. HIDRO'!E23</f>
        <v>0</v>
      </c>
      <c r="AA21" s="93" t="n">
        <f aca="false">'INST. HIDRO'!E24</f>
        <v>0</v>
      </c>
      <c r="AB21" s="93" t="n">
        <f aca="false">'INST. HIDRO'!E25</f>
        <v>0</v>
      </c>
      <c r="AC21" s="93" t="n">
        <f aca="false">'INST. HIDRO'!E26</f>
        <v>0</v>
      </c>
      <c r="AD21" s="93" t="n">
        <f aca="false">'INST. HIDRO'!E27</f>
        <v>0</v>
      </c>
      <c r="AE21" s="93" t="n">
        <f aca="false">'INST. HIDRO'!E28</f>
        <v>0</v>
      </c>
      <c r="AF21" s="93" t="n">
        <f aca="false">'INST. HIDRO'!E29</f>
        <v>0</v>
      </c>
      <c r="AG21" s="93" t="n">
        <f aca="false">'INST. HIDRO'!E30</f>
        <v>640.964142183813</v>
      </c>
      <c r="AH21" s="93" t="n">
        <f aca="false">'INST. HIDRO'!E31</f>
        <v>213.856656135053</v>
      </c>
      <c r="AI21" s="93" t="n">
        <f aca="false">'INST. HIDRO'!E32</f>
        <v>0</v>
      </c>
      <c r="AJ21" s="93" t="n">
        <f aca="false">'INST. HIDRO'!E33</f>
        <v>53.3127074784268</v>
      </c>
      <c r="AK21" s="93" t="n">
        <f aca="false">'INST. HIDRO'!E34</f>
        <v>308.971372886337</v>
      </c>
      <c r="AL21" s="93" t="n">
        <f aca="false">'INST. HIDRO'!E35</f>
        <v>340.474336396316</v>
      </c>
      <c r="AM21" s="93" t="n">
        <f aca="false">'INST. HIDRO'!E36</f>
        <v>351.985034601886</v>
      </c>
      <c r="AN21" s="93" t="n">
        <f aca="false">'INST. HIDRO'!E37</f>
        <v>360.466601700726</v>
      </c>
      <c r="AO21" s="93" t="n">
        <f aca="false">'INST. HIDRO'!E38</f>
        <v>352.590860823232</v>
      </c>
      <c r="AP21" s="93" t="n">
        <f aca="false">'INST. HIDRO'!E39</f>
        <v>526.462986349464</v>
      </c>
      <c r="AQ21" s="93" t="n">
        <f aca="false">'INST. HIDRO'!E40</f>
        <v>495.565849060831</v>
      </c>
      <c r="AR21" s="93" t="n">
        <f aca="false">'INST. HIDRO'!E41</f>
        <v>297.460674680767</v>
      </c>
      <c r="AS21" s="93" t="n">
        <f aca="false">'INST. HIDRO'!E42</f>
        <v>370.765647463605</v>
      </c>
      <c r="AT21" s="93" t="n">
        <f aca="false">'INST. HIDRO'!E43</f>
        <v>339.262683953625</v>
      </c>
      <c r="AU21" s="93" t="n">
        <f aca="false">'INST. HIDRO'!E44</f>
        <v>217.491613463127</v>
      </c>
      <c r="AV21" s="93" t="n">
        <f aca="false">'INST. HIDRO'!E45</f>
        <v>244.753793423687</v>
      </c>
      <c r="AW21" s="93" t="n">
        <f aca="false">'INST. HIDRO'!E46</f>
        <v>491.32506551141</v>
      </c>
      <c r="AX21" s="93" t="n">
        <f aca="false">'INST. HIDRO'!E47</f>
        <v>190.835259723914</v>
      </c>
      <c r="AY21" s="93" t="n">
        <f aca="false">'INST. HIDRO'!E48</f>
        <v>165.390558427391</v>
      </c>
      <c r="AZ21" s="93" t="n">
        <f aca="false">'INST. HIDRO'!E49</f>
        <v>96.3263691939758</v>
      </c>
      <c r="BA21" s="93" t="n">
        <f aca="false">'INST. HIDRO'!E50</f>
        <v>0</v>
      </c>
      <c r="BB21" s="93" t="n">
        <f aca="false">'INST. HIDRO'!E51</f>
        <v>0</v>
      </c>
      <c r="BC21" s="93" t="n">
        <f aca="false">'INST. HIDRO'!E52</f>
        <v>0</v>
      </c>
      <c r="BD21" s="93" t="n">
        <f aca="false">'INST. HIDRO'!E53</f>
        <v>0</v>
      </c>
      <c r="BE21" s="93" t="n">
        <f aca="false">'INST. HIDRO'!E54</f>
        <v>0</v>
      </c>
      <c r="BF21" s="93" t="n">
        <f aca="false">'INST. HIDRO'!E55</f>
        <v>0</v>
      </c>
      <c r="BG21" s="93" t="n">
        <f aca="false">'INST. HIDRO'!E56</f>
        <v>0</v>
      </c>
      <c r="BH21" s="93" t="n">
        <f aca="false">'INST. HIDRO'!E57</f>
        <v>0</v>
      </c>
      <c r="BI21" s="93" t="n">
        <f aca="false">'INST. HIDRO'!E58</f>
        <v>0</v>
      </c>
      <c r="BJ21" s="93" t="n">
        <f aca="false">'INST. HIDRO'!E59</f>
        <v>0</v>
      </c>
      <c r="BK21" s="93" t="n">
        <f aca="false">'INST. HIDRO'!E60</f>
        <v>0</v>
      </c>
      <c r="BL21" s="93" t="n">
        <f aca="false">'INST. HIDRO'!E61</f>
        <v>0</v>
      </c>
      <c r="BM21" s="93" t="n">
        <f aca="false">'INST. HIDRO'!E62</f>
        <v>0</v>
      </c>
      <c r="BN21" s="93" t="n">
        <f aca="false">'INST. HIDRO'!E63</f>
        <v>0</v>
      </c>
      <c r="BO21" s="93" t="n">
        <f aca="false">'INST. HIDRO'!E64</f>
        <v>0</v>
      </c>
      <c r="BP21" s="93" t="n">
        <f aca="false">'INST. HIDRO'!E65</f>
        <v>0</v>
      </c>
      <c r="BQ21" s="93" t="n">
        <f aca="false">'INST. HIDRO'!E66</f>
        <v>0</v>
      </c>
      <c r="BR21" s="93" t="n">
        <f aca="false">'INST. HIDRO'!E67</f>
        <v>0</v>
      </c>
      <c r="BS21" s="93" t="n">
        <f aca="false">'INST. HIDRO'!E68</f>
        <v>0</v>
      </c>
      <c r="BT21" s="93" t="n">
        <f aca="false">'INST. HIDRO'!E69</f>
        <v>0</v>
      </c>
      <c r="BU21" s="93" t="n">
        <f aca="false">'INST. HIDRO'!E70</f>
        <v>0</v>
      </c>
      <c r="BV21" s="93" t="n">
        <f aca="false">'INST. HIDRO'!E71</f>
        <v>0</v>
      </c>
      <c r="BW21" s="93" t="n">
        <f aca="false">'INST. HIDRO'!E72</f>
        <v>0</v>
      </c>
      <c r="BX21" s="93" t="n">
        <f aca="false">'INST. HIDRO'!E73</f>
        <v>0</v>
      </c>
      <c r="BY21" s="93" t="n">
        <f aca="false">'INST. HIDRO'!E74</f>
        <v>0</v>
      </c>
      <c r="BZ21" s="93" t="n">
        <f aca="false">'INST. HIDRO'!E75</f>
        <v>0</v>
      </c>
      <c r="CA21" s="93" t="n">
        <f aca="false">'INST. HIDRO'!E76</f>
        <v>0</v>
      </c>
    </row>
    <row r="22" customFormat="false" ht="15" hidden="false" customHeight="false" outlineLevel="0" collapsed="false">
      <c r="A22" s="55" t="s">
        <v>305</v>
      </c>
      <c r="B22" s="55" t="s">
        <v>328</v>
      </c>
      <c r="C22" s="55" t="s">
        <v>329</v>
      </c>
      <c r="E22" s="45" t="n">
        <f aca="false">SUM(H22:CA22)</f>
        <v>0</v>
      </c>
      <c r="F22" s="45" t="str">
        <f aca="false">IF(D22="","",D22-E22)</f>
        <v/>
      </c>
    </row>
    <row r="23" customFormat="false" ht="15" hidden="false" customHeight="false" outlineLevel="0" collapsed="false">
      <c r="A23" s="55" t="s">
        <v>305</v>
      </c>
      <c r="B23" s="55" t="s">
        <v>330</v>
      </c>
      <c r="C23" s="55" t="s">
        <v>220</v>
      </c>
      <c r="D23" s="56" t="n">
        <f aca="false">LOUÇAS!$K$5</f>
        <v>1685.381265</v>
      </c>
      <c r="E23" s="45" t="n">
        <f aca="false">SUM(H23:CA23)</f>
        <v>1684.71479210333</v>
      </c>
      <c r="F23" s="45" t="n">
        <f aca="false">IF(D23="","",D23-E23)</f>
        <v>0.666472896665709</v>
      </c>
      <c r="H23" s="93" t="n">
        <f aca="false">LOUÇAS!E5</f>
        <v>0</v>
      </c>
      <c r="I23" s="93" t="n">
        <f aca="false">LOUÇAS!E6</f>
        <v>0</v>
      </c>
      <c r="J23" s="93" t="n">
        <f aca="false">LOUÇAS!E7</f>
        <v>0</v>
      </c>
      <c r="K23" s="93" t="n">
        <f aca="false">LOUÇAS!E8</f>
        <v>0</v>
      </c>
      <c r="L23" s="93" t="n">
        <f aca="false">LOUÇAS!E9</f>
        <v>0</v>
      </c>
      <c r="M23" s="93" t="n">
        <f aca="false">LOUÇAS!E10</f>
        <v>0</v>
      </c>
      <c r="N23" s="93" t="n">
        <f aca="false">LOUÇAS!E11</f>
        <v>0</v>
      </c>
      <c r="O23" s="93" t="n">
        <f aca="false">LOUÇAS!E12</f>
        <v>0</v>
      </c>
      <c r="P23" s="93" t="n">
        <f aca="false">LOUÇAS!E13</f>
        <v>0</v>
      </c>
      <c r="Q23" s="93" t="n">
        <f aca="false">LOUÇAS!E14</f>
        <v>0</v>
      </c>
      <c r="R23" s="93" t="n">
        <f aca="false">LOUÇAS!E15</f>
        <v>0</v>
      </c>
      <c r="S23" s="93" t="n">
        <f aca="false">LOUÇAS!E16</f>
        <v>0</v>
      </c>
      <c r="T23" s="93" t="n">
        <f aca="false">LOUÇAS!E17</f>
        <v>0</v>
      </c>
      <c r="U23" s="93" t="n">
        <f aca="false">LOUÇAS!E18</f>
        <v>0</v>
      </c>
      <c r="V23" s="93" t="n">
        <f aca="false">LOUÇAS!E19</f>
        <v>0</v>
      </c>
      <c r="W23" s="93" t="n">
        <f aca="false">LOUÇAS!E20</f>
        <v>0</v>
      </c>
      <c r="X23" s="93" t="n">
        <f aca="false">LOUÇAS!E21</f>
        <v>0</v>
      </c>
      <c r="Y23" s="93" t="n">
        <f aca="false">LOUÇAS!E22</f>
        <v>0</v>
      </c>
      <c r="Z23" s="93" t="n">
        <f aca="false">LOUÇAS!E23</f>
        <v>0</v>
      </c>
      <c r="AA23" s="93" t="n">
        <f aca="false">LOUÇAS!E24</f>
        <v>0</v>
      </c>
      <c r="AB23" s="93" t="n">
        <f aca="false">LOUÇAS!E25</f>
        <v>0</v>
      </c>
      <c r="AC23" s="93" t="n">
        <f aca="false">LOUÇAS!E26</f>
        <v>0</v>
      </c>
      <c r="AD23" s="93" t="n">
        <f aca="false">LOUÇAS!E27</f>
        <v>0</v>
      </c>
      <c r="AE23" s="93" t="n">
        <f aca="false">LOUÇAS!E28</f>
        <v>0</v>
      </c>
      <c r="AF23" s="93" t="n">
        <f aca="false">LOUÇAS!E29</f>
        <v>0</v>
      </c>
      <c r="AG23" s="93" t="n">
        <f aca="false">LOUÇAS!E30</f>
        <v>0</v>
      </c>
      <c r="AH23" s="93" t="n">
        <f aca="false">LOUÇAS!E31</f>
        <v>0</v>
      </c>
      <c r="AI23" s="93" t="n">
        <f aca="false">LOUÇAS!E32</f>
        <v>0</v>
      </c>
      <c r="AJ23" s="93" t="n">
        <f aca="false">LOUÇAS!E33</f>
        <v>0</v>
      </c>
      <c r="AK23" s="93" t="n">
        <f aca="false">LOUÇAS!E34</f>
        <v>0</v>
      </c>
      <c r="AL23" s="93" t="n">
        <f aca="false">LOUÇAS!E35</f>
        <v>0</v>
      </c>
      <c r="AM23" s="93" t="n">
        <f aca="false">LOUÇAS!E36</f>
        <v>0</v>
      </c>
      <c r="AN23" s="93" t="n">
        <f aca="false">LOUÇAS!E37</f>
        <v>0</v>
      </c>
      <c r="AO23" s="93" t="n">
        <f aca="false">LOUÇAS!E38</f>
        <v>0</v>
      </c>
      <c r="AP23" s="93" t="n">
        <f aca="false">LOUÇAS!E39</f>
        <v>32.346524008384</v>
      </c>
      <c r="AQ23" s="93" t="n">
        <f aca="false">LOUÇAS!E40</f>
        <v>60.144318078089</v>
      </c>
      <c r="AR23" s="93" t="n">
        <f aca="false">LOUÇAS!E41</f>
        <v>96.0287431498901</v>
      </c>
      <c r="AS23" s="93" t="n">
        <f aca="false">LOUÇAS!E42</f>
        <v>96.5341575875211</v>
      </c>
      <c r="AT23" s="93" t="n">
        <f aca="false">LOUÇAS!E43</f>
        <v>101.723079147199</v>
      </c>
      <c r="AU23" s="93" t="n">
        <f aca="false">LOUÇAS!E44</f>
        <v>163.990137863339</v>
      </c>
      <c r="AV23" s="93" t="n">
        <f aca="false">LOUÇAS!E45</f>
        <v>149.804839313829</v>
      </c>
      <c r="AW23" s="93" t="n">
        <f aca="false">LOUÇAS!E46</f>
        <v>163.215169058971</v>
      </c>
      <c r="AX23" s="93" t="n">
        <f aca="false">LOUÇAS!E47</f>
        <v>154.084014885771</v>
      </c>
      <c r="AY23" s="93" t="n">
        <f aca="false">LOUÇAS!E48</f>
        <v>147.985347338357</v>
      </c>
      <c r="AZ23" s="93" t="n">
        <f aca="false">LOUÇAS!E49</f>
        <v>146.098466771201</v>
      </c>
      <c r="BA23" s="93" t="n">
        <f aca="false">LOUÇAS!E50</f>
        <v>108.765186978191</v>
      </c>
      <c r="BB23" s="93" t="n">
        <f aca="false">LOUÇAS!E51</f>
        <v>92.2886763114208</v>
      </c>
      <c r="BC23" s="93" t="n">
        <f aca="false">LOUÇAS!E52</f>
        <v>65.2321567502411</v>
      </c>
      <c r="BD23" s="93" t="n">
        <f aca="false">LOUÇAS!E53</f>
        <v>42.7917557194247</v>
      </c>
      <c r="BE23" s="93" t="n">
        <f aca="false">LOUÇAS!E54</f>
        <v>54.7869250392005</v>
      </c>
      <c r="BF23" s="93" t="n">
        <f aca="false">LOUÇAS!E55</f>
        <v>8.89529410230556</v>
      </c>
      <c r="BG23" s="93" t="n">
        <f aca="false">LOUÇAS!E56</f>
        <v>0</v>
      </c>
      <c r="BH23" s="93" t="n">
        <f aca="false">LOUÇAS!E57</f>
        <v>0</v>
      </c>
      <c r="BI23" s="93" t="n">
        <f aca="false">LOUÇAS!E58</f>
        <v>0</v>
      </c>
      <c r="BJ23" s="93" t="n">
        <f aca="false">LOUÇAS!E59</f>
        <v>0</v>
      </c>
      <c r="BK23" s="93" t="n">
        <f aca="false">LOUÇAS!E60</f>
        <v>0</v>
      </c>
      <c r="BL23" s="93" t="n">
        <f aca="false">LOUÇAS!E61</f>
        <v>0</v>
      </c>
      <c r="BM23" s="93" t="n">
        <f aca="false">LOUÇAS!E62</f>
        <v>0</v>
      </c>
      <c r="BN23" s="93" t="n">
        <f aca="false">LOUÇAS!E63</f>
        <v>0</v>
      </c>
      <c r="BO23" s="93" t="n">
        <f aca="false">LOUÇAS!E64</f>
        <v>0</v>
      </c>
      <c r="BP23" s="93" t="n">
        <f aca="false">LOUÇAS!E65</f>
        <v>0</v>
      </c>
      <c r="BQ23" s="93" t="n">
        <f aca="false">LOUÇAS!E66</f>
        <v>0</v>
      </c>
      <c r="BR23" s="93" t="n">
        <f aca="false">LOUÇAS!E67</f>
        <v>0</v>
      </c>
      <c r="BS23" s="93" t="n">
        <f aca="false">LOUÇAS!E68</f>
        <v>0</v>
      </c>
      <c r="BT23" s="93" t="n">
        <f aca="false">LOUÇAS!E69</f>
        <v>0</v>
      </c>
      <c r="BU23" s="93" t="n">
        <f aca="false">LOUÇAS!E70</f>
        <v>0</v>
      </c>
      <c r="BV23" s="93" t="n">
        <f aca="false">LOUÇAS!E71</f>
        <v>0</v>
      </c>
      <c r="BW23" s="93" t="n">
        <f aca="false">LOUÇAS!E72</f>
        <v>0</v>
      </c>
      <c r="BX23" s="93" t="n">
        <f aca="false">LOUÇAS!E73</f>
        <v>0</v>
      </c>
      <c r="BY23" s="93" t="n">
        <f aca="false">LOUÇAS!E74</f>
        <v>0</v>
      </c>
      <c r="BZ23" s="93" t="n">
        <f aca="false">LOUÇAS!E75</f>
        <v>0</v>
      </c>
      <c r="CA23" s="93" t="n">
        <f aca="false">LOUÇAS!E76</f>
        <v>0</v>
      </c>
    </row>
    <row r="24" customFormat="false" ht="15" hidden="false" customHeight="false" outlineLevel="0" collapsed="false">
      <c r="A24" s="55" t="s">
        <v>305</v>
      </c>
      <c r="B24" s="55" t="s">
        <v>331</v>
      </c>
      <c r="C24" s="55" t="s">
        <v>231</v>
      </c>
      <c r="D24" s="56" t="n">
        <f aca="false">LIMPEZA!$K$5</f>
        <v>729.647598</v>
      </c>
      <c r="E24" s="45" t="n">
        <f aca="false">SUM(H24:CA24)</f>
        <v>729.359063673505</v>
      </c>
      <c r="F24" s="45" t="n">
        <f aca="false">IF(D24="","",D24-E24)</f>
        <v>0.288534326495096</v>
      </c>
      <c r="H24" s="93" t="n">
        <f aca="false">LIMPEZA!E5</f>
        <v>0</v>
      </c>
      <c r="I24" s="93" t="n">
        <f aca="false">LIMPEZA!E6</f>
        <v>0</v>
      </c>
      <c r="J24" s="93" t="n">
        <f aca="false">LIMPEZA!E7</f>
        <v>0</v>
      </c>
      <c r="K24" s="93" t="n">
        <f aca="false">LIMPEZA!E8</f>
        <v>0</v>
      </c>
      <c r="L24" s="93" t="n">
        <f aca="false">LIMPEZA!E9</f>
        <v>0</v>
      </c>
      <c r="M24" s="93" t="n">
        <f aca="false">LIMPEZA!E10</f>
        <v>0</v>
      </c>
      <c r="N24" s="93" t="n">
        <f aca="false">LIMPEZA!E11</f>
        <v>0</v>
      </c>
      <c r="O24" s="93" t="n">
        <f aca="false">LIMPEZA!E12</f>
        <v>0</v>
      </c>
      <c r="P24" s="93" t="n">
        <f aca="false">LIMPEZA!E13</f>
        <v>0</v>
      </c>
      <c r="Q24" s="93" t="n">
        <f aca="false">LIMPEZA!E14</f>
        <v>0</v>
      </c>
      <c r="R24" s="93" t="n">
        <f aca="false">LIMPEZA!E15</f>
        <v>0</v>
      </c>
      <c r="S24" s="93" t="n">
        <f aca="false">LIMPEZA!E16</f>
        <v>0</v>
      </c>
      <c r="T24" s="93" t="n">
        <f aca="false">LIMPEZA!E17</f>
        <v>0</v>
      </c>
      <c r="U24" s="93" t="n">
        <f aca="false">LIMPEZA!E18</f>
        <v>0</v>
      </c>
      <c r="V24" s="93" t="n">
        <f aca="false">LIMPEZA!E19</f>
        <v>0</v>
      </c>
      <c r="W24" s="93" t="n">
        <f aca="false">LIMPEZA!E20</f>
        <v>0</v>
      </c>
      <c r="X24" s="93" t="n">
        <f aca="false">LIMPEZA!E21</f>
        <v>0</v>
      </c>
      <c r="Y24" s="93" t="n">
        <f aca="false">LIMPEZA!E22</f>
        <v>0</v>
      </c>
      <c r="Z24" s="93" t="n">
        <f aca="false">LIMPEZA!E23</f>
        <v>0</v>
      </c>
      <c r="AA24" s="93" t="n">
        <f aca="false">LIMPEZA!E24</f>
        <v>0</v>
      </c>
      <c r="AB24" s="93" t="n">
        <f aca="false">LIMPEZA!E25</f>
        <v>0</v>
      </c>
      <c r="AC24" s="93" t="n">
        <f aca="false">LIMPEZA!E26</f>
        <v>0</v>
      </c>
      <c r="AD24" s="93" t="n">
        <f aca="false">LIMPEZA!E27</f>
        <v>0</v>
      </c>
      <c r="AE24" s="93" t="n">
        <f aca="false">LIMPEZA!E28</f>
        <v>0</v>
      </c>
      <c r="AF24" s="93" t="n">
        <f aca="false">LIMPEZA!E29</f>
        <v>0</v>
      </c>
      <c r="AG24" s="93" t="n">
        <f aca="false">LIMPEZA!E30</f>
        <v>0</v>
      </c>
      <c r="AH24" s="93" t="n">
        <f aca="false">LIMPEZA!E31</f>
        <v>0</v>
      </c>
      <c r="AI24" s="93" t="n">
        <f aca="false">LIMPEZA!E32</f>
        <v>0</v>
      </c>
      <c r="AJ24" s="93" t="n">
        <f aca="false">LIMPEZA!E33</f>
        <v>0</v>
      </c>
      <c r="AK24" s="93" t="n">
        <f aca="false">LIMPEZA!E34</f>
        <v>0</v>
      </c>
      <c r="AL24" s="93" t="n">
        <f aca="false">LIMPEZA!E35</f>
        <v>0</v>
      </c>
      <c r="AM24" s="93" t="n">
        <f aca="false">LIMPEZA!E36</f>
        <v>0</v>
      </c>
      <c r="AN24" s="93" t="n">
        <f aca="false">LIMPEZA!E37</f>
        <v>0</v>
      </c>
      <c r="AO24" s="93" t="n">
        <f aca="false">LIMPEZA!E38</f>
        <v>0</v>
      </c>
      <c r="AP24" s="93" t="n">
        <f aca="false">LIMPEZA!E39</f>
        <v>0</v>
      </c>
      <c r="AQ24" s="93" t="n">
        <f aca="false">LIMPEZA!E40</f>
        <v>0</v>
      </c>
      <c r="AR24" s="93" t="n">
        <f aca="false">LIMPEZA!E41</f>
        <v>0</v>
      </c>
      <c r="AS24" s="93" t="n">
        <f aca="false">LIMPEZA!E42</f>
        <v>0</v>
      </c>
      <c r="AT24" s="93" t="n">
        <f aca="false">LIMPEZA!E43</f>
        <v>0</v>
      </c>
      <c r="AU24" s="93" t="n">
        <f aca="false">LIMPEZA!E44</f>
        <v>14.886368082981</v>
      </c>
      <c r="AV24" s="93" t="n">
        <f aca="false">LIMPEZA!E45</f>
        <v>28.8970674551984</v>
      </c>
      <c r="AW24" s="93" t="n">
        <f aca="false">LIMPEZA!E46</f>
        <v>52.1752606829971</v>
      </c>
      <c r="AX24" s="93" t="n">
        <f aca="false">LIMPEZA!E47</f>
        <v>67.7183802990508</v>
      </c>
      <c r="AY24" s="93" t="n">
        <f aca="false">LIMPEZA!E48</f>
        <v>64.0697606708692</v>
      </c>
      <c r="AZ24" s="93" t="n">
        <f aca="false">LIMPEZA!E49</f>
        <v>66.8427115882872</v>
      </c>
      <c r="BA24" s="93" t="n">
        <f aca="false">LIMPEZA!E50</f>
        <v>62.9022023898511</v>
      </c>
      <c r="BB24" s="93" t="n">
        <f aca="false">LIMPEZA!E51</f>
        <v>63.1211195675419</v>
      </c>
      <c r="BC24" s="93" t="n">
        <f aca="false">LIMPEZA!E52</f>
        <v>51.3725643647972</v>
      </c>
      <c r="BD24" s="93" t="n">
        <f aca="false">LIMPEZA!E53</f>
        <v>48.8915030176336</v>
      </c>
      <c r="BE24" s="93" t="n">
        <f aca="false">LIMPEZA!E54</f>
        <v>74.9426471628505</v>
      </c>
      <c r="BF24" s="93" t="n">
        <f aca="false">LIMPEZA!E55</f>
        <v>70.1264692536506</v>
      </c>
      <c r="BG24" s="93" t="n">
        <f aca="false">LIMPEZA!E56</f>
        <v>57.8671073029604</v>
      </c>
      <c r="BH24" s="93" t="n">
        <f aca="false">LIMPEZA!E57</f>
        <v>5.54590183483609</v>
      </c>
      <c r="BI24" s="93" t="n">
        <f aca="false">LIMPEZA!E58</f>
        <v>0</v>
      </c>
      <c r="BJ24" s="93" t="n">
        <f aca="false">LIMPEZA!E59</f>
        <v>0</v>
      </c>
      <c r="BK24" s="93" t="n">
        <f aca="false">LIMPEZA!E60</f>
        <v>0</v>
      </c>
      <c r="BL24" s="93" t="n">
        <f aca="false">LIMPEZA!E61</f>
        <v>0</v>
      </c>
      <c r="BM24" s="93" t="n">
        <f aca="false">LIMPEZA!E62</f>
        <v>0</v>
      </c>
      <c r="BN24" s="93" t="n">
        <f aca="false">LIMPEZA!E63</f>
        <v>0</v>
      </c>
      <c r="BO24" s="93" t="n">
        <f aca="false">LIMPEZA!E64</f>
        <v>0</v>
      </c>
      <c r="BP24" s="93" t="n">
        <f aca="false">LIMPEZA!E65</f>
        <v>0</v>
      </c>
      <c r="BQ24" s="93" t="n">
        <f aca="false">LIMPEZA!E66</f>
        <v>0</v>
      </c>
      <c r="BR24" s="93" t="n">
        <f aca="false">LIMPEZA!E67</f>
        <v>0</v>
      </c>
      <c r="BS24" s="93" t="n">
        <f aca="false">LIMPEZA!E68</f>
        <v>0</v>
      </c>
      <c r="BT24" s="93" t="n">
        <f aca="false">LIMPEZA!E69</f>
        <v>0</v>
      </c>
      <c r="BU24" s="93" t="n">
        <f aca="false">LIMPEZA!E70</f>
        <v>0</v>
      </c>
      <c r="BV24" s="93" t="n">
        <f aca="false">LIMPEZA!E71</f>
        <v>0</v>
      </c>
      <c r="BW24" s="93" t="n">
        <f aca="false">LIMPEZA!E72</f>
        <v>0</v>
      </c>
      <c r="BX24" s="93" t="n">
        <f aca="false">LIMPEZA!E73</f>
        <v>0</v>
      </c>
      <c r="BY24" s="93" t="n">
        <f aca="false">LIMPEZA!E74</f>
        <v>0</v>
      </c>
      <c r="BZ24" s="93" t="n">
        <f aca="false">LIMPEZA!E75</f>
        <v>0</v>
      </c>
      <c r="CA24" s="93" t="n">
        <f aca="false">LIMPEZA!E76</f>
        <v>0</v>
      </c>
    </row>
    <row r="25" customFormat="false" ht="15" hidden="false" customHeight="false" outlineLevel="0" collapsed="false">
      <c r="A25" s="55" t="s">
        <v>305</v>
      </c>
      <c r="B25" s="55" t="s">
        <v>332</v>
      </c>
      <c r="C25" s="55" t="s">
        <v>197</v>
      </c>
      <c r="D25" s="56" t="n">
        <f aca="false">MARCENARIA!$K$5</f>
        <v>2447.072966</v>
      </c>
      <c r="E25" s="45" t="n">
        <f aca="false">SUM(H25:CA25)</f>
        <v>2446.10528714782</v>
      </c>
      <c r="F25" s="45" t="n">
        <f aca="false">IF(D25="","",D25-E25)</f>
        <v>0.967678852180598</v>
      </c>
      <c r="H25" s="93" t="n">
        <f aca="false">MARCENARIA!E5</f>
        <v>0</v>
      </c>
      <c r="I25" s="93" t="n">
        <f aca="false">MARCENARIA!E6</f>
        <v>0</v>
      </c>
      <c r="J25" s="93" t="n">
        <f aca="false">MARCENARIA!E7</f>
        <v>0</v>
      </c>
      <c r="K25" s="93" t="n">
        <f aca="false">MARCENARIA!E8</f>
        <v>0</v>
      </c>
      <c r="L25" s="93" t="n">
        <f aca="false">MARCENARIA!E9</f>
        <v>0</v>
      </c>
      <c r="M25" s="93" t="n">
        <f aca="false">MARCENARIA!E10</f>
        <v>0</v>
      </c>
      <c r="N25" s="93" t="n">
        <f aca="false">MARCENARIA!E11</f>
        <v>0</v>
      </c>
      <c r="O25" s="93" t="n">
        <f aca="false">MARCENARIA!E12</f>
        <v>0</v>
      </c>
      <c r="P25" s="93" t="n">
        <f aca="false">MARCENARIA!E13</f>
        <v>0</v>
      </c>
      <c r="Q25" s="93" t="n">
        <f aca="false">MARCENARIA!E14</f>
        <v>0</v>
      </c>
      <c r="R25" s="93" t="n">
        <f aca="false">MARCENARIA!E15</f>
        <v>0</v>
      </c>
      <c r="S25" s="93" t="n">
        <f aca="false">MARCENARIA!E16</f>
        <v>0</v>
      </c>
      <c r="T25" s="93" t="n">
        <f aca="false">MARCENARIA!E17</f>
        <v>0</v>
      </c>
      <c r="U25" s="93" t="n">
        <f aca="false">MARCENARIA!E18</f>
        <v>0</v>
      </c>
      <c r="V25" s="93" t="n">
        <f aca="false">MARCENARIA!E19</f>
        <v>0</v>
      </c>
      <c r="W25" s="93" t="n">
        <f aca="false">MARCENARIA!E20</f>
        <v>0</v>
      </c>
      <c r="X25" s="93" t="n">
        <f aca="false">MARCENARIA!E21</f>
        <v>0</v>
      </c>
      <c r="Y25" s="93" t="n">
        <f aca="false">MARCENARIA!E22</f>
        <v>0</v>
      </c>
      <c r="Z25" s="93" t="n">
        <f aca="false">MARCENARIA!E23</f>
        <v>0</v>
      </c>
      <c r="AA25" s="93" t="n">
        <f aca="false">MARCENARIA!E24</f>
        <v>0</v>
      </c>
      <c r="AB25" s="93" t="n">
        <f aca="false">MARCENARIA!E25</f>
        <v>0</v>
      </c>
      <c r="AC25" s="93" t="n">
        <f aca="false">MARCENARIA!E26</f>
        <v>0</v>
      </c>
      <c r="AD25" s="93" t="n">
        <f aca="false">MARCENARIA!E27</f>
        <v>0</v>
      </c>
      <c r="AE25" s="93" t="n">
        <f aca="false">MARCENARIA!E28</f>
        <v>0</v>
      </c>
      <c r="AF25" s="93" t="n">
        <f aca="false">MARCENARIA!E29</f>
        <v>0</v>
      </c>
      <c r="AG25" s="93" t="n">
        <f aca="false">MARCENARIA!E30</f>
        <v>0</v>
      </c>
      <c r="AH25" s="93" t="n">
        <f aca="false">MARCENARIA!E31</f>
        <v>0</v>
      </c>
      <c r="AI25" s="93" t="n">
        <f aca="false">MARCENARIA!E32</f>
        <v>0</v>
      </c>
      <c r="AJ25" s="93" t="n">
        <f aca="false">MARCENARIA!E33</f>
        <v>0</v>
      </c>
      <c r="AK25" s="93" t="n">
        <f aca="false">MARCENARIA!E34</f>
        <v>0</v>
      </c>
      <c r="AL25" s="93" t="n">
        <f aca="false">MARCENARIA!E35</f>
        <v>0</v>
      </c>
      <c r="AM25" s="93" t="n">
        <f aca="false">MARCENARIA!E36</f>
        <v>0</v>
      </c>
      <c r="AN25" s="93" t="n">
        <f aca="false">MARCENARIA!E37</f>
        <v>0</v>
      </c>
      <c r="AO25" s="93" t="n">
        <f aca="false">MARCENARIA!E38</f>
        <v>0</v>
      </c>
      <c r="AP25" s="93" t="n">
        <f aca="false">MARCENARIA!E39</f>
        <v>0</v>
      </c>
      <c r="AQ25" s="93" t="n">
        <f aca="false">MARCENARIA!E40</f>
        <v>0</v>
      </c>
      <c r="AR25" s="93" t="n">
        <f aca="false">MARCENARIA!E41</f>
        <v>0</v>
      </c>
      <c r="AS25" s="93" t="n">
        <f aca="false">MARCENARIA!E42</f>
        <v>0</v>
      </c>
      <c r="AT25" s="93" t="n">
        <f aca="false">MARCENARIA!E43</f>
        <v>161.687559480471</v>
      </c>
      <c r="AU25" s="93" t="n">
        <f aca="false">MARCENARIA!E44</f>
        <v>216.724928441297</v>
      </c>
      <c r="AV25" s="93" t="n">
        <f aca="false">MARCENARIA!E45</f>
        <v>184.436338650946</v>
      </c>
      <c r="AW25" s="93" t="n">
        <f aca="false">MARCENARIA!E46</f>
        <v>237.272212853339</v>
      </c>
      <c r="AX25" s="93" t="n">
        <f aca="false">MARCENARIA!E47</f>
        <v>217.703370556156</v>
      </c>
      <c r="AY25" s="93" t="n">
        <f aca="false">MARCENARIA!E48</f>
        <v>218.681812671015</v>
      </c>
      <c r="AZ25" s="93" t="n">
        <f aca="false">MARCENARIA!E49</f>
        <v>222.350970601737</v>
      </c>
      <c r="BA25" s="93" t="n">
        <f aca="false">MARCENARIA!E50</f>
        <v>185.904001823234</v>
      </c>
      <c r="BB25" s="93" t="n">
        <f aca="false">MARCENARIA!E51</f>
        <v>211.832717867001</v>
      </c>
      <c r="BC25" s="93" t="n">
        <f aca="false">MARCENARIA!E52</f>
        <v>398.225940747665</v>
      </c>
      <c r="BD25" s="93" t="n">
        <f aca="false">MARCENARIA!E53</f>
        <v>96.8657693710535</v>
      </c>
      <c r="BE25" s="93" t="n">
        <f aca="false">MARCENARIA!E54</f>
        <v>94.4196640839058</v>
      </c>
      <c r="BF25" s="93" t="n">
        <f aca="false">MARCENARIA!E55</f>
        <v>0</v>
      </c>
      <c r="BG25" s="93" t="n">
        <f aca="false">MARCENARIA!E56</f>
        <v>0</v>
      </c>
      <c r="BH25" s="93" t="n">
        <f aca="false">MARCENARIA!E57</f>
        <v>0</v>
      </c>
      <c r="BI25" s="93" t="n">
        <f aca="false">MARCENARIA!E58</f>
        <v>0</v>
      </c>
      <c r="BJ25" s="93" t="n">
        <f aca="false">MARCENARIA!E59</f>
        <v>0</v>
      </c>
      <c r="BK25" s="93" t="n">
        <f aca="false">MARCENARIA!E60</f>
        <v>0</v>
      </c>
      <c r="BL25" s="93" t="n">
        <f aca="false">MARCENARIA!E61</f>
        <v>0</v>
      </c>
      <c r="BM25" s="93" t="n">
        <f aca="false">MARCENARIA!E62</f>
        <v>0</v>
      </c>
      <c r="BN25" s="93" t="n">
        <f aca="false">MARCENARIA!E63</f>
        <v>0</v>
      </c>
      <c r="BO25" s="93" t="n">
        <f aca="false">MARCENARIA!E64</f>
        <v>0</v>
      </c>
      <c r="BP25" s="93" t="n">
        <f aca="false">MARCENARIA!E65</f>
        <v>0</v>
      </c>
      <c r="BQ25" s="93" t="n">
        <f aca="false">MARCENARIA!E66</f>
        <v>0</v>
      </c>
      <c r="BR25" s="93" t="n">
        <f aca="false">MARCENARIA!E67</f>
        <v>0</v>
      </c>
      <c r="BS25" s="93" t="n">
        <f aca="false">MARCENARIA!E68</f>
        <v>0</v>
      </c>
      <c r="BT25" s="93" t="n">
        <f aca="false">MARCENARIA!E69</f>
        <v>0</v>
      </c>
      <c r="BU25" s="93" t="n">
        <f aca="false">MARCENARIA!E70</f>
        <v>0</v>
      </c>
      <c r="BV25" s="93" t="n">
        <f aca="false">MARCENARIA!E71</f>
        <v>0</v>
      </c>
      <c r="BW25" s="93" t="n">
        <f aca="false">MARCENARIA!E72</f>
        <v>0</v>
      </c>
      <c r="BX25" s="93" t="n">
        <f aca="false">MARCENARIA!E73</f>
        <v>0</v>
      </c>
      <c r="BY25" s="93" t="n">
        <f aca="false">MARCENARIA!E74</f>
        <v>0</v>
      </c>
      <c r="BZ25" s="93" t="n">
        <f aca="false">MARCENARIA!E75</f>
        <v>0</v>
      </c>
      <c r="CA25" s="93" t="n">
        <f aca="false">MARCENARIA!E76</f>
        <v>0</v>
      </c>
    </row>
    <row r="26" customFormat="false" ht="15" hidden="false" customHeight="false" outlineLevel="0" collapsed="false">
      <c r="A26" s="55" t="s">
        <v>305</v>
      </c>
      <c r="B26" s="55" t="s">
        <v>333</v>
      </c>
      <c r="C26" s="55" t="s">
        <v>228</v>
      </c>
      <c r="D26" s="56" t="n">
        <f aca="false">PAISAGISMO!$K$5</f>
        <v>918.052182</v>
      </c>
      <c r="E26" s="45" t="n">
        <f aca="false">SUM(H26:CA26)</f>
        <v>917.689144324351</v>
      </c>
      <c r="F26" s="45" t="n">
        <f aca="false">IF(D26="","",D26-E26)</f>
        <v>0.363037675648798</v>
      </c>
      <c r="H26" s="93" t="n">
        <f aca="false">PAISAGISMO!E5</f>
        <v>0</v>
      </c>
      <c r="I26" s="93" t="n">
        <f aca="false">PAISAGISMO!E6</f>
        <v>0</v>
      </c>
      <c r="J26" s="93" t="n">
        <f aca="false">PAISAGISMO!E7</f>
        <v>0</v>
      </c>
      <c r="K26" s="93" t="n">
        <f aca="false">PAISAGISMO!E8</f>
        <v>0</v>
      </c>
      <c r="L26" s="93" t="n">
        <f aca="false">PAISAGISMO!E9</f>
        <v>0</v>
      </c>
      <c r="M26" s="93" t="n">
        <f aca="false">PAISAGISMO!E10</f>
        <v>0</v>
      </c>
      <c r="N26" s="93" t="n">
        <f aca="false">PAISAGISMO!E11</f>
        <v>0</v>
      </c>
      <c r="O26" s="93" t="n">
        <f aca="false">PAISAGISMO!E12</f>
        <v>0</v>
      </c>
      <c r="P26" s="93" t="n">
        <f aca="false">PAISAGISMO!E13</f>
        <v>0</v>
      </c>
      <c r="Q26" s="93" t="n">
        <f aca="false">PAISAGISMO!E14</f>
        <v>0</v>
      </c>
      <c r="R26" s="93" t="n">
        <f aca="false">PAISAGISMO!E15</f>
        <v>0</v>
      </c>
      <c r="S26" s="93" t="n">
        <f aca="false">PAISAGISMO!E16</f>
        <v>0</v>
      </c>
      <c r="T26" s="93" t="n">
        <f aca="false">PAISAGISMO!E17</f>
        <v>0</v>
      </c>
      <c r="U26" s="93" t="n">
        <f aca="false">PAISAGISMO!E18</f>
        <v>0</v>
      </c>
      <c r="V26" s="93" t="n">
        <f aca="false">PAISAGISMO!E19</f>
        <v>0</v>
      </c>
      <c r="W26" s="93" t="n">
        <f aca="false">PAISAGISMO!E20</f>
        <v>0</v>
      </c>
      <c r="X26" s="93" t="n">
        <f aca="false">PAISAGISMO!E21</f>
        <v>0</v>
      </c>
      <c r="Y26" s="93" t="n">
        <f aca="false">PAISAGISMO!E22</f>
        <v>0</v>
      </c>
      <c r="Z26" s="93" t="n">
        <f aca="false">PAISAGISMO!E23</f>
        <v>0</v>
      </c>
      <c r="AA26" s="93" t="n">
        <f aca="false">PAISAGISMO!E24</f>
        <v>0</v>
      </c>
      <c r="AB26" s="93" t="n">
        <f aca="false">PAISAGISMO!E25</f>
        <v>0</v>
      </c>
      <c r="AC26" s="93" t="n">
        <f aca="false">PAISAGISMO!E26</f>
        <v>0</v>
      </c>
      <c r="AD26" s="93" t="n">
        <f aca="false">PAISAGISMO!E27</f>
        <v>0</v>
      </c>
      <c r="AE26" s="93" t="n">
        <f aca="false">PAISAGISMO!E28</f>
        <v>0</v>
      </c>
      <c r="AF26" s="93" t="n">
        <f aca="false">PAISAGISMO!E29</f>
        <v>0</v>
      </c>
      <c r="AG26" s="93" t="n">
        <f aca="false">PAISAGISMO!E30</f>
        <v>0</v>
      </c>
      <c r="AH26" s="93" t="n">
        <f aca="false">PAISAGISMO!E31</f>
        <v>0</v>
      </c>
      <c r="AI26" s="93" t="n">
        <f aca="false">PAISAGISMO!E32</f>
        <v>0</v>
      </c>
      <c r="AJ26" s="93" t="n">
        <f aca="false">PAISAGISMO!E33</f>
        <v>0</v>
      </c>
      <c r="AK26" s="93" t="n">
        <f aca="false">PAISAGISMO!E34</f>
        <v>0</v>
      </c>
      <c r="AL26" s="93" t="n">
        <f aca="false">PAISAGISMO!E35</f>
        <v>0</v>
      </c>
      <c r="AM26" s="93" t="n">
        <f aca="false">PAISAGISMO!E36</f>
        <v>0</v>
      </c>
      <c r="AN26" s="93" t="n">
        <f aca="false">PAISAGISMO!E37</f>
        <v>0</v>
      </c>
      <c r="AO26" s="93" t="n">
        <f aca="false">PAISAGISMO!E38</f>
        <v>0</v>
      </c>
      <c r="AP26" s="93" t="n">
        <f aca="false">PAISAGISMO!E39</f>
        <v>0</v>
      </c>
      <c r="AQ26" s="93" t="n">
        <f aca="false">PAISAGISMO!E40</f>
        <v>0</v>
      </c>
      <c r="AR26" s="93" t="n">
        <f aca="false">PAISAGISMO!E41</f>
        <v>0</v>
      </c>
      <c r="AS26" s="93" t="n">
        <f aca="false">PAISAGISMO!E42</f>
        <v>0</v>
      </c>
      <c r="AT26" s="93" t="n">
        <f aca="false">PAISAGISMO!E43</f>
        <v>0</v>
      </c>
      <c r="AU26" s="93" t="n">
        <f aca="false">PAISAGISMO!E44</f>
        <v>0</v>
      </c>
      <c r="AV26" s="93" t="n">
        <f aca="false">PAISAGISMO!E45</f>
        <v>0</v>
      </c>
      <c r="AW26" s="93" t="n">
        <f aca="false">PAISAGISMO!E46</f>
        <v>0</v>
      </c>
      <c r="AX26" s="93" t="n">
        <f aca="false">PAISAGISMO!E47</f>
        <v>0</v>
      </c>
      <c r="AY26" s="93" t="n">
        <f aca="false">PAISAGISMO!E48</f>
        <v>217.125251547142</v>
      </c>
      <c r="AZ26" s="93" t="n">
        <f aca="false">PAISAGISMO!E49</f>
        <v>300.176119108495</v>
      </c>
      <c r="BA26" s="93" t="n">
        <f aca="false">PAISAGISMO!E50</f>
        <v>132.697850269301</v>
      </c>
      <c r="BB26" s="93" t="n">
        <f aca="false">PAISAGISMO!E51</f>
        <v>167.570037753627</v>
      </c>
      <c r="BC26" s="93" t="n">
        <f aca="false">PAISAGISMO!E52</f>
        <v>82.683791903624</v>
      </c>
      <c r="BD26" s="93" t="n">
        <f aca="false">PAISAGISMO!E53</f>
        <v>17.4360937421627</v>
      </c>
      <c r="BE26" s="93" t="n">
        <f aca="false">PAISAGISMO!E54</f>
        <v>0</v>
      </c>
      <c r="BF26" s="93" t="n">
        <f aca="false">PAISAGISMO!E55</f>
        <v>0</v>
      </c>
      <c r="BG26" s="93" t="n">
        <f aca="false">PAISAGISMO!E56</f>
        <v>0</v>
      </c>
      <c r="BH26" s="93" t="n">
        <f aca="false">PAISAGISMO!E57</f>
        <v>0</v>
      </c>
      <c r="BI26" s="93" t="n">
        <f aca="false">PAISAGISMO!E58</f>
        <v>0</v>
      </c>
      <c r="BJ26" s="93" t="n">
        <f aca="false">PAISAGISMO!E59</f>
        <v>0</v>
      </c>
      <c r="BK26" s="93" t="n">
        <f aca="false">PAISAGISMO!E60</f>
        <v>0</v>
      </c>
      <c r="BL26" s="93" t="n">
        <f aca="false">PAISAGISMO!E61</f>
        <v>0</v>
      </c>
      <c r="BM26" s="93" t="n">
        <f aca="false">PAISAGISMO!E62</f>
        <v>0</v>
      </c>
      <c r="BN26" s="93" t="n">
        <f aca="false">PAISAGISMO!E63</f>
        <v>0</v>
      </c>
      <c r="BO26" s="93" t="n">
        <f aca="false">PAISAGISMO!E64</f>
        <v>0</v>
      </c>
      <c r="BP26" s="93" t="n">
        <f aca="false">PAISAGISMO!E65</f>
        <v>0</v>
      </c>
      <c r="BQ26" s="93" t="n">
        <f aca="false">PAISAGISMO!E66</f>
        <v>0</v>
      </c>
      <c r="BR26" s="93" t="n">
        <f aca="false">PAISAGISMO!E67</f>
        <v>0</v>
      </c>
      <c r="BS26" s="93" t="n">
        <f aca="false">PAISAGISMO!E68</f>
        <v>0</v>
      </c>
      <c r="BT26" s="93" t="n">
        <f aca="false">PAISAGISMO!E69</f>
        <v>0</v>
      </c>
      <c r="BU26" s="93" t="n">
        <f aca="false">PAISAGISMO!E70</f>
        <v>0</v>
      </c>
      <c r="BV26" s="93" t="n">
        <f aca="false">PAISAGISMO!E71</f>
        <v>0</v>
      </c>
      <c r="BW26" s="93" t="n">
        <f aca="false">PAISAGISMO!E72</f>
        <v>0</v>
      </c>
      <c r="BX26" s="93" t="n">
        <f aca="false">PAISAGISMO!E73</f>
        <v>0</v>
      </c>
      <c r="BY26" s="93" t="n">
        <f aca="false">PAISAGISMO!E74</f>
        <v>0</v>
      </c>
      <c r="BZ26" s="93" t="n">
        <f aca="false">PAISAGISMO!E75</f>
        <v>0</v>
      </c>
      <c r="CA26" s="93" t="n">
        <f aca="false">PAISAGISMO!E76</f>
        <v>0</v>
      </c>
    </row>
    <row r="27" customFormat="false" ht="15" hidden="false" customHeight="false" outlineLevel="0" collapsed="false">
      <c r="A27" s="55" t="s">
        <v>305</v>
      </c>
      <c r="B27" s="55" t="s">
        <v>334</v>
      </c>
      <c r="C27" s="55" t="s">
        <v>209</v>
      </c>
      <c r="D27" s="56" t="n">
        <f aca="false">PAVIMENTAÇÃO!$K$5</f>
        <v>87.856614</v>
      </c>
      <c r="E27" s="45" t="n">
        <f aca="false">SUM(H27:CA27)</f>
        <v>87.8218716819027</v>
      </c>
      <c r="F27" s="45" t="n">
        <f aca="false">IF(D27="","",D27-E27)</f>
        <v>0.0347423180972726</v>
      </c>
      <c r="H27" s="93" t="n">
        <f aca="false">PAVIMENTAÇÃO!E5</f>
        <v>0</v>
      </c>
      <c r="I27" s="93" t="n">
        <f aca="false">PAVIMENTAÇÃO!E6</f>
        <v>0</v>
      </c>
      <c r="J27" s="93" t="n">
        <f aca="false">PAVIMENTAÇÃO!E7</f>
        <v>0</v>
      </c>
      <c r="K27" s="93" t="n">
        <f aca="false">PAVIMENTAÇÃO!E8</f>
        <v>0</v>
      </c>
      <c r="L27" s="93" t="n">
        <f aca="false">PAVIMENTAÇÃO!E9</f>
        <v>0</v>
      </c>
      <c r="M27" s="93" t="n">
        <f aca="false">PAVIMENTAÇÃO!E10</f>
        <v>0</v>
      </c>
      <c r="N27" s="93" t="n">
        <f aca="false">PAVIMENTAÇÃO!E11</f>
        <v>0</v>
      </c>
      <c r="O27" s="93" t="n">
        <f aca="false">PAVIMENTAÇÃO!E12</f>
        <v>0</v>
      </c>
      <c r="P27" s="93" t="n">
        <f aca="false">PAVIMENTAÇÃO!E13</f>
        <v>0</v>
      </c>
      <c r="Q27" s="93" t="n">
        <f aca="false">PAVIMENTAÇÃO!E14</f>
        <v>0</v>
      </c>
      <c r="R27" s="93" t="n">
        <f aca="false">PAVIMENTAÇÃO!E15</f>
        <v>0</v>
      </c>
      <c r="S27" s="93" t="n">
        <f aca="false">PAVIMENTAÇÃO!E16</f>
        <v>0</v>
      </c>
      <c r="T27" s="93" t="n">
        <f aca="false">PAVIMENTAÇÃO!E17</f>
        <v>0</v>
      </c>
      <c r="U27" s="93" t="n">
        <f aca="false">PAVIMENTAÇÃO!E18</f>
        <v>0</v>
      </c>
      <c r="V27" s="93" t="n">
        <f aca="false">PAVIMENTAÇÃO!E19</f>
        <v>0</v>
      </c>
      <c r="W27" s="93" t="n">
        <f aca="false">PAVIMENTAÇÃO!E20</f>
        <v>0</v>
      </c>
      <c r="X27" s="93" t="n">
        <f aca="false">PAVIMENTAÇÃO!E21</f>
        <v>0</v>
      </c>
      <c r="Y27" s="93" t="n">
        <f aca="false">PAVIMENTAÇÃO!E22</f>
        <v>0</v>
      </c>
      <c r="Z27" s="93" t="n">
        <f aca="false">PAVIMENTAÇÃO!E23</f>
        <v>0</v>
      </c>
      <c r="AA27" s="93" t="n">
        <f aca="false">PAVIMENTAÇÃO!E24</f>
        <v>0</v>
      </c>
      <c r="AB27" s="93" t="n">
        <f aca="false">PAVIMENTAÇÃO!E25</f>
        <v>0</v>
      </c>
      <c r="AC27" s="93" t="n">
        <f aca="false">PAVIMENTAÇÃO!E26</f>
        <v>0</v>
      </c>
      <c r="AD27" s="93" t="n">
        <f aca="false">PAVIMENTAÇÃO!E27</f>
        <v>0</v>
      </c>
      <c r="AE27" s="93" t="n">
        <f aca="false">PAVIMENTAÇÃO!E28</f>
        <v>0</v>
      </c>
      <c r="AF27" s="93" t="n">
        <f aca="false">PAVIMENTAÇÃO!E29</f>
        <v>0</v>
      </c>
      <c r="AG27" s="93" t="n">
        <f aca="false">PAVIMENTAÇÃO!E30</f>
        <v>0</v>
      </c>
      <c r="AH27" s="93" t="n">
        <f aca="false">PAVIMENTAÇÃO!E31</f>
        <v>0</v>
      </c>
      <c r="AI27" s="93" t="n">
        <f aca="false">PAVIMENTAÇÃO!E32</f>
        <v>0</v>
      </c>
      <c r="AJ27" s="93" t="n">
        <f aca="false">PAVIMENTAÇÃO!E33</f>
        <v>0</v>
      </c>
      <c r="AK27" s="93" t="n">
        <f aca="false">PAVIMENTAÇÃO!E34</f>
        <v>0</v>
      </c>
      <c r="AL27" s="93" t="n">
        <f aca="false">PAVIMENTAÇÃO!E35</f>
        <v>0</v>
      </c>
      <c r="AM27" s="93" t="n">
        <f aca="false">PAVIMENTAÇÃO!E36</f>
        <v>0</v>
      </c>
      <c r="AN27" s="93" t="n">
        <f aca="false">PAVIMENTAÇÃO!E37</f>
        <v>0</v>
      </c>
      <c r="AO27" s="93" t="n">
        <f aca="false">PAVIMENTAÇÃO!E38</f>
        <v>0</v>
      </c>
      <c r="AP27" s="93" t="n">
        <f aca="false">PAVIMENTAÇÃO!E39</f>
        <v>0</v>
      </c>
      <c r="AQ27" s="93" t="n">
        <f aca="false">PAVIMENTAÇÃO!E40</f>
        <v>1.33489244956492</v>
      </c>
      <c r="AR27" s="93" t="n">
        <f aca="false">PAVIMENTAÇÃO!E41</f>
        <v>21.2880216956932</v>
      </c>
      <c r="AS27" s="93" t="n">
        <f aca="false">PAVIMENTAÇÃO!E42</f>
        <v>27.9449195691814</v>
      </c>
      <c r="AT27" s="93" t="n">
        <f aca="false">PAVIMENTAÇÃO!E43</f>
        <v>27.9361373820133</v>
      </c>
      <c r="AU27" s="93" t="n">
        <f aca="false">PAVIMENTAÇÃO!E44</f>
        <v>9.31790058544988</v>
      </c>
      <c r="AV27" s="93" t="n">
        <f aca="false">PAVIMENTAÇÃO!E45</f>
        <v>0</v>
      </c>
      <c r="AW27" s="93" t="n">
        <f aca="false">PAVIMENTAÇÃO!E46</f>
        <v>0</v>
      </c>
      <c r="AX27" s="93" t="n">
        <f aca="false">PAVIMENTAÇÃO!E47</f>
        <v>0</v>
      </c>
      <c r="AY27" s="93" t="n">
        <f aca="false">PAVIMENTAÇÃO!E48</f>
        <v>0</v>
      </c>
      <c r="AZ27" s="93" t="n">
        <f aca="false">PAVIMENTAÇÃO!E49</f>
        <v>0</v>
      </c>
      <c r="BA27" s="93" t="n">
        <f aca="false">PAVIMENTAÇÃO!E50</f>
        <v>0</v>
      </c>
      <c r="BB27" s="93" t="n">
        <f aca="false">PAVIMENTAÇÃO!E51</f>
        <v>0</v>
      </c>
      <c r="BC27" s="93" t="n">
        <f aca="false">PAVIMENTAÇÃO!E52</f>
        <v>0</v>
      </c>
      <c r="BD27" s="93" t="n">
        <f aca="false">PAVIMENTAÇÃO!E53</f>
        <v>0</v>
      </c>
      <c r="BE27" s="93" t="n">
        <f aca="false">PAVIMENTAÇÃO!E54</f>
        <v>0</v>
      </c>
      <c r="BF27" s="93" t="n">
        <f aca="false">PAVIMENTAÇÃO!E55</f>
        <v>0</v>
      </c>
      <c r="BG27" s="93" t="n">
        <f aca="false">PAVIMENTAÇÃO!E56</f>
        <v>0</v>
      </c>
      <c r="BH27" s="93" t="n">
        <f aca="false">PAVIMENTAÇÃO!E57</f>
        <v>0</v>
      </c>
      <c r="BI27" s="93" t="n">
        <f aca="false">PAVIMENTAÇÃO!E58</f>
        <v>0</v>
      </c>
      <c r="BJ27" s="93" t="n">
        <f aca="false">PAVIMENTAÇÃO!E59</f>
        <v>0</v>
      </c>
      <c r="BK27" s="93" t="n">
        <f aca="false">PAVIMENTAÇÃO!E60</f>
        <v>0</v>
      </c>
      <c r="BL27" s="93" t="n">
        <f aca="false">PAVIMENTAÇÃO!E61</f>
        <v>0</v>
      </c>
      <c r="BM27" s="93" t="n">
        <f aca="false">PAVIMENTAÇÃO!E62</f>
        <v>0</v>
      </c>
      <c r="BN27" s="93" t="n">
        <f aca="false">PAVIMENTAÇÃO!E63</f>
        <v>0</v>
      </c>
      <c r="BO27" s="93" t="n">
        <f aca="false">PAVIMENTAÇÃO!E64</f>
        <v>0</v>
      </c>
      <c r="BP27" s="93" t="n">
        <f aca="false">PAVIMENTAÇÃO!E65</f>
        <v>0</v>
      </c>
      <c r="BQ27" s="93" t="n">
        <f aca="false">PAVIMENTAÇÃO!E66</f>
        <v>0</v>
      </c>
      <c r="BR27" s="93" t="n">
        <f aca="false">PAVIMENTAÇÃO!E67</f>
        <v>0</v>
      </c>
      <c r="BS27" s="93" t="n">
        <f aca="false">PAVIMENTAÇÃO!E68</f>
        <v>0</v>
      </c>
      <c r="BT27" s="93" t="n">
        <f aca="false">PAVIMENTAÇÃO!E69</f>
        <v>0</v>
      </c>
      <c r="BU27" s="93" t="n">
        <f aca="false">PAVIMENTAÇÃO!E70</f>
        <v>0</v>
      </c>
      <c r="BV27" s="93" t="n">
        <f aca="false">PAVIMENTAÇÃO!E71</f>
        <v>0</v>
      </c>
      <c r="BW27" s="93" t="n">
        <f aca="false">PAVIMENTAÇÃO!E72</f>
        <v>0</v>
      </c>
      <c r="BX27" s="93" t="n">
        <f aca="false">PAVIMENTAÇÃO!E73</f>
        <v>0</v>
      </c>
      <c r="BY27" s="93" t="n">
        <f aca="false">PAVIMENTAÇÃO!E74</f>
        <v>0</v>
      </c>
      <c r="BZ27" s="93" t="n">
        <f aca="false">PAVIMENTAÇÃO!E75</f>
        <v>0</v>
      </c>
      <c r="CA27" s="93" t="n">
        <f aca="false">PAVIMENTAÇÃO!E76</f>
        <v>0</v>
      </c>
    </row>
    <row r="28" customFormat="false" ht="15" hidden="false" customHeight="false" outlineLevel="0" collapsed="false">
      <c r="A28" s="55" t="s">
        <v>305</v>
      </c>
      <c r="B28" s="55" t="s">
        <v>335</v>
      </c>
      <c r="C28" s="55" t="s">
        <v>224</v>
      </c>
      <c r="D28" s="56" t="n">
        <f aca="false">PINTURA!$K$5</f>
        <v>3021.886086</v>
      </c>
      <c r="E28" s="45" t="n">
        <f aca="false">SUM(H28:CA28)</f>
        <v>3020.69110109364</v>
      </c>
      <c r="F28" s="45" t="n">
        <f aca="false">IF(D28="","",D28-E28)</f>
        <v>1.19498490635579</v>
      </c>
      <c r="H28" s="93" t="n">
        <f aca="false">PINTURA!E5</f>
        <v>0</v>
      </c>
      <c r="I28" s="93" t="n">
        <f aca="false">PINTURA!E6</f>
        <v>0</v>
      </c>
      <c r="J28" s="93" t="n">
        <f aca="false">PINTURA!E7</f>
        <v>0</v>
      </c>
      <c r="K28" s="93" t="n">
        <f aca="false">PINTURA!E8</f>
        <v>0</v>
      </c>
      <c r="L28" s="93" t="n">
        <f aca="false">PINTURA!E9</f>
        <v>0</v>
      </c>
      <c r="M28" s="93" t="n">
        <f aca="false">PINTURA!E10</f>
        <v>0</v>
      </c>
      <c r="N28" s="93" t="n">
        <f aca="false">PINTURA!E11</f>
        <v>0</v>
      </c>
      <c r="O28" s="93" t="n">
        <f aca="false">PINTURA!E12</f>
        <v>0</v>
      </c>
      <c r="P28" s="93" t="n">
        <f aca="false">PINTURA!E13</f>
        <v>0</v>
      </c>
      <c r="Q28" s="93" t="n">
        <f aca="false">PINTURA!E14</f>
        <v>0</v>
      </c>
      <c r="R28" s="93" t="n">
        <f aca="false">PINTURA!E15</f>
        <v>0</v>
      </c>
      <c r="S28" s="93" t="n">
        <f aca="false">PINTURA!E16</f>
        <v>0</v>
      </c>
      <c r="T28" s="93" t="n">
        <f aca="false">PINTURA!E17</f>
        <v>0</v>
      </c>
      <c r="U28" s="93" t="n">
        <f aca="false">PINTURA!E18</f>
        <v>0</v>
      </c>
      <c r="V28" s="93" t="n">
        <f aca="false">PINTURA!E19</f>
        <v>0</v>
      </c>
      <c r="W28" s="93" t="n">
        <f aca="false">PINTURA!E20</f>
        <v>0</v>
      </c>
      <c r="X28" s="93" t="n">
        <f aca="false">PINTURA!E21</f>
        <v>0</v>
      </c>
      <c r="Y28" s="93" t="n">
        <f aca="false">PINTURA!E22</f>
        <v>0</v>
      </c>
      <c r="Z28" s="93" t="n">
        <f aca="false">PINTURA!E23</f>
        <v>0</v>
      </c>
      <c r="AA28" s="93" t="n">
        <f aca="false">PINTURA!E24</f>
        <v>0</v>
      </c>
      <c r="AB28" s="93" t="n">
        <f aca="false">PINTURA!E25</f>
        <v>0</v>
      </c>
      <c r="AC28" s="93" t="n">
        <f aca="false">PINTURA!E26</f>
        <v>0</v>
      </c>
      <c r="AD28" s="93" t="n">
        <f aca="false">PINTURA!E27</f>
        <v>28.2250234918358</v>
      </c>
      <c r="AE28" s="93" t="n">
        <f aca="false">PINTURA!E28</f>
        <v>53.0753159139956</v>
      </c>
      <c r="AF28" s="93" t="n">
        <f aca="false">PINTURA!E29</f>
        <v>45.0986788402159</v>
      </c>
      <c r="AG28" s="93" t="n">
        <f aca="false">PINTURA!E30</f>
        <v>75.778052200907</v>
      </c>
      <c r="AH28" s="93" t="n">
        <f aca="false">PINTURA!E31</f>
        <v>75.778052200907</v>
      </c>
      <c r="AI28" s="93" t="n">
        <f aca="false">PINTURA!E32</f>
        <v>75.778052200907</v>
      </c>
      <c r="AJ28" s="93" t="n">
        <f aca="false">PINTURA!E33</f>
        <v>82.2207206066522</v>
      </c>
      <c r="AK28" s="93" t="n">
        <f aca="false">PINTURA!E34</f>
        <v>23.929911221339</v>
      </c>
      <c r="AL28" s="93" t="n">
        <f aca="false">PINTURA!E35</f>
        <v>0</v>
      </c>
      <c r="AM28" s="93" t="n">
        <f aca="false">PINTURA!E36</f>
        <v>0</v>
      </c>
      <c r="AN28" s="93" t="n">
        <f aca="false">PINTURA!E37</f>
        <v>0</v>
      </c>
      <c r="AO28" s="93" t="n">
        <f aca="false">PINTURA!E38</f>
        <v>0</v>
      </c>
      <c r="AP28" s="93" t="n">
        <f aca="false">PINTURA!E39</f>
        <v>0</v>
      </c>
      <c r="AQ28" s="93" t="n">
        <f aca="false">PINTURA!E40</f>
        <v>0</v>
      </c>
      <c r="AR28" s="93" t="n">
        <f aca="false">PINTURA!E41</f>
        <v>0</v>
      </c>
      <c r="AS28" s="93" t="n">
        <f aca="false">PINTURA!E42</f>
        <v>38.042422967257</v>
      </c>
      <c r="AT28" s="93" t="n">
        <f aca="false">PINTURA!E43</f>
        <v>53.3821096476025</v>
      </c>
      <c r="AU28" s="93" t="n">
        <f aca="false">PINTURA!E44</f>
        <v>74.8576710000863</v>
      </c>
      <c r="AV28" s="93" t="n">
        <f aca="false">PINTURA!E45</f>
        <v>123.024287176371</v>
      </c>
      <c r="AW28" s="93" t="n">
        <f aca="false">PINTURA!E46</f>
        <v>285.01137852082</v>
      </c>
      <c r="AX28" s="93" t="n">
        <f aca="false">PINTURA!E47</f>
        <v>276.727947713434</v>
      </c>
      <c r="AY28" s="93" t="n">
        <f aca="false">PINTURA!E48</f>
        <v>188.984939901857</v>
      </c>
      <c r="AZ28" s="93" t="n">
        <f aca="false">PINTURA!E49</f>
        <v>188.064558701036</v>
      </c>
      <c r="BA28" s="93" t="n">
        <f aca="false">PINTURA!E50</f>
        <v>211.687676188768</v>
      </c>
      <c r="BB28" s="93" t="n">
        <f aca="false">PINTURA!E51</f>
        <v>229.788506471576</v>
      </c>
      <c r="BC28" s="93" t="n">
        <f aca="false">PINTURA!E52</f>
        <v>230.708887672397</v>
      </c>
      <c r="BD28" s="93" t="n">
        <f aca="false">PINTURA!E53</f>
        <v>154.317248004276</v>
      </c>
      <c r="BE28" s="93" t="n">
        <f aca="false">PINTURA!E54</f>
        <v>239.912699680605</v>
      </c>
      <c r="BF28" s="93" t="n">
        <f aca="false">PINTURA!E55</f>
        <v>171.80449081987</v>
      </c>
      <c r="BG28" s="93" t="n">
        <f aca="false">PINTURA!E56</f>
        <v>93.8788824837148</v>
      </c>
      <c r="BH28" s="93" t="n">
        <f aca="false">PINTURA!E57</f>
        <v>0.6135874672137</v>
      </c>
      <c r="BI28" s="93" t="n">
        <f aca="false">PINTURA!E58</f>
        <v>0</v>
      </c>
      <c r="BJ28" s="93" t="n">
        <f aca="false">PINTURA!E59</f>
        <v>0</v>
      </c>
      <c r="BK28" s="93" t="n">
        <f aca="false">PINTURA!E60</f>
        <v>0</v>
      </c>
      <c r="BL28" s="93" t="n">
        <f aca="false">PINTURA!E61</f>
        <v>0</v>
      </c>
      <c r="BM28" s="93" t="n">
        <f aca="false">PINTURA!E62</f>
        <v>0</v>
      </c>
      <c r="BN28" s="93" t="n">
        <f aca="false">PINTURA!E63</f>
        <v>0</v>
      </c>
      <c r="BO28" s="93" t="n">
        <f aca="false">PINTURA!E64</f>
        <v>0</v>
      </c>
      <c r="BP28" s="93" t="n">
        <f aca="false">PINTURA!E65</f>
        <v>0</v>
      </c>
      <c r="BQ28" s="93" t="n">
        <f aca="false">PINTURA!E66</f>
        <v>0</v>
      </c>
      <c r="BR28" s="93" t="n">
        <f aca="false">PINTURA!E67</f>
        <v>0</v>
      </c>
      <c r="BS28" s="93" t="n">
        <f aca="false">PINTURA!E68</f>
        <v>0</v>
      </c>
      <c r="BT28" s="93" t="n">
        <f aca="false">PINTURA!E69</f>
        <v>0</v>
      </c>
      <c r="BU28" s="93" t="n">
        <f aca="false">PINTURA!E70</f>
        <v>0</v>
      </c>
      <c r="BV28" s="93" t="n">
        <f aca="false">PINTURA!E71</f>
        <v>0</v>
      </c>
      <c r="BW28" s="93" t="n">
        <f aca="false">PINTURA!E72</f>
        <v>0</v>
      </c>
      <c r="BX28" s="93" t="n">
        <f aca="false">PINTURA!E73</f>
        <v>0</v>
      </c>
      <c r="BY28" s="93" t="n">
        <f aca="false">PINTURA!E74</f>
        <v>0</v>
      </c>
      <c r="BZ28" s="93" t="n">
        <f aca="false">PINTURA!E75</f>
        <v>0</v>
      </c>
      <c r="CA28" s="93" t="n">
        <f aca="false">PINTURA!E76</f>
        <v>0</v>
      </c>
    </row>
    <row r="29" customFormat="false" ht="15" hidden="false" customHeight="false" outlineLevel="0" collapsed="false">
      <c r="A29" s="55" t="s">
        <v>305</v>
      </c>
      <c r="B29" s="55" t="s">
        <v>336</v>
      </c>
      <c r="C29" s="55" t="s">
        <v>63</v>
      </c>
      <c r="D29" s="56" t="n">
        <f aca="false">PROJETO!$K$5</f>
        <v>1972.53897</v>
      </c>
      <c r="E29" s="45" t="n">
        <f aca="false">SUM(H29:CA29)</f>
        <v>2047.12936818156</v>
      </c>
      <c r="F29" s="45" t="n">
        <f aca="false">IF(D29="","",D29-E29)</f>
        <v>-74.5903981815618</v>
      </c>
      <c r="H29" s="93" t="n">
        <f aca="false">PROJETO!E5</f>
        <v>373.966007423308</v>
      </c>
      <c r="I29" s="93" t="n">
        <f aca="false">PROJETO!E6</f>
        <v>9.33785013634233</v>
      </c>
      <c r="J29" s="93" t="n">
        <f aca="false">PROJETO!E7</f>
        <v>224.754386488041</v>
      </c>
      <c r="K29" s="93" t="n">
        <f aca="false">PROJETO!E8</f>
        <v>80.9391744301103</v>
      </c>
      <c r="L29" s="93" t="n">
        <f aca="false">PROJETO!E9</f>
        <v>128.417678237039</v>
      </c>
      <c r="M29" s="93" t="n">
        <f aca="false">PROJETO!E10</f>
        <v>169.95929748927</v>
      </c>
      <c r="N29" s="93" t="n">
        <f aca="false">PROJETO!E11</f>
        <v>54.300226175877</v>
      </c>
      <c r="O29" s="93" t="n">
        <f aca="false">PROJETO!E12</f>
        <v>38.2796613880052</v>
      </c>
      <c r="P29" s="93" t="n">
        <f aca="false">PROJETO!E13</f>
        <v>73.4694576997237</v>
      </c>
      <c r="Q29" s="93" t="n">
        <f aca="false">PROJETO!E14</f>
        <v>25.6009737870124</v>
      </c>
      <c r="R29" s="93" t="n">
        <f aca="false">PROJETO!E15</f>
        <v>48.3343559486762</v>
      </c>
      <c r="S29" s="93" t="n">
        <f aca="false">PROJETO!E16</f>
        <v>96.8832105532406</v>
      </c>
      <c r="T29" s="93" t="n">
        <f aca="false">PROJETO!E17</f>
        <v>60.1001660205787</v>
      </c>
      <c r="U29" s="93" t="n">
        <f aca="false">PROJETO!E18</f>
        <v>114.027247388112</v>
      </c>
      <c r="V29" s="93" t="n">
        <f aca="false">PROJETO!E19</f>
        <v>74.9814950813434</v>
      </c>
      <c r="W29" s="93" t="n">
        <f aca="false">PROJETO!E20</f>
        <v>37.36426388792</v>
      </c>
      <c r="X29" s="93" t="n">
        <f aca="false">PROJETO!E21</f>
        <v>115.56980023054</v>
      </c>
      <c r="Y29" s="93" t="n">
        <f aca="false">PROJETO!E22</f>
        <v>0.727948091398802</v>
      </c>
      <c r="Z29" s="93" t="n">
        <f aca="false">PROJETO!E23</f>
        <v>0.722294538438173</v>
      </c>
      <c r="AA29" s="93" t="n">
        <f aca="false">PROJETO!E24</f>
        <v>13.6117882913404</v>
      </c>
      <c r="AB29" s="93" t="n">
        <f aca="false">PROJETO!E25</f>
        <v>25.967311003486</v>
      </c>
      <c r="AC29" s="93" t="n">
        <f aca="false">PROJETO!E26</f>
        <v>48.5902296556425</v>
      </c>
      <c r="AD29" s="93" t="n">
        <f aca="false">PROJETO!E27</f>
        <v>44.5964226001627</v>
      </c>
      <c r="AE29" s="93" t="n">
        <f aca="false">PROJETO!E28</f>
        <v>44.5964226001627</v>
      </c>
      <c r="AF29" s="93" t="n">
        <f aca="false">PROJETO!E29</f>
        <v>6.61498736428213</v>
      </c>
      <c r="AG29" s="93" t="n">
        <f aca="false">PROJETO!E30</f>
        <v>6.61498736428213</v>
      </c>
      <c r="AH29" s="93" t="n">
        <f aca="false">PROJETO!E31</f>
        <v>0.490560648601789</v>
      </c>
      <c r="AI29" s="93" t="n">
        <f aca="false">PROJETO!E32</f>
        <v>0.490560648601789</v>
      </c>
      <c r="AJ29" s="93" t="n">
        <f aca="false">PROJETO!E33</f>
        <v>0.490560648601789</v>
      </c>
      <c r="AK29" s="93" t="n">
        <f aca="false">PROJETO!E34</f>
        <v>0.490560648601789</v>
      </c>
      <c r="AL29" s="93" t="n">
        <f aca="false">PROJETO!E35</f>
        <v>0.490560648601789</v>
      </c>
      <c r="AM29" s="93" t="n">
        <f aca="false">PROJETO!E36</f>
        <v>0.490560648601789</v>
      </c>
      <c r="AN29" s="93" t="n">
        <f aca="false">PROJETO!E37</f>
        <v>0.490560648601789</v>
      </c>
      <c r="AO29" s="93" t="n">
        <f aca="false">PROJETO!E38</f>
        <v>0.490560648601789</v>
      </c>
      <c r="AP29" s="93" t="n">
        <f aca="false">PROJETO!E39</f>
        <v>0.490560648601789</v>
      </c>
      <c r="AQ29" s="93" t="n">
        <f aca="false">PROJETO!E40</f>
        <v>0.490560648601789</v>
      </c>
      <c r="AR29" s="93" t="n">
        <f aca="false">PROJETO!E41</f>
        <v>0.490560648601789</v>
      </c>
      <c r="AS29" s="93" t="n">
        <f aca="false">PROJETO!E42</f>
        <v>0.490560648601789</v>
      </c>
      <c r="AT29" s="93" t="n">
        <f aca="false">PROJETO!E43</f>
        <v>0.490560648601789</v>
      </c>
      <c r="AU29" s="93" t="n">
        <f aca="false">PROJETO!E44</f>
        <v>0.490560648601789</v>
      </c>
      <c r="AV29" s="93" t="n">
        <f aca="false">PROJETO!E45</f>
        <v>0.490560648601789</v>
      </c>
      <c r="AW29" s="93" t="n">
        <f aca="false">PROJETO!E46</f>
        <v>0.490560648601789</v>
      </c>
      <c r="AX29" s="93" t="n">
        <f aca="false">PROJETO!E47</f>
        <v>0.490560648601789</v>
      </c>
      <c r="AY29" s="93" t="n">
        <f aca="false">PROJETO!E48</f>
        <v>0.490560648601789</v>
      </c>
      <c r="AZ29" s="93" t="n">
        <f aca="false">PROJETO!E49</f>
        <v>0.490560648601789</v>
      </c>
      <c r="BA29" s="93" t="n">
        <f aca="false">PROJETO!E50</f>
        <v>0.490560648601789</v>
      </c>
      <c r="BB29" s="93" t="n">
        <f aca="false">PROJETO!E51</f>
        <v>0.490560648601789</v>
      </c>
      <c r="BC29" s="93" t="n">
        <f aca="false">PROJETO!E52</f>
        <v>118.009390037987</v>
      </c>
      <c r="BD29" s="93" t="n">
        <f aca="false">PROJETO!E53</f>
        <v>0.490560648601789</v>
      </c>
      <c r="BE29" s="93" t="n">
        <f aca="false">PROJETO!E54</f>
        <v>0</v>
      </c>
      <c r="BF29" s="93" t="n">
        <f aca="false">PROJETO!E55</f>
        <v>0</v>
      </c>
      <c r="BG29" s="93" t="n">
        <f aca="false">PROJETO!E56</f>
        <v>0</v>
      </c>
      <c r="BH29" s="93" t="n">
        <f aca="false">PROJETO!E57</f>
        <v>0</v>
      </c>
      <c r="BI29" s="93" t="n">
        <f aca="false">PROJETO!E58</f>
        <v>0</v>
      </c>
      <c r="BJ29" s="93" t="n">
        <f aca="false">PROJETO!E59</f>
        <v>0</v>
      </c>
      <c r="BK29" s="93" t="n">
        <f aca="false">PROJETO!E60</f>
        <v>0</v>
      </c>
      <c r="BL29" s="93" t="n">
        <f aca="false">PROJETO!E61</f>
        <v>0</v>
      </c>
      <c r="BM29" s="93" t="n">
        <f aca="false">PROJETO!E62</f>
        <v>0</v>
      </c>
      <c r="BN29" s="93" t="n">
        <f aca="false">PROJETO!E63</f>
        <v>0</v>
      </c>
      <c r="BO29" s="93" t="n">
        <f aca="false">PROJETO!E64</f>
        <v>0</v>
      </c>
      <c r="BP29" s="93" t="n">
        <f aca="false">PROJETO!E65</f>
        <v>0</v>
      </c>
      <c r="BQ29" s="93" t="n">
        <f aca="false">PROJETO!E66</f>
        <v>0</v>
      </c>
      <c r="BR29" s="93" t="n">
        <f aca="false">PROJETO!E67</f>
        <v>0</v>
      </c>
      <c r="BS29" s="93" t="n">
        <f aca="false">PROJETO!E68</f>
        <v>0</v>
      </c>
      <c r="BT29" s="93" t="n">
        <f aca="false">PROJETO!E69</f>
        <v>0</v>
      </c>
      <c r="BU29" s="93" t="n">
        <f aca="false">PROJETO!E70</f>
        <v>0</v>
      </c>
      <c r="BV29" s="93" t="n">
        <f aca="false">PROJETO!E71</f>
        <v>0</v>
      </c>
      <c r="BW29" s="93" t="n">
        <f aca="false">PROJETO!E72</f>
        <v>0</v>
      </c>
      <c r="BX29" s="93" t="n">
        <f aca="false">PROJETO!E73</f>
        <v>0</v>
      </c>
      <c r="BY29" s="93" t="n">
        <f aca="false">PROJETO!E74</f>
        <v>0</v>
      </c>
      <c r="BZ29" s="93" t="n">
        <f aca="false">PROJETO!E75</f>
        <v>0</v>
      </c>
      <c r="CA29" s="93" t="n">
        <f aca="false">PROJETO!E76</f>
        <v>0</v>
      </c>
    </row>
    <row r="30" customFormat="false" ht="15" hidden="false" customHeight="false" outlineLevel="0" collapsed="false">
      <c r="A30" s="55" t="s">
        <v>305</v>
      </c>
      <c r="B30" s="55" t="s">
        <v>337</v>
      </c>
      <c r="C30" s="55" t="s">
        <v>84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305</v>
      </c>
      <c r="B31" s="55" t="s">
        <v>338</v>
      </c>
      <c r="C31" s="55" t="s">
        <v>213</v>
      </c>
      <c r="D31" s="56" t="n">
        <f aca="false">'REV. FACHADA'!$K$5</f>
        <v>4155.171665</v>
      </c>
      <c r="E31" s="45" t="n">
        <f aca="false">SUM(H31:CA31)</f>
        <v>4153.52852979183</v>
      </c>
      <c r="F31" s="45" t="n">
        <f aca="false">IF(D31="","",D31-E31)</f>
        <v>1.64313520817359</v>
      </c>
      <c r="H31" s="93" t="n">
        <f aca="false">'REV. FACHADA'!E5</f>
        <v>0</v>
      </c>
      <c r="I31" s="93" t="n">
        <f aca="false">'REV. FACHADA'!E6</f>
        <v>0</v>
      </c>
      <c r="J31" s="93" t="n">
        <f aca="false">'REV. FACHADA'!E7</f>
        <v>0</v>
      </c>
      <c r="K31" s="93" t="n">
        <f aca="false">'REV. FACHADA'!E8</f>
        <v>0</v>
      </c>
      <c r="L31" s="93" t="n">
        <f aca="false">'REV. FACHADA'!E9</f>
        <v>0</v>
      </c>
      <c r="M31" s="93" t="n">
        <f aca="false">'REV. FACHADA'!E10</f>
        <v>0</v>
      </c>
      <c r="N31" s="93" t="n">
        <f aca="false">'REV. FACHADA'!E11</f>
        <v>0</v>
      </c>
      <c r="O31" s="93" t="n">
        <f aca="false">'REV. FACHADA'!E12</f>
        <v>0</v>
      </c>
      <c r="P31" s="93" t="n">
        <f aca="false">'REV. FACHADA'!E13</f>
        <v>0</v>
      </c>
      <c r="Q31" s="93" t="n">
        <f aca="false">'REV. FACHADA'!E14</f>
        <v>0</v>
      </c>
      <c r="R31" s="93" t="n">
        <f aca="false">'REV. FACHADA'!E15</f>
        <v>0</v>
      </c>
      <c r="S31" s="93" t="n">
        <f aca="false">'REV. FACHADA'!E16</f>
        <v>0</v>
      </c>
      <c r="T31" s="93" t="n">
        <f aca="false">'REV. FACHADA'!E17</f>
        <v>0</v>
      </c>
      <c r="U31" s="93" t="n">
        <f aca="false">'REV. FACHADA'!E18</f>
        <v>0</v>
      </c>
      <c r="V31" s="93" t="n">
        <f aca="false">'REV. FACHADA'!E19</f>
        <v>0</v>
      </c>
      <c r="W31" s="93" t="n">
        <f aca="false">'REV. FACHADA'!E20</f>
        <v>0</v>
      </c>
      <c r="X31" s="93" t="n">
        <f aca="false">'REV. FACHADA'!E21</f>
        <v>0</v>
      </c>
      <c r="Y31" s="93" t="n">
        <f aca="false">'REV. FACHADA'!E22</f>
        <v>0</v>
      </c>
      <c r="Z31" s="93" t="n">
        <f aca="false">'REV. FACHADA'!E23</f>
        <v>0</v>
      </c>
      <c r="AA31" s="93" t="n">
        <f aca="false">'REV. FACHADA'!E24</f>
        <v>0</v>
      </c>
      <c r="AB31" s="93" t="n">
        <f aca="false">'REV. FACHADA'!E25</f>
        <v>0</v>
      </c>
      <c r="AC31" s="93" t="n">
        <f aca="false">'REV. FACHADA'!E26</f>
        <v>0</v>
      </c>
      <c r="AD31" s="93" t="n">
        <f aca="false">'REV. FACHADA'!E27</f>
        <v>0</v>
      </c>
      <c r="AE31" s="93" t="n">
        <f aca="false">'REV. FACHADA'!E28</f>
        <v>0</v>
      </c>
      <c r="AF31" s="93" t="n">
        <f aca="false">'REV. FACHADA'!E29</f>
        <v>0</v>
      </c>
      <c r="AG31" s="93" t="n">
        <f aca="false">'REV. FACHADA'!E30</f>
        <v>0</v>
      </c>
      <c r="AH31" s="93" t="n">
        <f aca="false">'REV. FACHADA'!E31</f>
        <v>0</v>
      </c>
      <c r="AI31" s="93" t="n">
        <f aca="false">'REV. FACHADA'!E32</f>
        <v>0</v>
      </c>
      <c r="AJ31" s="93" t="n">
        <f aca="false">'REV. FACHADA'!E33</f>
        <v>0</v>
      </c>
      <c r="AK31" s="93" t="n">
        <f aca="false">'REV. FACHADA'!E34</f>
        <v>0</v>
      </c>
      <c r="AL31" s="93" t="n">
        <f aca="false">'REV. FACHADA'!E35</f>
        <v>0</v>
      </c>
      <c r="AM31" s="93" t="n">
        <f aca="false">'REV. FACHADA'!E36</f>
        <v>0</v>
      </c>
      <c r="AN31" s="93" t="n">
        <f aca="false">'REV. FACHADA'!E37</f>
        <v>97.1925675971287</v>
      </c>
      <c r="AO31" s="93" t="n">
        <f aca="false">'REV. FACHADA'!E38</f>
        <v>350.142455061451</v>
      </c>
      <c r="AP31" s="93" t="n">
        <f aca="false">'REV. FACHADA'!E39</f>
        <v>494.269895045228</v>
      </c>
      <c r="AQ31" s="93" t="n">
        <f aca="false">'REV. FACHADA'!E40</f>
        <v>410.368618743432</v>
      </c>
      <c r="AR31" s="93" t="n">
        <f aca="false">'REV. FACHADA'!E41</f>
        <v>365.92586347466</v>
      </c>
      <c r="AS31" s="93" t="n">
        <f aca="false">'REV. FACHADA'!E42</f>
        <v>332.697635236325</v>
      </c>
      <c r="AT31" s="93" t="n">
        <f aca="false">'REV. FACHADA'!E43</f>
        <v>329.374812412492</v>
      </c>
      <c r="AU31" s="93" t="n">
        <f aca="false">'REV. FACHADA'!E44</f>
        <v>252.534534611343</v>
      </c>
      <c r="AV31" s="93" t="n">
        <f aca="false">'REV. FACHADA'!E45</f>
        <v>108.822447480546</v>
      </c>
      <c r="AW31" s="93" t="n">
        <f aca="false">'REV. FACHADA'!E46</f>
        <v>124.605855893755</v>
      </c>
      <c r="AX31" s="93" t="n">
        <f aca="false">'REV. FACHADA'!E47</f>
        <v>203.938250812779</v>
      </c>
      <c r="AY31" s="93" t="n">
        <f aca="false">'REV. FACHADA'!E48</f>
        <v>317.329579676096</v>
      </c>
      <c r="AZ31" s="93" t="n">
        <f aca="false">'REV. FACHADA'!E49</f>
        <v>484.716779426706</v>
      </c>
      <c r="BA31" s="93" t="n">
        <f aca="false">'REV. FACHADA'!E50</f>
        <v>7.47635135362557</v>
      </c>
      <c r="BB31" s="93" t="n">
        <f aca="false">'REV. FACHADA'!E51</f>
        <v>198.12331087107</v>
      </c>
      <c r="BC31" s="93" t="n">
        <f aca="false">'REV. FACHADA'!E52</f>
        <v>54.8265765932518</v>
      </c>
      <c r="BD31" s="93" t="n">
        <f aca="false">'REV. FACHADA'!E53</f>
        <v>5.81493994170858</v>
      </c>
      <c r="BE31" s="93" t="n">
        <f aca="false">'REV. FACHADA'!E54</f>
        <v>8.30705705958377</v>
      </c>
      <c r="BF31" s="93" t="n">
        <f aca="false">'REV. FACHADA'!E55</f>
        <v>7.06099850064618</v>
      </c>
      <c r="BG31" s="93" t="n">
        <f aca="false">'REV. FACHADA'!E56</f>
        <v>0</v>
      </c>
      <c r="BH31" s="93" t="n">
        <f aca="false">'REV. FACHADA'!E57</f>
        <v>0</v>
      </c>
      <c r="BI31" s="93" t="n">
        <f aca="false">'REV. FACHADA'!E58</f>
        <v>0</v>
      </c>
      <c r="BJ31" s="93" t="n">
        <f aca="false">'REV. FACHADA'!E59</f>
        <v>0</v>
      </c>
      <c r="BK31" s="93" t="n">
        <f aca="false">'REV. FACHADA'!E60</f>
        <v>0</v>
      </c>
      <c r="BL31" s="93" t="n">
        <f aca="false">'REV. FACHADA'!E61</f>
        <v>0</v>
      </c>
      <c r="BM31" s="93" t="n">
        <f aca="false">'REV. FACHADA'!E62</f>
        <v>0</v>
      </c>
      <c r="BN31" s="93" t="n">
        <f aca="false">'REV. FACHADA'!E63</f>
        <v>0</v>
      </c>
      <c r="BO31" s="93" t="n">
        <f aca="false">'REV. FACHADA'!E64</f>
        <v>0</v>
      </c>
      <c r="BP31" s="93" t="n">
        <f aca="false">'REV. FACHADA'!E65</f>
        <v>0</v>
      </c>
      <c r="BQ31" s="93" t="n">
        <f aca="false">'REV. FACHADA'!E66</f>
        <v>0</v>
      </c>
      <c r="BR31" s="93" t="n">
        <f aca="false">'REV. FACHADA'!E67</f>
        <v>0</v>
      </c>
      <c r="BS31" s="93" t="n">
        <f aca="false">'REV. FACHADA'!E68</f>
        <v>0</v>
      </c>
      <c r="BT31" s="93" t="n">
        <f aca="false">'REV. FACHADA'!E69</f>
        <v>0</v>
      </c>
      <c r="BU31" s="93" t="n">
        <f aca="false">'REV. FACHADA'!E70</f>
        <v>0</v>
      </c>
      <c r="BV31" s="93" t="n">
        <f aca="false">'REV. FACHADA'!E71</f>
        <v>0</v>
      </c>
      <c r="BW31" s="93" t="n">
        <f aca="false">'REV. FACHADA'!E72</f>
        <v>0</v>
      </c>
      <c r="BX31" s="93" t="n">
        <f aca="false">'REV. FACHADA'!E73</f>
        <v>0</v>
      </c>
      <c r="BY31" s="93" t="n">
        <f aca="false">'REV. FACHADA'!E74</f>
        <v>0</v>
      </c>
      <c r="BZ31" s="93" t="n">
        <f aca="false">'REV. FACHADA'!E75</f>
        <v>0</v>
      </c>
      <c r="CA31" s="93" t="n">
        <f aca="false">'REV. FACHADA'!E76</f>
        <v>0</v>
      </c>
    </row>
    <row r="32" customFormat="false" ht="15" hidden="false" customHeight="false" outlineLevel="0" collapsed="false">
      <c r="A32" s="55" t="s">
        <v>305</v>
      </c>
      <c r="B32" s="55" t="s">
        <v>339</v>
      </c>
      <c r="C32" s="55" t="s">
        <v>206</v>
      </c>
      <c r="D32" s="56" t="n">
        <f aca="false">'REV. ACAB'!$K$5</f>
        <v>8549.605448</v>
      </c>
      <c r="E32" s="45" t="n">
        <f aca="false">SUM(H32:CA32)</f>
        <v>8546.22456295837</v>
      </c>
      <c r="F32" s="45" t="n">
        <f aca="false">IF(D32="","",D32-E32)</f>
        <v>3.38088504162806</v>
      </c>
      <c r="H32" s="93" t="n">
        <f aca="false">'REV. ACAB'!E5</f>
        <v>0</v>
      </c>
      <c r="I32" s="93" t="n">
        <f aca="false">'REV. ACAB'!E6</f>
        <v>0</v>
      </c>
      <c r="J32" s="93" t="n">
        <f aca="false">'REV. ACAB'!E7</f>
        <v>0</v>
      </c>
      <c r="K32" s="93" t="n">
        <f aca="false">'REV. ACAB'!E8</f>
        <v>0</v>
      </c>
      <c r="L32" s="93" t="n">
        <f aca="false">'REV. ACAB'!E9</f>
        <v>0</v>
      </c>
      <c r="M32" s="93" t="n">
        <f aca="false">'REV. ACAB'!E10</f>
        <v>0</v>
      </c>
      <c r="N32" s="93" t="n">
        <f aca="false">'REV. ACAB'!E11</f>
        <v>0</v>
      </c>
      <c r="O32" s="93" t="n">
        <f aca="false">'REV. ACAB'!E12</f>
        <v>0</v>
      </c>
      <c r="P32" s="93" t="n">
        <f aca="false">'REV. ACAB'!E13</f>
        <v>0</v>
      </c>
      <c r="Q32" s="93" t="n">
        <f aca="false">'REV. ACAB'!E14</f>
        <v>0</v>
      </c>
      <c r="R32" s="93" t="n">
        <f aca="false">'REV. ACAB'!E15</f>
        <v>0</v>
      </c>
      <c r="S32" s="93" t="n">
        <f aca="false">'REV. ACAB'!E16</f>
        <v>0</v>
      </c>
      <c r="T32" s="93" t="n">
        <f aca="false">'REV. ACAB'!E17</f>
        <v>0</v>
      </c>
      <c r="U32" s="93" t="n">
        <f aca="false">'REV. ACAB'!E18</f>
        <v>0</v>
      </c>
      <c r="V32" s="93" t="n">
        <f aca="false">'REV. ACAB'!E19</f>
        <v>0</v>
      </c>
      <c r="W32" s="93" t="n">
        <f aca="false">'REV. ACAB'!E20</f>
        <v>0</v>
      </c>
      <c r="X32" s="93" t="n">
        <f aca="false">'REV. ACAB'!E21</f>
        <v>0</v>
      </c>
      <c r="Y32" s="93" t="n">
        <f aca="false">'REV. ACAB'!E22</f>
        <v>0</v>
      </c>
      <c r="Z32" s="93" t="n">
        <f aca="false">'REV. ACAB'!E23</f>
        <v>0</v>
      </c>
      <c r="AA32" s="93" t="n">
        <f aca="false">'REV. ACAB'!E24</f>
        <v>0</v>
      </c>
      <c r="AB32" s="93" t="n">
        <f aca="false">'REV. ACAB'!E25</f>
        <v>0</v>
      </c>
      <c r="AC32" s="93" t="n">
        <f aca="false">'REV. ACAB'!E26</f>
        <v>0</v>
      </c>
      <c r="AD32" s="93" t="n">
        <f aca="false">'REV. ACAB'!E27</f>
        <v>0</v>
      </c>
      <c r="AE32" s="93" t="n">
        <f aca="false">'REV. ACAB'!E28</f>
        <v>0</v>
      </c>
      <c r="AF32" s="93" t="n">
        <f aca="false">'REV. ACAB'!E29</f>
        <v>0</v>
      </c>
      <c r="AG32" s="93" t="n">
        <f aca="false">'REV. ACAB'!E30</f>
        <v>0</v>
      </c>
      <c r="AH32" s="93" t="n">
        <f aca="false">'REV. ACAB'!E31</f>
        <v>0</v>
      </c>
      <c r="AI32" s="93" t="n">
        <f aca="false">'REV. ACAB'!E32</f>
        <v>0</v>
      </c>
      <c r="AJ32" s="93" t="n">
        <f aca="false">'REV. ACAB'!E33</f>
        <v>0</v>
      </c>
      <c r="AK32" s="93" t="n">
        <f aca="false">'REV. ACAB'!E34</f>
        <v>0</v>
      </c>
      <c r="AL32" s="93" t="n">
        <f aca="false">'REV. ACAB'!E35</f>
        <v>0</v>
      </c>
      <c r="AM32" s="93" t="n">
        <f aca="false">'REV. ACAB'!E36</f>
        <v>0</v>
      </c>
      <c r="AN32" s="93" t="n">
        <f aca="false">'REV. ACAB'!E37</f>
        <v>41.0341881586478</v>
      </c>
      <c r="AO32" s="93" t="n">
        <f aca="false">'REV. ACAB'!E38</f>
        <v>346.225962588591</v>
      </c>
      <c r="AP32" s="93" t="n">
        <f aca="false">'REV. ACAB'!E39</f>
        <v>471.038284904478</v>
      </c>
      <c r="AQ32" s="93" t="n">
        <f aca="false">'REV. ACAB'!E40</f>
        <v>491.555378983802</v>
      </c>
      <c r="AR32" s="93" t="n">
        <f aca="false">'REV. ACAB'!E41</f>
        <v>641.159189978872</v>
      </c>
      <c r="AS32" s="93" t="n">
        <f aca="false">'REV. ACAB'!E42</f>
        <v>783.923969614167</v>
      </c>
      <c r="AT32" s="93" t="n">
        <f aca="false">'REV. ACAB'!E43</f>
        <v>572.768876381125</v>
      </c>
      <c r="AU32" s="93" t="n">
        <f aca="false">'REV. ACAB'!E44</f>
        <v>729.21171873597</v>
      </c>
      <c r="AV32" s="93" t="n">
        <f aca="false">'REV. ACAB'!E45</f>
        <v>594.995728300393</v>
      </c>
      <c r="AW32" s="93" t="n">
        <f aca="false">'REV. ACAB'!E46</f>
        <v>668.51531541797</v>
      </c>
      <c r="AX32" s="93" t="n">
        <f aca="false">'REV. ACAB'!E47</f>
        <v>681.338499217548</v>
      </c>
      <c r="AY32" s="93" t="n">
        <f aca="false">'REV. ACAB'!E48</f>
        <v>596.705486140337</v>
      </c>
      <c r="AZ32" s="93" t="n">
        <f aca="false">'REV. ACAB'!E49</f>
        <v>330.838142029098</v>
      </c>
      <c r="BA32" s="93" t="n">
        <f aca="false">'REV. ACAB'!E50</f>
        <v>430.858975665801</v>
      </c>
      <c r="BB32" s="93" t="n">
        <f aca="false">'REV. ACAB'!E51</f>
        <v>349.645478268478</v>
      </c>
      <c r="BC32" s="93" t="n">
        <f aca="false">'REV. ACAB'!E52</f>
        <v>275.271012230929</v>
      </c>
      <c r="BD32" s="93" t="n">
        <f aca="false">'REV. ACAB'!E53</f>
        <v>246.205128951886</v>
      </c>
      <c r="BE32" s="93" t="n">
        <f aca="false">'REV. ACAB'!E54</f>
        <v>216.284366752873</v>
      </c>
      <c r="BF32" s="93" t="n">
        <f aca="false">'REV. ACAB'!E55</f>
        <v>78.6488606374084</v>
      </c>
      <c r="BG32" s="93" t="n">
        <f aca="false">'REV. ACAB'!E56</f>
        <v>0</v>
      </c>
      <c r="BH32" s="93" t="n">
        <f aca="false">'REV. ACAB'!E57</f>
        <v>0</v>
      </c>
      <c r="BI32" s="93" t="n">
        <f aca="false">'REV. ACAB'!E58</f>
        <v>0</v>
      </c>
      <c r="BJ32" s="93" t="n">
        <f aca="false">'REV. ACAB'!E59</f>
        <v>0</v>
      </c>
      <c r="BK32" s="93" t="n">
        <f aca="false">'REV. ACAB'!E60</f>
        <v>0</v>
      </c>
      <c r="BL32" s="93" t="n">
        <f aca="false">'REV. ACAB'!E61</f>
        <v>0</v>
      </c>
      <c r="BM32" s="93" t="n">
        <f aca="false">'REV. ACAB'!E62</f>
        <v>0</v>
      </c>
      <c r="BN32" s="93" t="n">
        <f aca="false">'REV. ACAB'!E63</f>
        <v>0</v>
      </c>
      <c r="BO32" s="93" t="n">
        <f aca="false">'REV. ACAB'!E64</f>
        <v>0</v>
      </c>
      <c r="BP32" s="93" t="n">
        <f aca="false">'REV. ACAB'!E65</f>
        <v>0</v>
      </c>
      <c r="BQ32" s="93" t="n">
        <f aca="false">'REV. ACAB'!E66</f>
        <v>0</v>
      </c>
      <c r="BR32" s="93" t="n">
        <f aca="false">'REV. ACAB'!E67</f>
        <v>0</v>
      </c>
      <c r="BS32" s="93" t="n">
        <f aca="false">'REV. ACAB'!E68</f>
        <v>0</v>
      </c>
      <c r="BT32" s="93" t="n">
        <f aca="false">'REV. ACAB'!E69</f>
        <v>0</v>
      </c>
      <c r="BU32" s="93" t="n">
        <f aca="false">'REV. ACAB'!E70</f>
        <v>0</v>
      </c>
      <c r="BV32" s="93" t="n">
        <f aca="false">'REV. ACAB'!E71</f>
        <v>0</v>
      </c>
      <c r="BW32" s="93" t="n">
        <f aca="false">'REV. ACAB'!E72</f>
        <v>0</v>
      </c>
      <c r="BX32" s="93" t="n">
        <f aca="false">'REV. ACAB'!E73</f>
        <v>0</v>
      </c>
      <c r="BY32" s="93" t="n">
        <f aca="false">'REV. ACAB'!E74</f>
        <v>0</v>
      </c>
      <c r="BZ32" s="93" t="n">
        <f aca="false">'REV. ACAB'!E75</f>
        <v>0</v>
      </c>
      <c r="CA32" s="93" t="n">
        <f aca="false">'REV. ACAB'!E76</f>
        <v>0</v>
      </c>
    </row>
    <row r="33" customFormat="false" ht="15" hidden="false" customHeight="false" outlineLevel="0" collapsed="false">
      <c r="A33" s="55" t="s">
        <v>305</v>
      </c>
      <c r="B33" s="55" t="s">
        <v>340</v>
      </c>
      <c r="C33" s="55" t="s">
        <v>200</v>
      </c>
      <c r="D33" s="56" t="n">
        <f aca="false">'REV. PISOS'!$K$5</f>
        <v>900.853067</v>
      </c>
      <c r="E33" s="45" t="n">
        <f aca="false">SUM(H33:CA33)</f>
        <v>900.496830600853</v>
      </c>
      <c r="F33" s="45" t="n">
        <f aca="false">IF(D33="","",D33-E33)</f>
        <v>0.356236399147065</v>
      </c>
      <c r="H33" s="93" t="n">
        <f aca="false">'REV. PISOS'!E5</f>
        <v>0</v>
      </c>
      <c r="I33" s="93" t="n">
        <f aca="false">'REV. PISOS'!E6</f>
        <v>0</v>
      </c>
      <c r="J33" s="93" t="n">
        <f aca="false">'REV. PISOS'!E7</f>
        <v>0</v>
      </c>
      <c r="K33" s="93" t="n">
        <f aca="false">'REV. PISOS'!E8</f>
        <v>0</v>
      </c>
      <c r="L33" s="93" t="n">
        <f aca="false">'REV. PISOS'!E9</f>
        <v>0</v>
      </c>
      <c r="M33" s="93" t="n">
        <f aca="false">'REV. PISOS'!E10</f>
        <v>0</v>
      </c>
      <c r="N33" s="93" t="n">
        <f aca="false">'REV. PISOS'!E11</f>
        <v>0</v>
      </c>
      <c r="O33" s="93" t="n">
        <f aca="false">'REV. PISOS'!E12</f>
        <v>0</v>
      </c>
      <c r="P33" s="93" t="n">
        <f aca="false">'REV. PISOS'!E13</f>
        <v>0</v>
      </c>
      <c r="Q33" s="93" t="n">
        <f aca="false">'REV. PISOS'!E14</f>
        <v>0</v>
      </c>
      <c r="R33" s="93" t="n">
        <f aca="false">'REV. PISOS'!E15</f>
        <v>0</v>
      </c>
      <c r="S33" s="93" t="n">
        <f aca="false">'REV. PISOS'!E16</f>
        <v>0</v>
      </c>
      <c r="T33" s="93" t="n">
        <f aca="false">'REV. PISOS'!E17</f>
        <v>0</v>
      </c>
      <c r="U33" s="93" t="n">
        <f aca="false">'REV. PISOS'!E18</f>
        <v>0</v>
      </c>
      <c r="V33" s="93" t="n">
        <f aca="false">'REV. PISOS'!E19</f>
        <v>0</v>
      </c>
      <c r="W33" s="93" t="n">
        <f aca="false">'REV. PISOS'!E20</f>
        <v>0</v>
      </c>
      <c r="X33" s="93" t="n">
        <f aca="false">'REV. PISOS'!E21</f>
        <v>0</v>
      </c>
      <c r="Y33" s="93" t="n">
        <f aca="false">'REV. PISOS'!E22</f>
        <v>0</v>
      </c>
      <c r="Z33" s="93" t="n">
        <f aca="false">'REV. PISOS'!E23</f>
        <v>0</v>
      </c>
      <c r="AA33" s="93" t="n">
        <f aca="false">'REV. PISOS'!E24</f>
        <v>0</v>
      </c>
      <c r="AB33" s="93" t="n">
        <f aca="false">'REV. PISOS'!E25</f>
        <v>0</v>
      </c>
      <c r="AC33" s="93" t="n">
        <f aca="false">'REV. PISOS'!E26</f>
        <v>0</v>
      </c>
      <c r="AD33" s="93" t="n">
        <f aca="false">'REV. PISOS'!E27</f>
        <v>0</v>
      </c>
      <c r="AE33" s="93" t="n">
        <f aca="false">'REV. PISOS'!E28</f>
        <v>0</v>
      </c>
      <c r="AF33" s="93" t="n">
        <f aca="false">'REV. PISOS'!E29</f>
        <v>0</v>
      </c>
      <c r="AG33" s="93" t="n">
        <f aca="false">'REV. PISOS'!E30</f>
        <v>0</v>
      </c>
      <c r="AH33" s="93" t="n">
        <f aca="false">'REV. PISOS'!E31</f>
        <v>0</v>
      </c>
      <c r="AI33" s="93" t="n">
        <f aca="false">'REV. PISOS'!E32</f>
        <v>0</v>
      </c>
      <c r="AJ33" s="93" t="n">
        <f aca="false">'REV. PISOS'!E33</f>
        <v>1.44079492896136</v>
      </c>
      <c r="AK33" s="93" t="n">
        <f aca="false">'REV. PISOS'!E34</f>
        <v>2.97163954098281</v>
      </c>
      <c r="AL33" s="93" t="n">
        <f aca="false">'REV. PISOS'!E35</f>
        <v>32.5979852677509</v>
      </c>
      <c r="AM33" s="93" t="n">
        <f aca="false">'REV. PISOS'!E36</f>
        <v>68.2576597595447</v>
      </c>
      <c r="AN33" s="93" t="n">
        <f aca="false">'REV. PISOS'!E37</f>
        <v>73.3904916939695</v>
      </c>
      <c r="AO33" s="93" t="n">
        <f aca="false">'REV. PISOS'!E38</f>
        <v>73.3004420109094</v>
      </c>
      <c r="AP33" s="93" t="n">
        <f aca="false">'REV. PISOS'!E39</f>
        <v>75.7317834535317</v>
      </c>
      <c r="AQ33" s="93" t="n">
        <f aca="false">'REV. PISOS'!E40</f>
        <v>163.800373486295</v>
      </c>
      <c r="AR33" s="93" t="n">
        <f aca="false">'REV. PISOS'!E41</f>
        <v>62.4044303606391</v>
      </c>
      <c r="AS33" s="93" t="n">
        <f aca="false">'REV. PISOS'!E42</f>
        <v>71.3193489835876</v>
      </c>
      <c r="AT33" s="93" t="n">
        <f aca="false">'REV. PISOS'!E43</f>
        <v>74.8312866229308</v>
      </c>
      <c r="AU33" s="93" t="n">
        <f aca="false">'REV. PISOS'!E44</f>
        <v>68.3477094426048</v>
      </c>
      <c r="AV33" s="93" t="n">
        <f aca="false">'REV. PISOS'!E45</f>
        <v>54.0298098360512</v>
      </c>
      <c r="AW33" s="93" t="n">
        <f aca="false">'REV. PISOS'!E46</f>
        <v>26.6547061857853</v>
      </c>
      <c r="AX33" s="93" t="n">
        <f aca="false">'REV. PISOS'!E47</f>
        <v>14.4979989726737</v>
      </c>
      <c r="AY33" s="93" t="n">
        <f aca="false">'REV. PISOS'!E48</f>
        <v>36.1999725901542</v>
      </c>
      <c r="AZ33" s="93" t="n">
        <f aca="false">'REV. PISOS'!E49</f>
        <v>0.720397464480667</v>
      </c>
      <c r="BA33" s="93" t="n">
        <f aca="false">'REV. PISOS'!E50</f>
        <v>0</v>
      </c>
      <c r="BB33" s="93" t="n">
        <f aca="false">'REV. PISOS'!E51</f>
        <v>0</v>
      </c>
      <c r="BC33" s="93" t="n">
        <f aca="false">'REV. PISOS'!E52</f>
        <v>0</v>
      </c>
      <c r="BD33" s="93" t="n">
        <f aca="false">'REV. PISOS'!E53</f>
        <v>0</v>
      </c>
      <c r="BE33" s="93" t="n">
        <f aca="false">'REV. PISOS'!E54</f>
        <v>0</v>
      </c>
      <c r="BF33" s="93" t="n">
        <f aca="false">'REV. PISOS'!E55</f>
        <v>0</v>
      </c>
      <c r="BG33" s="93" t="n">
        <f aca="false">'REV. PISOS'!E56</f>
        <v>0</v>
      </c>
      <c r="BH33" s="93" t="n">
        <f aca="false">'REV. PISOS'!E57</f>
        <v>0</v>
      </c>
      <c r="BI33" s="93" t="n">
        <f aca="false">'REV. PISOS'!E58</f>
        <v>0</v>
      </c>
      <c r="BJ33" s="93" t="n">
        <f aca="false">'REV. PISOS'!E59</f>
        <v>0</v>
      </c>
      <c r="BK33" s="93" t="n">
        <f aca="false">'REV. PISOS'!E60</f>
        <v>0</v>
      </c>
      <c r="BL33" s="93" t="n">
        <f aca="false">'REV. PISOS'!E61</f>
        <v>0</v>
      </c>
      <c r="BM33" s="93" t="n">
        <f aca="false">'REV. PISOS'!E62</f>
        <v>0</v>
      </c>
      <c r="BN33" s="93" t="n">
        <f aca="false">'REV. PISOS'!E63</f>
        <v>0</v>
      </c>
      <c r="BO33" s="93" t="n">
        <f aca="false">'REV. PISOS'!E64</f>
        <v>0</v>
      </c>
      <c r="BP33" s="93" t="n">
        <f aca="false">'REV. PISOS'!E65</f>
        <v>0</v>
      </c>
      <c r="BQ33" s="93" t="n">
        <f aca="false">'REV. PISOS'!E66</f>
        <v>0</v>
      </c>
      <c r="BR33" s="93" t="n">
        <f aca="false">'REV. PISOS'!E67</f>
        <v>0</v>
      </c>
      <c r="BS33" s="93" t="n">
        <f aca="false">'REV. PISOS'!E68</f>
        <v>0</v>
      </c>
      <c r="BT33" s="93" t="n">
        <f aca="false">'REV. PISOS'!E69</f>
        <v>0</v>
      </c>
      <c r="BU33" s="93" t="n">
        <f aca="false">'REV. PISOS'!E70</f>
        <v>0</v>
      </c>
      <c r="BV33" s="93" t="n">
        <f aca="false">'REV. PISOS'!E71</f>
        <v>0</v>
      </c>
      <c r="BW33" s="93" t="n">
        <f aca="false">'REV. PISOS'!E72</f>
        <v>0</v>
      </c>
      <c r="BX33" s="93" t="n">
        <f aca="false">'REV. PISOS'!E73</f>
        <v>0</v>
      </c>
      <c r="BY33" s="93" t="n">
        <f aca="false">'REV. PISOS'!E74</f>
        <v>0</v>
      </c>
      <c r="BZ33" s="93" t="n">
        <f aca="false">'REV. PISOS'!E75</f>
        <v>0</v>
      </c>
      <c r="CA33" s="93" t="n">
        <f aca="false">'REV. PISOS'!E76</f>
        <v>0</v>
      </c>
    </row>
    <row r="34" customFormat="false" ht="15" hidden="false" customHeight="false" outlineLevel="0" collapsed="false">
      <c r="A34" s="55" t="s">
        <v>305</v>
      </c>
      <c r="B34" s="55" t="s">
        <v>341</v>
      </c>
      <c r="C34" s="55" t="s">
        <v>203</v>
      </c>
      <c r="D34" s="56" t="n">
        <f aca="false">'REV. PAREDE'!$K$5</f>
        <v>2069.679275</v>
      </c>
      <c r="E34" s="45" t="n">
        <f aca="false">SUM(H34:CA34)</f>
        <v>2068.86083399189</v>
      </c>
      <c r="F34" s="45" t="n">
        <f aca="false">IF(D34="","",D34-E34)</f>
        <v>0.818441008111222</v>
      </c>
      <c r="H34" s="93" t="n">
        <f aca="false">'REV. PAREDE'!E5</f>
        <v>0</v>
      </c>
      <c r="I34" s="93" t="n">
        <f aca="false">'REV. PAREDE'!E6</f>
        <v>0</v>
      </c>
      <c r="J34" s="93" t="n">
        <f aca="false">'REV. PAREDE'!E7</f>
        <v>0</v>
      </c>
      <c r="K34" s="93" t="n">
        <f aca="false">'REV. PAREDE'!E8</f>
        <v>0</v>
      </c>
      <c r="L34" s="93" t="n">
        <f aca="false">'REV. PAREDE'!E9</f>
        <v>0</v>
      </c>
      <c r="M34" s="93" t="n">
        <f aca="false">'REV. PAREDE'!E10</f>
        <v>0</v>
      </c>
      <c r="N34" s="93" t="n">
        <f aca="false">'REV. PAREDE'!E11</f>
        <v>0</v>
      </c>
      <c r="O34" s="93" t="n">
        <f aca="false">'REV. PAREDE'!E12</f>
        <v>0</v>
      </c>
      <c r="P34" s="93" t="n">
        <f aca="false">'REV. PAREDE'!E13</f>
        <v>0</v>
      </c>
      <c r="Q34" s="93" t="n">
        <f aca="false">'REV. PAREDE'!E14</f>
        <v>0</v>
      </c>
      <c r="R34" s="93" t="n">
        <f aca="false">'REV. PAREDE'!E15</f>
        <v>0</v>
      </c>
      <c r="S34" s="93" t="n">
        <f aca="false">'REV. PAREDE'!E16</f>
        <v>0</v>
      </c>
      <c r="T34" s="93" t="n">
        <f aca="false">'REV. PAREDE'!E17</f>
        <v>0</v>
      </c>
      <c r="U34" s="93" t="n">
        <f aca="false">'REV. PAREDE'!E18</f>
        <v>0</v>
      </c>
      <c r="V34" s="93" t="n">
        <f aca="false">'REV. PAREDE'!E19</f>
        <v>0</v>
      </c>
      <c r="W34" s="93" t="n">
        <f aca="false">'REV. PAREDE'!E20</f>
        <v>0</v>
      </c>
      <c r="X34" s="93" t="n">
        <f aca="false">'REV. PAREDE'!E21</f>
        <v>0</v>
      </c>
      <c r="Y34" s="93" t="n">
        <f aca="false">'REV. PAREDE'!E22</f>
        <v>0</v>
      </c>
      <c r="Z34" s="93" t="n">
        <f aca="false">'REV. PAREDE'!E23</f>
        <v>0</v>
      </c>
      <c r="AA34" s="93" t="n">
        <f aca="false">'REV. PAREDE'!E24</f>
        <v>0</v>
      </c>
      <c r="AB34" s="93" t="n">
        <f aca="false">'REV. PAREDE'!E25</f>
        <v>0</v>
      </c>
      <c r="AC34" s="93" t="n">
        <f aca="false">'REV. PAREDE'!E26</f>
        <v>0</v>
      </c>
      <c r="AD34" s="93" t="n">
        <f aca="false">'REV. PAREDE'!E27</f>
        <v>0</v>
      </c>
      <c r="AE34" s="93" t="n">
        <f aca="false">'REV. PAREDE'!E28</f>
        <v>0</v>
      </c>
      <c r="AF34" s="93" t="n">
        <f aca="false">'REV. PAREDE'!E29</f>
        <v>0</v>
      </c>
      <c r="AG34" s="93" t="n">
        <f aca="false">'REV. PAREDE'!E30</f>
        <v>0</v>
      </c>
      <c r="AH34" s="93" t="n">
        <f aca="false">'REV. PAREDE'!E31</f>
        <v>0</v>
      </c>
      <c r="AI34" s="93" t="n">
        <f aca="false">'REV. PAREDE'!E32</f>
        <v>0</v>
      </c>
      <c r="AJ34" s="93" t="n">
        <f aca="false">'REV. PAREDE'!E33</f>
        <v>4.75837991818134</v>
      </c>
      <c r="AK34" s="93" t="n">
        <f aca="false">'REV. PAREDE'!E34</f>
        <v>24.6194439245035</v>
      </c>
      <c r="AL34" s="93" t="n">
        <f aca="false">'REV. PAREDE'!E35</f>
        <v>148.957980047416</v>
      </c>
      <c r="AM34" s="93" t="n">
        <f aca="false">'REV. PAREDE'!E36</f>
        <v>121.442130955324</v>
      </c>
      <c r="AN34" s="93" t="n">
        <f aca="false">'REV. PAREDE'!E37</f>
        <v>187.231905476266</v>
      </c>
      <c r="AO34" s="93" t="n">
        <f aca="false">'REV. PAREDE'!E38</f>
        <v>360.602443364786</v>
      </c>
      <c r="AP34" s="93" t="n">
        <f aca="false">'REV. PAREDE'!E39</f>
        <v>198.403753979822</v>
      </c>
      <c r="AQ34" s="93" t="n">
        <f aca="false">'REV. PAREDE'!E40</f>
        <v>171.508563137928</v>
      </c>
      <c r="AR34" s="93" t="n">
        <f aca="false">'REV. PAREDE'!E41</f>
        <v>136.544815043465</v>
      </c>
      <c r="AS34" s="93" t="n">
        <f aca="false">'REV. PAREDE'!E42</f>
        <v>198.196867896423</v>
      </c>
      <c r="AT34" s="93" t="n">
        <f aca="false">'REV. PAREDE'!E43</f>
        <v>174.404968305516</v>
      </c>
      <c r="AU34" s="93" t="n">
        <f aca="false">'REV. PAREDE'!E44</f>
        <v>180.404664724093</v>
      </c>
      <c r="AV34" s="93" t="n">
        <f aca="false">'REV. PAREDE'!E45</f>
        <v>82.133775109478</v>
      </c>
      <c r="AW34" s="93" t="n">
        <f aca="false">'REV. PAREDE'!E46</f>
        <v>29.9984820928822</v>
      </c>
      <c r="AX34" s="93" t="n">
        <f aca="false">'REV. PAREDE'!E47</f>
        <v>49.6526600158054</v>
      </c>
      <c r="AY34" s="93" t="n">
        <f aca="false">'REV. PAREDE'!E48</f>
        <v>0</v>
      </c>
      <c r="AZ34" s="93" t="n">
        <f aca="false">'REV. PAREDE'!E49</f>
        <v>0</v>
      </c>
      <c r="BA34" s="93" t="n">
        <f aca="false">'REV. PAREDE'!E50</f>
        <v>0</v>
      </c>
      <c r="BB34" s="93" t="n">
        <f aca="false">'REV. PAREDE'!E51</f>
        <v>0</v>
      </c>
      <c r="BC34" s="93" t="n">
        <f aca="false">'REV. PAREDE'!E52</f>
        <v>0</v>
      </c>
      <c r="BD34" s="93" t="n">
        <f aca="false">'REV. PAREDE'!E53</f>
        <v>0</v>
      </c>
      <c r="BE34" s="93" t="n">
        <f aca="false">'REV. PAREDE'!E54</f>
        <v>0</v>
      </c>
      <c r="BF34" s="93" t="n">
        <f aca="false">'REV. PAREDE'!E55</f>
        <v>0</v>
      </c>
      <c r="BG34" s="93" t="n">
        <f aca="false">'REV. PAREDE'!E56</f>
        <v>0</v>
      </c>
      <c r="BH34" s="93" t="n">
        <f aca="false">'REV. PAREDE'!E57</f>
        <v>0</v>
      </c>
      <c r="BI34" s="93" t="n">
        <f aca="false">'REV. PAREDE'!E58</f>
        <v>0</v>
      </c>
      <c r="BJ34" s="93" t="n">
        <f aca="false">'REV. PAREDE'!E59</f>
        <v>0</v>
      </c>
      <c r="BK34" s="93" t="n">
        <f aca="false">'REV. PAREDE'!E60</f>
        <v>0</v>
      </c>
      <c r="BL34" s="93" t="n">
        <f aca="false">'REV. PAREDE'!E61</f>
        <v>0</v>
      </c>
      <c r="BM34" s="93" t="n">
        <f aca="false">'REV. PAREDE'!E62</f>
        <v>0</v>
      </c>
      <c r="BN34" s="93" t="n">
        <f aca="false">'REV. PAREDE'!E63</f>
        <v>0</v>
      </c>
      <c r="BO34" s="93" t="n">
        <f aca="false">'REV. PAREDE'!E64</f>
        <v>0</v>
      </c>
      <c r="BP34" s="93" t="n">
        <f aca="false">'REV. PAREDE'!E65</f>
        <v>0</v>
      </c>
      <c r="BQ34" s="93" t="n">
        <f aca="false">'REV. PAREDE'!E66</f>
        <v>0</v>
      </c>
      <c r="BR34" s="93" t="n">
        <f aca="false">'REV. PAREDE'!E67</f>
        <v>0</v>
      </c>
      <c r="BS34" s="93" t="n">
        <f aca="false">'REV. PAREDE'!E68</f>
        <v>0</v>
      </c>
      <c r="BT34" s="93" t="n">
        <f aca="false">'REV. PAREDE'!E69</f>
        <v>0</v>
      </c>
      <c r="BU34" s="93" t="n">
        <f aca="false">'REV. PAREDE'!E70</f>
        <v>0</v>
      </c>
      <c r="BV34" s="93" t="n">
        <f aca="false">'REV. PAREDE'!E71</f>
        <v>0</v>
      </c>
      <c r="BW34" s="93" t="n">
        <f aca="false">'REV. PAREDE'!E72</f>
        <v>0</v>
      </c>
      <c r="BX34" s="93" t="n">
        <f aca="false">'REV. PAREDE'!E73</f>
        <v>0</v>
      </c>
      <c r="BY34" s="93" t="n">
        <f aca="false">'REV. PAREDE'!E74</f>
        <v>0</v>
      </c>
      <c r="BZ34" s="93" t="n">
        <f aca="false">'REV. PAREDE'!E75</f>
        <v>0</v>
      </c>
      <c r="CA34" s="93" t="n">
        <f aca="false">'REV. PAREDE'!E76</f>
        <v>0</v>
      </c>
    </row>
    <row r="35" customFormat="false" ht="15" hidden="false" customHeight="false" outlineLevel="0" collapsed="false">
      <c r="A35" s="55" t="s">
        <v>305</v>
      </c>
      <c r="B35" s="55" t="s">
        <v>342</v>
      </c>
      <c r="C35" s="55" t="s">
        <v>343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305</v>
      </c>
      <c r="B36" s="55" t="s">
        <v>344</v>
      </c>
      <c r="C36" s="55" t="s">
        <v>345</v>
      </c>
      <c r="E36" s="45" t="n">
        <f aca="false">SUM(H36:CA36)</f>
        <v>0</v>
      </c>
      <c r="F36" s="45" t="str">
        <f aca="false">IF(D36="","",D36-E36)</f>
        <v/>
      </c>
    </row>
    <row r="37" customFormat="false" ht="15" hidden="false" customHeight="false" outlineLevel="0" collapsed="false">
      <c r="A37" s="55" t="s">
        <v>305</v>
      </c>
      <c r="B37" s="55" t="s">
        <v>346</v>
      </c>
      <c r="C37" s="55" t="s">
        <v>347</v>
      </c>
      <c r="E37" s="45" t="n">
        <f aca="false">SUM(H37:CA37)</f>
        <v>0</v>
      </c>
      <c r="F37" s="45" t="str">
        <f aca="false">IF(D37="","",D37-E37)</f>
        <v/>
      </c>
    </row>
    <row r="38" customFormat="false" ht="15" hidden="false" customHeight="false" outlineLevel="0" collapsed="false">
      <c r="A38" s="55" t="s">
        <v>305</v>
      </c>
      <c r="B38" s="55" t="s">
        <v>348</v>
      </c>
      <c r="C38" s="55" t="s">
        <v>349</v>
      </c>
      <c r="E38" s="45" t="n">
        <f aca="false">SUM(H38:CA38)</f>
        <v>0</v>
      </c>
      <c r="F38" s="45" t="str">
        <f aca="false">IF(D38="","",D38-E38)</f>
        <v/>
      </c>
    </row>
    <row r="39" customFormat="false" ht="15" hidden="false" customHeight="false" outlineLevel="0" collapsed="false">
      <c r="A39" s="55" t="s">
        <v>305</v>
      </c>
      <c r="B39" s="55" t="s">
        <v>350</v>
      </c>
      <c r="C39" s="55" t="s">
        <v>75</v>
      </c>
      <c r="E39" s="45" t="n">
        <f aca="false">SUM(H39:CA39)</f>
        <v>0</v>
      </c>
      <c r="F39" s="45" t="str">
        <f aca="false">IF(D39="","",D39-E39)</f>
        <v/>
      </c>
    </row>
    <row r="40" customFormat="false" ht="15" hidden="false" customHeight="false" outlineLevel="0" collapsed="false">
      <c r="A40" s="55" t="s">
        <v>305</v>
      </c>
      <c r="B40" s="55" t="s">
        <v>351</v>
      </c>
      <c r="C40" s="55" t="s">
        <v>64</v>
      </c>
      <c r="D40" s="56" t="n">
        <f aca="false">SEGUROS!$K$5</f>
        <v>103.685673</v>
      </c>
      <c r="E40" s="45" t="n">
        <f aca="false">SUM(H40:CA40)</f>
        <v>191.166414165265</v>
      </c>
      <c r="F40" s="45" t="n">
        <f aca="false">IF(D40="","",D40-E40)</f>
        <v>-87.4807411652654</v>
      </c>
      <c r="H40" s="93" t="n">
        <f aca="false">SEGUROS!E5</f>
        <v>0</v>
      </c>
      <c r="I40" s="93" t="n">
        <f aca="false">SEGUROS!E6</f>
        <v>0</v>
      </c>
      <c r="J40" s="93" t="n">
        <f aca="false">SEGUROS!E7</f>
        <v>0</v>
      </c>
      <c r="K40" s="93" t="n">
        <f aca="false">SEGUROS!E8</f>
        <v>0</v>
      </c>
      <c r="L40" s="93" t="n">
        <f aca="false">SEGUROS!E9</f>
        <v>0</v>
      </c>
      <c r="M40" s="93" t="n">
        <f aca="false">SEGUROS!E10</f>
        <v>0</v>
      </c>
      <c r="N40" s="93" t="n">
        <f aca="false">SEGUROS!E11</f>
        <v>0</v>
      </c>
      <c r="O40" s="93" t="n">
        <f aca="false">SEGUROS!E12</f>
        <v>0</v>
      </c>
      <c r="P40" s="93" t="n">
        <f aca="false">SEGUROS!E13</f>
        <v>0</v>
      </c>
      <c r="Q40" s="93" t="n">
        <f aca="false">SEGUROS!E14</f>
        <v>24.2826279777509</v>
      </c>
      <c r="R40" s="93" t="n">
        <f aca="false">SEGUROS!E15</f>
        <v>12.8956948712159</v>
      </c>
      <c r="S40" s="93" t="n">
        <f aca="false">SEGUROS!E16</f>
        <v>1.57623040502336</v>
      </c>
      <c r="T40" s="93" t="n">
        <f aca="false">SEGUROS!E17</f>
        <v>24.3417027572118</v>
      </c>
      <c r="U40" s="93" t="n">
        <f aca="false">SEGUROS!E18</f>
        <v>12.986105497334</v>
      </c>
      <c r="V40" s="93" t="n">
        <f aca="false">SEGUROS!E19</f>
        <v>1.80013236800886</v>
      </c>
      <c r="W40" s="93" t="n">
        <f aca="false">SEGUROS!E20</f>
        <v>23.9704341230343</v>
      </c>
      <c r="X40" s="93" t="n">
        <f aca="false">SEGUROS!E21</f>
        <v>1.77269595094518</v>
      </c>
      <c r="Y40" s="93" t="n">
        <f aca="false">SEGUROS!E22</f>
        <v>0.236996289432161</v>
      </c>
      <c r="Z40" s="93" t="n">
        <f aca="false">SEGUROS!E23</f>
        <v>0</v>
      </c>
      <c r="AA40" s="93" t="n">
        <f aca="false">SEGUROS!E24</f>
        <v>0</v>
      </c>
      <c r="AB40" s="93" t="n">
        <f aca="false">SEGUROS!E25</f>
        <v>0</v>
      </c>
      <c r="AC40" s="93" t="n">
        <f aca="false">SEGUROS!E26</f>
        <v>0</v>
      </c>
      <c r="AD40" s="93" t="n">
        <f aca="false">SEGUROS!E27</f>
        <v>14.5504973825825</v>
      </c>
      <c r="AE40" s="93" t="n">
        <f aca="false">SEGUROS!E28</f>
        <v>14.5504973825825</v>
      </c>
      <c r="AF40" s="93" t="n">
        <f aca="false">SEGUROS!E29</f>
        <v>14.5504973825825</v>
      </c>
      <c r="AG40" s="93" t="n">
        <f aca="false">SEGUROS!E30</f>
        <v>14.5504973825825</v>
      </c>
      <c r="AH40" s="93" t="n">
        <f aca="false">SEGUROS!E31</f>
        <v>14.5504973825825</v>
      </c>
      <c r="AI40" s="93" t="n">
        <f aca="false">SEGUROS!E32</f>
        <v>14.5513070123966</v>
      </c>
      <c r="AJ40" s="93" t="n">
        <f aca="false">SEGUROS!E33</f>
        <v>0</v>
      </c>
      <c r="AK40" s="93" t="n">
        <f aca="false">SEGUROS!E34</f>
        <v>0</v>
      </c>
      <c r="AL40" s="93" t="n">
        <f aca="false">SEGUROS!E35</f>
        <v>0</v>
      </c>
      <c r="AM40" s="93" t="n">
        <f aca="false">SEGUROS!E36</f>
        <v>0</v>
      </c>
      <c r="AN40" s="93" t="n">
        <f aca="false">SEGUROS!E37</f>
        <v>0</v>
      </c>
      <c r="AO40" s="93" t="n">
        <f aca="false">SEGUROS!E38</f>
        <v>0</v>
      </c>
      <c r="AP40" s="93" t="n">
        <f aca="false">SEGUROS!E39</f>
        <v>0</v>
      </c>
      <c r="AQ40" s="93" t="n">
        <f aca="false">SEGUROS!E40</f>
        <v>0</v>
      </c>
      <c r="AR40" s="93" t="n">
        <f aca="false">SEGUROS!E41</f>
        <v>0</v>
      </c>
      <c r="AS40" s="93" t="n">
        <f aca="false">SEGUROS!E42</f>
        <v>0</v>
      </c>
      <c r="AT40" s="93" t="n">
        <f aca="false">SEGUROS!E43</f>
        <v>0</v>
      </c>
      <c r="AU40" s="93" t="n">
        <f aca="false">SEGUROS!E44</f>
        <v>0</v>
      </c>
      <c r="AV40" s="93" t="n">
        <f aca="false">SEGUROS!E45</f>
        <v>0</v>
      </c>
      <c r="AW40" s="93" t="n">
        <f aca="false">SEGUROS!E46</f>
        <v>0</v>
      </c>
      <c r="AX40" s="93" t="n">
        <f aca="false">SEGUROS!E47</f>
        <v>0</v>
      </c>
      <c r="AY40" s="93" t="n">
        <f aca="false">SEGUROS!E48</f>
        <v>0</v>
      </c>
      <c r="AZ40" s="93" t="n">
        <f aca="false">SEGUROS!E49</f>
        <v>0</v>
      </c>
      <c r="BA40" s="93" t="n">
        <f aca="false">SEGUROS!E50</f>
        <v>0</v>
      </c>
      <c r="BB40" s="93" t="n">
        <f aca="false">SEGUROS!E51</f>
        <v>0</v>
      </c>
      <c r="BC40" s="93" t="n">
        <f aca="false">SEGUROS!E52</f>
        <v>0</v>
      </c>
      <c r="BD40" s="93" t="n">
        <f aca="false">SEGUROS!E53</f>
        <v>0</v>
      </c>
      <c r="BE40" s="93" t="n">
        <f aca="false">SEGUROS!E54</f>
        <v>0</v>
      </c>
      <c r="BF40" s="93" t="n">
        <f aca="false">SEGUROS!E55</f>
        <v>0</v>
      </c>
      <c r="BG40" s="93" t="n">
        <f aca="false">SEGUROS!E56</f>
        <v>0</v>
      </c>
      <c r="BH40" s="93" t="n">
        <f aca="false">SEGUROS!E57</f>
        <v>0</v>
      </c>
      <c r="BI40" s="93" t="n">
        <f aca="false">SEGUROS!E58</f>
        <v>0</v>
      </c>
      <c r="BJ40" s="93" t="n">
        <f aca="false">SEGUROS!E59</f>
        <v>0</v>
      </c>
      <c r="BK40" s="93" t="n">
        <f aca="false">SEGUROS!E60</f>
        <v>0</v>
      </c>
      <c r="BL40" s="93" t="n">
        <f aca="false">SEGUROS!E61</f>
        <v>0</v>
      </c>
      <c r="BM40" s="93" t="n">
        <f aca="false">SEGUROS!E62</f>
        <v>0</v>
      </c>
      <c r="BN40" s="93" t="n">
        <f aca="false">SEGUROS!E63</f>
        <v>0</v>
      </c>
      <c r="BO40" s="93" t="n">
        <f aca="false">SEGUROS!E64</f>
        <v>0</v>
      </c>
      <c r="BP40" s="93" t="n">
        <f aca="false">SEGUROS!E65</f>
        <v>0</v>
      </c>
      <c r="BQ40" s="93" t="n">
        <f aca="false">SEGUROS!E66</f>
        <v>0</v>
      </c>
      <c r="BR40" s="93" t="n">
        <f aca="false">SEGUROS!E67</f>
        <v>0</v>
      </c>
      <c r="BS40" s="93" t="n">
        <f aca="false">SEGUROS!E68</f>
        <v>0</v>
      </c>
      <c r="BT40" s="93" t="n">
        <f aca="false">SEGUROS!E69</f>
        <v>0</v>
      </c>
      <c r="BU40" s="93" t="n">
        <f aca="false">SEGUROS!E70</f>
        <v>0</v>
      </c>
      <c r="BV40" s="93" t="n">
        <f aca="false">SEGUROS!E71</f>
        <v>0</v>
      </c>
      <c r="BW40" s="93" t="n">
        <f aca="false">SEGUROS!E72</f>
        <v>0</v>
      </c>
      <c r="BX40" s="93" t="n">
        <f aca="false">SEGUROS!E73</f>
        <v>0</v>
      </c>
      <c r="BY40" s="93" t="n">
        <f aca="false">SEGUROS!E74</f>
        <v>0</v>
      </c>
      <c r="BZ40" s="93" t="n">
        <f aca="false">SEGUROS!E75</f>
        <v>0</v>
      </c>
      <c r="CA40" s="93" t="n">
        <f aca="false">SEGUROS!E76</f>
        <v>0</v>
      </c>
    </row>
    <row r="41" customFormat="false" ht="15" hidden="false" customHeight="false" outlineLevel="0" collapsed="false">
      <c r="A41" s="55" t="s">
        <v>305</v>
      </c>
      <c r="B41" s="55" t="s">
        <v>352</v>
      </c>
      <c r="C41" s="55" t="s">
        <v>194</v>
      </c>
      <c r="D41" s="56" t="n">
        <f aca="false">SERRALHERIA!$K$5</f>
        <v>396.781767</v>
      </c>
      <c r="E41" s="45" t="n">
        <f aca="false">SUM(H41:CA41)</f>
        <v>396.62486226925</v>
      </c>
      <c r="F41" s="45" t="n">
        <f aca="false">IF(D41="","",D41-E41)</f>
        <v>0.156904730750398</v>
      </c>
      <c r="H41" s="93" t="n">
        <f aca="false">SERRALHERIA!E5</f>
        <v>0</v>
      </c>
      <c r="I41" s="93" t="n">
        <f aca="false">SERRALHERIA!E6</f>
        <v>0</v>
      </c>
      <c r="J41" s="93" t="n">
        <f aca="false">SERRALHERIA!E7</f>
        <v>0</v>
      </c>
      <c r="K41" s="93" t="n">
        <f aca="false">SERRALHERIA!E8</f>
        <v>0</v>
      </c>
      <c r="L41" s="93" t="n">
        <f aca="false">SERRALHERIA!E9</f>
        <v>0</v>
      </c>
      <c r="M41" s="93" t="n">
        <f aca="false">SERRALHERIA!E10</f>
        <v>0</v>
      </c>
      <c r="N41" s="93" t="n">
        <f aca="false">SERRALHERIA!E11</f>
        <v>0</v>
      </c>
      <c r="O41" s="93" t="n">
        <f aca="false">SERRALHERIA!E12</f>
        <v>0</v>
      </c>
      <c r="P41" s="93" t="n">
        <f aca="false">SERRALHERIA!E13</f>
        <v>0</v>
      </c>
      <c r="Q41" s="93" t="n">
        <f aca="false">SERRALHERIA!E14</f>
        <v>0</v>
      </c>
      <c r="R41" s="93" t="n">
        <f aca="false">SERRALHERIA!E15</f>
        <v>0</v>
      </c>
      <c r="S41" s="93" t="n">
        <f aca="false">SERRALHERIA!E16</f>
        <v>0</v>
      </c>
      <c r="T41" s="93" t="n">
        <f aca="false">SERRALHERIA!E17</f>
        <v>0</v>
      </c>
      <c r="U41" s="93" t="n">
        <f aca="false">SERRALHERIA!E18</f>
        <v>0</v>
      </c>
      <c r="V41" s="93" t="n">
        <f aca="false">SERRALHERIA!E19</f>
        <v>0</v>
      </c>
      <c r="W41" s="93" t="n">
        <f aca="false">SERRALHERIA!E20</f>
        <v>0</v>
      </c>
      <c r="X41" s="93" t="n">
        <f aca="false">SERRALHERIA!E21</f>
        <v>0</v>
      </c>
      <c r="Y41" s="93" t="n">
        <f aca="false">SERRALHERIA!E22</f>
        <v>0</v>
      </c>
      <c r="Z41" s="93" t="n">
        <f aca="false">SERRALHERIA!E23</f>
        <v>0</v>
      </c>
      <c r="AA41" s="93" t="n">
        <f aca="false">SERRALHERIA!E24</f>
        <v>0</v>
      </c>
      <c r="AB41" s="93" t="n">
        <f aca="false">SERRALHERIA!E25</f>
        <v>0</v>
      </c>
      <c r="AC41" s="93" t="n">
        <f aca="false">SERRALHERIA!E26</f>
        <v>0</v>
      </c>
      <c r="AD41" s="93" t="n">
        <f aca="false">SERRALHERIA!E27</f>
        <v>0</v>
      </c>
      <c r="AE41" s="93" t="n">
        <f aca="false">SERRALHERIA!E28</f>
        <v>0</v>
      </c>
      <c r="AF41" s="93" t="n">
        <f aca="false">SERRALHERIA!E29</f>
        <v>0</v>
      </c>
      <c r="AG41" s="93" t="n">
        <f aca="false">SERRALHERIA!E30</f>
        <v>0</v>
      </c>
      <c r="AH41" s="93" t="n">
        <f aca="false">SERRALHERIA!E31</f>
        <v>0</v>
      </c>
      <c r="AI41" s="93" t="n">
        <f aca="false">SERRALHERIA!E32</f>
        <v>0</v>
      </c>
      <c r="AJ41" s="93" t="n">
        <f aca="false">SERRALHERIA!E33</f>
        <v>0</v>
      </c>
      <c r="AK41" s="93" t="n">
        <f aca="false">SERRALHERIA!E34</f>
        <v>0</v>
      </c>
      <c r="AL41" s="93" t="n">
        <f aca="false">SERRALHERIA!E35</f>
        <v>0</v>
      </c>
      <c r="AM41" s="93" t="n">
        <f aca="false">SERRALHERIA!E36</f>
        <v>0</v>
      </c>
      <c r="AN41" s="93" t="n">
        <f aca="false">SERRALHERIA!E37</f>
        <v>42.0818978867674</v>
      </c>
      <c r="AO41" s="93" t="n">
        <f aca="false">SERRALHERIA!E38</f>
        <v>0</v>
      </c>
      <c r="AP41" s="93" t="n">
        <f aca="false">SERRALHERIA!E39</f>
        <v>21.0607801864972</v>
      </c>
      <c r="AQ41" s="93" t="n">
        <f aca="false">SERRALHERIA!E40</f>
        <v>0</v>
      </c>
      <c r="AR41" s="93" t="n">
        <f aca="false">SERRALHERIA!E41</f>
        <v>12.6126706201621</v>
      </c>
      <c r="AS41" s="93" t="n">
        <f aca="false">SERRALHERIA!E42</f>
        <v>8.40844708010808</v>
      </c>
      <c r="AT41" s="93" t="n">
        <f aca="false">SERRALHERIA!E43</f>
        <v>25.6219661025935</v>
      </c>
      <c r="AU41" s="93" t="n">
        <f aca="false">SERRALHERIA!E44</f>
        <v>71.6304501258265</v>
      </c>
      <c r="AV41" s="93" t="n">
        <f aca="false">SERRALHERIA!E45</f>
        <v>46.2067964543676</v>
      </c>
      <c r="AW41" s="93" t="n">
        <f aca="false">SERRALHERIA!E46</f>
        <v>18.9983309026971</v>
      </c>
      <c r="AX41" s="93" t="n">
        <f aca="false">SERRALHERIA!E47</f>
        <v>42.795822638852</v>
      </c>
      <c r="AY41" s="93" t="n">
        <f aca="false">SERRALHERIA!E48</f>
        <v>6.38566028253492</v>
      </c>
      <c r="AZ41" s="93" t="n">
        <f aca="false">SERRALHERIA!E49</f>
        <v>6.98059757593881</v>
      </c>
      <c r="BA41" s="93" t="n">
        <f aca="false">SERRALHERIA!E50</f>
        <v>6.22701033762719</v>
      </c>
      <c r="BB41" s="93" t="n">
        <f aca="false">SERRALHERIA!E51</f>
        <v>6.34599779630803</v>
      </c>
      <c r="BC41" s="93" t="n">
        <f aca="false">SERRALHERIA!E52</f>
        <v>73.2962745473573</v>
      </c>
      <c r="BD41" s="93" t="n">
        <f aca="false">SERRALHERIA!E53</f>
        <v>4.52152342986945</v>
      </c>
      <c r="BE41" s="93" t="n">
        <f aca="false">SERRALHERIA!E54</f>
        <v>3.45063630174249</v>
      </c>
      <c r="BF41" s="93" t="n">
        <f aca="false">SERRALHERIA!E55</f>
        <v>0</v>
      </c>
      <c r="BG41" s="93" t="n">
        <f aca="false">SERRALHERIA!E56</f>
        <v>0</v>
      </c>
      <c r="BH41" s="93" t="n">
        <f aca="false">SERRALHERIA!E57</f>
        <v>0</v>
      </c>
      <c r="BI41" s="93" t="n">
        <f aca="false">SERRALHERIA!E58</f>
        <v>0</v>
      </c>
      <c r="BJ41" s="93" t="n">
        <f aca="false">SERRALHERIA!E59</f>
        <v>0</v>
      </c>
      <c r="BK41" s="93" t="n">
        <f aca="false">SERRALHERIA!E60</f>
        <v>0</v>
      </c>
      <c r="BL41" s="93" t="n">
        <f aca="false">SERRALHERIA!E61</f>
        <v>0</v>
      </c>
      <c r="BM41" s="93" t="n">
        <f aca="false">SERRALHERIA!E62</f>
        <v>0</v>
      </c>
      <c r="BN41" s="93" t="n">
        <f aca="false">SERRALHERIA!E63</f>
        <v>0</v>
      </c>
      <c r="BO41" s="93" t="n">
        <f aca="false">SERRALHERIA!E64</f>
        <v>0</v>
      </c>
      <c r="BP41" s="93" t="n">
        <f aca="false">SERRALHERIA!E65</f>
        <v>0</v>
      </c>
      <c r="BQ41" s="93" t="n">
        <f aca="false">SERRALHERIA!E66</f>
        <v>0</v>
      </c>
      <c r="BR41" s="93" t="n">
        <f aca="false">SERRALHERIA!E67</f>
        <v>0</v>
      </c>
      <c r="BS41" s="93" t="n">
        <f aca="false">SERRALHERIA!E68</f>
        <v>0</v>
      </c>
      <c r="BT41" s="93" t="n">
        <f aca="false">SERRALHERIA!E69</f>
        <v>0</v>
      </c>
      <c r="BU41" s="93" t="n">
        <f aca="false">SERRALHERIA!E70</f>
        <v>0</v>
      </c>
      <c r="BV41" s="93" t="n">
        <f aca="false">SERRALHERIA!E71</f>
        <v>0</v>
      </c>
      <c r="BW41" s="93" t="n">
        <f aca="false">SERRALHERIA!E72</f>
        <v>0</v>
      </c>
      <c r="BX41" s="93" t="n">
        <f aca="false">SERRALHERIA!E73</f>
        <v>0</v>
      </c>
      <c r="BY41" s="93" t="n">
        <f aca="false">SERRALHERIA!E74</f>
        <v>0</v>
      </c>
      <c r="BZ41" s="93" t="n">
        <f aca="false">SERRALHERIA!E75</f>
        <v>0</v>
      </c>
      <c r="CA41" s="93" t="n">
        <f aca="false">SERRALHERIA!E76</f>
        <v>0</v>
      </c>
    </row>
    <row r="42" customFormat="false" ht="15" hidden="false" customHeight="false" outlineLevel="0" collapsed="false">
      <c r="A42" s="55" t="s">
        <v>305</v>
      </c>
      <c r="B42" s="55" t="s">
        <v>353</v>
      </c>
      <c r="C42" s="55" t="s">
        <v>136</v>
      </c>
      <c r="D42" s="56" t="n">
        <f aca="false">'LIG. PROVISÓRIAS'!$K$5</f>
        <v>41.094562</v>
      </c>
      <c r="E42" s="45" t="n">
        <f aca="false">SUM(H42:CA42)</f>
        <v>69.3788976026666</v>
      </c>
      <c r="F42" s="45" t="n">
        <f aca="false">IF(D42="","",D42-E42)</f>
        <v>-28.2843356026666</v>
      </c>
      <c r="H42" s="93" t="n">
        <f aca="false">'LIG. PROVISÓRIAS'!E5</f>
        <v>0</v>
      </c>
      <c r="I42" s="93" t="n">
        <f aca="false">'LIG. PROVISÓRIAS'!E6</f>
        <v>0</v>
      </c>
      <c r="J42" s="93" t="n">
        <f aca="false">'LIG. PROVISÓRIAS'!E7</f>
        <v>0</v>
      </c>
      <c r="K42" s="93" t="n">
        <f aca="false">'LIG. PROVISÓRIAS'!E8</f>
        <v>0</v>
      </c>
      <c r="L42" s="93" t="n">
        <f aca="false">'LIG. PROVISÓRIAS'!E9</f>
        <v>0</v>
      </c>
      <c r="M42" s="93" t="n">
        <f aca="false">'LIG. PROVISÓRIAS'!E10</f>
        <v>0</v>
      </c>
      <c r="N42" s="93" t="n">
        <f aca="false">'LIG. PROVISÓRIAS'!E11</f>
        <v>0</v>
      </c>
      <c r="O42" s="93" t="n">
        <f aca="false">'LIG. PROVISÓRIAS'!E12</f>
        <v>0.51662534666258</v>
      </c>
      <c r="P42" s="93" t="n">
        <f aca="false">'LIG. PROVISÓRIAS'!E13</f>
        <v>0.293949401087855</v>
      </c>
      <c r="Q42" s="93" t="n">
        <f aca="false">'LIG. PROVISÓRIAS'!E14</f>
        <v>1.34092637766493</v>
      </c>
      <c r="R42" s="93" t="n">
        <f aca="false">'LIG. PROVISÓRIAS'!E15</f>
        <v>12.0083756287039</v>
      </c>
      <c r="S42" s="93" t="n">
        <f aca="false">'LIG. PROVISÓRIAS'!E16</f>
        <v>7.05151542101102</v>
      </c>
      <c r="T42" s="93" t="n">
        <f aca="false">'LIG. PROVISÓRIAS'!E17</f>
        <v>1.36921787941483</v>
      </c>
      <c r="U42" s="93" t="n">
        <f aca="false">'LIG. PROVISÓRIAS'!E18</f>
        <v>0.425007841323939</v>
      </c>
      <c r="V42" s="93" t="n">
        <f aca="false">'LIG. PROVISÓRIAS'!E19</f>
        <v>4.12533525301879</v>
      </c>
      <c r="W42" s="93" t="n">
        <f aca="false">'LIG. PROVISÓRIAS'!E20</f>
        <v>0</v>
      </c>
      <c r="X42" s="93" t="n">
        <f aca="false">'LIG. PROVISÓRIAS'!E21</f>
        <v>5.49903465401555</v>
      </c>
      <c r="Y42" s="93" t="n">
        <f aca="false">'LIG. PROVISÓRIAS'!E22</f>
        <v>14.5773139895884</v>
      </c>
      <c r="Z42" s="93" t="n">
        <f aca="false">'LIG. PROVISÓRIAS'!E23</f>
        <v>0.0162028234298293</v>
      </c>
      <c r="AA42" s="93" t="n">
        <f aca="false">'LIG. PROVISÓRIAS'!E24</f>
        <v>0</v>
      </c>
      <c r="AB42" s="93" t="n">
        <f aca="false">'LIG. PROVISÓRIAS'!E25</f>
        <v>0</v>
      </c>
      <c r="AC42" s="93" t="n">
        <f aca="false">'LIG. PROVISÓRIAS'!E26</f>
        <v>0</v>
      </c>
      <c r="AD42" s="93" t="n">
        <f aca="false">'LIG. PROVISÓRIAS'!E27</f>
        <v>0.478375558740956</v>
      </c>
      <c r="AE42" s="93" t="n">
        <f aca="false">'LIG. PROVISÓRIAS'!E28</f>
        <v>0.128808248045901</v>
      </c>
      <c r="AF42" s="93" t="n">
        <f aca="false">'LIG. PROVISÓRIAS'!E29</f>
        <v>0</v>
      </c>
      <c r="AG42" s="93" t="n">
        <f aca="false">'LIG. PROVISÓRIAS'!E30</f>
        <v>7.18273639331939</v>
      </c>
      <c r="AH42" s="93" t="n">
        <f aca="false">'LIG. PROVISÓRIAS'!E31</f>
        <v>7.18273639331939</v>
      </c>
      <c r="AI42" s="93" t="n">
        <f aca="false">'LIG. PROVISÓRIAS'!E32</f>
        <v>7.18273639331939</v>
      </c>
      <c r="AJ42" s="93" t="n">
        <f aca="false">'LIG. PROVISÓRIAS'!E33</f>
        <v>0</v>
      </c>
      <c r="AK42" s="93" t="n">
        <f aca="false">'LIG. PROVISÓRIAS'!E34</f>
        <v>0</v>
      </c>
      <c r="AL42" s="93" t="n">
        <f aca="false">'LIG. PROVISÓRIAS'!E35</f>
        <v>0</v>
      </c>
      <c r="AM42" s="93" t="n">
        <f aca="false">'LIG. PROVISÓRIAS'!E36</f>
        <v>0</v>
      </c>
      <c r="AN42" s="93" t="n">
        <f aca="false">'LIG. PROVISÓRIAS'!E37</f>
        <v>0</v>
      </c>
      <c r="AO42" s="93" t="n">
        <f aca="false">'LIG. PROVISÓRIAS'!E38</f>
        <v>0</v>
      </c>
      <c r="AP42" s="93" t="n">
        <f aca="false">'LIG. PROVISÓRIAS'!E39</f>
        <v>0</v>
      </c>
      <c r="AQ42" s="93" t="n">
        <f aca="false">'LIG. PROVISÓRIAS'!E40</f>
        <v>0</v>
      </c>
      <c r="AR42" s="93" t="n">
        <f aca="false">'LIG. PROVISÓRIAS'!E41</f>
        <v>0</v>
      </c>
      <c r="AS42" s="93" t="n">
        <f aca="false">'LIG. PROVISÓRIAS'!E42</f>
        <v>0</v>
      </c>
      <c r="AT42" s="93" t="n">
        <f aca="false">'LIG. PROVISÓRIAS'!E43</f>
        <v>0</v>
      </c>
      <c r="AU42" s="93" t="n">
        <f aca="false">'LIG. PROVISÓRIAS'!E44</f>
        <v>0</v>
      </c>
      <c r="AV42" s="93" t="n">
        <f aca="false">'LIG. PROVISÓRIAS'!E45</f>
        <v>0</v>
      </c>
      <c r="AW42" s="93" t="n">
        <f aca="false">'LIG. PROVISÓRIAS'!E46</f>
        <v>0</v>
      </c>
      <c r="AX42" s="93" t="n">
        <f aca="false">'LIG. PROVISÓRIAS'!E47</f>
        <v>0</v>
      </c>
      <c r="AY42" s="93" t="n">
        <f aca="false">'LIG. PROVISÓRIAS'!E48</f>
        <v>0</v>
      </c>
      <c r="AZ42" s="93" t="n">
        <f aca="false">'LIG. PROVISÓRIAS'!E49</f>
        <v>0</v>
      </c>
      <c r="BA42" s="93" t="n">
        <f aca="false">'LIG. PROVISÓRIAS'!E50</f>
        <v>0</v>
      </c>
      <c r="BB42" s="93" t="n">
        <f aca="false">'LIG. PROVISÓRIAS'!E51</f>
        <v>0</v>
      </c>
      <c r="BC42" s="93" t="n">
        <f aca="false">'LIG. PROVISÓRIAS'!E52</f>
        <v>0</v>
      </c>
      <c r="BD42" s="93" t="n">
        <f aca="false">'LIG. PROVISÓRIAS'!E53</f>
        <v>0</v>
      </c>
      <c r="BE42" s="93" t="n">
        <f aca="false">'LIG. PROVISÓRIAS'!E54</f>
        <v>0</v>
      </c>
      <c r="BF42" s="93" t="n">
        <f aca="false">'LIG. PROVISÓRIAS'!E55</f>
        <v>0</v>
      </c>
      <c r="BG42" s="93" t="n">
        <f aca="false">'LIG. PROVISÓRIAS'!E56</f>
        <v>0</v>
      </c>
      <c r="BH42" s="93" t="n">
        <f aca="false">'LIG. PROVISÓRIAS'!E57</f>
        <v>0</v>
      </c>
      <c r="BI42" s="93" t="n">
        <f aca="false">'LIG. PROVISÓRIAS'!E58</f>
        <v>0</v>
      </c>
      <c r="BJ42" s="93" t="n">
        <f aca="false">'LIG. PROVISÓRIAS'!E59</f>
        <v>0</v>
      </c>
      <c r="BK42" s="93" t="n">
        <f aca="false">'LIG. PROVISÓRIAS'!E60</f>
        <v>0</v>
      </c>
      <c r="BL42" s="93" t="n">
        <f aca="false">'LIG. PROVISÓRIAS'!E61</f>
        <v>0</v>
      </c>
      <c r="BM42" s="93" t="n">
        <f aca="false">'LIG. PROVISÓRIAS'!E62</f>
        <v>0</v>
      </c>
      <c r="BN42" s="93" t="n">
        <f aca="false">'LIG. PROVISÓRIAS'!E63</f>
        <v>0</v>
      </c>
      <c r="BO42" s="93" t="n">
        <f aca="false">'LIG. PROVISÓRIAS'!E64</f>
        <v>0</v>
      </c>
      <c r="BP42" s="93" t="n">
        <f aca="false">'LIG. PROVISÓRIAS'!E65</f>
        <v>0</v>
      </c>
      <c r="BQ42" s="93" t="n">
        <f aca="false">'LIG. PROVISÓRIAS'!E66</f>
        <v>0</v>
      </c>
      <c r="BR42" s="93" t="n">
        <f aca="false">'LIG. PROVISÓRIAS'!E67</f>
        <v>0</v>
      </c>
      <c r="BS42" s="93" t="n">
        <f aca="false">'LIG. PROVISÓRIAS'!E68</f>
        <v>0</v>
      </c>
      <c r="BT42" s="93" t="n">
        <f aca="false">'LIG. PROVISÓRIAS'!E69</f>
        <v>0</v>
      </c>
      <c r="BU42" s="93" t="n">
        <f aca="false">'LIG. PROVISÓRIAS'!E70</f>
        <v>0</v>
      </c>
      <c r="BV42" s="93" t="n">
        <f aca="false">'LIG. PROVISÓRIAS'!E71</f>
        <v>0</v>
      </c>
      <c r="BW42" s="93" t="n">
        <f aca="false">'LIG. PROVISÓRIAS'!E72</f>
        <v>0</v>
      </c>
      <c r="BX42" s="93" t="n">
        <f aca="false">'LIG. PROVISÓRIAS'!E73</f>
        <v>0</v>
      </c>
      <c r="BY42" s="93" t="n">
        <f aca="false">'LIG. PROVISÓRIAS'!E74</f>
        <v>0</v>
      </c>
      <c r="BZ42" s="93" t="n">
        <f aca="false">'LIG. PROVISÓRIAS'!E75</f>
        <v>0</v>
      </c>
      <c r="CA42" s="93" t="n">
        <f aca="false">'LIG. PROVISÓRIAS'!E76</f>
        <v>0</v>
      </c>
    </row>
    <row r="43" customFormat="false" ht="15" hidden="false" customHeight="false" outlineLevel="0" collapsed="false">
      <c r="A43" s="55" t="s">
        <v>305</v>
      </c>
      <c r="B43" s="55" t="s">
        <v>354</v>
      </c>
      <c r="C43" s="55" t="s">
        <v>80</v>
      </c>
      <c r="D43" s="56" t="n">
        <f aca="false">'TAX. ADM'!$K$5</f>
        <v>477</v>
      </c>
      <c r="E43" s="45" t="n">
        <f aca="false">SUM(H43:CA43)</f>
        <v>476.964710261372</v>
      </c>
      <c r="F43" s="45" t="n">
        <f aca="false">IF(D43="","",D43-E43)</f>
        <v>0.0352897386283644</v>
      </c>
      <c r="H43" s="93" t="n">
        <f aca="false">'TAX. ADM'!E5</f>
        <v>121.837103655049</v>
      </c>
      <c r="I43" s="93" t="n">
        <f aca="false">'TAX. ADM'!E6</f>
        <v>31.5815197123297</v>
      </c>
      <c r="J43" s="93" t="n">
        <f aca="false">'TAX. ADM'!E7</f>
        <v>0</v>
      </c>
      <c r="K43" s="93" t="n">
        <f aca="false">'TAX. ADM'!E8</f>
        <v>28.8916450127547</v>
      </c>
      <c r="L43" s="93" t="n">
        <f aca="false">'TAX. ADM'!E9</f>
        <v>11.9504213727414</v>
      </c>
      <c r="M43" s="93" t="n">
        <f aca="false">'TAX. ADM'!E10</f>
        <v>60.2325725850249</v>
      </c>
      <c r="N43" s="93" t="n">
        <f aca="false">'TAX. ADM'!E11</f>
        <v>5.43681623064104</v>
      </c>
      <c r="O43" s="93" t="n">
        <f aca="false">'TAX. ADM'!E12</f>
        <v>11.2110244689877</v>
      </c>
      <c r="P43" s="93" t="n">
        <f aca="false">'TAX. ADM'!E13</f>
        <v>21.5683328593761</v>
      </c>
      <c r="Q43" s="93" t="n">
        <f aca="false">'TAX. ADM'!E14</f>
        <v>28.7069424581148</v>
      </c>
      <c r="R43" s="93" t="n">
        <f aca="false">'TAX. ADM'!E15</f>
        <v>58.0740553488509</v>
      </c>
      <c r="S43" s="93" t="n">
        <f aca="false">'TAX. ADM'!E16</f>
        <v>97.4742765575013</v>
      </c>
      <c r="T43" s="93" t="n">
        <f aca="false">'TAX. ADM'!E17</f>
        <v>0</v>
      </c>
      <c r="U43" s="93" t="n">
        <f aca="false">'TAX. ADM'!E18</f>
        <v>0</v>
      </c>
      <c r="V43" s="93" t="n">
        <f aca="false">'TAX. ADM'!E19</f>
        <v>0</v>
      </c>
      <c r="W43" s="93" t="n">
        <f aca="false">'TAX. ADM'!E20</f>
        <v>0</v>
      </c>
      <c r="X43" s="93" t="n">
        <f aca="false">'TAX. ADM'!E21</f>
        <v>0</v>
      </c>
      <c r="Y43" s="93" t="n">
        <f aca="false">'TAX. ADM'!E22</f>
        <v>0</v>
      </c>
      <c r="Z43" s="93" t="n">
        <f aca="false">'TAX. ADM'!E23</f>
        <v>0</v>
      </c>
      <c r="AA43" s="93" t="n">
        <f aca="false">'TAX. ADM'!E24</f>
        <v>0</v>
      </c>
      <c r="AB43" s="93" t="n">
        <f aca="false">'TAX. ADM'!E25</f>
        <v>0</v>
      </c>
      <c r="AC43" s="93" t="n">
        <f aca="false">'TAX. ADM'!E26</f>
        <v>0</v>
      </c>
      <c r="AD43" s="93" t="n">
        <f aca="false">'TAX. ADM'!E27</f>
        <v>0</v>
      </c>
      <c r="AE43" s="93" t="n">
        <f aca="false">'TAX. ADM'!E28</f>
        <v>0</v>
      </c>
      <c r="AF43" s="93" t="n">
        <f aca="false">'TAX. ADM'!E29</f>
        <v>0</v>
      </c>
      <c r="AG43" s="93" t="n">
        <f aca="false">'TAX. ADM'!E30</f>
        <v>0</v>
      </c>
      <c r="AH43" s="93" t="n">
        <f aca="false">'TAX. ADM'!E31</f>
        <v>0</v>
      </c>
      <c r="AI43" s="93" t="n">
        <f aca="false">'TAX. ADM'!E32</f>
        <v>0</v>
      </c>
      <c r="AJ43" s="93" t="n">
        <f aca="false">'TAX. ADM'!E33</f>
        <v>0</v>
      </c>
      <c r="AK43" s="93" t="n">
        <f aca="false">'TAX. ADM'!E34</f>
        <v>0</v>
      </c>
      <c r="AL43" s="93" t="n">
        <f aca="false">'TAX. ADM'!E35</f>
        <v>0</v>
      </c>
      <c r="AM43" s="93" t="n">
        <f aca="false">'TAX. ADM'!E36</f>
        <v>0</v>
      </c>
      <c r="AN43" s="93" t="n">
        <f aca="false">'TAX. ADM'!E37</f>
        <v>0</v>
      </c>
      <c r="AO43" s="93" t="n">
        <f aca="false">'TAX. ADM'!E38</f>
        <v>0</v>
      </c>
      <c r="AP43" s="93" t="n">
        <f aca="false">'TAX. ADM'!E39</f>
        <v>0</v>
      </c>
      <c r="AQ43" s="93" t="n">
        <f aca="false">'TAX. ADM'!E40</f>
        <v>0</v>
      </c>
      <c r="AR43" s="93" t="n">
        <f aca="false">'TAX. ADM'!E41</f>
        <v>0</v>
      </c>
      <c r="AS43" s="93" t="n">
        <f aca="false">'TAX. ADM'!E42</f>
        <v>0</v>
      </c>
      <c r="AT43" s="93" t="n">
        <f aca="false">'TAX. ADM'!E43</f>
        <v>0</v>
      </c>
      <c r="AU43" s="93" t="n">
        <f aca="false">'TAX. ADM'!E44</f>
        <v>0</v>
      </c>
      <c r="AV43" s="93" t="n">
        <f aca="false">'TAX. ADM'!E45</f>
        <v>0</v>
      </c>
      <c r="AW43" s="93" t="n">
        <f aca="false">'TAX. ADM'!E46</f>
        <v>0</v>
      </c>
      <c r="AX43" s="93" t="n">
        <f aca="false">'TAX. ADM'!E47</f>
        <v>0</v>
      </c>
      <c r="AY43" s="93" t="n">
        <f aca="false">'TAX. ADM'!E48</f>
        <v>0</v>
      </c>
      <c r="AZ43" s="93" t="n">
        <f aca="false">'TAX. ADM'!E49</f>
        <v>0</v>
      </c>
      <c r="BA43" s="93" t="n">
        <f aca="false">'TAX. ADM'!E50</f>
        <v>0</v>
      </c>
      <c r="BB43" s="93" t="n">
        <f aca="false">'TAX. ADM'!E51</f>
        <v>0</v>
      </c>
      <c r="BC43" s="93" t="n">
        <f aca="false">'TAX. ADM'!E52</f>
        <v>0</v>
      </c>
      <c r="BD43" s="93" t="n">
        <f aca="false">'TAX. ADM'!E53</f>
        <v>0</v>
      </c>
      <c r="BE43" s="93" t="n">
        <f aca="false">'TAX. ADM'!E54</f>
        <v>0</v>
      </c>
      <c r="BF43" s="93" t="n">
        <f aca="false">'TAX. ADM'!E55</f>
        <v>0</v>
      </c>
      <c r="BG43" s="93" t="n">
        <f aca="false">'TAX. ADM'!E56</f>
        <v>0</v>
      </c>
      <c r="BH43" s="93" t="n">
        <f aca="false">'TAX. ADM'!E57</f>
        <v>0</v>
      </c>
      <c r="BI43" s="93" t="n">
        <f aca="false">'TAX. ADM'!E58</f>
        <v>0</v>
      </c>
      <c r="BJ43" s="93" t="n">
        <f aca="false">'TAX. ADM'!E59</f>
        <v>0</v>
      </c>
      <c r="BK43" s="93" t="n">
        <f aca="false">'TAX. ADM'!E60</f>
        <v>0</v>
      </c>
      <c r="BL43" s="93" t="n">
        <f aca="false">'TAX. ADM'!E61</f>
        <v>0</v>
      </c>
      <c r="BM43" s="93" t="n">
        <f aca="false">'TAX. ADM'!E62</f>
        <v>0</v>
      </c>
      <c r="BN43" s="93" t="n">
        <f aca="false">'TAX. ADM'!E63</f>
        <v>0</v>
      </c>
      <c r="BO43" s="93" t="n">
        <f aca="false">'TAX. ADM'!E64</f>
        <v>0</v>
      </c>
      <c r="BP43" s="93" t="n">
        <f aca="false">'TAX. ADM'!E65</f>
        <v>0</v>
      </c>
      <c r="BQ43" s="93" t="n">
        <f aca="false">'TAX. ADM'!E66</f>
        <v>0</v>
      </c>
      <c r="BR43" s="93" t="n">
        <f aca="false">'TAX. ADM'!E67</f>
        <v>0</v>
      </c>
      <c r="BS43" s="93" t="n">
        <f aca="false">'TAX. ADM'!E68</f>
        <v>0</v>
      </c>
      <c r="BT43" s="93" t="n">
        <f aca="false">'TAX. ADM'!E69</f>
        <v>0</v>
      </c>
      <c r="BU43" s="93" t="n">
        <f aca="false">'TAX. ADM'!E70</f>
        <v>0</v>
      </c>
      <c r="BV43" s="93" t="n">
        <f aca="false">'TAX. ADM'!E71</f>
        <v>0</v>
      </c>
      <c r="BW43" s="93" t="n">
        <f aca="false">'TAX. ADM'!E72</f>
        <v>0</v>
      </c>
      <c r="BX43" s="93" t="n">
        <f aca="false">'TAX. ADM'!E73</f>
        <v>0</v>
      </c>
      <c r="BY43" s="93" t="n">
        <f aca="false">'TAX. ADM'!E74</f>
        <v>0</v>
      </c>
      <c r="BZ43" s="93" t="n">
        <f aca="false">'TAX. ADM'!E75</f>
        <v>0</v>
      </c>
      <c r="CA43" s="93" t="n">
        <f aca="false">'TAX. ADM'!E76</f>
        <v>0</v>
      </c>
    </row>
    <row r="44" customFormat="false" ht="15" hidden="false" customHeight="false" outlineLevel="0" collapsed="false">
      <c r="A44" s="55" t="s">
        <v>305</v>
      </c>
      <c r="B44" s="55" t="s">
        <v>355</v>
      </c>
      <c r="C44" s="55" t="s">
        <v>71</v>
      </c>
      <c r="D44" s="56" t="n">
        <f aca="false">TERRAPLENAGEM!$K$5</f>
        <v>1035.405812</v>
      </c>
      <c r="E44" s="45" t="n">
        <f aca="false">SUM(H44:CA44)</f>
        <v>1001.60741370941</v>
      </c>
      <c r="F44" s="45" t="n">
        <f aca="false">IF(D44="","",D44-E44)</f>
        <v>33.7983982905938</v>
      </c>
      <c r="H44" s="93" t="n">
        <f aca="false">TERRAPLENAGEM!E5</f>
        <v>0</v>
      </c>
      <c r="I44" s="93" t="n">
        <f aca="false">TERRAPLENAGEM!E6</f>
        <v>0</v>
      </c>
      <c r="J44" s="93" t="n">
        <f aca="false">TERRAPLENAGEM!E7</f>
        <v>0</v>
      </c>
      <c r="K44" s="93" t="n">
        <f aca="false">TERRAPLENAGEM!E8</f>
        <v>0</v>
      </c>
      <c r="L44" s="93" t="n">
        <f aca="false">TERRAPLENAGEM!E9</f>
        <v>0</v>
      </c>
      <c r="M44" s="93" t="n">
        <f aca="false">TERRAPLENAGEM!E10</f>
        <v>0</v>
      </c>
      <c r="N44" s="93" t="n">
        <f aca="false">TERRAPLENAGEM!E11</f>
        <v>0</v>
      </c>
      <c r="O44" s="93" t="n">
        <f aca="false">TERRAPLENAGEM!E12</f>
        <v>0</v>
      </c>
      <c r="P44" s="93" t="n">
        <f aca="false">TERRAPLENAGEM!E13</f>
        <v>0</v>
      </c>
      <c r="Q44" s="93" t="n">
        <f aca="false">TERRAPLENAGEM!E14</f>
        <v>0</v>
      </c>
      <c r="R44" s="93" t="n">
        <f aca="false">TERRAPLENAGEM!E15</f>
        <v>0</v>
      </c>
      <c r="S44" s="93" t="n">
        <f aca="false">TERRAPLENAGEM!E16</f>
        <v>3.154288437077</v>
      </c>
      <c r="T44" s="93" t="n">
        <f aca="false">TERRAPLENAGEM!E17</f>
        <v>47.3606473418387</v>
      </c>
      <c r="U44" s="93" t="n">
        <f aca="false">TERRAPLENAGEM!E18</f>
        <v>17.2981869565639</v>
      </c>
      <c r="V44" s="93" t="n">
        <f aca="false">TERRAPLENAGEM!E19</f>
        <v>84.5072677453343</v>
      </c>
      <c r="W44" s="93" t="n">
        <f aca="false">TERRAPLENAGEM!E20</f>
        <v>17.4004334575334</v>
      </c>
      <c r="X44" s="93" t="n">
        <f aca="false">TERRAPLENAGEM!E21</f>
        <v>161.398838726886</v>
      </c>
      <c r="Y44" s="93" t="n">
        <f aca="false">TERRAPLENAGEM!E22</f>
        <v>212.022979550561</v>
      </c>
      <c r="Z44" s="93" t="n">
        <f aca="false">TERRAPLENAGEM!E23</f>
        <v>158.156095267917</v>
      </c>
      <c r="AA44" s="93" t="n">
        <f aca="false">TERRAPLENAGEM!E24</f>
        <v>41.3313402114665</v>
      </c>
      <c r="AB44" s="93" t="n">
        <f aca="false">TERRAPLENAGEM!E25</f>
        <v>0</v>
      </c>
      <c r="AC44" s="93" t="n">
        <f aca="false">TERRAPLENAGEM!E26</f>
        <v>173.345447439016</v>
      </c>
      <c r="AD44" s="93" t="n">
        <f aca="false">TERRAPLENAGEM!E27</f>
        <v>83.2231396383335</v>
      </c>
      <c r="AE44" s="93" t="n">
        <f aca="false">TERRAPLENAGEM!E28</f>
        <v>0</v>
      </c>
      <c r="AF44" s="93" t="n">
        <f aca="false">TERRAPLENAGEM!E29</f>
        <v>0</v>
      </c>
      <c r="AG44" s="93" t="n">
        <f aca="false">TERRAPLENAGEM!E30</f>
        <v>0</v>
      </c>
      <c r="AH44" s="93" t="n">
        <f aca="false">TERRAPLENAGEM!E31</f>
        <v>0</v>
      </c>
      <c r="AI44" s="93" t="n">
        <f aca="false">TERRAPLENAGEM!E32</f>
        <v>1.61925962823341</v>
      </c>
      <c r="AJ44" s="93" t="n">
        <f aca="false">TERRAPLENAGEM!E33</f>
        <v>0.789489308645536</v>
      </c>
      <c r="AK44" s="93" t="n">
        <f aca="false">TERRAPLENAGEM!E34</f>
        <v>0</v>
      </c>
      <c r="AL44" s="93" t="n">
        <f aca="false">TERRAPLENAGEM!E35</f>
        <v>0</v>
      </c>
      <c r="AM44" s="93" t="n">
        <f aca="false">TERRAPLENAGEM!E36</f>
        <v>0</v>
      </c>
      <c r="AN44" s="93" t="n">
        <f aca="false">TERRAPLENAGEM!E37</f>
        <v>0</v>
      </c>
      <c r="AO44" s="93" t="n">
        <f aca="false">TERRAPLENAGEM!E38</f>
        <v>0</v>
      </c>
      <c r="AP44" s="93" t="n">
        <f aca="false">TERRAPLENAGEM!E39</f>
        <v>0</v>
      </c>
      <c r="AQ44" s="93" t="n">
        <f aca="false">TERRAPLENAGEM!E40</f>
        <v>0</v>
      </c>
      <c r="AR44" s="93" t="n">
        <f aca="false">TERRAPLENAGEM!E41</f>
        <v>0</v>
      </c>
      <c r="AS44" s="93" t="n">
        <f aca="false">TERRAPLENAGEM!E42</f>
        <v>0</v>
      </c>
      <c r="AT44" s="93" t="n">
        <f aca="false">TERRAPLENAGEM!E43</f>
        <v>0</v>
      </c>
      <c r="AU44" s="93" t="n">
        <f aca="false">TERRAPLENAGEM!E44</f>
        <v>0</v>
      </c>
      <c r="AV44" s="93" t="n">
        <f aca="false">TERRAPLENAGEM!E45</f>
        <v>0</v>
      </c>
      <c r="AW44" s="93" t="n">
        <f aca="false">TERRAPLENAGEM!E46</f>
        <v>0</v>
      </c>
      <c r="AX44" s="93" t="n">
        <f aca="false">TERRAPLENAGEM!E47</f>
        <v>0</v>
      </c>
      <c r="AY44" s="93" t="n">
        <f aca="false">TERRAPLENAGEM!E48</f>
        <v>0</v>
      </c>
      <c r="AZ44" s="93" t="n">
        <f aca="false">TERRAPLENAGEM!E49</f>
        <v>0</v>
      </c>
      <c r="BA44" s="93" t="n">
        <f aca="false">TERRAPLENAGEM!E50</f>
        <v>0</v>
      </c>
      <c r="BB44" s="93" t="n">
        <f aca="false">TERRAPLENAGEM!E51</f>
        <v>0</v>
      </c>
      <c r="BC44" s="93" t="n">
        <f aca="false">TERRAPLENAGEM!E52</f>
        <v>0</v>
      </c>
      <c r="BD44" s="93" t="n">
        <f aca="false">TERRAPLENAGEM!E53</f>
        <v>0</v>
      </c>
      <c r="BE44" s="93" t="n">
        <f aca="false">TERRAPLENAGEM!E54</f>
        <v>0</v>
      </c>
      <c r="BF44" s="93" t="n">
        <f aca="false">TERRAPLENAGEM!E55</f>
        <v>0</v>
      </c>
      <c r="BG44" s="93" t="n">
        <f aca="false">TERRAPLENAGEM!E56</f>
        <v>0</v>
      </c>
      <c r="BH44" s="93" t="n">
        <f aca="false">TERRAPLENAGEM!E57</f>
        <v>0</v>
      </c>
      <c r="BI44" s="93" t="n">
        <f aca="false">TERRAPLENAGEM!E58</f>
        <v>0</v>
      </c>
      <c r="BJ44" s="93" t="n">
        <f aca="false">TERRAPLENAGEM!E59</f>
        <v>0</v>
      </c>
      <c r="BK44" s="93" t="n">
        <f aca="false">TERRAPLENAGEM!E60</f>
        <v>0</v>
      </c>
      <c r="BL44" s="93" t="n">
        <f aca="false">TERRAPLENAGEM!E61</f>
        <v>0</v>
      </c>
      <c r="BM44" s="93" t="n">
        <f aca="false">TERRAPLENAGEM!E62</f>
        <v>0</v>
      </c>
      <c r="BN44" s="93" t="n">
        <f aca="false">TERRAPLENAGEM!E63</f>
        <v>0</v>
      </c>
      <c r="BO44" s="93" t="n">
        <f aca="false">TERRAPLENAGEM!E64</f>
        <v>0</v>
      </c>
      <c r="BP44" s="93" t="n">
        <f aca="false">TERRAPLENAGEM!E65</f>
        <v>0</v>
      </c>
      <c r="BQ44" s="93" t="n">
        <f aca="false">TERRAPLENAGEM!E66</f>
        <v>0</v>
      </c>
      <c r="BR44" s="93" t="n">
        <f aca="false">TERRAPLENAGEM!E67</f>
        <v>0</v>
      </c>
      <c r="BS44" s="93" t="n">
        <f aca="false">TERRAPLENAGEM!E68</f>
        <v>0</v>
      </c>
      <c r="BT44" s="93" t="n">
        <f aca="false">TERRAPLENAGEM!E69</f>
        <v>0</v>
      </c>
      <c r="BU44" s="93" t="n">
        <f aca="false">TERRAPLENAGEM!E70</f>
        <v>0</v>
      </c>
      <c r="BV44" s="93" t="n">
        <f aca="false">TERRAPLENAGEM!E71</f>
        <v>0</v>
      </c>
      <c r="BW44" s="93" t="n">
        <f aca="false">TERRAPLENAGEM!E72</f>
        <v>0</v>
      </c>
      <c r="BX44" s="93" t="n">
        <f aca="false">TERRAPLENAGEM!E73</f>
        <v>0</v>
      </c>
      <c r="BY44" s="93" t="n">
        <f aca="false">TERRAPLENAGEM!E74</f>
        <v>0</v>
      </c>
      <c r="BZ44" s="93" t="n">
        <f aca="false">TERRAPLENAGEM!E75</f>
        <v>0</v>
      </c>
      <c r="CA44" s="93" t="n">
        <f aca="false">TERRAPLENAGEM!E76</f>
        <v>0</v>
      </c>
    </row>
    <row r="45" customFormat="false" ht="15" hidden="false" customHeight="false" outlineLevel="0" collapsed="false">
      <c r="A45" s="55" t="s">
        <v>305</v>
      </c>
      <c r="B45" s="55" t="s">
        <v>356</v>
      </c>
      <c r="C45" s="55" t="s">
        <v>86</v>
      </c>
      <c r="E45" s="45" t="n">
        <f aca="false">SUM(H45:CA45)</f>
        <v>0</v>
      </c>
      <c r="F45" s="45" t="str">
        <f aca="false">IF(D45="","",D45-E45)</f>
        <v/>
      </c>
    </row>
    <row r="46" customFormat="false" ht="15" hidden="false" customHeight="false" outlineLevel="0" collapsed="false">
      <c r="A46" s="55" t="s">
        <v>305</v>
      </c>
      <c r="B46" s="55" t="s">
        <v>357</v>
      </c>
      <c r="C46" s="55" t="s">
        <v>79</v>
      </c>
      <c r="D46" s="56" t="n">
        <f aca="false">TRANSPORTES!$K$5</f>
        <v>640.739834</v>
      </c>
      <c r="E46" s="45" t="n">
        <f aca="false">SUM(H46:CA46)</f>
        <v>646.413125953338</v>
      </c>
      <c r="F46" s="45" t="n">
        <f aca="false">IF(D46="","",D46-E46)</f>
        <v>-5.67329195333821</v>
      </c>
      <c r="H46" s="93" t="n">
        <f aca="false">TRANSPORTES!E5</f>
        <v>0.209155518310871</v>
      </c>
      <c r="I46" s="93" t="n">
        <f aca="false">TRANSPORTES!E6</f>
        <v>0</v>
      </c>
      <c r="J46" s="93" t="n">
        <f aca="false">TRANSPORTES!E7</f>
        <v>0.0865838853272561</v>
      </c>
      <c r="K46" s="93" t="n">
        <f aca="false">TRANSPORTES!E8</f>
        <v>0.00285984388816568</v>
      </c>
      <c r="L46" s="93" t="n">
        <f aca="false">TRANSPORTES!E9</f>
        <v>0</v>
      </c>
      <c r="M46" s="93" t="n">
        <f aca="false">TRANSPORTES!E10</f>
        <v>0.0446644791900125</v>
      </c>
      <c r="N46" s="93" t="n">
        <f aca="false">TRANSPORTES!E11</f>
        <v>0.0418171101675769</v>
      </c>
      <c r="O46" s="93" t="n">
        <f aca="false">TRANSPORTES!E12</f>
        <v>0.834427260132626</v>
      </c>
      <c r="P46" s="93" t="n">
        <f aca="false">TRANSPORTES!E13</f>
        <v>1.53966529301245</v>
      </c>
      <c r="Q46" s="93" t="n">
        <f aca="false">TRANSPORTES!E14</f>
        <v>12.851395736769</v>
      </c>
      <c r="R46" s="93" t="n">
        <f aca="false">TRANSPORTES!E15</f>
        <v>6.8855390737232</v>
      </c>
      <c r="S46" s="93" t="n">
        <f aca="false">TRANSPORTES!E16</f>
        <v>3.26647536415877</v>
      </c>
      <c r="T46" s="93" t="n">
        <f aca="false">TRANSPORTES!E17</f>
        <v>6.15429898848767</v>
      </c>
      <c r="U46" s="93" t="n">
        <f aca="false">TRANSPORTES!E18</f>
        <v>3.47219482698968</v>
      </c>
      <c r="V46" s="93" t="n">
        <f aca="false">TRANSPORTES!E19</f>
        <v>3.20682058008144</v>
      </c>
      <c r="W46" s="93" t="n">
        <f aca="false">TRANSPORTES!E20</f>
        <v>6.74635036935297</v>
      </c>
      <c r="X46" s="93" t="n">
        <f aca="false">TRANSPORTES!E21</f>
        <v>1.59377351840032</v>
      </c>
      <c r="Y46" s="93" t="n">
        <f aca="false">TRANSPORTES!E22</f>
        <v>2.00681516807731</v>
      </c>
      <c r="Z46" s="93" t="n">
        <f aca="false">TRANSPORTES!E23</f>
        <v>2.53046716449028</v>
      </c>
      <c r="AA46" s="93" t="n">
        <f aca="false">TRANSPORTES!E24</f>
        <v>0.864881394502305</v>
      </c>
      <c r="AB46" s="93" t="n">
        <f aca="false">TRANSPORTES!E25</f>
        <v>4.41218947805094</v>
      </c>
      <c r="AC46" s="93" t="n">
        <f aca="false">TRANSPORTES!E26</f>
        <v>21.8512969017233</v>
      </c>
      <c r="AD46" s="93" t="n">
        <f aca="false">TRANSPORTES!E27</f>
        <v>15.5511014466661</v>
      </c>
      <c r="AE46" s="93" t="n">
        <f aca="false">TRANSPORTES!E28</f>
        <v>9.33921856332146</v>
      </c>
      <c r="AF46" s="93" t="n">
        <f aca="false">TRANSPORTES!E29</f>
        <v>9.57848794003848</v>
      </c>
      <c r="AG46" s="93" t="n">
        <f aca="false">TRANSPORTES!E30</f>
        <v>12.6298268482304</v>
      </c>
      <c r="AH46" s="93" t="n">
        <f aca="false">TRANSPORTES!E31</f>
        <v>21.8654249982613</v>
      </c>
      <c r="AI46" s="93" t="n">
        <f aca="false">TRANSPORTES!E32</f>
        <v>19.758440456736</v>
      </c>
      <c r="AJ46" s="93" t="n">
        <f aca="false">TRANSPORTES!E33</f>
        <v>23.1547832250968</v>
      </c>
      <c r="AK46" s="93" t="n">
        <f aca="false">TRANSPORTES!E34</f>
        <v>23.386130646594</v>
      </c>
      <c r="AL46" s="93" t="n">
        <f aca="false">TRANSPORTES!E35</f>
        <v>26.7170611415024</v>
      </c>
      <c r="AM46" s="93" t="n">
        <f aca="false">TRANSPORTES!E36</f>
        <v>25.3846703583069</v>
      </c>
      <c r="AN46" s="93" t="n">
        <f aca="false">TRANSPORTES!E37</f>
        <v>24.1436956859322</v>
      </c>
      <c r="AO46" s="93" t="n">
        <f aca="false">TRANSPORTES!E38</f>
        <v>26.3461076508922</v>
      </c>
      <c r="AP46" s="93" t="n">
        <f aca="false">TRANSPORTES!E39</f>
        <v>22.8007810150106</v>
      </c>
      <c r="AQ46" s="93" t="n">
        <f aca="false">TRANSPORTES!E40</f>
        <v>20.4934631582005</v>
      </c>
      <c r="AR46" s="93" t="n">
        <f aca="false">TRANSPORTES!E41</f>
        <v>22.4606248029039</v>
      </c>
      <c r="AS46" s="93" t="n">
        <f aca="false">TRANSPORTES!E42</f>
        <v>24.4103860239721</v>
      </c>
      <c r="AT46" s="93" t="n">
        <f aca="false">TRANSPORTES!E43</f>
        <v>24.0151710615108</v>
      </c>
      <c r="AU46" s="93" t="n">
        <f aca="false">TRANSPORTES!E44</f>
        <v>15.9938313125854</v>
      </c>
      <c r="AV46" s="93" t="n">
        <f aca="false">TRANSPORTES!E45</f>
        <v>10.0114154361464</v>
      </c>
      <c r="AW46" s="93" t="n">
        <f aca="false">TRANSPORTES!E46</f>
        <v>10.0114154361464</v>
      </c>
      <c r="AX46" s="93" t="n">
        <f aca="false">TRANSPORTES!E47</f>
        <v>10.0114154361464</v>
      </c>
      <c r="AY46" s="93" t="n">
        <f aca="false">TRANSPORTES!E48</f>
        <v>10.0114154361464</v>
      </c>
      <c r="AZ46" s="93" t="n">
        <f aca="false">TRANSPORTES!E49</f>
        <v>10.0114154361464</v>
      </c>
      <c r="BA46" s="93" t="n">
        <f aca="false">TRANSPORTES!E50</f>
        <v>10.0114154361464</v>
      </c>
      <c r="BB46" s="93" t="n">
        <f aca="false">TRANSPORTES!E51</f>
        <v>10.0114154361464</v>
      </c>
      <c r="BC46" s="93" t="n">
        <f aca="false">TRANSPORTES!E52</f>
        <v>10.0114154361464</v>
      </c>
      <c r="BD46" s="93" t="n">
        <f aca="false">TRANSPORTES!E53</f>
        <v>10.0114154361464</v>
      </c>
      <c r="BE46" s="93" t="n">
        <f aca="false">TRANSPORTES!E54</f>
        <v>10.0114154361464</v>
      </c>
      <c r="BF46" s="93" t="n">
        <f aca="false">TRANSPORTES!E55</f>
        <v>4.646308046806</v>
      </c>
      <c r="BG46" s="93" t="n">
        <f aca="false">TRANSPORTES!E56</f>
        <v>50.7678926172725</v>
      </c>
      <c r="BH46" s="93" t="n">
        <f aca="false">TRANSPORTES!E57</f>
        <v>15.0527216177048</v>
      </c>
      <c r="BI46" s="93" t="n">
        <f aca="false">TRANSPORTES!E58</f>
        <v>29.2011710194935</v>
      </c>
      <c r="BJ46" s="93" t="n">
        <f aca="false">TRANSPORTES!E59</f>
        <v>0</v>
      </c>
      <c r="BK46" s="93" t="n">
        <f aca="false">TRANSPORTES!E60</f>
        <v>0</v>
      </c>
      <c r="BL46" s="93" t="n">
        <f aca="false">TRANSPORTES!E61</f>
        <v>0</v>
      </c>
      <c r="BM46" s="93" t="n">
        <f aca="false">TRANSPORTES!E62</f>
        <v>0</v>
      </c>
      <c r="BN46" s="93" t="n">
        <f aca="false">TRANSPORTES!E63</f>
        <v>0</v>
      </c>
      <c r="BO46" s="93" t="n">
        <f aca="false">TRANSPORTES!E64</f>
        <v>0</v>
      </c>
      <c r="BP46" s="93" t="n">
        <f aca="false">TRANSPORTES!E65</f>
        <v>0</v>
      </c>
      <c r="BQ46" s="93" t="n">
        <f aca="false">TRANSPORTES!E66</f>
        <v>0</v>
      </c>
      <c r="BR46" s="93" t="n">
        <f aca="false">TRANSPORTES!E67</f>
        <v>0</v>
      </c>
      <c r="BS46" s="93" t="n">
        <f aca="false">TRANSPORTES!E68</f>
        <v>0</v>
      </c>
      <c r="BT46" s="93" t="n">
        <f aca="false">TRANSPORTES!E69</f>
        <v>0</v>
      </c>
      <c r="BU46" s="93" t="n">
        <f aca="false">TRANSPORTES!E70</f>
        <v>0</v>
      </c>
      <c r="BV46" s="93" t="n">
        <f aca="false">TRANSPORTES!E71</f>
        <v>0</v>
      </c>
      <c r="BW46" s="93" t="n">
        <f aca="false">TRANSPORTES!E72</f>
        <v>0</v>
      </c>
      <c r="BX46" s="93" t="n">
        <f aca="false">TRANSPORTES!E73</f>
        <v>0</v>
      </c>
      <c r="BY46" s="93" t="n">
        <f aca="false">TRANSPORTES!E74</f>
        <v>0</v>
      </c>
      <c r="BZ46" s="93" t="n">
        <f aca="false">TRANSPORTES!E75</f>
        <v>0</v>
      </c>
      <c r="CA46" s="93" t="n">
        <f aca="false">TRANSPORTES!E76</f>
        <v>0</v>
      </c>
    </row>
    <row r="47" customFormat="false" ht="15" hidden="false" customHeight="false" outlineLevel="0" collapsed="false">
      <c r="A47" s="55" t="s">
        <v>305</v>
      </c>
      <c r="B47" s="55" t="s">
        <v>358</v>
      </c>
      <c r="C47" s="55" t="s">
        <v>359</v>
      </c>
      <c r="E47" s="45" t="n">
        <f aca="false">SUM(H47:CA47)</f>
        <v>0</v>
      </c>
      <c r="F47" s="45" t="str">
        <f aca="false">IF(D47="","",D47-E47)</f>
        <v/>
      </c>
    </row>
    <row r="48" customFormat="false" ht="15" hidden="false" customHeight="false" outlineLevel="0" collapsed="false">
      <c r="A48" s="55" t="s">
        <v>305</v>
      </c>
      <c r="B48" s="55" t="s">
        <v>360</v>
      </c>
      <c r="C48" s="55" t="s">
        <v>361</v>
      </c>
      <c r="E48" s="45" t="n">
        <f aca="false">SUM(H48:CA48)</f>
        <v>0</v>
      </c>
      <c r="F48" s="45" t="str">
        <f aca="false">IF(D48="","",D48-E48)</f>
        <v/>
      </c>
    </row>
    <row r="49" customFormat="false" ht="15" hidden="false" customHeight="false" outlineLevel="0" collapsed="false">
      <c r="A49" s="55" t="s">
        <v>305</v>
      </c>
      <c r="B49" s="55" t="s">
        <v>362</v>
      </c>
      <c r="C49" s="55" t="s">
        <v>82</v>
      </c>
      <c r="D49" s="56" t="n">
        <f aca="false">MDO!$K$5</f>
        <v>16592.360482</v>
      </c>
      <c r="E49" s="45" t="n">
        <f aca="false">SUM(H49:CA49)</f>
        <v>16587.039563599</v>
      </c>
      <c r="F49" s="45" t="n">
        <f aca="false">IF(D49="","",D49-E49)</f>
        <v>5.32091840102294</v>
      </c>
      <c r="H49" s="93" t="n">
        <f aca="false">MDO!E5</f>
        <v>343.30301603844</v>
      </c>
      <c r="I49" s="93" t="n">
        <f aca="false">MDO!E6</f>
        <v>0.804026289948987</v>
      </c>
      <c r="J49" s="93" t="n">
        <f aca="false">MDO!E7</f>
        <v>52.2735277203893</v>
      </c>
      <c r="K49" s="93" t="n">
        <f aca="false">MDO!E8</f>
        <v>100.962732075907</v>
      </c>
      <c r="L49" s="93" t="n">
        <f aca="false">MDO!E9</f>
        <v>51.1771251420476</v>
      </c>
      <c r="M49" s="93" t="n">
        <f aca="false">MDO!E10</f>
        <v>20.0724402284176</v>
      </c>
      <c r="N49" s="93" t="n">
        <f aca="false">MDO!E11</f>
        <v>22.619046626578</v>
      </c>
      <c r="O49" s="93" t="n">
        <f aca="false">MDO!E12</f>
        <v>42.5351701940815</v>
      </c>
      <c r="P49" s="93" t="n">
        <f aca="false">MDO!E13</f>
        <v>73.8890907088483</v>
      </c>
      <c r="Q49" s="93" t="n">
        <f aca="false">MDO!E14</f>
        <v>89.7696404586021</v>
      </c>
      <c r="R49" s="93" t="n">
        <f aca="false">MDO!E15</f>
        <v>134.2475432689</v>
      </c>
      <c r="S49" s="93" t="n">
        <f aca="false">MDO!E16</f>
        <v>191.104596563572</v>
      </c>
      <c r="T49" s="93" t="n">
        <f aca="false">MDO!E17</f>
        <v>152.504810037121</v>
      </c>
      <c r="U49" s="93" t="n">
        <f aca="false">MDO!E18</f>
        <v>167.363835813994</v>
      </c>
      <c r="V49" s="93" t="n">
        <f aca="false">MDO!E19</f>
        <v>152.992032929162</v>
      </c>
      <c r="W49" s="93" t="n">
        <f aca="false">MDO!E20</f>
        <v>172.517645794796</v>
      </c>
      <c r="X49" s="93" t="n">
        <f aca="false">MDO!E21</f>
        <v>161.590748873498</v>
      </c>
      <c r="Y49" s="93" t="n">
        <f aca="false">MDO!E22</f>
        <v>163.521309204805</v>
      </c>
      <c r="Z49" s="93" t="n">
        <f aca="false">MDO!E23</f>
        <v>160.274557819092</v>
      </c>
      <c r="AA49" s="93" t="n">
        <f aca="false">MDO!E24</f>
        <v>198.988110345063</v>
      </c>
      <c r="AB49" s="93" t="n">
        <f aca="false">MDO!E25</f>
        <v>230.436637214133</v>
      </c>
      <c r="AC49" s="93" t="n">
        <f aca="false">MDO!E26</f>
        <v>309.092448165041</v>
      </c>
      <c r="AD49" s="93" t="n">
        <f aca="false">MDO!E27</f>
        <v>298.167102667789</v>
      </c>
      <c r="AE49" s="93" t="n">
        <f aca="false">MDO!E28</f>
        <v>295.9696721366</v>
      </c>
      <c r="AF49" s="93" t="n">
        <f aca="false">MDO!E29</f>
        <v>330.727992807574</v>
      </c>
      <c r="AG49" s="93" t="n">
        <f aca="false">MDO!E30</f>
        <v>386.74122749927</v>
      </c>
      <c r="AH49" s="93" t="n">
        <f aca="false">MDO!E31</f>
        <v>347.478785112296</v>
      </c>
      <c r="AI49" s="93" t="n">
        <f aca="false">MDO!E32</f>
        <v>348.30216048967</v>
      </c>
      <c r="AJ49" s="93" t="n">
        <f aca="false">MDO!E33</f>
        <v>355.594079383629</v>
      </c>
      <c r="AK49" s="93" t="n">
        <f aca="false">MDO!E34</f>
        <v>359.964018355452</v>
      </c>
      <c r="AL49" s="93" t="n">
        <f aca="false">MDO!E35</f>
        <v>359.964018355452</v>
      </c>
      <c r="AM49" s="93" t="n">
        <f aca="false">MDO!E36</f>
        <v>359.964018355452</v>
      </c>
      <c r="AN49" s="93" t="n">
        <f aca="false">MDO!E37</f>
        <v>366.331350843426</v>
      </c>
      <c r="AO49" s="93" t="n">
        <f aca="false">MDO!E38</f>
        <v>366.331350843426</v>
      </c>
      <c r="AP49" s="93" t="n">
        <f aca="false">MDO!E39</f>
        <v>366.316305954251</v>
      </c>
      <c r="AQ49" s="93" t="n">
        <f aca="false">MDO!E40</f>
        <v>466.977295794174</v>
      </c>
      <c r="AR49" s="93" t="n">
        <f aca="false">MDO!E41</f>
        <v>466.830044150447</v>
      </c>
      <c r="AS49" s="93" t="n">
        <f aca="false">MDO!E42</f>
        <v>366.331350843426</v>
      </c>
      <c r="AT49" s="93" t="n">
        <f aca="false">MDO!E43</f>
        <v>366.331350843426</v>
      </c>
      <c r="AU49" s="93" t="n">
        <f aca="false">MDO!E44</f>
        <v>366.331350843426</v>
      </c>
      <c r="AV49" s="93" t="n">
        <f aca="false">MDO!E45</f>
        <v>352.033305723199</v>
      </c>
      <c r="AW49" s="93" t="n">
        <f aca="false">MDO!E46</f>
        <v>352.033305723199</v>
      </c>
      <c r="AX49" s="93" t="n">
        <f aca="false">MDO!E47</f>
        <v>352.033305723199</v>
      </c>
      <c r="AY49" s="93" t="n">
        <f aca="false">MDO!E48</f>
        <v>339.219081222475</v>
      </c>
      <c r="AZ49" s="93" t="n">
        <f aca="false">MDO!E49</f>
        <v>322.516461826989</v>
      </c>
      <c r="BA49" s="93" t="n">
        <f aca="false">MDO!E50</f>
        <v>322.516461826989</v>
      </c>
      <c r="BB49" s="93" t="n">
        <f aca="false">MDO!E51</f>
        <v>322.516461826989</v>
      </c>
      <c r="BC49" s="93" t="n">
        <f aca="false">MDO!E52</f>
        <v>457.719807840233</v>
      </c>
      <c r="BD49" s="93" t="n">
        <f aca="false">MDO!E53</f>
        <v>477.642853291848</v>
      </c>
      <c r="BE49" s="93" t="n">
        <f aca="false">MDO!E54</f>
        <v>373.333180397718</v>
      </c>
      <c r="BF49" s="93" t="n">
        <f aca="false">MDO!E55</f>
        <v>345.299376507239</v>
      </c>
      <c r="BG49" s="93" t="n">
        <f aca="false">MDO!E56</f>
        <v>345.299376507239</v>
      </c>
      <c r="BH49" s="93" t="n">
        <f aca="false">MDO!E57</f>
        <v>485.335912398161</v>
      </c>
      <c r="BI49" s="93" t="n">
        <f aca="false">MDO!E58</f>
        <v>128.63185542661</v>
      </c>
      <c r="BJ49" s="93" t="n">
        <f aca="false">MDO!E59</f>
        <v>49.9691691397517</v>
      </c>
      <c r="BK49" s="93" t="n">
        <f aca="false">MDO!E60</f>
        <v>49.9691691397517</v>
      </c>
      <c r="BL49" s="93" t="n">
        <f aca="false">MDO!E61</f>
        <v>0</v>
      </c>
      <c r="BM49" s="93" t="n">
        <f aca="false">MDO!E62</f>
        <v>0</v>
      </c>
      <c r="BN49" s="93" t="n">
        <f aca="false">MDO!E63</f>
        <v>1944.27691228576</v>
      </c>
      <c r="BO49" s="93" t="n">
        <f aca="false">MDO!E64</f>
        <v>0</v>
      </c>
      <c r="BP49" s="93" t="n">
        <f aca="false">MDO!E65</f>
        <v>0</v>
      </c>
      <c r="BQ49" s="93" t="n">
        <f aca="false">MDO!E66</f>
        <v>0</v>
      </c>
      <c r="BR49" s="93" t="n">
        <f aca="false">MDO!E67</f>
        <v>0</v>
      </c>
      <c r="BS49" s="93" t="n">
        <f aca="false">MDO!E68</f>
        <v>0</v>
      </c>
      <c r="BT49" s="93" t="n">
        <f aca="false">MDO!E69</f>
        <v>0</v>
      </c>
      <c r="BU49" s="93" t="n">
        <f aca="false">MDO!E70</f>
        <v>0</v>
      </c>
      <c r="BV49" s="93" t="n">
        <f aca="false">MDO!E71</f>
        <v>0</v>
      </c>
      <c r="BW49" s="93" t="n">
        <f aca="false">MDO!E72</f>
        <v>0</v>
      </c>
      <c r="BX49" s="93" t="n">
        <f aca="false">MDO!E73</f>
        <v>0</v>
      </c>
      <c r="BY49" s="93" t="n">
        <f aca="false">MDO!E74</f>
        <v>0</v>
      </c>
      <c r="BZ49" s="93" t="n">
        <f aca="false">MDO!E75</f>
        <v>0</v>
      </c>
      <c r="CA49" s="93" t="n">
        <f aca="false">MDO!E76</f>
        <v>0</v>
      </c>
    </row>
    <row r="50" customFormat="false" ht="15" hidden="false" customHeight="false" outlineLevel="0" collapsed="false">
      <c r="A50" s="55" t="s">
        <v>305</v>
      </c>
      <c r="B50" s="55" t="s">
        <v>363</v>
      </c>
      <c r="C50" s="55" t="s">
        <v>66</v>
      </c>
      <c r="D50" s="56" t="n">
        <f aca="false">'TAX. DIVERSAS'!$K$5</f>
        <v>123.283686</v>
      </c>
      <c r="E50" s="45" t="n">
        <f aca="false">SUM(H50:CA50)</f>
        <v>123.23674635542</v>
      </c>
      <c r="F50" s="45" t="n">
        <f aca="false">IF(D50="","",D50-E50)</f>
        <v>0.0469396445796662</v>
      </c>
      <c r="H50" s="93" t="n">
        <f aca="false">'TAX. DIVERSAS'!E5</f>
        <v>0.135797845387852</v>
      </c>
      <c r="I50" s="93" t="n">
        <f aca="false">'TAX. DIVERSAS'!E6</f>
        <v>0.0347441998911998</v>
      </c>
      <c r="J50" s="93" t="n">
        <f aca="false">'TAX. DIVERSAS'!E7</f>
        <v>0</v>
      </c>
      <c r="K50" s="93" t="n">
        <f aca="false">'TAX. DIVERSAS'!E8</f>
        <v>0</v>
      </c>
      <c r="L50" s="93" t="n">
        <f aca="false">'TAX. DIVERSAS'!E9</f>
        <v>0</v>
      </c>
      <c r="M50" s="93" t="n">
        <f aca="false">'TAX. DIVERSAS'!E10</f>
        <v>0</v>
      </c>
      <c r="N50" s="93" t="n">
        <f aca="false">'TAX. DIVERSAS'!E11</f>
        <v>0.0535552463549669</v>
      </c>
      <c r="O50" s="93" t="n">
        <f aca="false">'TAX. DIVERSAS'!E12</f>
        <v>0</v>
      </c>
      <c r="P50" s="93" t="n">
        <f aca="false">'TAX. DIVERSAS'!E13</f>
        <v>0</v>
      </c>
      <c r="Q50" s="93" t="n">
        <f aca="false">'TAX. DIVERSAS'!E14</f>
        <v>0</v>
      </c>
      <c r="R50" s="93" t="n">
        <f aca="false">'TAX. DIVERSAS'!E15</f>
        <v>0</v>
      </c>
      <c r="S50" s="93" t="n">
        <f aca="false">'TAX. DIVERSAS'!E16</f>
        <v>0.0840626843435188</v>
      </c>
      <c r="T50" s="93" t="n">
        <f aca="false">'TAX. DIVERSAS'!E17</f>
        <v>0</v>
      </c>
      <c r="U50" s="93" t="n">
        <f aca="false">'TAX. DIVERSAS'!E18</f>
        <v>0</v>
      </c>
      <c r="V50" s="93" t="n">
        <f aca="false">'TAX. DIVERSAS'!E19</f>
        <v>0</v>
      </c>
      <c r="W50" s="93" t="n">
        <f aca="false">'TAX. DIVERSAS'!E20</f>
        <v>0</v>
      </c>
      <c r="X50" s="93" t="n">
        <f aca="false">'TAX. DIVERSAS'!E21</f>
        <v>0</v>
      </c>
      <c r="Y50" s="93" t="n">
        <f aca="false">'TAX. DIVERSAS'!E22</f>
        <v>0</v>
      </c>
      <c r="Z50" s="93" t="n">
        <f aca="false">'TAX. DIVERSAS'!E23</f>
        <v>0</v>
      </c>
      <c r="AA50" s="93" t="n">
        <f aca="false">'TAX. DIVERSAS'!E24</f>
        <v>0</v>
      </c>
      <c r="AB50" s="93" t="n">
        <f aca="false">'TAX. DIVERSAS'!E25</f>
        <v>4.27422855772545</v>
      </c>
      <c r="AC50" s="93" t="n">
        <f aca="false">'TAX. DIVERSAS'!E26</f>
        <v>0.72562239118628</v>
      </c>
      <c r="AD50" s="93" t="n">
        <f aca="false">'TAX. DIVERSAS'!E27</f>
        <v>0</v>
      </c>
      <c r="AE50" s="93" t="n">
        <f aca="false">'TAX. DIVERSAS'!E28</f>
        <v>0</v>
      </c>
      <c r="AF50" s="93" t="n">
        <f aca="false">'TAX. DIVERSAS'!E29</f>
        <v>0.72562239118628</v>
      </c>
      <c r="AG50" s="93" t="n">
        <f aca="false">'TAX. DIVERSAS'!E30</f>
        <v>0</v>
      </c>
      <c r="AH50" s="93" t="n">
        <f aca="false">'TAX. DIVERSAS'!E31</f>
        <v>0</v>
      </c>
      <c r="AI50" s="93" t="n">
        <f aca="false">'TAX. DIVERSAS'!E32</f>
        <v>0.72562239118628</v>
      </c>
      <c r="AJ50" s="93" t="n">
        <f aca="false">'TAX. DIVERSAS'!E33</f>
        <v>0</v>
      </c>
      <c r="AK50" s="93" t="n">
        <f aca="false">'TAX. DIVERSAS'!E34</f>
        <v>0</v>
      </c>
      <c r="AL50" s="93" t="n">
        <f aca="false">'TAX. DIVERSAS'!E35</f>
        <v>0.72562239118628</v>
      </c>
      <c r="AM50" s="93" t="n">
        <f aca="false">'TAX. DIVERSAS'!E36</f>
        <v>0</v>
      </c>
      <c r="AN50" s="93" t="n">
        <f aca="false">'TAX. DIVERSAS'!E37</f>
        <v>0</v>
      </c>
      <c r="AO50" s="93" t="n">
        <f aca="false">'TAX. DIVERSAS'!E38</f>
        <v>0.72562239118628</v>
      </c>
      <c r="AP50" s="93" t="n">
        <f aca="false">'TAX. DIVERSAS'!E39</f>
        <v>0</v>
      </c>
      <c r="AQ50" s="93" t="n">
        <f aca="false">'TAX. DIVERSAS'!E40</f>
        <v>0</v>
      </c>
      <c r="AR50" s="93" t="n">
        <f aca="false">'TAX. DIVERSAS'!E41</f>
        <v>0</v>
      </c>
      <c r="AS50" s="93" t="n">
        <f aca="false">'TAX. DIVERSAS'!E42</f>
        <v>0</v>
      </c>
      <c r="AT50" s="93" t="n">
        <f aca="false">'TAX. DIVERSAS'!E43</f>
        <v>0</v>
      </c>
      <c r="AU50" s="93" t="n">
        <f aca="false">'TAX. DIVERSAS'!E44</f>
        <v>0</v>
      </c>
      <c r="AV50" s="93" t="n">
        <f aca="false">'TAX. DIVERSAS'!E45</f>
        <v>0</v>
      </c>
      <c r="AW50" s="93" t="n">
        <f aca="false">'TAX. DIVERSAS'!E46</f>
        <v>0</v>
      </c>
      <c r="AX50" s="93" t="n">
        <f aca="false">'TAX. DIVERSAS'!E47</f>
        <v>0</v>
      </c>
      <c r="AY50" s="93" t="n">
        <f aca="false">'TAX. DIVERSAS'!E48</f>
        <v>0</v>
      </c>
      <c r="AZ50" s="93" t="n">
        <f aca="false">'TAX. DIVERSAS'!E49</f>
        <v>0</v>
      </c>
      <c r="BA50" s="93" t="n">
        <f aca="false">'TAX. DIVERSAS'!E50</f>
        <v>0</v>
      </c>
      <c r="BB50" s="93" t="n">
        <f aca="false">'TAX. DIVERSAS'!E51</f>
        <v>12.5242757414688</v>
      </c>
      <c r="BC50" s="93" t="n">
        <f aca="false">'TAX. DIVERSAS'!E52</f>
        <v>19.5691828076956</v>
      </c>
      <c r="BD50" s="93" t="n">
        <f aca="false">'TAX. DIVERSAS'!E53</f>
        <v>0.23483311262839</v>
      </c>
      <c r="BE50" s="93" t="n">
        <f aca="false">'TAX. DIVERSAS'!E54</f>
        <v>35.2245274845316</v>
      </c>
      <c r="BF50" s="93" t="n">
        <f aca="false">'TAX. DIVERSAS'!E55</f>
        <v>47.4734267194616</v>
      </c>
      <c r="BG50" s="93" t="n">
        <f aca="false">'TAX. DIVERSAS'!E56</f>
        <v>0</v>
      </c>
      <c r="BH50" s="93" t="n">
        <f aca="false">'TAX. DIVERSAS'!E57</f>
        <v>0</v>
      </c>
      <c r="BI50" s="93" t="n">
        <f aca="false">'TAX. DIVERSAS'!E58</f>
        <v>0</v>
      </c>
      <c r="BJ50" s="93" t="n">
        <f aca="false">'TAX. DIVERSAS'!E59</f>
        <v>0</v>
      </c>
      <c r="BK50" s="93" t="n">
        <f aca="false">'TAX. DIVERSAS'!E60</f>
        <v>0</v>
      </c>
      <c r="BL50" s="93" t="n">
        <f aca="false">'TAX. DIVERSAS'!E61</f>
        <v>0</v>
      </c>
      <c r="BM50" s="93" t="n">
        <f aca="false">'TAX. DIVERSAS'!E62</f>
        <v>0</v>
      </c>
      <c r="BN50" s="93" t="n">
        <f aca="false">'TAX. DIVERSAS'!E63</f>
        <v>0</v>
      </c>
      <c r="BO50" s="93" t="n">
        <f aca="false">'TAX. DIVERSAS'!E64</f>
        <v>0</v>
      </c>
      <c r="BP50" s="93" t="n">
        <f aca="false">'TAX. DIVERSAS'!E65</f>
        <v>0</v>
      </c>
      <c r="BQ50" s="93" t="n">
        <f aca="false">'TAX. DIVERSAS'!E66</f>
        <v>0</v>
      </c>
      <c r="BR50" s="93" t="n">
        <f aca="false">'TAX. DIVERSAS'!E67</f>
        <v>0</v>
      </c>
      <c r="BS50" s="93" t="n">
        <f aca="false">'TAX. DIVERSAS'!E68</f>
        <v>0</v>
      </c>
      <c r="BT50" s="93" t="n">
        <f aca="false">'TAX. DIVERSAS'!E69</f>
        <v>0</v>
      </c>
      <c r="BU50" s="93" t="n">
        <f aca="false">'TAX. DIVERSAS'!E70</f>
        <v>0</v>
      </c>
      <c r="BV50" s="93" t="n">
        <f aca="false">'TAX. DIVERSAS'!E71</f>
        <v>0</v>
      </c>
      <c r="BW50" s="93" t="n">
        <f aca="false">'TAX. DIVERSAS'!E72</f>
        <v>0</v>
      </c>
      <c r="BX50" s="93" t="n">
        <f aca="false">'TAX. DIVERSAS'!E73</f>
        <v>0</v>
      </c>
      <c r="BY50" s="93" t="n">
        <f aca="false">'TAX. DIVERSAS'!E74</f>
        <v>0</v>
      </c>
      <c r="BZ50" s="93" t="n">
        <f aca="false">'TAX. DIVERSAS'!E75</f>
        <v>0</v>
      </c>
      <c r="CA50" s="93" t="n">
        <f aca="false">'TAX. DIVERSAS'!E76</f>
        <v>0</v>
      </c>
    </row>
    <row r="51" customFormat="false" ht="15" hidden="false" customHeight="false" outlineLevel="0" collapsed="false">
      <c r="A51" s="55" t="s">
        <v>305</v>
      </c>
      <c r="B51" s="55" t="s">
        <v>364</v>
      </c>
      <c r="C51" s="55" t="s">
        <v>85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305</v>
      </c>
      <c r="B52" s="55" t="s">
        <v>365</v>
      </c>
      <c r="C52" s="55" t="s">
        <v>81</v>
      </c>
      <c r="D52" s="56" t="n">
        <f aca="false">'SERV. INICIAIS'!$K$5</f>
        <v>144.119392</v>
      </c>
      <c r="E52" s="45" t="n">
        <f aca="false">SUM(H52:CA52)</f>
        <v>136.710001919561</v>
      </c>
      <c r="F52" s="45" t="n">
        <f aca="false">IF(D52="","",D52-E52)</f>
        <v>7.40939008043873</v>
      </c>
      <c r="H52" s="93" t="n">
        <f aca="false">'SERV. INICIAIS'!E5</f>
        <v>0</v>
      </c>
      <c r="I52" s="93" t="n">
        <f aca="false">'SERV. INICIAIS'!E6</f>
        <v>0</v>
      </c>
      <c r="J52" s="93" t="n">
        <f aca="false">'SERV. INICIAIS'!E7</f>
        <v>0</v>
      </c>
      <c r="K52" s="93" t="n">
        <f aca="false">'SERV. INICIAIS'!E8</f>
        <v>0</v>
      </c>
      <c r="L52" s="93" t="n">
        <f aca="false">'SERV. INICIAIS'!E9</f>
        <v>0</v>
      </c>
      <c r="M52" s="93" t="n">
        <f aca="false">'SERV. INICIAIS'!E10</f>
        <v>0</v>
      </c>
      <c r="N52" s="93" t="n">
        <f aca="false">'SERV. INICIAIS'!E11</f>
        <v>24.7502269678677</v>
      </c>
      <c r="O52" s="93" t="n">
        <f aca="false">'SERV. INICIAIS'!E12</f>
        <v>4.51549851256247</v>
      </c>
      <c r="P52" s="93" t="n">
        <f aca="false">'SERV. INICIAIS'!E13</f>
        <v>0</v>
      </c>
      <c r="Q52" s="93" t="n">
        <f aca="false">'SERV. INICIAIS'!E14</f>
        <v>12.3102826099264</v>
      </c>
      <c r="R52" s="93" t="n">
        <f aca="false">'SERV. INICIAIS'!E15</f>
        <v>6.97495655930024</v>
      </c>
      <c r="S52" s="93" t="n">
        <f aca="false">'SERV. INICIAIS'!E16</f>
        <v>7.95991948650208</v>
      </c>
      <c r="T52" s="93" t="n">
        <f aca="false">'SERV. INICIAIS'!E17</f>
        <v>11.1651648277384</v>
      </c>
      <c r="U52" s="93" t="n">
        <f aca="false">'SERV. INICIAIS'!E18</f>
        <v>7.79398497699339</v>
      </c>
      <c r="V52" s="93" t="n">
        <f aca="false">'SERV. INICIAIS'!E19</f>
        <v>1.29310323979166</v>
      </c>
      <c r="W52" s="93" t="n">
        <f aca="false">'SERV. INICIAIS'!E20</f>
        <v>8.26100622123012</v>
      </c>
      <c r="X52" s="93" t="n">
        <f aca="false">'SERV. INICIAIS'!E21</f>
        <v>3.06402085655403</v>
      </c>
      <c r="Y52" s="93" t="n">
        <f aca="false">'SERV. INICIAIS'!E22</f>
        <v>0.110490715710694</v>
      </c>
      <c r="Z52" s="93" t="n">
        <f aca="false">'SERV. INICIAIS'!E23</f>
        <v>0.519271208715011</v>
      </c>
      <c r="AA52" s="93" t="n">
        <f aca="false">'SERV. INICIAIS'!E24</f>
        <v>0</v>
      </c>
      <c r="AB52" s="93" t="n">
        <f aca="false">'SERV. INICIAIS'!E25</f>
        <v>0</v>
      </c>
      <c r="AC52" s="93" t="n">
        <f aca="false">'SERV. INICIAIS'!E26</f>
        <v>0</v>
      </c>
      <c r="AD52" s="93" t="n">
        <f aca="false">'SERV. INICIAIS'!E27</f>
        <v>0</v>
      </c>
      <c r="AE52" s="93" t="n">
        <f aca="false">'SERV. INICIAIS'!E28</f>
        <v>2.93085992710247</v>
      </c>
      <c r="AF52" s="93" t="n">
        <f aca="false">'SERV. INICIAIS'!E29</f>
        <v>0</v>
      </c>
      <c r="AG52" s="93" t="n">
        <f aca="false">'SERV. INICIAIS'!E30</f>
        <v>0</v>
      </c>
      <c r="AH52" s="93" t="n">
        <f aca="false">'SERV. INICIAIS'!E31</f>
        <v>0</v>
      </c>
      <c r="AI52" s="93" t="n">
        <f aca="false">'SERV. INICIAIS'!E32</f>
        <v>0</v>
      </c>
      <c r="AJ52" s="93" t="n">
        <f aca="false">'SERV. INICIAIS'!E33</f>
        <v>42.8212399905104</v>
      </c>
      <c r="AK52" s="93" t="n">
        <f aca="false">'SERV. INICIAIS'!E34</f>
        <v>0</v>
      </c>
      <c r="AL52" s="93" t="n">
        <f aca="false">'SERV. INICIAIS'!E35</f>
        <v>0</v>
      </c>
      <c r="AM52" s="93" t="n">
        <f aca="false">'SERV. INICIAIS'!E36</f>
        <v>0</v>
      </c>
      <c r="AN52" s="93" t="n">
        <f aca="false">'SERV. INICIAIS'!E37</f>
        <v>0</v>
      </c>
      <c r="AO52" s="93" t="n">
        <f aca="false">'SERV. INICIAIS'!E38</f>
        <v>0</v>
      </c>
      <c r="AP52" s="93" t="n">
        <f aca="false">'SERV. INICIAIS'!E39</f>
        <v>0</v>
      </c>
      <c r="AQ52" s="93" t="n">
        <f aca="false">'SERV. INICIAIS'!E40</f>
        <v>0</v>
      </c>
      <c r="AR52" s="93" t="n">
        <f aca="false">'SERV. INICIAIS'!E41</f>
        <v>2.23997581905622</v>
      </c>
      <c r="AS52" s="93" t="n">
        <f aca="false">'SERV. INICIAIS'!E42</f>
        <v>0</v>
      </c>
      <c r="AT52" s="93" t="n">
        <f aca="false">'SERV. INICIAIS'!E43</f>
        <v>0</v>
      </c>
      <c r="AU52" s="93" t="n">
        <f aca="false">'SERV. INICIAIS'!E44</f>
        <v>0</v>
      </c>
      <c r="AV52" s="93" t="n">
        <f aca="false">'SERV. INICIAIS'!E45</f>
        <v>0</v>
      </c>
      <c r="AW52" s="93" t="n">
        <f aca="false">'SERV. INICIAIS'!E46</f>
        <v>0</v>
      </c>
      <c r="AX52" s="93" t="n">
        <f aca="false">'SERV. INICIAIS'!E47</f>
        <v>0</v>
      </c>
      <c r="AY52" s="93" t="n">
        <f aca="false">'SERV. INICIAIS'!E48</f>
        <v>0</v>
      </c>
      <c r="AZ52" s="93" t="n">
        <f aca="false">'SERV. INICIAIS'!E49</f>
        <v>0</v>
      </c>
      <c r="BA52" s="93" t="n">
        <f aca="false">'SERV. INICIAIS'!E50</f>
        <v>0</v>
      </c>
      <c r="BB52" s="93" t="n">
        <f aca="false">'SERV. INICIAIS'!E51</f>
        <v>0</v>
      </c>
      <c r="BC52" s="93" t="n">
        <f aca="false">'SERV. INICIAIS'!E52</f>
        <v>0</v>
      </c>
      <c r="BD52" s="93" t="n">
        <f aca="false">'SERV. INICIAIS'!E53</f>
        <v>0</v>
      </c>
      <c r="BE52" s="93" t="n">
        <f aca="false">'SERV. INICIAIS'!E54</f>
        <v>0</v>
      </c>
      <c r="BF52" s="93" t="n">
        <f aca="false">'SERV. INICIAIS'!E55</f>
        <v>0</v>
      </c>
      <c r="BG52" s="93" t="n">
        <f aca="false">'SERV. INICIAIS'!E56</f>
        <v>0</v>
      </c>
      <c r="BH52" s="93" t="n">
        <f aca="false">'SERV. INICIAIS'!E57</f>
        <v>0</v>
      </c>
      <c r="BI52" s="93" t="n">
        <f aca="false">'SERV. INICIAIS'!E58</f>
        <v>0</v>
      </c>
      <c r="BJ52" s="93" t="n">
        <f aca="false">'SERV. INICIAIS'!E59</f>
        <v>0</v>
      </c>
      <c r="BK52" s="93" t="n">
        <f aca="false">'SERV. INICIAIS'!E60</f>
        <v>0</v>
      </c>
      <c r="BL52" s="93" t="n">
        <f aca="false">'SERV. INICIAIS'!E61</f>
        <v>0</v>
      </c>
      <c r="BM52" s="93" t="n">
        <f aca="false">'SERV. INICIAIS'!E62</f>
        <v>0</v>
      </c>
      <c r="BN52" s="93" t="n">
        <f aca="false">'SERV. INICIAIS'!E63</f>
        <v>0</v>
      </c>
      <c r="BO52" s="93" t="n">
        <f aca="false">'SERV. INICIAIS'!E64</f>
        <v>0</v>
      </c>
      <c r="BP52" s="93" t="n">
        <f aca="false">'SERV. INICIAIS'!E65</f>
        <v>0</v>
      </c>
      <c r="BQ52" s="93" t="n">
        <f aca="false">'SERV. INICIAIS'!E66</f>
        <v>0</v>
      </c>
      <c r="BR52" s="93" t="n">
        <f aca="false">'SERV. INICIAIS'!E67</f>
        <v>0</v>
      </c>
      <c r="BS52" s="93" t="n">
        <f aca="false">'SERV. INICIAIS'!E68</f>
        <v>0</v>
      </c>
      <c r="BT52" s="93" t="n">
        <f aca="false">'SERV. INICIAIS'!E69</f>
        <v>0</v>
      </c>
      <c r="BU52" s="93" t="n">
        <f aca="false">'SERV. INICIAIS'!E70</f>
        <v>0</v>
      </c>
      <c r="BV52" s="93" t="n">
        <f aca="false">'SERV. INICIAIS'!E71</f>
        <v>0</v>
      </c>
      <c r="BW52" s="93" t="n">
        <f aca="false">'SERV. INICIAIS'!E72</f>
        <v>0</v>
      </c>
      <c r="BX52" s="93" t="n">
        <f aca="false">'SERV. INICIAIS'!E73</f>
        <v>0</v>
      </c>
      <c r="BY52" s="93" t="n">
        <f aca="false">'SERV. INICIAIS'!E74</f>
        <v>0</v>
      </c>
      <c r="BZ52" s="93" t="n">
        <f aca="false">'SERV. INICIAIS'!E75</f>
        <v>0</v>
      </c>
      <c r="CA52" s="93" t="n">
        <f aca="false">'SERV. INICIAIS'!E76</f>
        <v>0</v>
      </c>
    </row>
    <row r="53" customFormat="false" ht="15" hidden="false" customHeight="false" outlineLevel="0" collapsed="false">
      <c r="A53" s="55" t="s">
        <v>305</v>
      </c>
      <c r="B53" s="55" t="s">
        <v>366</v>
      </c>
      <c r="C53" s="55" t="s">
        <v>367</v>
      </c>
      <c r="E53" s="45" t="n">
        <f aca="false">SUM(H53:CA53)</f>
        <v>0</v>
      </c>
      <c r="F53" s="45" t="str">
        <f aca="false">IF(D53="","",D53-E53)</f>
        <v/>
      </c>
    </row>
    <row r="54" customFormat="false" ht="15" hidden="false" customHeight="false" outlineLevel="0" collapsed="false">
      <c r="A54" s="55" t="s">
        <v>305</v>
      </c>
      <c r="B54" s="55" t="s">
        <v>368</v>
      </c>
      <c r="C54" s="55" t="s">
        <v>369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305</v>
      </c>
      <c r="B55" s="55" t="s">
        <v>368</v>
      </c>
      <c r="C55" s="55" t="s">
        <v>369</v>
      </c>
      <c r="E55" s="45" t="n">
        <f aca="false">SUM(H55:CA55)</f>
        <v>0</v>
      </c>
      <c r="F55" s="45" t="str">
        <f aca="false">IF(D55="","",D55-E55)</f>
        <v/>
      </c>
    </row>
    <row r="56" customFormat="false" ht="15" hidden="false" customHeight="false" outlineLevel="0" collapsed="false">
      <c r="A56" s="55" t="s">
        <v>305</v>
      </c>
      <c r="B56" s="55" t="s">
        <v>370</v>
      </c>
      <c r="C56" s="55" t="s">
        <v>371</v>
      </c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 t="s">
        <v>305</v>
      </c>
      <c r="B57" s="55" t="s">
        <v>372</v>
      </c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305</v>
      </c>
      <c r="B58" s="55"/>
      <c r="C58" s="113" t="s">
        <v>373</v>
      </c>
      <c r="D58" s="45"/>
      <c r="E58" s="45" t="n">
        <f aca="false">SUM(H58:CA58)</f>
        <v>40.9737982384067</v>
      </c>
      <c r="F58" s="45" t="str">
        <f aca="false">IF(D58="","",D58-E58)</f>
        <v/>
      </c>
      <c r="H58" s="114" t="n">
        <f aca="false">IF(H$1=DATE(2026,8,1),'VALOR POR PL'!$G$64,0)</f>
        <v>0</v>
      </c>
      <c r="I58" s="114" t="n">
        <f aca="false">IF(I$1=DATE(2026,8,1),'VALOR POR PL'!$G$64,0)</f>
        <v>0</v>
      </c>
      <c r="J58" s="114" t="n">
        <f aca="false">IF(J$1=DATE(2026,8,1),'VALOR POR PL'!$G$64,0)</f>
        <v>0</v>
      </c>
      <c r="K58" s="114" t="n">
        <f aca="false">IF(K$1=DATE(2026,8,1),'VALOR POR PL'!$G$64,0)</f>
        <v>0</v>
      </c>
      <c r="L58" s="114" t="n">
        <f aca="false">IF(L$1=DATE(2026,8,1),'VALOR POR PL'!$G$64,0)</f>
        <v>0</v>
      </c>
      <c r="M58" s="114" t="n">
        <f aca="false">IF(M$1=DATE(2026,8,1),'VALOR POR PL'!$G$64,0)</f>
        <v>0</v>
      </c>
      <c r="N58" s="114" t="n">
        <f aca="false">IF(N$1=DATE(2026,8,1),'VALOR POR PL'!$G$64,0)</f>
        <v>0</v>
      </c>
      <c r="O58" s="114" t="n">
        <f aca="false">IF(O$1=DATE(2026,8,1),'VALOR POR PL'!$G$64,0)</f>
        <v>0</v>
      </c>
      <c r="P58" s="114" t="n">
        <f aca="false">IF(P$1=DATE(2026,8,1),'VALOR POR PL'!$G$64,0)</f>
        <v>0</v>
      </c>
      <c r="Q58" s="114" t="n">
        <f aca="false">IF(Q$1=DATE(2026,8,1),'VALOR POR PL'!$G$64,0)</f>
        <v>0</v>
      </c>
      <c r="R58" s="114" t="n">
        <f aca="false">IF(R$1=DATE(2026,8,1),'VALOR POR PL'!$G$64,0)</f>
        <v>0</v>
      </c>
      <c r="S58" s="114" t="n">
        <f aca="false">IF(S$1=DATE(2026,8,1),'VALOR POR PL'!$G$64,0)</f>
        <v>0</v>
      </c>
      <c r="T58" s="114" t="n">
        <f aca="false">IF(T$1=DATE(2026,8,1),'VALOR POR PL'!$G$64,0)</f>
        <v>0</v>
      </c>
      <c r="U58" s="114" t="n">
        <f aca="false">IF(U$1=DATE(2026,8,1),'VALOR POR PL'!$G$64,0)</f>
        <v>0</v>
      </c>
      <c r="V58" s="114" t="n">
        <f aca="false">IF(V$1=DATE(2026,8,1),'VALOR POR PL'!$G$64,0)</f>
        <v>0</v>
      </c>
      <c r="W58" s="114" t="n">
        <f aca="false">IF(W$1=DATE(2026,8,1),'VALOR POR PL'!$G$64,0)</f>
        <v>0</v>
      </c>
      <c r="X58" s="114" t="n">
        <f aca="false">IF(X$1=DATE(2026,8,1),'VALOR POR PL'!$G$64,0)</f>
        <v>0</v>
      </c>
      <c r="Y58" s="114" t="n">
        <f aca="false">IF(Y$1=DATE(2026,8,1),'VALOR POR PL'!$G$64,0)</f>
        <v>0</v>
      </c>
      <c r="Z58" s="114" t="n">
        <f aca="false">IF(Z$1=DATE(2026,8,1),'VALOR POR PL'!$G$64,0)</f>
        <v>0</v>
      </c>
      <c r="AA58" s="114" t="n">
        <f aca="false">IF(AA$1=DATE(2026,8,1),'VALOR POR PL'!$G$64,0)</f>
        <v>0</v>
      </c>
      <c r="AB58" s="114" t="n">
        <f aca="false">IF(AB$1=DATE(2026,8,1),'VALOR POR PL'!$G$64,0)</f>
        <v>40.9737982384067</v>
      </c>
      <c r="AC58" s="114" t="n">
        <f aca="false">IF(AC$1=DATE(2026,8,1),'VALOR POR PL'!$G$64,0)</f>
        <v>0</v>
      </c>
      <c r="AD58" s="114" t="n">
        <f aca="false">IF(AD$1=DATE(2026,8,1),'VALOR POR PL'!$G$64,0)</f>
        <v>0</v>
      </c>
      <c r="AE58" s="114" t="n">
        <f aca="false">IF(AE$1=DATE(2026,8,1),'VALOR POR PL'!$G$64,0)</f>
        <v>0</v>
      </c>
      <c r="AF58" s="114" t="n">
        <f aca="false">IF(AF$1=DATE(2026,8,1),'VALOR POR PL'!$G$64,0)</f>
        <v>0</v>
      </c>
      <c r="AG58" s="114" t="n">
        <f aca="false">IF(AG$1=DATE(2026,8,1),'VALOR POR PL'!$G$64,0)</f>
        <v>0</v>
      </c>
      <c r="AH58" s="114" t="n">
        <f aca="false">IF(AH$1=DATE(2026,8,1),'VALOR POR PL'!$G$64,0)</f>
        <v>0</v>
      </c>
      <c r="AI58" s="114" t="n">
        <f aca="false">IF(AI$1=DATE(2026,8,1),'VALOR POR PL'!$G$64,0)</f>
        <v>0</v>
      </c>
      <c r="AJ58" s="114" t="n">
        <f aca="false">IF(AJ$1=DATE(2026,8,1),'VALOR POR PL'!$G$64,0)</f>
        <v>0</v>
      </c>
      <c r="AK58" s="114" t="n">
        <f aca="false">IF(AK$1=DATE(2026,8,1),'VALOR POR PL'!$G$64,0)</f>
        <v>0</v>
      </c>
      <c r="AL58" s="114" t="n">
        <f aca="false">IF(AL$1=DATE(2026,8,1),'VALOR POR PL'!$G$64,0)</f>
        <v>0</v>
      </c>
      <c r="AM58" s="114" t="n">
        <f aca="false">IF(AM$1=DATE(2026,8,1),'VALOR POR PL'!$G$64,0)</f>
        <v>0</v>
      </c>
      <c r="AN58" s="114" t="n">
        <f aca="false">IF(AN$1=DATE(2026,8,1),'VALOR POR PL'!$G$64,0)</f>
        <v>0</v>
      </c>
      <c r="AO58" s="114" t="n">
        <f aca="false">IF(AO$1=DATE(2026,8,1),'VALOR POR PL'!$G$64,0)</f>
        <v>0</v>
      </c>
      <c r="AP58" s="114" t="n">
        <f aca="false">IF(AP$1=DATE(2026,8,1),'VALOR POR PL'!$G$64,0)</f>
        <v>0</v>
      </c>
      <c r="AQ58" s="114" t="n">
        <f aca="false">IF(AQ$1=DATE(2026,8,1),'VALOR POR PL'!$G$64,0)</f>
        <v>0</v>
      </c>
      <c r="AR58" s="114" t="n">
        <f aca="false">IF(AR$1=DATE(2026,8,1),'VALOR POR PL'!$G$64,0)</f>
        <v>0</v>
      </c>
      <c r="AS58" s="114" t="n">
        <f aca="false">IF(AS$1=DATE(2026,8,1),'VALOR POR PL'!$G$64,0)</f>
        <v>0</v>
      </c>
      <c r="AT58" s="114" t="n">
        <f aca="false">IF(AT$1=DATE(2026,8,1),'VALOR POR PL'!$G$64,0)</f>
        <v>0</v>
      </c>
      <c r="AU58" s="114" t="n">
        <f aca="false">IF(AU$1=DATE(2026,8,1),'VALOR POR PL'!$G$64,0)</f>
        <v>0</v>
      </c>
      <c r="AV58" s="114" t="n">
        <f aca="false">IF(AV$1=DATE(2026,8,1),'VALOR POR PL'!$G$64,0)</f>
        <v>0</v>
      </c>
      <c r="AW58" s="114" t="n">
        <f aca="false">IF(AW$1=DATE(2026,8,1),'VALOR POR PL'!$G$64,0)</f>
        <v>0</v>
      </c>
      <c r="AX58" s="114" t="n">
        <f aca="false">IF(AX$1=DATE(2026,8,1),'VALOR POR PL'!$G$64,0)</f>
        <v>0</v>
      </c>
      <c r="AY58" s="114" t="n">
        <f aca="false">IF(AY$1=DATE(2026,8,1),'VALOR POR PL'!$G$64,0)</f>
        <v>0</v>
      </c>
      <c r="AZ58" s="114" t="n">
        <f aca="false">IF(AZ$1=DATE(2026,8,1),'VALOR POR PL'!$G$64,0)</f>
        <v>0</v>
      </c>
      <c r="BA58" s="114" t="n">
        <f aca="false">IF(BA$1=DATE(2026,8,1),'VALOR POR PL'!$G$64,0)</f>
        <v>0</v>
      </c>
      <c r="BB58" s="114" t="n">
        <f aca="false">IF(BB$1=DATE(2026,8,1),'VALOR POR PL'!$G$64,0)</f>
        <v>0</v>
      </c>
      <c r="BC58" s="114" t="n">
        <f aca="false">IF(BC$1=DATE(2026,8,1),'VALOR POR PL'!$G$64,0)</f>
        <v>0</v>
      </c>
      <c r="BD58" s="114" t="n">
        <f aca="false">IF(BD$1=DATE(2026,8,1),'VALOR POR PL'!$G$64,0)</f>
        <v>0</v>
      </c>
      <c r="BE58" s="114" t="n">
        <f aca="false">IF(BE$1=DATE(2026,8,1),'VALOR POR PL'!$G$64,0)</f>
        <v>0</v>
      </c>
      <c r="BF58" s="114" t="n">
        <f aca="false">IF(BF$1=DATE(2026,8,1),'VALOR POR PL'!$G$64,0)</f>
        <v>0</v>
      </c>
      <c r="BG58" s="114" t="n">
        <f aca="false">IF(BG$1=DATE(2026,8,1),'VALOR POR PL'!$G$64,0)</f>
        <v>0</v>
      </c>
      <c r="BH58" s="114" t="n">
        <f aca="false">IF(BH$1=DATE(2026,8,1),'VALOR POR PL'!$G$64,0)</f>
        <v>0</v>
      </c>
      <c r="BI58" s="114" t="n">
        <f aca="false">IF(BI$1=DATE(2026,8,1),'VALOR POR PL'!$G$64,0)</f>
        <v>0</v>
      </c>
      <c r="BJ58" s="114" t="n">
        <f aca="false">IF(BJ$1=DATE(2026,8,1),'VALOR POR PL'!$G$64,0)</f>
        <v>0</v>
      </c>
      <c r="BK58" s="114" t="n">
        <f aca="false">IF(BK$1=DATE(2026,8,1),'VALOR POR PL'!$G$64,0)</f>
        <v>0</v>
      </c>
      <c r="BL58" s="114" t="n">
        <f aca="false">IF(BL$1=DATE(2026,8,1),'VALOR POR PL'!$G$64,0)</f>
        <v>0</v>
      </c>
      <c r="BM58" s="114" t="n">
        <f aca="false">IF(BM$1=DATE(2026,8,1),'VALOR POR PL'!$G$64,0)</f>
        <v>0</v>
      </c>
      <c r="BN58" s="114" t="n">
        <f aca="false">IF(BN$1=DATE(2026,8,1),'VALOR POR PL'!$G$64,0)</f>
        <v>0</v>
      </c>
      <c r="BO58" s="114" t="n">
        <f aca="false">IF(BO$1=DATE(2026,8,1),'VALOR POR PL'!$G$64,0)</f>
        <v>0</v>
      </c>
      <c r="BP58" s="114" t="n">
        <f aca="false">IF(BP$1=DATE(2026,8,1),'VALOR POR PL'!$G$64,0)</f>
        <v>0</v>
      </c>
      <c r="BQ58" s="114" t="n">
        <f aca="false">IF(BQ$1=DATE(2026,8,1),'VALOR POR PL'!$G$64,0)</f>
        <v>0</v>
      </c>
      <c r="BR58" s="114" t="n">
        <f aca="false">IF(BR$1=DATE(2026,8,1),'VALOR POR PL'!$G$64,0)</f>
        <v>0</v>
      </c>
      <c r="BS58" s="114" t="n">
        <f aca="false">IF(BS$1=DATE(2026,8,1),'VALOR POR PL'!$G$64,0)</f>
        <v>0</v>
      </c>
      <c r="BT58" s="114" t="n">
        <f aca="false">IF(BT$1=DATE(2026,8,1),'VALOR POR PL'!$G$64,0)</f>
        <v>0</v>
      </c>
      <c r="BU58" s="114" t="n">
        <f aca="false">IF(BU$1=DATE(2026,8,1),'VALOR POR PL'!$G$64,0)</f>
        <v>0</v>
      </c>
      <c r="BV58" s="114" t="n">
        <f aca="false">IF(BV$1=DATE(2026,8,1),'VALOR POR PL'!$G$64,0)</f>
        <v>0</v>
      </c>
      <c r="BW58" s="114" t="n">
        <f aca="false">IF(BW$1=DATE(2026,8,1),'VALOR POR PL'!$G$64,0)</f>
        <v>0</v>
      </c>
      <c r="BX58" s="114" t="n">
        <f aca="false">IF(BX$1=DATE(2026,8,1),'VALOR POR PL'!$G$64,0)</f>
        <v>0</v>
      </c>
      <c r="BY58" s="114" t="n">
        <f aca="false">IF(BY$1=DATE(2026,8,1),'VALOR POR PL'!$G$64,0)</f>
        <v>0</v>
      </c>
      <c r="BZ58" s="114" t="n">
        <f aca="false">IF(BZ$1=DATE(2026,8,1),'VALOR POR PL'!$G$64,0)</f>
        <v>0</v>
      </c>
      <c r="CA58" s="114" t="n">
        <f aca="false">IF(CA$1=DATE(2026,8,1),'VALOR POR PL'!$G$64,0)</f>
        <v>0</v>
      </c>
    </row>
    <row r="59" customFormat="false" ht="15" hidden="false" customHeight="false" outlineLevel="0" collapsed="false">
      <c r="A59" s="55" t="s">
        <v>305</v>
      </c>
      <c r="B59" s="55"/>
      <c r="C59" s="115" t="s">
        <v>374</v>
      </c>
      <c r="D59" s="45"/>
      <c r="E59" s="45" t="n">
        <f aca="false">SUM(H59:CA59)</f>
        <v>0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ACAB'!$E$78+PAVIMENTAÇÃO!$E$78+'REV.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375</v>
      </c>
      <c r="D61" s="61" t="n">
        <f aca="false">SUM(D2:D59)-D43</f>
        <v>123737.550971</v>
      </c>
      <c r="E61" s="61" t="n">
        <f aca="false">SUM(E2:E59)-E43</f>
        <v>123972.959897459</v>
      </c>
      <c r="H61" s="61" t="n">
        <f aca="false">SUM(H2:H59)-H43</f>
        <v>815.947715164256</v>
      </c>
      <c r="I61" s="61" t="n">
        <f aca="false">SUM(I2:I59)-I43</f>
        <v>11.4320478036397</v>
      </c>
      <c r="J61" s="61" t="n">
        <f aca="false">SUM(J2:J59)-J43</f>
        <v>289.401094758365</v>
      </c>
      <c r="K61" s="61" t="n">
        <f aca="false">SUM(K2:K59)-K43</f>
        <v>182.421345806892</v>
      </c>
      <c r="L61" s="61" t="n">
        <f aca="false">SUM(L2:L59)-L43</f>
        <v>179.651031438746</v>
      </c>
      <c r="M61" s="61" t="n">
        <f aca="false">SUM(M2:M59)-M43</f>
        <v>190.076402196878</v>
      </c>
      <c r="N61" s="61" t="n">
        <f aca="false">SUM(N2:N59)-N43</f>
        <v>153.084020211603</v>
      </c>
      <c r="O61" s="61" t="n">
        <f aca="false">SUM(O2:O59)-O43</f>
        <v>172.18347238389</v>
      </c>
      <c r="P61" s="61" t="n">
        <f aca="false">SUM(P2:P59)-P43</f>
        <v>303.571142083626</v>
      </c>
      <c r="Q61" s="61" t="n">
        <f aca="false">SUM(Q2:Q59)-Q43</f>
        <v>552.392711530777</v>
      </c>
      <c r="R61" s="61" t="n">
        <f aca="false">SUM(R2:R59)-R43</f>
        <v>966.883182967973</v>
      </c>
      <c r="S61" s="61" t="n">
        <f aca="false">SUM(S2:S59)-S43</f>
        <v>1680.04551117667</v>
      </c>
      <c r="T61" s="61" t="n">
        <f aca="false">SUM(T2:T59)-T43</f>
        <v>1276.79204925087</v>
      </c>
      <c r="U61" s="61" t="n">
        <f aca="false">SUM(U2:U59)-U43</f>
        <v>1594.9270191005</v>
      </c>
      <c r="V61" s="61" t="n">
        <f aca="false">SUM(V2:V59)-V43</f>
        <v>891.207999155167</v>
      </c>
      <c r="W61" s="61" t="n">
        <f aca="false">SUM(W2:W59)-W43</f>
        <v>1312.3747154583</v>
      </c>
      <c r="X61" s="61" t="n">
        <f aca="false">SUM(X2:X59)-X43</f>
        <v>1146.88803733095</v>
      </c>
      <c r="Y61" s="61" t="n">
        <f aca="false">SUM(Y2:Y59)-Y43</f>
        <v>752.900192414387</v>
      </c>
      <c r="Z61" s="61" t="n">
        <f aca="false">SUM(Z2:Z59)-Z43</f>
        <v>1046.89080702554</v>
      </c>
      <c r="AA61" s="61" t="n">
        <f aca="false">SUM(AA2:AA59)-AA43</f>
        <v>1809.7248203435</v>
      </c>
      <c r="AB61" s="61" t="n">
        <f aca="false">SUM(AB2:AB59)-AB43</f>
        <v>1359.2399721361</v>
      </c>
      <c r="AC61" s="61" t="n">
        <f aca="false">SUM(AC2:AC59)-AC43</f>
        <v>2995.73949703224</v>
      </c>
      <c r="AD61" s="61" t="n">
        <f aca="false">SUM(AD2:AD59)-AD43</f>
        <v>2777.72797035721</v>
      </c>
      <c r="AE61" s="61" t="n">
        <f aca="false">SUM(AE2:AE59)-AE43</f>
        <v>1832.58704126921</v>
      </c>
      <c r="AF61" s="61" t="n">
        <f aca="false">SUM(AF2:AF59)-AF43</f>
        <v>1539.54987641389</v>
      </c>
      <c r="AG61" s="61" t="n">
        <f aca="false">SUM(AG2:AG59)-AG43</f>
        <v>3147.45770567491</v>
      </c>
      <c r="AH61" s="61" t="n">
        <f aca="false">SUM(AH2:AH59)-AH43</f>
        <v>2399.93104521513</v>
      </c>
      <c r="AI61" s="61" t="n">
        <f aca="false">SUM(AI2:AI59)-AI43</f>
        <v>2008.9877423954</v>
      </c>
      <c r="AJ61" s="61" t="n">
        <f aca="false">SUM(AJ2:AJ59)-AJ43</f>
        <v>2252.57368874018</v>
      </c>
      <c r="AK61" s="61" t="n">
        <f aca="false">SUM(AK2:AK59)-AK43</f>
        <v>2529.12874222351</v>
      </c>
      <c r="AL61" s="61" t="n">
        <f aca="false">SUM(AL2:AL59)-AL43</f>
        <v>3465.90435434942</v>
      </c>
      <c r="AM61" s="61" t="n">
        <f aca="false">SUM(AM2:AM59)-AM43</f>
        <v>3759.00848752416</v>
      </c>
      <c r="AN61" s="61" t="n">
        <f aca="false">SUM(AN2:AN59)-AN43</f>
        <v>4615.27110734874</v>
      </c>
      <c r="AO61" s="61" t="n">
        <f aca="false">SUM(AO2:AO59)-AO43</f>
        <v>4581.9424132116</v>
      </c>
      <c r="AP61" s="61" t="n">
        <f aca="false">SUM(AP2:AP59)-AP43</f>
        <v>5285.78701444599</v>
      </c>
      <c r="AQ61" s="61" t="n">
        <f aca="false">SUM(AQ2:AQ59)-AQ43</f>
        <v>5574.29049198334</v>
      </c>
      <c r="AR61" s="61" t="n">
        <f aca="false">SUM(AR2:AR59)-AR43</f>
        <v>4409.32009718174</v>
      </c>
      <c r="AS61" s="61" t="n">
        <f aca="false">SUM(AS2:AS59)-AS43</f>
        <v>6020.82319419067</v>
      </c>
      <c r="AT61" s="61" t="n">
        <f aca="false">SUM(AT2:AT59)-AT43</f>
        <v>6042.29468526855</v>
      </c>
      <c r="AU61" s="61" t="n">
        <f aca="false">SUM(AU2:AU59)-AU43</f>
        <v>5794.76379084944</v>
      </c>
      <c r="AV61" s="61" t="n">
        <f aca="false">SUM(AV2:AV59)-AV43</f>
        <v>3962.17413858183</v>
      </c>
      <c r="AW61" s="61" t="n">
        <f aca="false">SUM(AW2:AW59)-AW43</f>
        <v>4812.16636557323</v>
      </c>
      <c r="AX61" s="61" t="n">
        <f aca="false">SUM(AX2:AX59)-AX43</f>
        <v>4202.47924547173</v>
      </c>
      <c r="AY61" s="61" t="n">
        <f aca="false">SUM(AY2:AY59)-AY43</f>
        <v>3739.90227248679</v>
      </c>
      <c r="AZ61" s="61" t="n">
        <f aca="false">SUM(AZ2:AZ59)-AZ43</f>
        <v>3883.25152815149</v>
      </c>
      <c r="BA61" s="61" t="n">
        <f aca="false">SUM(BA2:BA59)-BA43</f>
        <v>2513.71301091279</v>
      </c>
      <c r="BB61" s="61" t="n">
        <f aca="false">SUM(BB2:BB59)-BB43</f>
        <v>2490.57718634681</v>
      </c>
      <c r="BC61" s="61" t="n">
        <f aca="false">SUM(BC2:BC59)-BC43</f>
        <v>2193.20469640484</v>
      </c>
      <c r="BD61" s="61" t="n">
        <f aca="false">SUM(BD2:BD59)-BD43</f>
        <v>1487.48522927313</v>
      </c>
      <c r="BE61" s="61" t="n">
        <f aca="false">SUM(BE2:BE59)-BE43</f>
        <v>1631.34476614326</v>
      </c>
      <c r="BF61" s="61" t="n">
        <f aca="false">SUM(BF2:BF59)-BF43</f>
        <v>1159.75259294849</v>
      </c>
      <c r="BG61" s="61" t="n">
        <f aca="false">SUM(BG2:BG59)-BG43</f>
        <v>778.284643757529</v>
      </c>
      <c r="BH61" s="61" t="n">
        <f aca="false">SUM(BH2:BH59)-BH43</f>
        <v>620.817592996985</v>
      </c>
      <c r="BI61" s="61" t="n">
        <f aca="false">SUM(BI2:BI59)-BI43</f>
        <v>167.729111474003</v>
      </c>
      <c r="BJ61" s="61" t="n">
        <f aca="false">SUM(BJ2:BJ59)-BJ43</f>
        <v>525.414231148877</v>
      </c>
      <c r="BK61" s="61" t="n">
        <f aca="false">SUM(BK2:BK59)-BK43</f>
        <v>49.9691691397517</v>
      </c>
      <c r="BL61" s="61" t="n">
        <f aca="false">SUM(BL2:BL59)-BL43</f>
        <v>89.2929689477648</v>
      </c>
      <c r="BM61" s="61" t="n">
        <f aca="false">SUM(BM2:BM59)-BM43</f>
        <v>0</v>
      </c>
      <c r="BN61" s="61" t="n">
        <f aca="false">SUM(BN2:BN59)-BN43</f>
        <v>1944.27691228576</v>
      </c>
      <c r="BO61" s="61" t="n">
        <f aca="false">SUM(BO2:BO59)-BO43</f>
        <v>0</v>
      </c>
      <c r="BP61" s="61" t="n">
        <f aca="false">SUM(BP2:BP59)-BP43</f>
        <v>0</v>
      </c>
      <c r="BQ61" s="61" t="n">
        <f aca="false">SUM(BQ2:BQ59)-BQ43</f>
        <v>0</v>
      </c>
      <c r="BR61" s="61" t="n">
        <f aca="false">SUM(BR2:BR59)-BR43</f>
        <v>0</v>
      </c>
      <c r="BS61" s="61" t="n">
        <f aca="false">SUM(BS2:BS59)-BS43</f>
        <v>0</v>
      </c>
      <c r="BT61" s="61" t="n">
        <f aca="false">SUM(BT2:BT59)-BT43</f>
        <v>0</v>
      </c>
      <c r="BU61" s="61" t="n">
        <f aca="false">SUM(BU2:BU59)-BU43</f>
        <v>0</v>
      </c>
      <c r="BV61" s="61" t="n">
        <f aca="false">SUM(BV2:BV59)-BV43</f>
        <v>0</v>
      </c>
      <c r="BW61" s="61" t="n">
        <f aca="false">SUM(BW2:BW59)-BW43</f>
        <v>0</v>
      </c>
      <c r="BX61" s="61" t="n">
        <f aca="false">SUM(BX2:BX59)-BX43</f>
        <v>0</v>
      </c>
      <c r="BY61" s="61" t="n">
        <f aca="false">SUM(BY2:BY59)-BY43</f>
        <v>0</v>
      </c>
      <c r="BZ61" s="61" t="n">
        <f aca="false">SUM(BZ2:BZ59)-BZ43</f>
        <v>0</v>
      </c>
      <c r="CA61" s="61" t="n">
        <f aca="false">SUM(CA2:CA59)-CA43</f>
        <v>0</v>
      </c>
    </row>
    <row r="62" customFormat="false" ht="15" hidden="false" customHeight="false" outlineLevel="0" collapsed="false">
      <c r="C62" s="42" t="s">
        <v>376</v>
      </c>
      <c r="D62" s="61" t="n">
        <f aca="false">D43</f>
        <v>477</v>
      </c>
      <c r="E62" s="61" t="n">
        <f aca="false">E43</f>
        <v>476.964710261372</v>
      </c>
      <c r="H62" s="61" t="n">
        <f aca="false">H43</f>
        <v>121.837103655049</v>
      </c>
      <c r="I62" s="61" t="n">
        <f aca="false">I43</f>
        <v>31.5815197123297</v>
      </c>
      <c r="J62" s="61" t="n">
        <f aca="false">J43</f>
        <v>0</v>
      </c>
      <c r="K62" s="61" t="n">
        <f aca="false">K43</f>
        <v>28.8916450127547</v>
      </c>
      <c r="L62" s="61" t="n">
        <f aca="false">L43</f>
        <v>11.9504213727414</v>
      </c>
      <c r="M62" s="61" t="n">
        <f aca="false">M43</f>
        <v>60.2325725850249</v>
      </c>
      <c r="N62" s="61" t="n">
        <f aca="false">N43</f>
        <v>5.43681623064104</v>
      </c>
      <c r="O62" s="61" t="n">
        <f aca="false">O43</f>
        <v>11.2110244689877</v>
      </c>
      <c r="P62" s="61" t="n">
        <f aca="false">P43</f>
        <v>21.5683328593761</v>
      </c>
      <c r="Q62" s="61" t="n">
        <f aca="false">Q43</f>
        <v>28.7069424581148</v>
      </c>
      <c r="R62" s="61" t="n">
        <f aca="false">R43</f>
        <v>58.0740553488509</v>
      </c>
      <c r="S62" s="61" t="n">
        <f aca="false">S43</f>
        <v>97.4742765575013</v>
      </c>
      <c r="T62" s="61" t="n">
        <f aca="false">T43</f>
        <v>0</v>
      </c>
      <c r="U62" s="61" t="n">
        <f aca="false">U43</f>
        <v>0</v>
      </c>
      <c r="V62" s="61" t="n">
        <f aca="false">V43</f>
        <v>0</v>
      </c>
      <c r="W62" s="61" t="n">
        <f aca="false">W43</f>
        <v>0</v>
      </c>
      <c r="X62" s="61" t="n">
        <f aca="false">X43</f>
        <v>0</v>
      </c>
      <c r="Y62" s="61" t="n">
        <f aca="false">Y43</f>
        <v>0</v>
      </c>
      <c r="Z62" s="61" t="n">
        <f aca="false">Z43</f>
        <v>0</v>
      </c>
      <c r="AA62" s="61" t="n">
        <f aca="false">AA43</f>
        <v>0</v>
      </c>
      <c r="AB62" s="61" t="n">
        <f aca="false">AB43</f>
        <v>0</v>
      </c>
      <c r="AC62" s="61" t="n">
        <f aca="false">AC43</f>
        <v>0</v>
      </c>
      <c r="AD62" s="61" t="n">
        <f aca="false">AD43</f>
        <v>0</v>
      </c>
      <c r="AE62" s="61" t="n">
        <f aca="false">AE43</f>
        <v>0</v>
      </c>
      <c r="AF62" s="61" t="n">
        <f aca="false">AF43</f>
        <v>0</v>
      </c>
      <c r="AG62" s="61" t="n">
        <f aca="false">AG43</f>
        <v>0</v>
      </c>
      <c r="AH62" s="61" t="n">
        <f aca="false">AH43</f>
        <v>0</v>
      </c>
      <c r="AI62" s="61" t="n">
        <f aca="false">AI43</f>
        <v>0</v>
      </c>
      <c r="AJ62" s="61" t="n">
        <f aca="false">AJ43</f>
        <v>0</v>
      </c>
      <c r="AK62" s="61" t="n">
        <f aca="false">AK43</f>
        <v>0</v>
      </c>
      <c r="AL62" s="61" t="n">
        <f aca="false">AL43</f>
        <v>0</v>
      </c>
      <c r="AM62" s="61" t="n">
        <f aca="false">AM43</f>
        <v>0</v>
      </c>
      <c r="AN62" s="61" t="n">
        <f aca="false">AN43</f>
        <v>0</v>
      </c>
      <c r="AO62" s="61" t="n">
        <f aca="false">AO43</f>
        <v>0</v>
      </c>
      <c r="AP62" s="61" t="n">
        <f aca="false">AP43</f>
        <v>0</v>
      </c>
      <c r="AQ62" s="61" t="n">
        <f aca="false">AQ43</f>
        <v>0</v>
      </c>
      <c r="AR62" s="61" t="n">
        <f aca="false">AR43</f>
        <v>0</v>
      </c>
      <c r="AS62" s="61" t="n">
        <f aca="false">AS43</f>
        <v>0</v>
      </c>
      <c r="AT62" s="61" t="n">
        <f aca="false">AT43</f>
        <v>0</v>
      </c>
      <c r="AU62" s="61" t="n">
        <f aca="false">AU43</f>
        <v>0</v>
      </c>
      <c r="AV62" s="61" t="n">
        <f aca="false">AV43</f>
        <v>0</v>
      </c>
      <c r="AW62" s="61" t="n">
        <f aca="false">AW43</f>
        <v>0</v>
      </c>
      <c r="AX62" s="61" t="n">
        <f aca="false">AX43</f>
        <v>0</v>
      </c>
      <c r="AY62" s="61" t="n">
        <f aca="false">AY43</f>
        <v>0</v>
      </c>
      <c r="AZ62" s="61" t="n">
        <f aca="false">AZ43</f>
        <v>0</v>
      </c>
      <c r="BA62" s="61" t="n">
        <f aca="false">BA43</f>
        <v>0</v>
      </c>
      <c r="BB62" s="61" t="n">
        <f aca="false">BB43</f>
        <v>0</v>
      </c>
      <c r="BC62" s="61" t="n">
        <f aca="false">BC43</f>
        <v>0</v>
      </c>
      <c r="BD62" s="61" t="n">
        <f aca="false">BD43</f>
        <v>0</v>
      </c>
      <c r="BE62" s="61" t="n">
        <f aca="false">BE43</f>
        <v>0</v>
      </c>
      <c r="BF62" s="61" t="n">
        <f aca="false">BF43</f>
        <v>0</v>
      </c>
      <c r="BG62" s="61" t="n">
        <f aca="false">BG43</f>
        <v>0</v>
      </c>
      <c r="BH62" s="61" t="n">
        <f aca="false">BH43</f>
        <v>0</v>
      </c>
      <c r="BI62" s="61" t="n">
        <f aca="false">BI43</f>
        <v>0</v>
      </c>
      <c r="BJ62" s="61" t="n">
        <f aca="false">BJ43</f>
        <v>0</v>
      </c>
      <c r="BK62" s="61" t="n">
        <f aca="false">BK43</f>
        <v>0</v>
      </c>
      <c r="BL62" s="61" t="n">
        <f aca="false">BL43</f>
        <v>0</v>
      </c>
      <c r="BM62" s="61" t="n">
        <f aca="false">BM43</f>
        <v>0</v>
      </c>
      <c r="BN62" s="61" t="n">
        <f aca="false">BN43</f>
        <v>0</v>
      </c>
      <c r="BO62" s="61" t="n">
        <f aca="false">BO43</f>
        <v>0</v>
      </c>
      <c r="BP62" s="61" t="n">
        <f aca="false">BP43</f>
        <v>0</v>
      </c>
      <c r="BQ62" s="61" t="n">
        <f aca="false">BQ43</f>
        <v>0</v>
      </c>
      <c r="BR62" s="61" t="n">
        <f aca="false">BR43</f>
        <v>0</v>
      </c>
      <c r="BS62" s="61" t="n">
        <f aca="false">BS43</f>
        <v>0</v>
      </c>
      <c r="BT62" s="61" t="n">
        <f aca="false">BT43</f>
        <v>0</v>
      </c>
      <c r="BU62" s="61" t="n">
        <f aca="false">BU43</f>
        <v>0</v>
      </c>
      <c r="BV62" s="61" t="n">
        <f aca="false">BV43</f>
        <v>0</v>
      </c>
      <c r="BW62" s="61" t="n">
        <f aca="false">BW43</f>
        <v>0</v>
      </c>
      <c r="BX62" s="61" t="n">
        <f aca="false">BX43</f>
        <v>0</v>
      </c>
      <c r="BY62" s="61" t="n">
        <f aca="false">BY43</f>
        <v>0</v>
      </c>
      <c r="BZ62" s="61" t="n">
        <f aca="false">BZ43</f>
        <v>0</v>
      </c>
      <c r="CA62" s="61" t="n">
        <f aca="false">CA43</f>
        <v>0</v>
      </c>
    </row>
    <row r="63" customFormat="false" ht="15" hidden="false" customHeight="false" outlineLevel="0" collapsed="false">
      <c r="C63" s="42" t="s">
        <v>377</v>
      </c>
      <c r="D63" s="61" t="n">
        <f aca="false">D61+D62</f>
        <v>124214.550971</v>
      </c>
      <c r="E63" s="61" t="n">
        <f aca="false">E61+E62</f>
        <v>124449.92460772</v>
      </c>
      <c r="H63" s="61" t="n">
        <f aca="false">H61+H62</f>
        <v>937.784818819305</v>
      </c>
      <c r="I63" s="61" t="n">
        <f aca="false">I61+I62</f>
        <v>43.0135675159693</v>
      </c>
      <c r="J63" s="61" t="n">
        <f aca="false">J61+J62</f>
        <v>289.401094758365</v>
      </c>
      <c r="K63" s="61" t="n">
        <f aca="false">K61+K62</f>
        <v>211.312990819647</v>
      </c>
      <c r="L63" s="61" t="n">
        <f aca="false">L61+L62</f>
        <v>191.601452811487</v>
      </c>
      <c r="M63" s="61" t="n">
        <f aca="false">M61+M62</f>
        <v>250.308974781903</v>
      </c>
      <c r="N63" s="61" t="n">
        <f aca="false">N61+N62</f>
        <v>158.520836442244</v>
      </c>
      <c r="O63" s="61" t="n">
        <f aca="false">O61+O62</f>
        <v>183.394496852878</v>
      </c>
      <c r="P63" s="61" t="n">
        <f aca="false">P61+P62</f>
        <v>325.139474943002</v>
      </c>
      <c r="Q63" s="61" t="n">
        <f aca="false">Q61+Q62</f>
        <v>581.099653988892</v>
      </c>
      <c r="R63" s="61" t="n">
        <f aca="false">R61+R62</f>
        <v>1024.95723831682</v>
      </c>
      <c r="S63" s="61" t="n">
        <f aca="false">S61+S62</f>
        <v>1777.51978773417</v>
      </c>
      <c r="T63" s="61" t="n">
        <f aca="false">T61+T62</f>
        <v>1276.79204925087</v>
      </c>
      <c r="U63" s="61" t="n">
        <f aca="false">U61+U62</f>
        <v>1594.9270191005</v>
      </c>
      <c r="V63" s="61" t="n">
        <f aca="false">V61+V62</f>
        <v>891.207999155167</v>
      </c>
      <c r="W63" s="61" t="n">
        <f aca="false">W61+W62</f>
        <v>1312.3747154583</v>
      </c>
      <c r="X63" s="61" t="n">
        <f aca="false">X61+X62</f>
        <v>1146.88803733095</v>
      </c>
      <c r="Y63" s="61" t="n">
        <f aca="false">Y61+Y62</f>
        <v>752.900192414387</v>
      </c>
      <c r="Z63" s="61" t="n">
        <f aca="false">Z61+Z62</f>
        <v>1046.89080702554</v>
      </c>
      <c r="AA63" s="61" t="n">
        <f aca="false">AA61+AA62</f>
        <v>1809.7248203435</v>
      </c>
      <c r="AB63" s="61" t="n">
        <f aca="false">AB61+AB62</f>
        <v>1359.2399721361</v>
      </c>
      <c r="AC63" s="61" t="n">
        <f aca="false">AC61+AC62</f>
        <v>2995.73949703224</v>
      </c>
      <c r="AD63" s="61" t="n">
        <f aca="false">AD61+AD62</f>
        <v>2777.72797035721</v>
      </c>
      <c r="AE63" s="61" t="n">
        <f aca="false">AE61+AE62</f>
        <v>1832.58704126921</v>
      </c>
      <c r="AF63" s="61" t="n">
        <f aca="false">AF61+AF62</f>
        <v>1539.54987641389</v>
      </c>
      <c r="AG63" s="61" t="n">
        <f aca="false">AG61+AG62</f>
        <v>3147.45770567491</v>
      </c>
      <c r="AH63" s="61" t="n">
        <f aca="false">AH61+AH62</f>
        <v>2399.93104521513</v>
      </c>
      <c r="AI63" s="61" t="n">
        <f aca="false">AI61+AI62</f>
        <v>2008.9877423954</v>
      </c>
      <c r="AJ63" s="61" t="n">
        <f aca="false">AJ61+AJ62</f>
        <v>2252.57368874018</v>
      </c>
      <c r="AK63" s="61" t="n">
        <f aca="false">AK61+AK62</f>
        <v>2529.12874222351</v>
      </c>
      <c r="AL63" s="61" t="n">
        <f aca="false">AL61+AL62</f>
        <v>3465.90435434942</v>
      </c>
      <c r="AM63" s="61" t="n">
        <f aca="false">AM61+AM62</f>
        <v>3759.00848752416</v>
      </c>
      <c r="AN63" s="61" t="n">
        <f aca="false">AN61+AN62</f>
        <v>4615.27110734874</v>
      </c>
      <c r="AO63" s="61" t="n">
        <f aca="false">AO61+AO62</f>
        <v>4581.9424132116</v>
      </c>
      <c r="AP63" s="61" t="n">
        <f aca="false">AP61+AP62</f>
        <v>5285.78701444599</v>
      </c>
      <c r="AQ63" s="61" t="n">
        <f aca="false">AQ61+AQ62</f>
        <v>5574.29049198334</v>
      </c>
      <c r="AR63" s="61" t="n">
        <f aca="false">AR61+AR62</f>
        <v>4409.32009718174</v>
      </c>
      <c r="AS63" s="61" t="n">
        <f aca="false">AS61+AS62</f>
        <v>6020.82319419067</v>
      </c>
      <c r="AT63" s="61" t="n">
        <f aca="false">AT61+AT62</f>
        <v>6042.29468526855</v>
      </c>
      <c r="AU63" s="61" t="n">
        <f aca="false">AU61+AU62</f>
        <v>5794.76379084944</v>
      </c>
      <c r="AV63" s="61" t="n">
        <f aca="false">AV61+AV62</f>
        <v>3962.17413858183</v>
      </c>
      <c r="AW63" s="61" t="n">
        <f aca="false">AW61+AW62</f>
        <v>4812.16636557323</v>
      </c>
      <c r="AX63" s="61" t="n">
        <f aca="false">AX61+AX62</f>
        <v>4202.47924547173</v>
      </c>
      <c r="AY63" s="61" t="n">
        <f aca="false">AY61+AY62</f>
        <v>3739.90227248679</v>
      </c>
      <c r="AZ63" s="61" t="n">
        <f aca="false">AZ61+AZ62</f>
        <v>3883.25152815149</v>
      </c>
      <c r="BA63" s="61" t="n">
        <f aca="false">BA61+BA62</f>
        <v>2513.71301091279</v>
      </c>
      <c r="BB63" s="61" t="n">
        <f aca="false">BB61+BB62</f>
        <v>2490.57718634681</v>
      </c>
      <c r="BC63" s="61" t="n">
        <f aca="false">BC61+BC62</f>
        <v>2193.20469640484</v>
      </c>
      <c r="BD63" s="61" t="n">
        <f aca="false">BD61+BD62</f>
        <v>1487.48522927313</v>
      </c>
      <c r="BE63" s="61" t="n">
        <f aca="false">BE61+BE62</f>
        <v>1631.34476614326</v>
      </c>
      <c r="BF63" s="61" t="n">
        <f aca="false">BF61+BF62</f>
        <v>1159.75259294849</v>
      </c>
      <c r="BG63" s="61" t="n">
        <f aca="false">BG61+BG62</f>
        <v>778.284643757529</v>
      </c>
      <c r="BH63" s="61" t="n">
        <f aca="false">BH61+BH62</f>
        <v>620.817592996985</v>
      </c>
      <c r="BI63" s="61" t="n">
        <f aca="false">BI61+BI62</f>
        <v>167.729111474003</v>
      </c>
      <c r="BJ63" s="61" t="n">
        <f aca="false">BJ61+BJ62</f>
        <v>525.414231148877</v>
      </c>
      <c r="BK63" s="61" t="n">
        <f aca="false">BK61+BK62</f>
        <v>49.9691691397517</v>
      </c>
      <c r="BL63" s="61" t="n">
        <f aca="false">BL61+BL62</f>
        <v>89.2929689477648</v>
      </c>
      <c r="BM63" s="61" t="n">
        <f aca="false">BM61+BM62</f>
        <v>0</v>
      </c>
      <c r="BN63" s="61" t="n">
        <f aca="false">BN61+BN62</f>
        <v>1944.27691228576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0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"&amp;TEXT(MONTH('VALOR POR PL'!$P$5),"00")&amp;"/"&amp;YEAR('VALOR POR PL'!$P$5)</f>
        <v>INCORRIDO ATÉ -&gt; 08/2026</v>
      </c>
    </row>
    <row r="65" customFormat="false" ht="15" hidden="false" customHeight="false" outlineLevel="0" collapsed="false">
      <c r="C65" s="42" t="s">
        <v>378</v>
      </c>
      <c r="E65" s="116" t="n">
        <f aca="false">SUM(H65:CA65)</f>
        <v>160420979.399595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ACAB'!D5+PAVIMENTAÇÃO!C5+PAVIMENTAÇÃO!D5+'REV. FACHADA'!C5+'REV. FACHADA'!D5+FORRO!C5+FORRO!D5+LOUÇAS!C5+LOUÇAS!D5+PINTURA!C5+PINTURA!D5+PAISAGISMO!C5+PAISAGISMO!D5+LIMPEZA!C5+LIMPEZA!D5+'TAX. ADM'!C5+'TAX. ADM'!D5+H59*'VALOR POR PL'!$P$7+IF(H$1=DATE(2026,8,1),'VALOR POR PL'!$G$63,0)</f>
        <v>1055724.07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ACAB'!D6+PAVIMENTAÇÃO!C6+PAVIMENTAÇÃO!D6+'REV. FACHADA'!C6+'REV. FACHADA'!D6+FORRO!C6+FORRO!D6+LOUÇAS!C6+LOUÇAS!D6+PINTURA!C6+PINTURA!D6+PAISAGISMO!C6+PAISAGISMO!D6+LIMPEZA!C6+LIMPEZA!D6+'TAX. ADM'!C6+'TAX. ADM'!D6+I59*'VALOR POR PL'!$P$7+IF(I$1=DATE(2026,8,1),'VALOR POR PL'!$G$63,0)</f>
        <v>50287.85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ACAB'!D7+PAVIMENTAÇÃO!C7+PAVIMENTAÇÃO!D7+'REV. FACHADA'!C7+'REV. FACHADA'!D7+FORRO!C7+FORRO!D7+LOUÇAS!C7+LOUÇAS!D7+PINTURA!C7+PINTURA!D7+PAISAGISMO!C7+PAISAGISMO!D7+LIMPEZA!C7+LIMPEZA!D7+'TAX. ADM'!C7+'TAX. ADM'!D7+J59*'VALOR POR PL'!$P$7+IF(J$1=DATE(2026,8,1),'VALOR POR PL'!$G$63,0)</f>
        <v>339691.77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ACAB'!D8+PAVIMENTAÇÃO!C8+PAVIMENTAÇÃO!D8+'REV. FACHADA'!C8+'REV. FACHADA'!D8+FORRO!C8+FORRO!D8+LOUÇAS!C8+LOUÇAS!D8+PINTURA!C8+PINTURA!D8+PAISAGISMO!C8+PAISAGISMO!D8+LIMPEZA!C8+LIMPEZA!D8+'TAX. ADM'!C8+'TAX. ADM'!D8+K59*'VALOR POR PL'!$P$7+IF(K$1=DATE(2026,8,1),'VALOR POR PL'!$G$63,0)</f>
        <v>249008.27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ACAB'!D9+PAVIMENTAÇÃO!C9+PAVIMENTAÇÃO!D9+'REV. FACHADA'!C9+'REV. FACHADA'!D9+FORRO!C9+FORRO!D9+LOUÇAS!C9+LOUÇAS!D9+PINTURA!C9+PINTURA!D9+PAISAGISMO!C9+PAISAGISMO!D9+LIMPEZA!C9+LIMPEZA!D9+'TAX. ADM'!C9+'TAX. ADM'!D9+L59*'VALOR POR PL'!$P$7+IF(L$1=DATE(2026,8,1),'VALOR POR PL'!$G$63,0)</f>
        <v>226944.64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ACAB'!D10+PAVIMENTAÇÃO!C10+PAVIMENTAÇÃO!D10+'REV. FACHADA'!C10+'REV. FACHADA'!D10+FORRO!C10+FORRO!D10+LOUÇAS!C10+LOUÇAS!D10+PINTURA!C10+PINTURA!D10+PAISAGISMO!C10+PAISAGISMO!D10+LIMPEZA!C10+LIMPEZA!D10+'TAX. ADM'!C10+'TAX. ADM'!D10+M59*'VALOR POR PL'!$P$7+IF(M$1=DATE(2026,8,1),'VALOR POR PL'!$G$63,0)</f>
        <v>298199.84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ACAB'!D11+PAVIMENTAÇÃO!C11+PAVIMENTAÇÃO!D11+'REV. FACHADA'!C11+'REV. FACHADA'!D11+FORRO!C11+FORRO!D11+LOUÇAS!C11+LOUÇAS!D11+PINTURA!C11+PINTURA!D11+PAISAGISMO!C11+PAISAGISMO!D11+LIMPEZA!C11+LIMPEZA!D11+'TAX. ADM'!C11+'TAX. ADM'!D11+N59*'VALOR POR PL'!$P$7+IF(N$1=DATE(2026,8,1),'VALOR POR PL'!$G$63,0)</f>
        <v>190147.17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ACAB'!D12+PAVIMENTAÇÃO!C12+PAVIMENTAÇÃO!D12+'REV. FACHADA'!C12+'REV. FACHADA'!D12+FORRO!C12+FORRO!D12+LOUÇAS!C12+LOUÇAS!D12+PINTURA!C12+PINTURA!D12+PAISAGISMO!C12+PAISAGISMO!D12+LIMPEZA!C12+LIMPEZA!D12+'TAX. ADM'!C12+'TAX. ADM'!D12+O59*'VALOR POR PL'!$P$7+IF(O$1=DATE(2026,8,1),'VALOR POR PL'!$G$63,0)</f>
        <v>221993.72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ACAB'!D13+PAVIMENTAÇÃO!C13+PAVIMENTAÇÃO!D13+'REV. FACHADA'!C13+'REV. FACHADA'!D13+FORRO!C13+FORRO!D13+LOUÇAS!C13+LOUÇAS!D13+PINTURA!C13+PINTURA!D13+PAISAGISMO!C13+PAISAGISMO!D13+LIMPEZA!C13+LIMPEZA!D13+'TAX. ADM'!C13+'TAX. ADM'!D13+P59*'VALOR POR PL'!$P$7+IF(P$1=DATE(2026,8,1),'VALOR POR PL'!$G$63,0)</f>
        <v>395599.15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ACAB'!D14+PAVIMENTAÇÃO!C14+PAVIMENTAÇÃO!D14+'REV. FACHADA'!C14+'REV. FACHADA'!D14+FORRO!C14+FORRO!D14+LOUÇAS!C14+LOUÇAS!D14+PINTURA!C14+PINTURA!D14+PAISAGISMO!C14+PAISAGISMO!D14+LIMPEZA!C14+LIMPEZA!D14+'TAX. ADM'!C14+'TAX. ADM'!D14+Q59*'VALOR POR PL'!$P$7+IF(Q$1=DATE(2026,8,1),'VALOR POR PL'!$G$63,0)</f>
        <v>708213.46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ACAB'!D15+PAVIMENTAÇÃO!C15+PAVIMENTAÇÃO!D15+'REV. FACHADA'!C15+'REV. FACHADA'!D15+FORRO!C15+FORRO!D15+LOUÇAS!C15+LOUÇAS!D15+PINTURA!C15+PINTURA!D15+PAISAGISMO!C15+PAISAGISMO!D15+LIMPEZA!C15+LIMPEZA!D15+'TAX. ADM'!C15+'TAX. ADM'!D15+R59*'VALOR POR PL'!$P$7+IF(R$1=DATE(2026,8,1),'VALOR POR PL'!$G$63,0)</f>
        <v>1252862.63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ACAB'!D16+PAVIMENTAÇÃO!C16+PAVIMENTAÇÃO!D16+'REV. FACHADA'!C16+'REV. FACHADA'!D16+FORRO!C16+FORRO!D16+LOUÇAS!C16+LOUÇAS!D16+PINTURA!C16+PINTURA!D16+PAISAGISMO!C16+PAISAGISMO!D16+LIMPEZA!C16+LIMPEZA!D16+'TAX. ADM'!C16+'TAX. ADM'!D16+S59*'VALOR POR PL'!$P$7+IF(S$1=DATE(2026,8,1),'VALOR POR PL'!$G$63,0)</f>
        <v>2178586.91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ACAB'!D17+PAVIMENTAÇÃO!C17+PAVIMENTAÇÃO!D17+'REV. FACHADA'!C17+'REV. FACHADA'!D17+FORRO!C17+FORRO!D17+LOUÇAS!C17+LOUÇAS!D17+PINTURA!C17+PINTURA!D17+PAISAGISMO!C17+PAISAGISMO!D17+LIMPEZA!C17+LIMPEZA!D17+'TAX. ADM'!C17+'TAX. ADM'!D17+T59*'VALOR POR PL'!$P$7+IF(T$1=DATE(2026,8,1),'VALOR POR PL'!$G$63,0)</f>
        <v>1568106.2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ACAB'!D18+PAVIMENTAÇÃO!C18+PAVIMENTAÇÃO!D18+'REV. FACHADA'!C18+'REV. FACHADA'!D18+FORRO!C18+FORRO!D18+LOUÇAS!C18+LOUÇAS!D18+PINTURA!C18+PINTURA!D18+PAISAGISMO!C18+PAISAGISMO!D18+LIMPEZA!C18+LIMPEZA!D18+'TAX. ADM'!C18+'TAX. ADM'!D18+U59*'VALOR POR PL'!$P$7+IF(U$1=DATE(2026,8,1),'VALOR POR PL'!$G$63,0)</f>
        <v>1972982.14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ACAB'!D19+PAVIMENTAÇÃO!C19+PAVIMENTAÇÃO!D19+'REV. FACHADA'!C19+'REV. FACHADA'!D19+FORRO!C19+FORRO!D19+LOUÇAS!C19+LOUÇAS!D19+PINTURA!C19+PINTURA!D19+PAISAGISMO!C19+PAISAGISMO!D19+LIMPEZA!C19+LIMPEZA!D19+'TAX. ADM'!C19+'TAX. ADM'!D19+V59*'VALOR POR PL'!$P$7+IF(V$1=DATE(2026,8,1),'VALOR POR PL'!$G$63,0)</f>
        <v>1105526.59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ACAB'!D20+PAVIMENTAÇÃO!C20+PAVIMENTAÇÃO!D20+'REV. FACHADA'!C20+'REV. FACHADA'!D20+FORRO!C20+FORRO!D20+LOUÇAS!C20+LOUÇAS!D20+PINTURA!C20+PINTURA!D20+PAISAGISMO!C20+PAISAGISMO!D20+LIMPEZA!C20+LIMPEZA!D20+'TAX. ADM'!C20+'TAX. ADM'!D20+W59*'VALOR POR PL'!$P$7+IF(W$1=DATE(2026,8,1),'VALOR POR PL'!$G$63,0)</f>
        <v>1636768.81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ACAB'!D21+PAVIMENTAÇÃO!C21+PAVIMENTAÇÃO!D21+'REV. FACHADA'!C21+'REV. FACHADA'!D21+FORRO!C21+FORRO!D21+LOUÇAS!C21+LOUÇAS!D21+PINTURA!C21+PINTURA!D21+PAISAGISMO!C21+PAISAGISMO!D21+LIMPEZA!C21+LIMPEZA!D21+'TAX. ADM'!C21+'TAX. ADM'!D21+X59*'VALOR POR PL'!$P$7+IF(X$1=DATE(2026,8,1),'VALOR POR PL'!$G$63,0)</f>
        <v>1444679.81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ACAB'!D22+PAVIMENTAÇÃO!C22+PAVIMENTAÇÃO!D22+'REV. FACHADA'!C22+'REV. FACHADA'!D22+FORRO!C22+FORRO!D22+LOUÇAS!C22+LOUÇAS!D22+PINTURA!C22+PINTURA!D22+PAISAGISMO!C22+PAISAGISMO!D22+LIMPEZA!C22+LIMPEZA!D22+'TAX. ADM'!C22+'TAX. ADM'!D22+Y59*'VALOR POR PL'!$P$7+IF(Y$1=DATE(2026,8,1),'VALOR POR PL'!$G$63,0)</f>
        <v>956706.51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ACAB'!D23+PAVIMENTAÇÃO!C23+PAVIMENTAÇÃO!D23+'REV. FACHADA'!C23+'REV. FACHADA'!D23+FORRO!C23+FORRO!D23+LOUÇAS!C23+LOUÇAS!D23+PINTURA!C23+PINTURA!D23+PAISAGISMO!C23+PAISAGISMO!D23+LIMPEZA!C23+LIMPEZA!D23+'TAX. ADM'!C23+'TAX. ADM'!D23+Z59*'VALOR POR PL'!$P$7+IF(Z$1=DATE(2026,8,1),'VALOR POR PL'!$G$63,0)</f>
        <v>1340691.29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ACAB'!D24+PAVIMENTAÇÃO!C24+PAVIMENTAÇÃO!D24+'REV. FACHADA'!C24+'REV. FACHADA'!D24+FORRO!C24+FORRO!D24+LOUÇAS!C24+LOUÇAS!D24+PINTURA!C24+PINTURA!D24+PAISAGISMO!C24+PAISAGISMO!D24+LIMPEZA!C24+LIMPEZA!D24+'TAX. ADM'!C24+'TAX. ADM'!D24+AA59*'VALOR POR PL'!$P$7+IF(AA$1=DATE(2026,8,1),'VALOR POR PL'!$G$63,0)</f>
        <v>2331705.56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ACAB'!D25+PAVIMENTAÇÃO!C25+PAVIMENTAÇÃO!D25+'REV. FACHADA'!C25+'REV. FACHADA'!D25+FORRO!C25+FORRO!D25+LOUÇAS!C25+LOUÇAS!D25+PINTURA!C25+PINTURA!D25+PAISAGISMO!C25+PAISAGISMO!D25+LIMPEZA!C25+LIMPEZA!D25+'TAX. ADM'!C25+'TAX. ADM'!D25+AB59*'VALOR POR PL'!$P$7+IF(AB$1=DATE(2026,8,1),'VALOR POR PL'!$G$63,0)</f>
        <v>1759914.42001301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ACAB'!D26+PAVIMENTAÇÃO!C26+PAVIMENTAÇÃO!D26+'REV. FACHADA'!C26+'REV. FACHADA'!D26+FORRO!C26+FORRO!D26+LOUÇAS!C26+LOUÇAS!D26+PINTURA!C26+PINTURA!D26+PAISAGISMO!C26+PAISAGISMO!D26+LIMPEZA!C26+LIMPEZA!D26+'TAX. ADM'!C26+'TAX. ADM'!D26+AC59*'VALOR POR PL'!$P$7+IF(AC$1=DATE(2026,8,1),'VALOR POR PL'!$G$63,0)</f>
        <v>3885141.60056665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ACAB'!D27+PAVIMENTAÇÃO!C27+PAVIMENTAÇÃO!D27+'REV. FACHADA'!C27+'REV. FACHADA'!D27+FORRO!C27+FORRO!D27+LOUÇAS!C27+LOUÇAS!D27+PINTURA!C27+PINTURA!D27+PAISAGISMO!C27+PAISAGISMO!D27+LIMPEZA!C27+LIMPEZA!D27+'TAX. ADM'!C27+'TAX. ADM'!D27+AD59*'VALOR POR PL'!$P$7+IF(AD$1=DATE(2026,8,1),'VALOR POR PL'!$G$63,0)</f>
        <v>3602404.8497486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ACAB'!D28+PAVIMENTAÇÃO!C28+PAVIMENTAÇÃO!D28+'REV. FACHADA'!C28+'REV. FACHADA'!D28+FORRO!C28+FORRO!D28+LOUÇAS!C28+LOUÇAS!D28+PINTURA!C28+PINTURA!D28+PAISAGISMO!C28+PAISAGISMO!D28+LIMPEZA!C28+LIMPEZA!D28+'TAX. ADM'!C28+'TAX. ADM'!D28+AE59*'VALOR POR PL'!$P$7+IF(AE$1=DATE(2026,8,1),'VALOR POR PL'!$G$63,0)</f>
        <v>2376661.97536458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ACAB'!D29+PAVIMENTAÇÃO!C29+PAVIMENTAÇÃO!D29+'REV. FACHADA'!C29+'REV. FACHADA'!D29+FORRO!C29+FORRO!D29+LOUÇAS!C29+LOUÇAS!D29+PINTURA!C29+PINTURA!D29+PAISAGISMO!C29+PAISAGISMO!D29+LIMPEZA!C29+LIMPEZA!D29+'TAX. ADM'!C29+'TAX. ADM'!D29+AF59*'VALOR POR PL'!$P$7+IF(AF$1=DATE(2026,8,1),'VALOR POR PL'!$G$63,0)</f>
        <v>1996625.29967253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ACAB'!D30+PAVIMENTAÇÃO!C30+PAVIMENTAÇÃO!D30+'REV. FACHADA'!C30+'REV. FACHADA'!D30+FORRO!C30+FORRO!D30+LOUÇAS!C30+LOUÇAS!D30+PINTURA!C30+PINTURA!D30+PAISAGISMO!C30+PAISAGISMO!D30+LIMPEZA!C30+LIMPEZA!D30+'TAX. ADM'!C30+'TAX. ADM'!D30+AG59*'VALOR POR PL'!$P$7+IF(AG$1=DATE(2026,8,1),'VALOR POR PL'!$G$63,0)</f>
        <v>4081903.27645503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ACAB'!D31+PAVIMENTAÇÃO!C31+PAVIMENTAÇÃO!D31+'REV. FACHADA'!C31+'REV. FACHADA'!D31+FORRO!C31+FORRO!D31+LOUÇAS!C31+LOUÇAS!D31+PINTURA!C31+PINTURA!D31+PAISAGISMO!C31+PAISAGISMO!D31+LIMPEZA!C31+LIMPEZA!D31+'TAX. ADM'!C31+'TAX. ADM'!D31+AH59*'VALOR POR PL'!$P$7+IF(AH$1=DATE(2026,8,1),'VALOR POR PL'!$G$63,0)</f>
        <v>3112444.173298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ACAB'!D32+PAVIMENTAÇÃO!C32+PAVIMENTAÇÃO!D32+'REV. FACHADA'!C32+'REV. FACHADA'!D32+FORRO!C32+FORRO!D32+LOUÇAS!C32+LOUÇAS!D32+PINTURA!C32+PINTURA!D32+PAISAGISMO!C32+PAISAGISMO!D32+LIMPEZA!C32+LIMPEZA!D32+'TAX. ADM'!C32+'TAX. ADM'!D32+AI59*'VALOR POR PL'!$P$7+IF(AI$1=DATE(2026,8,1),'VALOR POR PL'!$G$63,0)</f>
        <v>2605434.10424743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ACAB'!D33+PAVIMENTAÇÃO!C33+PAVIMENTAÇÃO!D33+'REV. FACHADA'!C33+'REV. FACHADA'!D33+FORRO!C33+FORRO!D33+LOUÇAS!C33+LOUÇAS!D33+PINTURA!C33+PINTURA!D33+PAISAGISMO!C33+PAISAGISMO!D33+LIMPEZA!C33+LIMPEZA!D33+'TAX. ADM'!C33+'TAX. ADM'!D33+AJ59*'VALOR POR PL'!$P$7+IF(AJ$1=DATE(2026,8,1),'VALOR POR PL'!$G$63,0)</f>
        <v>2921338.03861657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ACAB'!D34+PAVIMENTAÇÃO!C34+PAVIMENTAÇÃO!D34+'REV. FACHADA'!C34+'REV. FACHADA'!D34+FORRO!C34+FORRO!D34+LOUÇAS!C34+LOUÇAS!D34+PINTURA!C34+PINTURA!D34+PAISAGISMO!C34+PAISAGISMO!D34+LIMPEZA!C34+LIMPEZA!D34+'TAX. ADM'!C34+'TAX. ADM'!D34+AK59*'VALOR POR PL'!$P$7+IF(AK$1=DATE(2026,8,1),'VALOR POR PL'!$G$63,0)</f>
        <v>3279999.2453735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ACAB'!D35+PAVIMENTAÇÃO!C35+PAVIMENTAÇÃO!D35+'REV. FACHADA'!C35+'REV. FACHADA'!D35+FORRO!C35+FORRO!D35+LOUÇAS!C35+LOUÇAS!D35+PINTURA!C35+PINTURA!D35+PAISAGISMO!C35+PAISAGISMO!D35+LIMPEZA!C35+LIMPEZA!D35+'TAX. ADM'!C35+'TAX. ADM'!D35+AL59*'VALOR POR PL'!$P$7+IF(AL$1=DATE(2026,8,1),'VALOR POR PL'!$G$63,0)</f>
        <v>4494893.23220786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ACAB'!D36+PAVIMENTAÇÃO!C36+PAVIMENTAÇÃO!D36+'REV. FACHADA'!C36+'REV. FACHADA'!D36+FORRO!C36+FORRO!D36+LOUÇAS!C36+LOUÇAS!D36+PINTURA!C36+PINTURA!D36+PAISAGISMO!C36+PAISAGISMO!D36+LIMPEZA!C36+LIMPEZA!D36+'TAX. ADM'!C36+'TAX. ADM'!D36+AM59*'VALOR POR PL'!$P$7+IF(AM$1=DATE(2026,8,1),'VALOR POR PL'!$G$63,0)</f>
        <v>4875016.75837672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ACAB'!D37+PAVIMENTAÇÃO!C37+PAVIMENTAÇÃO!D37+'REV. FACHADA'!C37+'REV. FACHADA'!D37+FORRO!C37+FORRO!D37+LOUÇAS!C37+LOUÇAS!D37+PINTURA!C37+PINTURA!D37+PAISAGISMO!C37+PAISAGISMO!D37+LIMPEZA!C37+LIMPEZA!D37+'TAX. ADM'!C37+'TAX. ADM'!D37+AN59*'VALOR POR PL'!$P$7+IF(AN$1=DATE(2026,8,1),'VALOR POR PL'!$G$63,0)</f>
        <v>5985494.3311384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ACAB'!D38+PAVIMENTAÇÃO!C38+PAVIMENTAÇÃO!D38+'REV. FACHADA'!C38+'REV. FACHADA'!D38+FORRO!C38+FORRO!D38+LOUÇAS!C38+LOUÇAS!D38+PINTURA!C38+PINTURA!D38+PAISAGISMO!C38+PAISAGISMO!D38+LIMPEZA!C38+LIMPEZA!D38+'TAX. ADM'!C38+'TAX. ADM'!D38+AO59*'VALOR POR PL'!$P$7+IF(AO$1=DATE(2026,8,1),'VALOR POR PL'!$G$63,0)</f>
        <v>5942270.71432758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ACAB'!D39+PAVIMENTAÇÃO!C39+PAVIMENTAÇÃO!D39+'REV. FACHADA'!C39+'REV. FACHADA'!D39+FORRO!C39+FORRO!D39+LOUÇAS!C39+LOUÇAS!D39+PINTURA!C39+PINTURA!D39+PAISAGISMO!C39+PAISAGISMO!D39+LIMPEZA!C39+LIMPEZA!D39+'TAX. ADM'!C39+'TAX. ADM'!D39+AP59*'VALOR POR PL'!$P$7+IF(AP$1=DATE(2026,8,1),'VALOR POR PL'!$G$63,0)</f>
        <v>6855079.03537785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ACAB'!D40+PAVIMENTAÇÃO!C40+PAVIMENTAÇÃO!D40+'REV. FACHADA'!C40+'REV. FACHADA'!D40+FORRO!C40+FORRO!D40+LOUÇAS!C40+LOUÇAS!D40+PINTURA!C40+PINTURA!D40+PAISAGISMO!C40+PAISAGISMO!D40+LIMPEZA!C40+LIMPEZA!D40+'TAX. ADM'!C40+'TAX. ADM'!D40+AQ59*'VALOR POR PL'!$P$7+IF(AQ$1=DATE(2026,8,1),'VALOR POR PL'!$G$63,0)</f>
        <v>7229236.02185778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ACAB'!D41+PAVIMENTAÇÃO!C41+PAVIMENTAÇÃO!D41+'REV. FACHADA'!C41+'REV. FACHADA'!D41+FORRO!C41+FORRO!D41+LOUÇAS!C41+LOUÇAS!D41+PINTURA!C41+PINTURA!D41+PAISAGISMO!C41+PAISAGISMO!D41+LIMPEZA!C41+LIMPEZA!D41+'TAX. ADM'!C41+'TAX. ADM'!D41+AR59*'VALOR POR PL'!$P$7+IF(AR$1=DATE(2026,8,1),'VALOR POR PL'!$G$63,0)</f>
        <v>5718398.73151393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ACAB'!D42+PAVIMENTAÇÃO!C42+PAVIMENTAÇÃO!D42+'REV. FACHADA'!C42+'REV. FACHADA'!D42+FORRO!C42+FORRO!D42+LOUÇAS!C42+LOUÇAS!D42+PINTURA!C42+PINTURA!D42+PAISAGISMO!C42+PAISAGISMO!D42+LIMPEZA!C42+LIMPEZA!D42+'TAX. ADM'!C42+'TAX. ADM'!D42+AS59*'VALOR POR PL'!$P$7+IF(AS$1=DATE(2026,8,1),'VALOR POR PL'!$G$63,0)</f>
        <v>7808339.37149074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ACAB'!D43+PAVIMENTAÇÃO!C43+PAVIMENTAÇÃO!D43+'REV. FACHADA'!C43+'REV. FACHADA'!D43+FORRO!C43+FORRO!D43+LOUÇAS!C43+LOUÇAS!D43+PINTURA!C43+PINTURA!D43+PAISAGISMO!C43+PAISAGISMO!D43+LIMPEZA!C43+LIMPEZA!D43+'TAX. ADM'!C43+'TAX. ADM'!D43+AT59*'VALOR POR PL'!$P$7+IF(AT$1=DATE(2026,8,1),'VALOR POR PL'!$G$63,0)</f>
        <v>7836185.51208325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ACAB'!D44+PAVIMENTAÇÃO!C44+PAVIMENTAÇÃO!D44+'REV. FACHADA'!C44+'REV. FACHADA'!D44+FORRO!C44+FORRO!D44+LOUÇAS!C44+LOUÇAS!D44+PINTURA!C44+PINTURA!D44+PAISAGISMO!C44+PAISAGISMO!D44+LIMPEZA!C44+LIMPEZA!D44+'TAX. ADM'!C44+'TAX. ADM'!D44+AU59*'VALOR POR PL'!$P$7+IF(AU$1=DATE(2026,8,1),'VALOR POR PL'!$G$63,0)</f>
        <v>7515165.41795095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ACAB'!D45+PAVIMENTAÇÃO!C45+PAVIMENTAÇÃO!D45+'REV. FACHADA'!C45+'REV. FACHADA'!D45+FORRO!C45+FORRO!D45+LOUÇAS!C45+LOUÇAS!D45+PINTURA!C45+PINTURA!D45+PAISAGISMO!C45+PAISAGISMO!D45+LIMPEZA!C45+LIMPEZA!D45+'TAX. ADM'!C45+'TAX. ADM'!D45+AV59*'VALOR POR PL'!$P$7+IF(AV$1=DATE(2026,8,1),'VALOR POR PL'!$G$63,0)</f>
        <v>5138500.05641126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ACAB'!D46+PAVIMENTAÇÃO!C46+PAVIMENTAÇÃO!D46+'REV. FACHADA'!C46+'REV. FACHADA'!D46+FORRO!C46+FORRO!D46+LOUÇAS!C46+LOUÇAS!D46+PINTURA!C46+PINTURA!D46+PAISAGISMO!C46+PAISAGISMO!D46+LIMPEZA!C46+LIMPEZA!D46+'TAX. ADM'!C46+'TAX. ADM'!D46+AW59*'VALOR POR PL'!$P$7+IF(AW$1=DATE(2026,8,1),'VALOR POR PL'!$G$63,0)</f>
        <v>6240845.6256819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ACAB'!D47+PAVIMENTAÇÃO!C47+PAVIMENTAÇÃO!D47+'REV. FACHADA'!C47+'REV. FACHADA'!D47+FORRO!C47+FORRO!D47+LOUÇAS!C47+LOUÇAS!D47+PINTURA!C47+PINTURA!D47+PAISAGISMO!C47+PAISAGISMO!D47+LIMPEZA!C47+LIMPEZA!D47+'TAX. ADM'!C47+'TAX. ADM'!D47+AX59*'VALOR POR PL'!$P$7+IF(AX$1=DATE(2026,8,1),'VALOR POR PL'!$G$63,0)</f>
        <v>5450149.10618059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ACAB'!D48+PAVIMENTAÇÃO!C48+PAVIMENTAÇÃO!D48+'REV. FACHADA'!C48+'REV. FACHADA'!D48+FORRO!C48+FORRO!D48+LOUÇAS!C48+LOUÇAS!D48+PINTURA!C48+PINTURA!D48+PAISAGISMO!C48+PAISAGISMO!D48+LIMPEZA!C48+LIMPEZA!D48+'TAX. ADM'!C48+'TAX. ADM'!D48+AY59*'VALOR POR PL'!$P$7+IF(AY$1=DATE(2026,8,1),'VALOR POR PL'!$G$63,0)</f>
        <v>4850238.11826312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ACAB'!D49+PAVIMENTAÇÃO!C49+PAVIMENTAÇÃO!D49+'REV. FACHADA'!C49+'REV. FACHADA'!D49+FORRO!C49+FORRO!D49+LOUÇAS!C49+LOUÇAS!D49+PINTURA!C49+PINTURA!D49+PAISAGISMO!C49+PAISAGISMO!D49+LIMPEZA!C49+LIMPEZA!D49+'TAX. ADM'!C49+'TAX. ADM'!D49+AZ59*'VALOR POR PL'!$P$7+IF(AZ$1=DATE(2026,8,1),'VALOR POR PL'!$G$63,0)</f>
        <v>5036146.19109286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ACAB'!D50+PAVIMENTAÇÃO!C50+PAVIMENTAÇÃO!D50+'REV. FACHADA'!C50+'REV. FACHADA'!D50+FORRO!C50+FORRO!D50+LOUÇAS!C50+LOUÇAS!D50+PINTURA!C50+PINTURA!D50+PAISAGISMO!C50+PAISAGISMO!D50+LIMPEZA!C50+LIMPEZA!D50+'TAX. ADM'!C50+'TAX. ADM'!D50+BA59*'VALOR POR PL'!$P$7+IF(BA$1=DATE(2026,8,1),'VALOR POR PL'!$G$63,0)</f>
        <v>3260006.75300968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ACAB'!D51+PAVIMENTAÇÃO!C51+PAVIMENTAÇÃO!D51+'REV. FACHADA'!C51+'REV. FACHADA'!D51+FORRO!C51+FORRO!D51+LOUÇAS!C51+LOUÇAS!D51+PINTURA!C51+PINTURA!D51+PAISAGISMO!C51+PAISAGISMO!D51+LIMPEZA!C51+LIMPEZA!D51+'TAX. ADM'!C51+'TAX. ADM'!D51+BB59*'VALOR POR PL'!$P$7+IF(BB$1=DATE(2026,8,1),'VALOR POR PL'!$G$63,0)</f>
        <v>3230002.15662413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ACAB'!D52+PAVIMENTAÇÃO!C52+PAVIMENTAÇÃO!D52+'REV. FACHADA'!C52+'REV. FACHADA'!D52+FORRO!C52+FORRO!D52+LOUÇAS!C52+LOUÇAS!D52+PINTURA!C52+PINTURA!D52+PAISAGISMO!C52+PAISAGISMO!D52+LIMPEZA!C52+LIMPEZA!D52+'TAX. ADM'!C52+'TAX. ADM'!D52+BC59*'VALOR POR PL'!$P$7+IF(BC$1=DATE(2026,8,1),'VALOR POR PL'!$G$63,0)</f>
        <v>2844343.04551578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ACAB'!D53+PAVIMENTAÇÃO!C53+PAVIMENTAÇÃO!D53+'REV. FACHADA'!C53+'REV. FACHADA'!D53+FORRO!C53+FORRO!D53+LOUÇAS!C53+LOUÇAS!D53+PINTURA!C53+PINTURA!D53+PAISAGISMO!C53+PAISAGISMO!D53+LIMPEZA!C53+LIMPEZA!D53+'TAX. ADM'!C53+'TAX. ADM'!D53+BD59*'VALOR POR PL'!$P$7+IF(BD$1=DATE(2026,8,1),'VALOR POR PL'!$G$63,0)</f>
        <v>1929103.23150679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ACAB'!D54+PAVIMENTAÇÃO!C54+PAVIMENTAÇÃO!D54+'REV. FACHADA'!C54+'REV. FACHADA'!D54+FORRO!C54+FORRO!D54+LOUÇAS!C54+LOUÇAS!D54+PINTURA!C54+PINTURA!D54+PAISAGISMO!C54+PAISAGISMO!D54+LIMPEZA!C54+LIMPEZA!D54+'TAX. ADM'!C54+'TAX. ADM'!D54+BE59*'VALOR POR PL'!$P$7+IF(BE$1=DATE(2026,8,1),'VALOR POR PL'!$G$63,0)</f>
        <v>2115673.08241876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ACAB'!D55+PAVIMENTAÇÃO!C55+PAVIMENTAÇÃO!D55+'REV. FACHADA'!C55+'REV. FACHADA'!D55+FORRO!C55+FORRO!D55+LOUÇAS!C55+LOUÇAS!D55+PINTURA!C55+PINTURA!D55+PAISAGISMO!C55+PAISAGISMO!D55+LIMPEZA!C55+LIMPEZA!D55+'TAX. ADM'!C55+'TAX. ADM'!D55+BF59*'VALOR POR PL'!$P$7+IF(BF$1=DATE(2026,8,1),'VALOR POR PL'!$G$63,0)</f>
        <v>1504070.38051638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ACAB'!D56+PAVIMENTAÇÃO!C56+PAVIMENTAÇÃO!D56+'REV. FACHADA'!C56+'REV. FACHADA'!D56+FORRO!C56+FORRO!D56+LOUÇAS!C56+LOUÇAS!D56+PINTURA!C56+PINTURA!D56+PAISAGISMO!C56+PAISAGISMO!D56+LIMPEZA!C56+LIMPEZA!D56+'TAX. ADM'!C56+'TAX. ADM'!D56+BG59*'VALOR POR PL'!$P$7+IF(BG$1=DATE(2026,8,1),'VALOR POR PL'!$G$63,0)</f>
        <v>1009348.79335806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ACAB'!D57+PAVIMENTAÇÃO!C57+PAVIMENTAÇÃO!D57+'REV. FACHADA'!C57+'REV. FACHADA'!D57+FORRO!C57+FORRO!D57+LOUÇAS!C57+LOUÇAS!D57+PINTURA!C57+PINTURA!D57+PAISAGISMO!C57+PAISAGISMO!D57+LIMPEZA!C57+LIMPEZA!D57+'TAX. ADM'!C57+'TAX. ADM'!D57+BH59*'VALOR POR PL'!$P$7+IF(BH$1=DATE(2026,8,1),'VALOR POR PL'!$G$63,0)</f>
        <v>805131.507364267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ACAB'!D58+PAVIMENTAÇÃO!C58+PAVIMENTAÇÃO!D58+'REV. FACHADA'!C58+'REV. FACHADA'!D58+FORRO!C58+FORRO!D58+LOUÇAS!C58+LOUÇAS!D58+PINTURA!C58+PINTURA!D58+PAISAGISMO!C58+PAISAGISMO!D58+LIMPEZA!C58+LIMPEZA!D58+'TAX. ADM'!C58+'TAX. ADM'!D58+BI59*'VALOR POR PL'!$P$7+IF(BI$1=DATE(2026,8,1),'VALOR POR PL'!$G$63,0)</f>
        <v>217526.039650408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ACAB'!D59+PAVIMENTAÇÃO!C59+PAVIMENTAÇÃO!D59+'REV. FACHADA'!C59+'REV. FACHADA'!D59+FORRO!C59+FORRO!D59+LOUÇAS!C59+LOUÇAS!D59+PINTURA!C59+PINTURA!D59+PAISAGISMO!C59+PAISAGISMO!D59+LIMPEZA!C59+LIMPEZA!D59+'TAX. ADM'!C59+'TAX. ADM'!D59+BJ59*'VALOR POR PL'!$P$7+IF(BJ$1=DATE(2026,8,1),'VALOR POR PL'!$G$63,0)</f>
        <v>681403.936820435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ACAB'!D60+PAVIMENTAÇÃO!C60+PAVIMENTAÇÃO!D60+'REV. FACHADA'!C60+'REV. FACHADA'!D60+FORRO!C60+FORRO!D60+LOUÇAS!C60+LOUÇAS!D60+PINTURA!C60+PINTURA!D60+PAISAGISMO!C60+PAISAGISMO!D60+LIMPEZA!C60+LIMPEZA!D60+'TAX. ADM'!C60+'TAX. ADM'!D60+BK59*'VALOR POR PL'!$P$7+IF(BK$1=DATE(2026,8,1),'VALOR POR PL'!$G$63,0)</f>
        <v>64804.4657964834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ACAB'!D61+PAVIMENTAÇÃO!C61+PAVIMENTAÇÃO!D61+'REV. FACHADA'!C61+'REV. FACHADA'!D61+FORRO!C61+FORRO!D61+LOUÇAS!C61+LOUÇAS!D61+PINTURA!C61+PINTURA!D61+PAISAGISMO!C61+PAISAGISMO!D61+LIMPEZA!C61+LIMPEZA!D61+'TAX. ADM'!C61+'TAX. ADM'!D61+BL59*'VALOR POR PL'!$P$7+IF(BL$1=DATE(2026,8,1),'VALOR POR PL'!$G$63,0)</f>
        <v>115803.069205698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ACAB'!D62+PAVIMENTAÇÃO!C62+PAVIMENTAÇÃO!D62+'REV. FACHADA'!C62+'REV. FACHADA'!D62+FORRO!C62+FORRO!D62+LOUÇAS!C62+LOUÇAS!D62+PINTURA!C62+PINTURA!D62+PAISAGISMO!C62+PAISAGISMO!D62+LIMPEZA!C62+LIMPEZA!D62+'TAX. ADM'!C62+'TAX. ADM'!D62+BM59*'VALOR POR PL'!$P$7+IF(BM$1=DATE(2026,8,1),'VALOR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ACAB'!D63+PAVIMENTAÇÃO!C63+PAVIMENTAÇÃO!D63+'REV. FACHADA'!C63+'REV. FACHADA'!D63+FORRO!C63+FORRO!D63+LOUÇAS!C63+LOUÇAS!D63+PINTURA!C63+PINTURA!D63+PAISAGISMO!C63+PAISAGISMO!D63+LIMPEZA!C63+LIMPEZA!D63+'TAX. ADM'!C63+'TAX. ADM'!D63+BN59*'VALOR POR PL'!$P$7+IF(BN$1=DATE(2026,8,1),'VALOR POR PL'!$G$63,0)</f>
        <v>2521511.34049737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ACAB'!D64+PAVIMENTAÇÃO!C64+PAVIMENTAÇÃO!D64+'REV. FACHADA'!C64+'REV. FACHADA'!D64+FORRO!C64+FORRO!D64+LOUÇAS!C64+LOUÇAS!D64+PINTURA!C64+PINTURA!D64+PAISAGISMO!C64+PAISAGISMO!D64+LIMPEZA!C64+LIMPEZA!D64+'TAX. ADM'!C64+'TAX. ADM'!D64+BO59*'VALOR POR PL'!$P$7+IF(BO$1=DATE(2026,8,1),'VALOR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ACAB'!D65+PAVIMENTAÇÃO!C65+PAVIMENTAÇÃO!D65+'REV. FACHADA'!C65+'REV. FACHADA'!D65+FORRO!C65+FORRO!D65+LOUÇAS!C65+LOUÇAS!D65+PINTURA!C65+PINTURA!D65+PAISAGISMO!C65+PAISAGISMO!D65+LIMPEZA!C65+LIMPEZA!D65+'TAX. ADM'!C65+'TAX. ADM'!D65+BP59*'VALOR POR PL'!$P$7+IF(BP$1=DATE(2026,8,1),'VALOR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ACAB'!D66+PAVIMENTAÇÃO!C66+PAVIMENTAÇÃO!D66+'REV. FACHADA'!C66+'REV. FACHADA'!D66+FORRO!C66+FORRO!D66+LOUÇAS!C66+LOUÇAS!D66+PINTURA!C66+PINTURA!D66+PAISAGISMO!C66+PAISAGISMO!D66+LIMPEZA!C66+LIMPEZA!D66+'TAX. ADM'!C66+'TAX. ADM'!D66+BQ59*'VALOR POR PL'!$P$7+IF(BQ$1=DATE(2026,8,1),'VALOR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ACAB'!D67+PAVIMENTAÇÃO!C67+PAVIMENTAÇÃO!D67+'REV. FACHADA'!C67+'REV. FACHADA'!D67+FORRO!C67+FORRO!D67+LOUÇAS!C67+LOUÇAS!D67+PINTURA!C67+PINTURA!D67+PAISAGISMO!C67+PAISAGISMO!D67+LIMPEZA!C67+LIMPEZA!D67+'TAX. ADM'!C67+'TAX. ADM'!D67+BR59*'VALOR POR PL'!$P$7+IF(BR$1=DATE(2026,8,1),'VALOR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ACAB'!D68+PAVIMENTAÇÃO!C68+PAVIMENTAÇÃO!D68+'REV. FACHADA'!C68+'REV. FACHADA'!D68+FORRO!C68+FORRO!D68+LOUÇAS!C68+LOUÇAS!D68+PINTURA!C68+PINTURA!D68+PAISAGISMO!C68+PAISAGISMO!D68+LIMPEZA!C68+LIMPEZA!D68+'TAX. ADM'!C68+'TAX. ADM'!D68+BS59*'VALOR POR PL'!$P$7+IF(BS$1=DATE(2026,8,1),'VALOR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ACAB'!D69+PAVIMENTAÇÃO!C69+PAVIMENTAÇÃO!D69+'REV. FACHADA'!C69+'REV. FACHADA'!D69+FORRO!C69+FORRO!D69+LOUÇAS!C69+LOUÇAS!D69+PINTURA!C69+PINTURA!D69+PAISAGISMO!C69+PAISAGISMO!D69+LIMPEZA!C69+LIMPEZA!D69+'TAX. ADM'!C69+'TAX. ADM'!D69+BT59*'VALOR POR PL'!$P$7+IF(BT$1=DATE(2026,8,1),'VALOR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ACAB'!D70+PAVIMENTAÇÃO!C70+PAVIMENTAÇÃO!D70+'REV. FACHADA'!C70+'REV. FACHADA'!D70+FORRO!C70+FORRO!D70+LOUÇAS!C70+LOUÇAS!D70+PINTURA!C70+PINTURA!D70+PAISAGISMO!C70+PAISAGISMO!D70+LIMPEZA!C70+LIMPEZA!D70+'TAX. ADM'!C70+'TAX. ADM'!D70+BU59*'VALOR POR PL'!$P$7+IF(BU$1=DATE(2026,8,1),'VALOR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ACAB'!D71+PAVIMENTAÇÃO!C71+PAVIMENTAÇÃO!D71+'REV. FACHADA'!C71+'REV. FACHADA'!D71+FORRO!C71+FORRO!D71+LOUÇAS!C71+LOUÇAS!D71+PINTURA!C71+PINTURA!D71+PAISAGISMO!C71+PAISAGISMO!D71+LIMPEZA!C71+LIMPEZA!D71+'TAX. ADM'!C71+'TAX. ADM'!D71+BV59*'VALOR POR PL'!$P$7+IF(BV$1=DATE(2026,8,1),'VALOR POR PL'!$G$63,0)</f>
        <v>0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ACAB'!D72+PAVIMENTAÇÃO!C72+PAVIMENTAÇÃO!D72+'REV. FACHADA'!C72+'REV. FACHADA'!D72+FORRO!C72+FORRO!D72+LOUÇAS!C72+LOUÇAS!D72+PINTURA!C72+PINTURA!D72+PAISAGISMO!C72+PAISAGISMO!D72+LIMPEZA!C72+LIMPEZA!D72+'TAX. ADM'!C72+'TAX. ADM'!D72+BW59*'VALOR POR PL'!$P$7+IF(BW$1=DATE(2026,8,1),'VALOR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ACAB'!D73+PAVIMENTAÇÃO!C73+PAVIMENTAÇÃO!D73+'REV. FACHADA'!C73+'REV. FACHADA'!D73+FORRO!C73+FORRO!D73+LOUÇAS!C73+LOUÇAS!D73+PINTURA!C73+PINTURA!D73+PAISAGISMO!C73+PAISAGISMO!D73+LIMPEZA!C73+LIMPEZA!D73+'TAX. ADM'!C73+'TAX. ADM'!D73+BX59*'VALOR POR PL'!$P$7+IF(BX$1=DATE(2026,8,1),'VALOR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ACAB'!D74+PAVIMENTAÇÃO!C74+PAVIMENTAÇÃO!D74+'REV. FACHADA'!C74+'REV. FACHADA'!D74+FORRO!C74+FORRO!D74+LOUÇAS!C74+LOUÇAS!D74+PINTURA!C74+PINTURA!D74+PAISAGISMO!C74+PAISAGISMO!D74+LIMPEZA!C74+LIMPEZA!D74+'TAX. ADM'!C74+'TAX. ADM'!D74+BY59*'VALOR POR PL'!$P$7+IF(BY$1=DATE(2026,8,1),'VALOR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ACAB'!D75+PAVIMENTAÇÃO!C75+PAVIMENTAÇÃO!D75+'REV. FACHADA'!C75+'REV. FACHADA'!D75+FORRO!C75+FORRO!D75+LOUÇAS!C75+LOUÇAS!D75+PINTURA!C75+PINTURA!D75+PAISAGISMO!C75+PAISAGISMO!D75+LIMPEZA!C75+LIMPEZA!D75+'TAX. ADM'!C75+'TAX. ADM'!D75+BZ59*'VALOR POR PL'!$P$7+IF(BZ$1=DATE(2026,8,1),'VALOR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ACAB'!D76+PAVIMENTAÇÃO!C76+PAVIMENTAÇÃO!D76+'REV. FACHADA'!C76+'REV. FACHADA'!D76+FORRO!C76+FORRO!D76+LOUÇAS!C76+LOUÇAS!D76+PINTURA!C76+PINTURA!D76+PAISAGISMO!C76+PAISAGISMO!D76+LIMPEZA!C76+LIMPEZA!D76+'TAX. ADM'!C76+'TAX. ADM'!D76+CA59*'VALOR POR PL'!$P$7+IF(CA$1=DATE(2026,8,1),'VALOR POR PL'!$G$63,0)</f>
        <v>0</v>
      </c>
    </row>
    <row r="66" customFormat="false" ht="15" hidden="false" customHeight="false" outlineLevel="0" collapsed="false">
      <c r="C66" s="42" t="s">
        <v>379</v>
      </c>
      <c r="E66" s="116" t="n">
        <f aca="false">CA66</f>
        <v>160420979.399595</v>
      </c>
      <c r="H66" s="50" t="n">
        <f aca="false">H65</f>
        <v>1055724.07</v>
      </c>
      <c r="I66" s="50" t="n">
        <f aca="false">H66+I65</f>
        <v>1106011.92</v>
      </c>
      <c r="J66" s="50" t="n">
        <f aca="false">I66+J65</f>
        <v>1445703.69</v>
      </c>
      <c r="K66" s="50" t="n">
        <f aca="false">J66+K65</f>
        <v>1694711.96</v>
      </c>
      <c r="L66" s="50" t="n">
        <f aca="false">K66+L65</f>
        <v>1921656.6</v>
      </c>
      <c r="M66" s="50" t="n">
        <f aca="false">L66+M65</f>
        <v>2219856.44</v>
      </c>
      <c r="N66" s="50" t="n">
        <f aca="false">M66+N65</f>
        <v>2410003.61</v>
      </c>
      <c r="O66" s="50" t="n">
        <f aca="false">N66+O65</f>
        <v>2631997.33</v>
      </c>
      <c r="P66" s="50" t="n">
        <f aca="false">O66+P65</f>
        <v>3027596.48</v>
      </c>
      <c r="Q66" s="50" t="n">
        <f aca="false">P66+Q65</f>
        <v>3735809.94</v>
      </c>
      <c r="R66" s="50" t="n">
        <f aca="false">Q66+R65</f>
        <v>4988672.57</v>
      </c>
      <c r="S66" s="50" t="n">
        <f aca="false">R66+S65</f>
        <v>7167259.48</v>
      </c>
      <c r="T66" s="50" t="n">
        <f aca="false">S66+T65</f>
        <v>8735365.68</v>
      </c>
      <c r="U66" s="50" t="n">
        <f aca="false">T66+U65</f>
        <v>10708347.82</v>
      </c>
      <c r="V66" s="50" t="n">
        <f aca="false">U66+V65</f>
        <v>11813874.41</v>
      </c>
      <c r="W66" s="50" t="n">
        <f aca="false">V66+W65</f>
        <v>13450643.22</v>
      </c>
      <c r="X66" s="50" t="n">
        <f aca="false">W66+X65</f>
        <v>14895323.03</v>
      </c>
      <c r="Y66" s="50" t="n">
        <f aca="false">X66+Y65</f>
        <v>15852029.54</v>
      </c>
      <c r="Z66" s="50" t="n">
        <f aca="false">Y66+Z65</f>
        <v>17192720.83</v>
      </c>
      <c r="AA66" s="50" t="n">
        <f aca="false">Z66+AA65</f>
        <v>19524426.39</v>
      </c>
      <c r="AB66" s="50" t="n">
        <f aca="false">AA66+AB65</f>
        <v>21284340.810013</v>
      </c>
      <c r="AC66" s="50" t="n">
        <f aca="false">AB66+AC65</f>
        <v>25169482.4105797</v>
      </c>
      <c r="AD66" s="50" t="n">
        <f aca="false">AC66+AD65</f>
        <v>28771887.2603283</v>
      </c>
      <c r="AE66" s="50" t="n">
        <f aca="false">AD66+AE65</f>
        <v>31148549.2356928</v>
      </c>
      <c r="AF66" s="50" t="n">
        <f aca="false">AE66+AF65</f>
        <v>33145174.5353654</v>
      </c>
      <c r="AG66" s="50" t="n">
        <f aca="false">AF66+AG65</f>
        <v>37227077.8118204</v>
      </c>
      <c r="AH66" s="50" t="n">
        <f aca="false">AG66+AH65</f>
        <v>40339521.9851184</v>
      </c>
      <c r="AI66" s="50" t="n">
        <f aca="false">AH66+AI65</f>
        <v>42944956.0893658</v>
      </c>
      <c r="AJ66" s="50" t="n">
        <f aca="false">AI66+AJ65</f>
        <v>45866294.1279824</v>
      </c>
      <c r="AK66" s="50" t="n">
        <f aca="false">AJ66+AK65</f>
        <v>49146293.3733559</v>
      </c>
      <c r="AL66" s="50" t="n">
        <f aca="false">AK66+AL65</f>
        <v>53641186.6055638</v>
      </c>
      <c r="AM66" s="50" t="n">
        <f aca="false">AL66+AM65</f>
        <v>58516203.3639405</v>
      </c>
      <c r="AN66" s="50" t="n">
        <f aca="false">AM66+AN65</f>
        <v>64501697.6950789</v>
      </c>
      <c r="AO66" s="50" t="n">
        <f aca="false">AN66+AO65</f>
        <v>70443968.4094065</v>
      </c>
      <c r="AP66" s="50" t="n">
        <f aca="false">AO66+AP65</f>
        <v>77299047.4447843</v>
      </c>
      <c r="AQ66" s="50" t="n">
        <f aca="false">AP66+AQ65</f>
        <v>84528283.4666421</v>
      </c>
      <c r="AR66" s="50" t="n">
        <f aca="false">AQ66+AR65</f>
        <v>90246682.198156</v>
      </c>
      <c r="AS66" s="50" t="n">
        <f aca="false">AR66+AS65</f>
        <v>98055021.5696468</v>
      </c>
      <c r="AT66" s="50" t="n">
        <f aca="false">AS66+AT65</f>
        <v>105891207.08173</v>
      </c>
      <c r="AU66" s="50" t="n">
        <f aca="false">AT66+AU65</f>
        <v>113406372.499681</v>
      </c>
      <c r="AV66" s="50" t="n">
        <f aca="false">AU66+AV65</f>
        <v>118544872.556092</v>
      </c>
      <c r="AW66" s="50" t="n">
        <f aca="false">AV66+AW65</f>
        <v>124785718.181774</v>
      </c>
      <c r="AX66" s="50" t="n">
        <f aca="false">AW66+AX65</f>
        <v>130235867.287955</v>
      </c>
      <c r="AY66" s="50" t="n">
        <f aca="false">AX66+AY65</f>
        <v>135086105.406218</v>
      </c>
      <c r="AZ66" s="50" t="n">
        <f aca="false">AY66+AZ65</f>
        <v>140122251.597311</v>
      </c>
      <c r="BA66" s="50" t="n">
        <f aca="false">AZ66+BA65</f>
        <v>143382258.35032</v>
      </c>
      <c r="BB66" s="50" t="n">
        <f aca="false">BA66+BB65</f>
        <v>146612260.506944</v>
      </c>
      <c r="BC66" s="50" t="n">
        <f aca="false">BB66+BC65</f>
        <v>149456603.55246</v>
      </c>
      <c r="BD66" s="50" t="n">
        <f aca="false">BC66+BD65</f>
        <v>151385706.783967</v>
      </c>
      <c r="BE66" s="50" t="n">
        <f aca="false">BD66+BE65</f>
        <v>153501379.866386</v>
      </c>
      <c r="BF66" s="50" t="n">
        <f aca="false">BE66+BF65</f>
        <v>155005450.246902</v>
      </c>
      <c r="BG66" s="50" t="n">
        <f aca="false">BF66+BG65</f>
        <v>156014799.04026</v>
      </c>
      <c r="BH66" s="50" t="n">
        <f aca="false">BG66+BH65</f>
        <v>156819930.547625</v>
      </c>
      <c r="BI66" s="50" t="n">
        <f aca="false">BH66+BI65</f>
        <v>157037456.587275</v>
      </c>
      <c r="BJ66" s="50" t="n">
        <f aca="false">BI66+BJ65</f>
        <v>157718860.524095</v>
      </c>
      <c r="BK66" s="50" t="n">
        <f aca="false">BJ66+BK65</f>
        <v>157783664.989892</v>
      </c>
      <c r="BL66" s="50" t="n">
        <f aca="false">BK66+BL65</f>
        <v>157899468.059098</v>
      </c>
      <c r="BM66" s="50" t="n">
        <f aca="false">BL66+BM65</f>
        <v>157899468.059098</v>
      </c>
      <c r="BN66" s="50" t="n">
        <f aca="false">BM66+BN65</f>
        <v>160420979.399595</v>
      </c>
      <c r="BO66" s="50" t="n">
        <f aca="false">BN66+BO65</f>
        <v>160420979.399595</v>
      </c>
      <c r="BP66" s="50" t="n">
        <f aca="false">BO66+BP65</f>
        <v>160420979.399595</v>
      </c>
      <c r="BQ66" s="50" t="n">
        <f aca="false">BP66+BQ65</f>
        <v>160420979.399595</v>
      </c>
      <c r="BR66" s="50" t="n">
        <f aca="false">BQ66+BR65</f>
        <v>160420979.399595</v>
      </c>
      <c r="BS66" s="50" t="n">
        <f aca="false">BR66+BS65</f>
        <v>160420979.399595</v>
      </c>
      <c r="BT66" s="50" t="n">
        <f aca="false">BS66+BT65</f>
        <v>160420979.399595</v>
      </c>
      <c r="BU66" s="50" t="n">
        <f aca="false">BT66+BU65</f>
        <v>160420979.399595</v>
      </c>
      <c r="BV66" s="50" t="n">
        <f aca="false">BU66+BV65</f>
        <v>160420979.399595</v>
      </c>
      <c r="BW66" s="50" t="n">
        <f aca="false">BV66+BW65</f>
        <v>160420979.399595</v>
      </c>
      <c r="BX66" s="50" t="n">
        <f aca="false">BW66+BX65</f>
        <v>160420979.399595</v>
      </c>
      <c r="BY66" s="50" t="n">
        <f aca="false">BX66+BY65</f>
        <v>160420979.399595</v>
      </c>
      <c r="BZ66" s="50" t="n">
        <f aca="false">BY66+BZ65</f>
        <v>160420979.399595</v>
      </c>
      <c r="CA66" s="50" t="n">
        <f aca="false">BZ66+CA65</f>
        <v>160420979.399595</v>
      </c>
    </row>
    <row r="67" customFormat="false" ht="15" hidden="false" customHeight="false" outlineLevel="0" collapsed="false">
      <c r="C67" s="42" t="s">
        <v>380</v>
      </c>
      <c r="H67" s="117" t="n">
        <f aca="false">IF($E$66=0,0,H66/$E$66)</f>
        <v>0.0065809601334641</v>
      </c>
      <c r="I67" s="117" t="n">
        <f aca="false">IF($E$66=0,0,I66/$E$66)</f>
        <v>0.00689443440714209</v>
      </c>
      <c r="J67" s="117" t="n">
        <f aca="false">IF($E$66=0,0,J66/$E$66)</f>
        <v>0.00901193656472372</v>
      </c>
      <c r="K67" s="117" t="n">
        <f aca="false">IF($E$66=0,0,K66/$E$66)</f>
        <v>0.0105641541794768</v>
      </c>
      <c r="L67" s="117" t="n">
        <f aca="false">IF($E$66=0,0,L66/$E$66)</f>
        <v>0.0119788359801327</v>
      </c>
      <c r="M67" s="117" t="n">
        <f aca="false">IF($E$66=0,0,M66/$E$66)</f>
        <v>0.01383769409904</v>
      </c>
      <c r="N67" s="117" t="n">
        <f aca="false">IF($E$66=0,0,N66/$E$66)</f>
        <v>0.015022995240522</v>
      </c>
      <c r="O67" s="117" t="n">
        <f aca="false">IF($E$66=0,0,O66/$E$66)</f>
        <v>0.0164068149929687</v>
      </c>
      <c r="P67" s="117" t="n">
        <f aca="false">IF($E$66=0,0,P66/$E$66)</f>
        <v>0.0188728213188284</v>
      </c>
      <c r="Q67" s="117" t="n">
        <f aca="false">IF($E$66=0,0,Q66/$E$66)</f>
        <v>0.0232875397842723</v>
      </c>
      <c r="R67" s="117" t="n">
        <f aca="false">IF($E$66=0,0,R66/$E$66)</f>
        <v>0.0310973825784572</v>
      </c>
      <c r="S67" s="117" t="n">
        <f aca="false">IF($E$66=0,0,S66/$E$66)</f>
        <v>0.0446778189911618</v>
      </c>
      <c r="T67" s="117" t="n">
        <f aca="false">IF($E$66=0,0,T66/$E$66)</f>
        <v>0.0544527636765074</v>
      </c>
      <c r="U67" s="117" t="n">
        <f aca="false">IF($E$66=0,0,U66/$E$66)</f>
        <v>0.0667515424732972</v>
      </c>
      <c r="V67" s="117" t="n">
        <f aca="false">IF($E$66=0,0,V66/$E$66)</f>
        <v>0.0736429515280084</v>
      </c>
      <c r="W67" s="117" t="n">
        <f aca="false">IF($E$66=0,0,W66/$E$66)</f>
        <v>0.0838459113660913</v>
      </c>
      <c r="X67" s="117" t="n">
        <f aca="false">IF($E$66=0,0,X66/$E$66)</f>
        <v>0.0928514654738332</v>
      </c>
      <c r="Y67" s="117" t="n">
        <f aca="false">IF($E$66=0,0,Y66/$E$66)</f>
        <v>0.0988151898793359</v>
      </c>
      <c r="Z67" s="117" t="n">
        <f aca="false">IF($E$66=0,0,Z66/$E$66)</f>
        <v>0.10717252128959</v>
      </c>
      <c r="AA67" s="117" t="n">
        <f aca="false">IF($E$66=0,0,AA66/$E$66)</f>
        <v>0.121707437911636</v>
      </c>
      <c r="AB67" s="117" t="n">
        <f aca="false">IF($E$66=0,0,AB66/$E$66)</f>
        <v>0.132678038057576</v>
      </c>
      <c r="AC67" s="117" t="n">
        <f aca="false">IF($E$66=0,0,AC66/$E$66)</f>
        <v>0.156896451478984</v>
      </c>
      <c r="AD67" s="117" t="n">
        <f aca="false">IF($E$66=0,0,AD66/$E$66)</f>
        <v>0.179352397473275</v>
      </c>
      <c r="AE67" s="117" t="n">
        <f aca="false">IF($E$66=0,0,AE66/$E$66)</f>
        <v>0.194167554345273</v>
      </c>
      <c r="AF67" s="117" t="n">
        <f aca="false">IF($E$66=0,0,AF66/$E$66)</f>
        <v>0.206613715110189</v>
      </c>
      <c r="AG67" s="117" t="n">
        <f aca="false">IF($E$66=0,0,AG66/$E$66)</f>
        <v>0.23205866184803</v>
      </c>
      <c r="AH67" s="117" t="n">
        <f aca="false">IF($E$66=0,0,AH66/$E$66)</f>
        <v>0.25146038963293</v>
      </c>
      <c r="AI67" s="117" t="n">
        <f aca="false">IF($E$66=0,0,AI66/$E$66)</f>
        <v>0.26770162013781</v>
      </c>
      <c r="AJ67" s="117" t="n">
        <f aca="false">IF($E$66=0,0,AJ66/$E$66)</f>
        <v>0.285912068980288</v>
      </c>
      <c r="AK67" s="117" t="n">
        <f aca="false">IF($E$66=0,0,AK66/$E$66)</f>
        <v>0.306358267835634</v>
      </c>
      <c r="AL67" s="117" t="n">
        <f aca="false">IF($E$66=0,0,AL66/$E$66)</f>
        <v>0.334377628202532</v>
      </c>
      <c r="AM67" s="117" t="n">
        <f aca="false">IF($E$66=0,0,AM66/$E$66)</f>
        <v>0.364766526067527</v>
      </c>
      <c r="AN67" s="117" t="n">
        <f aca="false">IF($E$66=0,0,AN66/$E$66)</f>
        <v>0.402077695426673</v>
      </c>
      <c r="AO67" s="117" t="n">
        <f aca="false">IF($E$66=0,0,AO66/$E$66)</f>
        <v>0.439119426106585</v>
      </c>
      <c r="AP67" s="117" t="n">
        <f aca="false">IF($E$66=0,0,AP66/$E$66)</f>
        <v>0.481851237500795</v>
      </c>
      <c r="AQ67" s="117" t="n">
        <f aca="false">IF($E$66=0,0,AQ66/$E$66)</f>
        <v>0.526915393379374</v>
      </c>
      <c r="AR67" s="117" t="n">
        <f aca="false">IF($E$66=0,0,AR66/$E$66)</f>
        <v>0.562561595970308</v>
      </c>
      <c r="AS67" s="117" t="n">
        <f aca="false">IF($E$66=0,0,AS66/$E$66)</f>
        <v>0.611235649705143</v>
      </c>
      <c r="AT67" s="117" t="n">
        <f aca="false">IF($E$66=0,0,AT66/$E$66)</f>
        <v>0.660083285104276</v>
      </c>
      <c r="AU67" s="117" t="n">
        <f aca="false">IF($E$66=0,0,AU66/$E$66)</f>
        <v>0.706929810079238</v>
      </c>
      <c r="AV67" s="117" t="n">
        <f aca="false">IF($E$66=0,0,AV66/$E$66)</f>
        <v>0.738961157074145</v>
      </c>
      <c r="AW67" s="117" t="n">
        <f aca="false">IF($E$66=0,0,AW66/$E$66)</f>
        <v>0.777864083917251</v>
      </c>
      <c r="AX67" s="117" t="n">
        <f aca="false">IF($E$66=0,0,AX66/$E$66)</f>
        <v>0.811838126006875</v>
      </c>
      <c r="AY67" s="117" t="n">
        <f aca="false">IF($E$66=0,0,AY66/$E$66)</f>
        <v>0.842072563774404</v>
      </c>
      <c r="AZ67" s="117" t="n">
        <f aca="false">IF($E$66=0,0,AZ66/$E$66)</f>
        <v>0.873465877853034</v>
      </c>
      <c r="BA67" s="117" t="n">
        <f aca="false">IF($E$66=0,0,BA66/$E$66)</f>
        <v>0.893787451535048</v>
      </c>
      <c r="BB67" s="117" t="n">
        <f aca="false">IF($E$66=0,0,BB66/$E$66)</f>
        <v>0.913921988605654</v>
      </c>
      <c r="BC67" s="117" t="n">
        <f aca="false">IF($E$66=0,0,BC66/$E$66)</f>
        <v>0.931652481563379</v>
      </c>
      <c r="BD67" s="117" t="n">
        <f aca="false">IF($E$66=0,0,BD66/$E$66)</f>
        <v>0.943677736855591</v>
      </c>
      <c r="BE67" s="117" t="n">
        <f aca="false">IF($E$66=0,0,BE66/$E$66)</f>
        <v>0.95686599371786</v>
      </c>
      <c r="BF67" s="117" t="n">
        <f aca="false">IF($E$66=0,0,BF66/$E$66)</f>
        <v>0.966241764805568</v>
      </c>
      <c r="BG67" s="117" t="n">
        <f aca="false">IF($E$66=0,0,BG66/$E$66)</f>
        <v>0.972533640077341</v>
      </c>
      <c r="BH67" s="117" t="n">
        <f aca="false">IF($E$66=0,0,BH66/$E$66)</f>
        <v>0.977552506751623</v>
      </c>
      <c r="BI67" s="117" t="n">
        <f aca="false">IF($E$66=0,0,BI66/$E$66)</f>
        <v>0.978908476777891</v>
      </c>
      <c r="BJ67" s="117" t="n">
        <f aca="false">IF($E$66=0,0,BJ66/$E$66)</f>
        <v>0.983156075435939</v>
      </c>
      <c r="BK67" s="117" t="n">
        <f aca="false">IF($E$66=0,0,BK66/$E$66)</f>
        <v>0.983560040466193</v>
      </c>
      <c r="BL67" s="117" t="n">
        <f aca="false">IF($E$66=0,0,BL66/$E$66)</f>
        <v>0.984281910321614</v>
      </c>
      <c r="BM67" s="117" t="n">
        <f aca="false">IF($E$66=0,0,BM66/$E$66)</f>
        <v>0.984281910321614</v>
      </c>
      <c r="BN67" s="117" t="n">
        <f aca="false">IF($E$66=0,0,BN66/$E$66)</f>
        <v>1</v>
      </c>
      <c r="BO67" s="117" t="n">
        <f aca="false">IF($E$66=0,0,BO66/$E$66)</f>
        <v>1</v>
      </c>
      <c r="BP67" s="117" t="n">
        <f aca="false">IF($E$66=0,0,BP66/$E$66)</f>
        <v>1</v>
      </c>
      <c r="BQ67" s="117" t="n">
        <f aca="false">IF($E$66=0,0,BQ66/$E$66)</f>
        <v>1</v>
      </c>
      <c r="BR67" s="117" t="n">
        <f aca="false">IF($E$66=0,0,BR66/$E$66)</f>
        <v>1</v>
      </c>
      <c r="BS67" s="117" t="n">
        <f aca="false">IF($E$66=0,0,BS66/$E$66)</f>
        <v>1</v>
      </c>
      <c r="BT67" s="117" t="n">
        <f aca="false">IF($E$66=0,0,BT66/$E$66)</f>
        <v>1</v>
      </c>
      <c r="BU67" s="117" t="n">
        <f aca="false">IF($E$66=0,0,BU66/$E$66)</f>
        <v>1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BOTÂNICO</v>
      </c>
      <c r="C1" s="3" t="s">
        <v>381</v>
      </c>
    </row>
    <row r="3" customFormat="false" ht="45" hidden="false" customHeight="true" outlineLevel="0" collapsed="false">
      <c r="A3" s="54" t="s">
        <v>382</v>
      </c>
      <c r="B3" s="54" t="s">
        <v>383</v>
      </c>
      <c r="C3" s="54" t="s">
        <v>384</v>
      </c>
      <c r="D3" s="54" t="s">
        <v>385</v>
      </c>
      <c r="E3" s="54" t="s">
        <v>386</v>
      </c>
      <c r="F3" s="54" t="s">
        <v>387</v>
      </c>
      <c r="G3" s="54" t="s">
        <v>388</v>
      </c>
      <c r="I3" s="54" t="s">
        <v>389</v>
      </c>
      <c r="J3" s="54" t="s">
        <v>390</v>
      </c>
      <c r="K3" s="54" t="s">
        <v>391</v>
      </c>
      <c r="L3" s="54" t="s">
        <v>392</v>
      </c>
      <c r="M3" s="54" t="s">
        <v>393</v>
      </c>
      <c r="O3" s="62" t="s">
        <v>394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937.784818819305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0.00753543902718546</v>
      </c>
      <c r="G4" s="117" t="n">
        <f aca="false">F4</f>
        <v>0.00753543902718546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1055724.07</v>
      </c>
      <c r="L4" s="65" t="n">
        <f aca="false">'MODELO PARA BI'!H66</f>
        <v>1055724.07</v>
      </c>
      <c r="M4" s="50" t="n">
        <f aca="false">J4</f>
        <v>0</v>
      </c>
      <c r="O4" s="4" t="s">
        <v>395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43.0135675159693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0.000345629518471407</v>
      </c>
      <c r="G5" s="117" t="n">
        <f aca="false">G4+F5</f>
        <v>0.00788106854565687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50287.85</v>
      </c>
      <c r="L5" s="65" t="n">
        <f aca="false">'MODELO PARA BI'!I66</f>
        <v>1106011.92</v>
      </c>
      <c r="M5" s="50" t="n">
        <f aca="false">M4+J5</f>
        <v>0</v>
      </c>
      <c r="O5" s="4" t="s">
        <v>396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289.401094758365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0.00232544210589591</v>
      </c>
      <c r="G6" s="117" t="n">
        <f aca="false">G5+F6</f>
        <v>0.0102065106515528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339691.77</v>
      </c>
      <c r="L6" s="65" t="n">
        <f aca="false">'MODELO PARA BI'!J66</f>
        <v>1445703.69</v>
      </c>
      <c r="M6" s="50" t="n">
        <f aca="false">M5+J6</f>
        <v>0</v>
      </c>
      <c r="O6" s="4" t="s">
        <v>397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211.312990819647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0.00169797604527064</v>
      </c>
      <c r="G7" s="117" t="n">
        <f aca="false">G6+F7</f>
        <v>0.0119044866968234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249008.27</v>
      </c>
      <c r="L7" s="65" t="n">
        <f aca="false">'MODELO PARA BI'!K66</f>
        <v>1694711.96</v>
      </c>
      <c r="M7" s="50" t="n">
        <f aca="false">M6+J7</f>
        <v>0</v>
      </c>
      <c r="O7" s="4" t="s">
        <v>398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191.601452811487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0.0015395867326994</v>
      </c>
      <c r="G8" s="117" t="n">
        <f aca="false">G7+F8</f>
        <v>0.0134440734295228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226944.64</v>
      </c>
      <c r="L8" s="65" t="n">
        <f aca="false">'MODELO PARA BI'!L66</f>
        <v>1921656.6</v>
      </c>
      <c r="M8" s="50" t="n">
        <f aca="false">M7+J8</f>
        <v>0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250.308974781903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0.00201132283182094</v>
      </c>
      <c r="G9" s="117" t="n">
        <f aca="false">G8+F9</f>
        <v>0.0154553962613438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298199.84</v>
      </c>
      <c r="L9" s="65" t="n">
        <f aca="false">'MODELO PARA BI'!M66</f>
        <v>2219856.44</v>
      </c>
      <c r="M9" s="50" t="n">
        <f aca="false">M8+J9</f>
        <v>0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158.520836442244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0.00127377205684872</v>
      </c>
      <c r="G10" s="117" t="n">
        <f aca="false">G9+F10</f>
        <v>0.0167291683181925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190147.17</v>
      </c>
      <c r="L10" s="65" t="n">
        <f aca="false">'MODELO PARA BI'!N66</f>
        <v>2410003.61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183.394496852878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0.00147364088351967</v>
      </c>
      <c r="G11" s="117" t="n">
        <f aca="false">G10+F11</f>
        <v>0.0182028092017122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221993.72</v>
      </c>
      <c r="L11" s="65" t="n">
        <f aca="false">'MODELO PARA BI'!O66</f>
        <v>2631997.33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325.139474943002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0.0026126128719473</v>
      </c>
      <c r="G12" s="117" t="n">
        <f aca="false">G11+F12</f>
        <v>0.0208154220736595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395599.15</v>
      </c>
      <c r="L12" s="65" t="n">
        <f aca="false">'MODELO PARA BI'!P66</f>
        <v>3027596.48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581.099653988892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0.00466934516690613</v>
      </c>
      <c r="G13" s="117" t="n">
        <f aca="false">G12+F13</f>
        <v>0.0254847672405656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708213.46</v>
      </c>
      <c r="L13" s="65" t="n">
        <f aca="false">'MODELO PARA BI'!Q66</f>
        <v>3735809.94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1024.95723831682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0.00823590083760677</v>
      </c>
      <c r="G14" s="117" t="n">
        <f aca="false">G13+F14</f>
        <v>0.0337206680781724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1252862.63</v>
      </c>
      <c r="L14" s="65" t="n">
        <f aca="false">'MODELO PARA BI'!R66</f>
        <v>4988672.57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1777.51978773417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0.0142830121700524</v>
      </c>
      <c r="G15" s="117" t="n">
        <f aca="false">G14+F15</f>
        <v>0.0480036802482248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2178586.91</v>
      </c>
      <c r="L15" s="65" t="n">
        <f aca="false">'MODELO PARA BI'!S66</f>
        <v>7167259.48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1276.79204925087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0.0102594843128709</v>
      </c>
      <c r="G16" s="117" t="n">
        <f aca="false">G15+F16</f>
        <v>0.0582631645610957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1568106.2</v>
      </c>
      <c r="L16" s="65" t="n">
        <f aca="false">'MODELO PARA BI'!T66</f>
        <v>8735365.68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1594.9270191005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0.0128158134617428</v>
      </c>
      <c r="G17" s="117" t="n">
        <f aca="false">G16+F17</f>
        <v>0.0710789780228384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1972982.14</v>
      </c>
      <c r="L17" s="65" t="n">
        <f aca="false">'MODELO PARA BI'!U66</f>
        <v>10708347.82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891.207999155167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0.00716117749339222</v>
      </c>
      <c r="G18" s="117" t="n">
        <f aca="false">G17+F18</f>
        <v>0.0782401555162307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1105526.59</v>
      </c>
      <c r="L18" s="65" t="n">
        <f aca="false">'MODELO PARA BI'!V66</f>
        <v>11813874.41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1312.3747154583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0.0105454038609911</v>
      </c>
      <c r="G19" s="117" t="n">
        <f aca="false">G18+F19</f>
        <v>0.0887855593772217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1636768.81</v>
      </c>
      <c r="L19" s="65" t="n">
        <f aca="false">'MODELO PARA BI'!W66</f>
        <v>13450643.22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1146.88803733095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0.00921565875548788</v>
      </c>
      <c r="G20" s="117" t="n">
        <f aca="false">G19+F20</f>
        <v>0.0980012181327096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1444679.81</v>
      </c>
      <c r="L20" s="65" t="n">
        <f aca="false">'MODELO PARA BI'!X66</f>
        <v>14895323.03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752.900192414387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0.00604982441562428</v>
      </c>
      <c r="G21" s="117" t="n">
        <f aca="false">G20+F21</f>
        <v>0.104051042548334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956706.51</v>
      </c>
      <c r="L21" s="65" t="n">
        <f aca="false">'MODELO PARA BI'!Y66</f>
        <v>15852029.54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1046.89080702554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0.00841214496774873</v>
      </c>
      <c r="G22" s="117" t="n">
        <f aca="false">G21+F22</f>
        <v>0.112463187516083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1340691.29</v>
      </c>
      <c r="L22" s="65" t="n">
        <f aca="false">'MODELO PARA BI'!Z66</f>
        <v>17192720.83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1809.7248203435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0.0145417912148035</v>
      </c>
      <c r="G23" s="117" t="n">
        <f aca="false">G22+F23</f>
        <v>0.127004978730886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2331705.56</v>
      </c>
      <c r="L23" s="65" t="n">
        <f aca="false">'MODELO PARA BI'!AA66</f>
        <v>19524426.39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1359.2399721361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0.0109219830901511</v>
      </c>
      <c r="G24" s="117" t="n">
        <f aca="false">G23+F24</f>
        <v>0.137926961821037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1759914.42001301</v>
      </c>
      <c r="L24" s="65" t="n">
        <f aca="false">'MODELO PARA BI'!AB66</f>
        <v>21284340.810013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0</v>
      </c>
      <c r="E25" s="56" t="n">
        <f aca="false">IF(A25&gt;'VALOR POR PL'!$P$5,'MODELO PARA BI'!AC63,0)</f>
        <v>2995.73949703224</v>
      </c>
      <c r="F25" s="117" t="n">
        <f aca="false">IF('MODELO PARA BI'!$E$63=0,0,(D25+E25)/'MODELO PARA BI'!$E$63)</f>
        <v>0.0240718466200372</v>
      </c>
      <c r="G25" s="117" t="n">
        <f aca="false">G24+F25</f>
        <v>0.161998808441074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3885141.60056665</v>
      </c>
      <c r="L25" s="65" t="n">
        <f aca="false">'MODELO PARA BI'!AC66</f>
        <v>25169482.4105797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2777.72797035721</v>
      </c>
      <c r="F26" s="117" t="n">
        <f aca="false">IF('MODELO PARA BI'!$E$63=0,0,(D26+E26)/'MODELO PARA BI'!$E$63)</f>
        <v>0.0223200454247997</v>
      </c>
      <c r="G26" s="117" t="n">
        <f aca="false">G25+F26</f>
        <v>0.184318853865874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3602404.8497486</v>
      </c>
      <c r="L26" s="65" t="n">
        <f aca="false">'MODELO PARA BI'!AD66</f>
        <v>28771887.2603283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1832.58704126921</v>
      </c>
      <c r="F27" s="117" t="n">
        <f aca="false">IF('MODELO PARA BI'!$E$63=0,0,(D27+E27)/'MODELO PARA BI'!$E$63)</f>
        <v>0.0147254974002252</v>
      </c>
      <c r="G27" s="117" t="n">
        <f aca="false">G26+F27</f>
        <v>0.199044351266099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2376661.97536458</v>
      </c>
      <c r="L27" s="65" t="n">
        <f aca="false">'MODELO PARA BI'!AE66</f>
        <v>31148549.2356928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1539.54987641389</v>
      </c>
      <c r="F28" s="117" t="n">
        <f aca="false">IF('MODELO PARA BI'!$E$63=0,0,(D28+E28)/'MODELO PARA BI'!$E$63)</f>
        <v>0.012370838160543</v>
      </c>
      <c r="G28" s="117" t="n">
        <f aca="false">G27+F28</f>
        <v>0.211415189426642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1996625.29967253</v>
      </c>
      <c r="L28" s="65" t="n">
        <f aca="false">'MODELO PARA BI'!AF66</f>
        <v>33145174.5353654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3147.45770567491</v>
      </c>
      <c r="F29" s="117" t="n">
        <f aca="false">IF('MODELO PARA BI'!$E$63=0,0,(D29+E29)/'MODELO PARA BI'!$E$63)</f>
        <v>0.0252909571106293</v>
      </c>
      <c r="G29" s="117" t="n">
        <f aca="false">G28+F29</f>
        <v>0.236706146537272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4081903.27645503</v>
      </c>
      <c r="L29" s="65" t="n">
        <f aca="false">'MODELO PARA BI'!AG66</f>
        <v>37227077.8118204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2399.93104521513</v>
      </c>
      <c r="F30" s="117" t="n">
        <f aca="false">IF('MODELO PARA BI'!$E$63=0,0,(D30+E30)/'MODELO PARA BI'!$E$63)</f>
        <v>0.019284310961055</v>
      </c>
      <c r="G30" s="117" t="n">
        <f aca="false">G29+F30</f>
        <v>0.255990457498327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3112444.173298</v>
      </c>
      <c r="L30" s="65" t="n">
        <f aca="false">'MODELO PARA BI'!AH66</f>
        <v>40339521.9851184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2008.9877423954</v>
      </c>
      <c r="F31" s="117" t="n">
        <f aca="false">IF('MODELO PARA BI'!$E$63=0,0,(D31+E31)/'MODELO PARA BI'!$E$63)</f>
        <v>0.0161429406142908</v>
      </c>
      <c r="G31" s="117" t="n">
        <f aca="false">G30+F31</f>
        <v>0.272133398112617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2605434.10424743</v>
      </c>
      <c r="L31" s="65" t="n">
        <f aca="false">'MODELO PARA BI'!AI66</f>
        <v>42944956.0893658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2252.57368874018</v>
      </c>
      <c r="F32" s="117" t="n">
        <f aca="false">IF('MODELO PARA BI'!$E$63=0,0,(D32+E32)/'MODELO PARA BI'!$E$63)</f>
        <v>0.0181002414894227</v>
      </c>
      <c r="G32" s="117" t="n">
        <f aca="false">G31+F32</f>
        <v>0.29023363960204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2921338.03861657</v>
      </c>
      <c r="L32" s="65" t="n">
        <f aca="false">'MODELO PARA BI'!AJ66</f>
        <v>45866294.1279824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2529.12874222351</v>
      </c>
      <c r="F33" s="117" t="n">
        <f aca="false">IF('MODELO PARA BI'!$E$63=0,0,(D33+E33)/'MODELO PARA BI'!$E$63)</f>
        <v>0.020322461023545</v>
      </c>
      <c r="G33" s="117" t="n">
        <f aca="false">G32+F33</f>
        <v>0.310556100625585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3279999.2453735</v>
      </c>
      <c r="L33" s="65" t="n">
        <f aca="false">'MODELO PARA BI'!AK66</f>
        <v>49146293.3733559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3465.90435434942</v>
      </c>
      <c r="F34" s="117" t="n">
        <f aca="false">IF('MODELO PARA BI'!$E$63=0,0,(D34+E34)/'MODELO PARA BI'!$E$63)</f>
        <v>0.0278497907111983</v>
      </c>
      <c r="G34" s="117" t="n">
        <f aca="false">G33+F34</f>
        <v>0.338405891336783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4494893.23220786</v>
      </c>
      <c r="L34" s="65" t="n">
        <f aca="false">'MODELO PARA BI'!AL66</f>
        <v>53641186.6055638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3759.00848752416</v>
      </c>
      <c r="F35" s="117" t="n">
        <f aca="false">IF('MODELO PARA BI'!$E$63=0,0,(D35+E35)/'MODELO PARA BI'!$E$63)</f>
        <v>0.0302049880654646</v>
      </c>
      <c r="G35" s="117" t="n">
        <f aca="false">G34+F35</f>
        <v>0.368610879402248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4875016.75837672</v>
      </c>
      <c r="L35" s="65" t="n">
        <f aca="false">'MODELO PARA BI'!AM66</f>
        <v>58516203.3639405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4615.27110734874</v>
      </c>
      <c r="F36" s="117" t="n">
        <f aca="false">IF('MODELO PARA BI'!$E$63=0,0,(D36+E36)/'MODELO PARA BI'!$E$63)</f>
        <v>0.0370853668404908</v>
      </c>
      <c r="G36" s="117" t="n">
        <f aca="false">G35+F36</f>
        <v>0.405696246242739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5985494.3311384</v>
      </c>
      <c r="L36" s="65" t="n">
        <f aca="false">'MODELO PARA BI'!AN66</f>
        <v>64501697.6950789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4581.9424132116</v>
      </c>
      <c r="F37" s="117" t="n">
        <f aca="false">IF('MODELO PARA BI'!$E$63=0,0,(D37+E37)/'MODELO PARA BI'!$E$63)</f>
        <v>0.0368175587703598</v>
      </c>
      <c r="G37" s="117" t="n">
        <f aca="false">G36+F37</f>
        <v>0.442513805013099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5942270.71432758</v>
      </c>
      <c r="L37" s="65" t="n">
        <f aca="false">'MODELO PARA BI'!AO66</f>
        <v>70443968.4094065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5285.78701444599</v>
      </c>
      <c r="F38" s="117" t="n">
        <f aca="false">IF('MODELO PARA BI'!$E$63=0,0,(D38+E38)/'MODELO PARA BI'!$E$63)</f>
        <v>0.0424732038296316</v>
      </c>
      <c r="G38" s="117" t="n">
        <f aca="false">G37+F38</f>
        <v>0.48498700884273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6855079.03537785</v>
      </c>
      <c r="L38" s="65" t="n">
        <f aca="false">'MODELO PARA BI'!AP66</f>
        <v>77299047.4447843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5574.29049198334</v>
      </c>
      <c r="F39" s="117" t="n">
        <f aca="false">IF('MODELO PARA BI'!$E$63=0,0,(D39+E39)/'MODELO PARA BI'!$E$63)</f>
        <v>0.0447914332576264</v>
      </c>
      <c r="G39" s="117" t="n">
        <f aca="false">G38+F39</f>
        <v>0.529778442100357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7229236.02185778</v>
      </c>
      <c r="L39" s="65" t="n">
        <f aca="false">'MODELO PARA BI'!AQ66</f>
        <v>84528283.4666421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4409.32009718174</v>
      </c>
      <c r="F40" s="117" t="n">
        <f aca="false">IF('MODELO PARA BI'!$E$63=0,0,(D40+E40)/'MODELO PARA BI'!$E$63)</f>
        <v>0.0354304762423954</v>
      </c>
      <c r="G40" s="117" t="n">
        <f aca="false">G39+F40</f>
        <v>0.565208918342752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5718398.73151393</v>
      </c>
      <c r="L40" s="65" t="n">
        <f aca="false">'MODELO PARA BI'!AR66</f>
        <v>90246682.198156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6020.82319419067</v>
      </c>
      <c r="F41" s="117" t="n">
        <f aca="false">IF('MODELO PARA BI'!$E$63=0,0,(D41+E41)/'MODELO PARA BI'!$E$63)</f>
        <v>0.0483794844646869</v>
      </c>
      <c r="G41" s="117" t="n">
        <f aca="false">G40+F41</f>
        <v>0.613588402807439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7808339.37149074</v>
      </c>
      <c r="L41" s="65" t="n">
        <f aca="false">'MODELO PARA BI'!AS66</f>
        <v>98055021.5696468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6042.29468526855</v>
      </c>
      <c r="F42" s="117" t="n">
        <f aca="false">IF('MODELO PARA BI'!$E$63=0,0,(D42+E42)/'MODELO PARA BI'!$E$63)</f>
        <v>0.0485520156345174</v>
      </c>
      <c r="G42" s="117" t="n">
        <f aca="false">G41+F42</f>
        <v>0.662140418441956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7836185.51208325</v>
      </c>
      <c r="L42" s="65" t="n">
        <f aca="false">'MODELO PARA BI'!AT66</f>
        <v>105891207.08173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5794.76379084944</v>
      </c>
      <c r="F43" s="117" t="n">
        <f aca="false">IF('MODELO PARA BI'!$E$63=0,0,(D43+E43)/'MODELO PARA BI'!$E$63)</f>
        <v>0.0465630156797215</v>
      </c>
      <c r="G43" s="117" t="n">
        <f aca="false">G42+F43</f>
        <v>0.708703434121678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7515165.41795095</v>
      </c>
      <c r="L43" s="65" t="n">
        <f aca="false">'MODELO PARA BI'!AU66</f>
        <v>113406372.499681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3962.17413858183</v>
      </c>
      <c r="F44" s="117" t="n">
        <f aca="false">IF('MODELO PARA BI'!$E$63=0,0,(D44+E44)/'MODELO PARA BI'!$E$63)</f>
        <v>0.0318374972991831</v>
      </c>
      <c r="G44" s="117" t="n">
        <f aca="false">G43+F44</f>
        <v>0.740540931420861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5138500.05641126</v>
      </c>
      <c r="L44" s="65" t="n">
        <f aca="false">'MODELO PARA BI'!AV66</f>
        <v>118544872.556092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4812.16636557323</v>
      </c>
      <c r="F45" s="117" t="n">
        <f aca="false">IF('MODELO PARA BI'!$E$63=0,0,(D45+E45)/'MODELO PARA BI'!$E$63)</f>
        <v>0.0386674912077424</v>
      </c>
      <c r="G45" s="117" t="n">
        <f aca="false">G44+F45</f>
        <v>0.779208422628603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6240845.6256819</v>
      </c>
      <c r="L45" s="65" t="n">
        <f aca="false">'MODELO PARA BI'!AW66</f>
        <v>124785718.181774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4202.47924547173</v>
      </c>
      <c r="F46" s="117" t="n">
        <f aca="false">IF('MODELO PARA BI'!$E$63=0,0,(D46+E46)/'MODELO PARA BI'!$E$63)</f>
        <v>0.0337684354467743</v>
      </c>
      <c r="G46" s="117" t="n">
        <f aca="false">G45+F46</f>
        <v>0.812976858075377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5450149.10618059</v>
      </c>
      <c r="L46" s="65" t="n">
        <f aca="false">'MODELO PARA BI'!AX66</f>
        <v>130235867.287955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3739.90227248679</v>
      </c>
      <c r="F47" s="117" t="n">
        <f aca="false">IF('MODELO PARA BI'!$E$63=0,0,(D47+E47)/'MODELO PARA BI'!$E$63)</f>
        <v>0.0300514627411416</v>
      </c>
      <c r="G47" s="117" t="n">
        <f aca="false">G46+F47</f>
        <v>0.843028320816519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4850238.11826312</v>
      </c>
      <c r="L47" s="65" t="n">
        <f aca="false">'MODELO PARA BI'!AY66</f>
        <v>135086105.406218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3883.25152815149</v>
      </c>
      <c r="F48" s="117" t="n">
        <f aca="false">IF('MODELO PARA BI'!$E$63=0,0,(D48+E48)/'MODELO PARA BI'!$E$63)</f>
        <v>0.0312033256781145</v>
      </c>
      <c r="G48" s="117" t="n">
        <f aca="false">G47+F48</f>
        <v>0.874231646494633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5036146.19109286</v>
      </c>
      <c r="L48" s="65" t="n">
        <f aca="false">'MODELO PARA BI'!AZ66</f>
        <v>140122251.597311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2513.71301091279</v>
      </c>
      <c r="F49" s="117" t="n">
        <f aca="false">IF('MODELO PARA BI'!$E$63=0,0,(D49+E49)/'MODELO PARA BI'!$E$63)</f>
        <v>0.0201985900661353</v>
      </c>
      <c r="G49" s="117" t="n">
        <f aca="false">G48+F49</f>
        <v>0.894430236560769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3260006.75300968</v>
      </c>
      <c r="L49" s="65" t="n">
        <f aca="false">'MODELO PARA BI'!BA66</f>
        <v>143382258.35032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2490.57718634681</v>
      </c>
      <c r="F50" s="117" t="n">
        <f aca="false">IF('MODELO PARA BI'!$E$63=0,0,(D50+E50)/'MODELO PARA BI'!$E$63)</f>
        <v>0.0200126853768484</v>
      </c>
      <c r="G50" s="117" t="n">
        <f aca="false">G49+F50</f>
        <v>0.914442921937617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3230002.15662413</v>
      </c>
      <c r="L50" s="65" t="n">
        <f aca="false">'MODELO PARA BI'!BB66</f>
        <v>146612260.506944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2193.20469640484</v>
      </c>
      <c r="F51" s="117" t="n">
        <f aca="false">IF('MODELO PARA BI'!$E$63=0,0,(D51+E51)/'MODELO PARA BI'!$E$63)</f>
        <v>0.0176231902375036</v>
      </c>
      <c r="G51" s="117" t="n">
        <f aca="false">G50+F51</f>
        <v>0.932066112175121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2844343.04551578</v>
      </c>
      <c r="L51" s="65" t="n">
        <f aca="false">'MODELO PARA BI'!BC66</f>
        <v>149456603.55246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1487.48522927313</v>
      </c>
      <c r="F52" s="117" t="n">
        <f aca="false">IF('MODELO PARA BI'!$E$63=0,0,(D52+E52)/'MODELO PARA BI'!$E$63)</f>
        <v>0.0119524799549846</v>
      </c>
      <c r="G52" s="117" t="n">
        <f aca="false">G51+F52</f>
        <v>0.944018592130105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1929103.23150679</v>
      </c>
      <c r="L52" s="65" t="n">
        <f aca="false">'MODELO PARA BI'!BD66</f>
        <v>151385706.783967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1631.34476614326</v>
      </c>
      <c r="F53" s="117" t="n">
        <f aca="false">IF('MODELO PARA BI'!$E$63=0,0,(D53+E53)/'MODELO PARA BI'!$E$63)</f>
        <v>0.013108443185365</v>
      </c>
      <c r="G53" s="117" t="n">
        <f aca="false">G52+F53</f>
        <v>0.95712703531547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2115673.08241876</v>
      </c>
      <c r="L53" s="65" t="n">
        <f aca="false">'MODELO PARA BI'!BE66</f>
        <v>153501379.866386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1159.75259294849</v>
      </c>
      <c r="F54" s="117" t="n">
        <f aca="false">IF('MODELO PARA BI'!$E$63=0,0,(D54+E54)/'MODELO PARA BI'!$E$63)</f>
        <v>0.00931903009667669</v>
      </c>
      <c r="G54" s="117" t="n">
        <f aca="false">G53+F54</f>
        <v>0.966446065412147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1504070.38051638</v>
      </c>
      <c r="L54" s="65" t="n">
        <f aca="false">'MODELO PARA BI'!BF66</f>
        <v>155005450.246902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778.284643757529</v>
      </c>
      <c r="F55" s="117" t="n">
        <f aca="false">IF('MODELO PARA BI'!$E$63=0,0,(D55+E55)/'MODELO PARA BI'!$E$63)</f>
        <v>0.0062537976315435</v>
      </c>
      <c r="G55" s="117" t="n">
        <f aca="false">G54+F55</f>
        <v>0.972699863043691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1009348.79335806</v>
      </c>
      <c r="L55" s="65" t="n">
        <f aca="false">'MODELO PARA BI'!BG66</f>
        <v>156014799.04026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620.817592996985</v>
      </c>
      <c r="F56" s="117" t="n">
        <f aca="false">IF('MODELO PARA BI'!$E$63=0,0,(D56+E56)/'MODELO PARA BI'!$E$63)</f>
        <v>0.00498849312246568</v>
      </c>
      <c r="G56" s="117" t="n">
        <f aca="false">G55+F56</f>
        <v>0.977688356166156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805131.507364267</v>
      </c>
      <c r="L56" s="65" t="n">
        <f aca="false">'MODELO PARA BI'!BH66</f>
        <v>156819930.547625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167.729111474003</v>
      </c>
      <c r="F57" s="117" t="n">
        <f aca="false">IF('MODELO PARA BI'!$E$63=0,0,(D57+E57)/'MODELO PARA BI'!$E$63)</f>
        <v>0.00134776386568898</v>
      </c>
      <c r="G57" s="117" t="n">
        <f aca="false">G56+F57</f>
        <v>0.979036120031845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217526.039650408</v>
      </c>
      <c r="L57" s="65" t="n">
        <f aca="false">'MODELO PARA BI'!BI66</f>
        <v>157037456.587275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525.414231148877</v>
      </c>
      <c r="F58" s="117" t="n">
        <f aca="false">IF('MODELO PARA BI'!$E$63=0,0,(D58+E58)/'MODELO PARA BI'!$E$63)</f>
        <v>0.00422189272355961</v>
      </c>
      <c r="G58" s="117" t="n">
        <f aca="false">G57+F58</f>
        <v>0.983258012755405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681403.936820435</v>
      </c>
      <c r="L58" s="65" t="n">
        <f aca="false">'MODELO PARA BI'!BJ66</f>
        <v>157718860.524095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49.9691691397517</v>
      </c>
      <c r="F59" s="117" t="n">
        <f aca="false">IF('MODELO PARA BI'!$E$63=0,0,(D59+E59)/'MODELO PARA BI'!$E$63)</f>
        <v>0.000401520284542236</v>
      </c>
      <c r="G59" s="117" t="n">
        <f aca="false">G58+F59</f>
        <v>0.983659533039947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64804.4657964834</v>
      </c>
      <c r="L59" s="65" t="n">
        <f aca="false">'MODELO PARA BI'!BK66</f>
        <v>157783664.989892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89.2929689477648</v>
      </c>
      <c r="F60" s="117" t="n">
        <f aca="false">IF('MODELO PARA BI'!$E$63=0,0,(D60+E60)/'MODELO PARA BI'!$E$63)</f>
        <v>0.000717501189568623</v>
      </c>
      <c r="G60" s="117" t="n">
        <f aca="false">G59+F60</f>
        <v>0.984377034229516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115803.069205698</v>
      </c>
      <c r="L60" s="65" t="n">
        <f aca="false">'MODELO PARA BI'!BL66</f>
        <v>157899468.059098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0.984377034229516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157899468.059098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1944.27691228576</v>
      </c>
      <c r="F62" s="117" t="n">
        <f aca="false">IF('MODELO PARA BI'!$E$63=0,0,(D62+E62)/'MODELO PARA BI'!$E$63)</f>
        <v>0.0156229657704842</v>
      </c>
      <c r="G62" s="117" t="n">
        <f aca="false">G61+F62</f>
        <v>1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2521511.34049737</v>
      </c>
      <c r="L62" s="65" t="n">
        <f aca="false">'MODELO PARA BI'!BN66</f>
        <v>160420979.399595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1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160420979.399595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1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160420979.399595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1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160420979.399595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1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160420979.399595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1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160420979.399595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1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160420979.399595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1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160420979.399595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0</v>
      </c>
      <c r="F70" s="117" t="n">
        <f aca="false">IF('MODELO PARA BI'!$E$63=0,0,(D70+E70)/'MODELO PARA BI'!$E$63)</f>
        <v>0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0</v>
      </c>
      <c r="L70" s="65" t="n">
        <f aca="false">'MODELO PARA BI'!BV66</f>
        <v>160420979.399595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160420979.399595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160420979.399595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160420979.399595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160420979.399595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160420979.399595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382</v>
      </c>
      <c r="B1" s="54" t="s">
        <v>399</v>
      </c>
      <c r="C1" s="54" t="s">
        <v>400</v>
      </c>
      <c r="D1" s="54" t="s">
        <v>401</v>
      </c>
      <c r="E1" s="54" t="s">
        <v>402</v>
      </c>
    </row>
    <row r="2" customFormat="false" ht="15" hidden="false" customHeight="false" outlineLevel="0" collapsed="false">
      <c r="A2" s="121" t="n">
        <v>34547</v>
      </c>
      <c r="B2" s="43" t="n">
        <v>100</v>
      </c>
      <c r="D2" s="122" t="str">
        <f aca="false">IF(B2="","",IFERROR(B2/INDEX($B$2:$B$800,MATCH(DATE(YEAR(A2)-1,12,1),$A$2:$A$800,0))-1,""))</f>
        <v/>
      </c>
      <c r="E2" s="122" t="str">
        <f aca="false">IF(B2="","",IFERROR(B2/INDEX($B$2:$B$800,MATCH(DATE(YEAR(A2)-1,MONTH(A2),1),$A$2:$A$800,0))-1,""))</f>
        <v/>
      </c>
      <c r="G2" s="123" t="s">
        <v>403</v>
      </c>
    </row>
    <row r="3" customFormat="false" ht="15" hidden="false" customHeight="false" outlineLevel="0" collapsed="false">
      <c r="A3" s="121" t="n">
        <v>34578</v>
      </c>
      <c r="B3" s="43" t="n">
        <v>100.381</v>
      </c>
      <c r="C3" s="122" t="n">
        <f aca="false">IF(OR(B3="",B2=""),"",B3/B2-1)</f>
        <v>0.00381000000000009</v>
      </c>
      <c r="D3" s="122" t="str">
        <f aca="false">IF(B3="","",IFERROR(B3/INDEX($B$2:$B$800,MATCH(DATE(YEAR(A3)-1,12,1),$A$2:$A$800,0))-1,""))</f>
        <v/>
      </c>
      <c r="E3" s="122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1" t="n">
        <v>34608</v>
      </c>
      <c r="B4" s="43" t="n">
        <v>101.71</v>
      </c>
      <c r="C4" s="122" t="n">
        <f aca="false">IF(OR(B4="",B3=""),"",B4/B3-1)</f>
        <v>0.0132395572867374</v>
      </c>
      <c r="D4" s="122" t="str">
        <f aca="false">IF(B4="","",IFERROR(B4/INDEX($B$2:$B$800,MATCH(DATE(YEAR(A4)-1,12,1),$A$2:$A$800,0))-1,""))</f>
        <v/>
      </c>
      <c r="E4" s="122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1" t="n">
        <v>34639</v>
      </c>
      <c r="B5" s="43" t="n">
        <v>104.11</v>
      </c>
      <c r="C5" s="122" t="n">
        <f aca="false">IF(OR(B5="",B4=""),"",B5/B4-1)</f>
        <v>0.023596499852522</v>
      </c>
      <c r="D5" s="122" t="str">
        <f aca="false">IF(B5="","",IFERROR(B5/INDEX($B$2:$B$800,MATCH(DATE(YEAR(A5)-1,12,1),$A$2:$A$800,0))-1,""))</f>
        <v/>
      </c>
      <c r="E5" s="122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1" t="n">
        <v>34669</v>
      </c>
      <c r="B6" s="43" t="n">
        <v>105.487</v>
      </c>
      <c r="C6" s="122" t="n">
        <f aca="false">IF(OR(B6="",B5=""),"",B6/B5-1)</f>
        <v>0.0132263951589664</v>
      </c>
      <c r="D6" s="122" t="str">
        <f aca="false">IF(B6="","",IFERROR(B6/INDEX($B$2:$B$800,MATCH(DATE(YEAR(A6)-1,12,1),$A$2:$A$800,0))-1,""))</f>
        <v/>
      </c>
      <c r="E6" s="122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1" t="n">
        <v>34700</v>
      </c>
      <c r="B7" s="43" t="n">
        <v>109.176</v>
      </c>
      <c r="C7" s="122" t="n">
        <f aca="false">IF(OR(B7="",B6=""),"",B7/B6-1)</f>
        <v>0.0349711338837961</v>
      </c>
      <c r="D7" s="122" t="n">
        <f aca="false">IF(B7="","",IFERROR(B7/INDEX($B$2:$B$800,MATCH(DATE(YEAR(A7)-1,12,1),$A$2:$A$800,0))-1,""))</f>
        <v>0.0349711338837961</v>
      </c>
      <c r="E7" s="122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1" t="n">
        <v>34731</v>
      </c>
      <c r="B8" s="43" t="n">
        <v>111.453</v>
      </c>
      <c r="C8" s="122" t="n">
        <f aca="false">IF(OR(B8="",B7=""),"",B8/B7-1)</f>
        <v>0.0208562321389316</v>
      </c>
      <c r="D8" s="122" t="n">
        <f aca="false">IF(B8="","",IFERROR(B8/INDEX($B$2:$B$800,MATCH(DATE(YEAR(A8)-1,12,1),$A$2:$A$800,0))-1,""))</f>
        <v>0.05655673210917</v>
      </c>
      <c r="E8" s="122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1" t="n">
        <v>34759</v>
      </c>
      <c r="B9" s="43" t="n">
        <v>115.129</v>
      </c>
      <c r="C9" s="122" t="n">
        <f aca="false">IF(OR(B9="",B8=""),"",B9/B8-1)</f>
        <v>0.0329825128080896</v>
      </c>
      <c r="D9" s="122" t="n">
        <f aca="false">IF(B9="","",IFERROR(B9/INDEX($B$2:$B$800,MATCH(DATE(YEAR(A9)-1,12,1),$A$2:$A$800,0))-1,""))</f>
        <v>0.0914046280584338</v>
      </c>
      <c r="E9" s="122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1" t="n">
        <v>34790</v>
      </c>
      <c r="B10" s="43" t="n">
        <v>117.774</v>
      </c>
      <c r="C10" s="122" t="n">
        <f aca="false">IF(OR(B10="",B9=""),"",B10/B9-1)</f>
        <v>0.0229742289084418</v>
      </c>
      <c r="D10" s="122" t="n">
        <f aca="false">IF(B10="","",IFERROR(B10/INDEX($B$2:$B$800,MATCH(DATE(YEAR(A10)-1,12,1),$A$2:$A$800,0))-1,""))</f>
        <v>0.116478807815181</v>
      </c>
      <c r="E10" s="122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1" t="n">
        <v>34820</v>
      </c>
      <c r="B11" s="43" t="n">
        <v>128.098</v>
      </c>
      <c r="C11" s="122" t="n">
        <f aca="false">IF(OR(B11="",B10=""),"",B11/B10-1)</f>
        <v>0.0876594154906856</v>
      </c>
      <c r="D11" s="122" t="n">
        <f aca="false">IF(B11="","",IFERROR(B11/INDEX($B$2:$B$800,MATCH(DATE(YEAR(A11)-1,12,1),$A$2:$A$800,0))-1,""))</f>
        <v>0.214348687515997</v>
      </c>
      <c r="E11" s="122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1" t="n">
        <v>34851</v>
      </c>
      <c r="B12" s="43" t="n">
        <v>132.09</v>
      </c>
      <c r="C12" s="122" t="n">
        <f aca="false">IF(OR(B12="",B11=""),"",B12/B11-1)</f>
        <v>0.0311636403378663</v>
      </c>
      <c r="D12" s="122" t="n">
        <f aca="false">IF(B12="","",IFERROR(B12/INDEX($B$2:$B$800,MATCH(DATE(YEAR(A12)-1,12,1),$A$2:$A$800,0))-1,""))</f>
        <v>0.252192213258506</v>
      </c>
      <c r="E12" s="122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1" t="n">
        <v>34881</v>
      </c>
      <c r="B13" s="43" t="n">
        <v>133.524</v>
      </c>
      <c r="C13" s="122" t="n">
        <f aca="false">IF(OR(B13="",B12=""),"",B13/B12-1)</f>
        <v>0.0108562343856462</v>
      </c>
      <c r="D13" s="122" t="n">
        <f aca="false">IF(B13="","",IFERROR(B13/INDEX($B$2:$B$800,MATCH(DATE(YEAR(A13)-1,12,1),$A$2:$A$800,0))-1,""))</f>
        <v>0.265786305421521</v>
      </c>
      <c r="E13" s="122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1" t="n">
        <v>34912</v>
      </c>
      <c r="B14" s="43" t="n">
        <v>134.353</v>
      </c>
      <c r="C14" s="122" t="n">
        <f aca="false">IF(OR(B14="",B13=""),"",B14/B13-1)</f>
        <v>0.00620862167101044</v>
      </c>
      <c r="D14" s="122" t="n">
        <f aca="false">IF(B14="","",IFERROR(B14/INDEX($B$2:$B$800,MATCH(DATE(YEAR(A14)-1,12,1),$A$2:$A$800,0))-1,""))</f>
        <v>0.27364509370823</v>
      </c>
      <c r="E14" s="122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1" t="n">
        <v>34943</v>
      </c>
      <c r="B15" s="43" t="n">
        <v>135.318</v>
      </c>
      <c r="C15" s="122" t="n">
        <f aca="false">IF(OR(B15="",B14=""),"",B15/B14-1)</f>
        <v>0.00718257128608957</v>
      </c>
      <c r="D15" s="122" t="n">
        <f aca="false">IF(B15="","",IFERROR(B15/INDEX($B$2:$B$800,MATCH(DATE(YEAR(A15)-1,12,1),$A$2:$A$800,0))-1,""))</f>
        <v>0.282793140386967</v>
      </c>
      <c r="E15" s="122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1" t="n">
        <v>34973</v>
      </c>
      <c r="B16" s="43" t="n">
        <v>136.484</v>
      </c>
      <c r="C16" s="122" t="n">
        <f aca="false">IF(OR(B16="",B15=""),"",B16/B15-1)</f>
        <v>0.00861673982766509</v>
      </c>
      <c r="D16" s="122" t="n">
        <f aca="false">IF(B16="","",IFERROR(B16/INDEX($B$2:$B$800,MATCH(DATE(YEAR(A16)-1,12,1),$A$2:$A$800,0))-1,""))</f>
        <v>0.293846635130395</v>
      </c>
      <c r="E16" s="122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1" t="n">
        <v>35004</v>
      </c>
      <c r="B17" s="43" t="n">
        <v>137.478</v>
      </c>
      <c r="C17" s="122" t="n">
        <f aca="false">IF(OR(B17="",B16=""),"",B17/B16-1)</f>
        <v>0.00728290495589223</v>
      </c>
      <c r="D17" s="122" t="n">
        <f aca="false">IF(B17="","",IFERROR(B17/INDEX($B$2:$B$800,MATCH(DATE(YEAR(A17)-1,12,1),$A$2:$A$800,0))-1,""))</f>
        <v>0.303269597201551</v>
      </c>
      <c r="E17" s="122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1" t="n">
        <v>35034</v>
      </c>
      <c r="B18" s="43" t="n">
        <v>138.664</v>
      </c>
      <c r="C18" s="122" t="n">
        <f aca="false">IF(OR(B18="",B17=""),"",B18/B17-1)</f>
        <v>0.0086268348390286</v>
      </c>
      <c r="D18" s="122" t="n">
        <f aca="false">IF(B18="","",IFERROR(B18/INDEX($B$2:$B$800,MATCH(DATE(YEAR(A18)-1,12,1),$A$2:$A$800,0))-1,""))</f>
        <v>0.314512688767336</v>
      </c>
      <c r="E18" s="122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1" t="n">
        <v>35065</v>
      </c>
      <c r="B19" s="43" t="n">
        <v>140.766</v>
      </c>
      <c r="C19" s="122" t="n">
        <f aca="false">IF(OR(B19="",B18=""),"",B19/B18-1)</f>
        <v>0.0151589453643339</v>
      </c>
      <c r="D19" s="122" t="n">
        <f aca="false">IF(B19="","",IFERROR(B19/INDEX($B$2:$B$800,MATCH(DATE(YEAR(A19)-1,12,1),$A$2:$A$800,0))-1,""))</f>
        <v>0.0151589453643339</v>
      </c>
      <c r="E19" s="122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1" t="n">
        <v>35096</v>
      </c>
      <c r="B20" s="43" t="n">
        <v>140.929</v>
      </c>
      <c r="C20" s="122" t="n">
        <f aca="false">IF(OR(B20="",B19=""),"",B20/B19-1)</f>
        <v>0.0011579500731711</v>
      </c>
      <c r="D20" s="122" t="n">
        <f aca="false">IF(B20="","",IFERROR(B20/INDEX($B$2:$B$800,MATCH(DATE(YEAR(A20)-1,12,1),$A$2:$A$800,0))-1,""))</f>
        <v>0.016334448739399</v>
      </c>
      <c r="E20" s="122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1" t="n">
        <v>35125</v>
      </c>
      <c r="B21" s="43" t="n">
        <v>142.313</v>
      </c>
      <c r="C21" s="122" t="n">
        <f aca="false">IF(OR(B21="",B20=""),"",B21/B20-1)</f>
        <v>0.00982054793548515</v>
      </c>
      <c r="D21" s="122" t="n">
        <f aca="false">IF(B21="","",IFERROR(B21/INDEX($B$2:$B$800,MATCH(DATE(YEAR(A21)-1,12,1),$A$2:$A$800,0))-1,""))</f>
        <v>0.0263154099117291</v>
      </c>
      <c r="E21" s="122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1" t="n">
        <v>35156</v>
      </c>
      <c r="B22" s="43" t="n">
        <v>142.663</v>
      </c>
      <c r="C22" s="122" t="n">
        <f aca="false">IF(OR(B22="",B21=""),"",B22/B21-1)</f>
        <v>0.0024593677316902</v>
      </c>
      <c r="D22" s="122" t="n">
        <f aca="false">IF(B22="","",IFERROR(B22/INDEX($B$2:$B$800,MATCH(DATE(YEAR(A22)-1,12,1),$A$2:$A$800,0))-1,""))</f>
        <v>0.0288394969134023</v>
      </c>
      <c r="E22" s="122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1" t="n">
        <v>35186</v>
      </c>
      <c r="B23" s="43" t="n">
        <v>145.742</v>
      </c>
      <c r="C23" s="122" t="n">
        <f aca="false">IF(OR(B23="",B22=""),"",B23/B22-1)</f>
        <v>0.0215823303869958</v>
      </c>
      <c r="D23" s="122" t="n">
        <f aca="false">IF(B23="","",IFERROR(B23/INDEX($B$2:$B$800,MATCH(DATE(YEAR(A23)-1,12,1),$A$2:$A$800,0))-1,""))</f>
        <v>0.0510442508509779</v>
      </c>
      <c r="E23" s="122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1" t="n">
        <v>35217</v>
      </c>
      <c r="B24" s="43" t="n">
        <v>147.984</v>
      </c>
      <c r="C24" s="122" t="n">
        <f aca="false">IF(OR(B24="",B23=""),"",B24/B23-1)</f>
        <v>0.0153833486572164</v>
      </c>
      <c r="D24" s="122" t="n">
        <f aca="false">IF(B24="","",IFERROR(B24/INDEX($B$2:$B$800,MATCH(DATE(YEAR(A24)-1,12,1),$A$2:$A$800,0))-1,""))</f>
        <v>0.0672128310159812</v>
      </c>
      <c r="E24" s="122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1" t="n">
        <v>35247</v>
      </c>
      <c r="B25" s="43" t="n">
        <v>149.095</v>
      </c>
      <c r="C25" s="122" t="n">
        <f aca="false">IF(OR(B25="",B24=""),"",B25/B24-1)</f>
        <v>0.00750756838577127</v>
      </c>
      <c r="D25" s="122" t="n">
        <f aca="false">IF(B25="","",IFERROR(B25/INDEX($B$2:$B$800,MATCH(DATE(YEAR(A25)-1,12,1),$A$2:$A$800,0))-1,""))</f>
        <v>0.0752250043270064</v>
      </c>
      <c r="E25" s="122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1" t="n">
        <v>35278</v>
      </c>
      <c r="B26" s="43" t="n">
        <v>149.445</v>
      </c>
      <c r="C26" s="122" t="n">
        <f aca="false">IF(OR(B26="",B25=""),"",B26/B25-1)</f>
        <v>0.00234749656259425</v>
      </c>
      <c r="D26" s="122" t="n">
        <f aca="false">IF(B26="","",IFERROR(B26/INDEX($B$2:$B$800,MATCH(DATE(YEAR(A26)-1,12,1),$A$2:$A$800,0))-1,""))</f>
        <v>0.0777490913286794</v>
      </c>
      <c r="E26" s="122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1" t="n">
        <v>35309</v>
      </c>
      <c r="B27" s="43" t="n">
        <v>149.772</v>
      </c>
      <c r="C27" s="122" t="n">
        <f aca="false">IF(OR(B27="",B26=""),"",B27/B26-1)</f>
        <v>0.00218809595503355</v>
      </c>
      <c r="D27" s="122" t="n">
        <f aca="false">IF(B27="","",IFERROR(B27/INDEX($B$2:$B$800,MATCH(DATE(YEAR(A27)-1,12,1),$A$2:$A$800,0))-1,""))</f>
        <v>0.0801073097559568</v>
      </c>
      <c r="E27" s="122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1" t="n">
        <v>35339</v>
      </c>
      <c r="B28" s="43" t="n">
        <v>150.157</v>
      </c>
      <c r="C28" s="122" t="n">
        <f aca="false">IF(OR(B28="",B27=""),"",B28/B27-1)</f>
        <v>0.00257057393905424</v>
      </c>
      <c r="D28" s="122" t="n">
        <f aca="false">IF(B28="","",IFERROR(B28/INDEX($B$2:$B$800,MATCH(DATE(YEAR(A28)-1,12,1),$A$2:$A$800,0))-1,""))</f>
        <v>0.0828838054577974</v>
      </c>
      <c r="E28" s="122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1" t="n">
        <v>35370</v>
      </c>
      <c r="B29" s="43" t="n">
        <v>151.035</v>
      </c>
      <c r="C29" s="122" t="n">
        <f aca="false">IF(OR(B29="",B28=""),"",B29/B28-1)</f>
        <v>0.00584721325013149</v>
      </c>
      <c r="D29" s="122" t="n">
        <f aca="false">IF(B29="","",IFERROR(B29/INDEX($B$2:$B$800,MATCH(DATE(YEAR(A29)-1,12,1),$A$2:$A$800,0))-1,""))</f>
        <v>0.0892156579934231</v>
      </c>
      <c r="E29" s="122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1" t="n">
        <v>35400</v>
      </c>
      <c r="B30" s="43" t="n">
        <v>151.922</v>
      </c>
      <c r="C30" s="122" t="n">
        <f aca="false">IF(OR(B30="",B29=""),"",B30/B29-1)</f>
        <v>0.00587281093786207</v>
      </c>
      <c r="D30" s="122" t="n">
        <f aca="false">IF(B30="","",IFERROR(B30/INDEX($B$2:$B$800,MATCH(DATE(YEAR(A30)-1,12,1),$A$2:$A$800,0))-1,""))</f>
        <v>0.0956124156233775</v>
      </c>
      <c r="E30" s="122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1" t="n">
        <v>35431</v>
      </c>
      <c r="B31" s="43" t="n">
        <v>152.408</v>
      </c>
      <c r="C31" s="122" t="n">
        <f aca="false">IF(OR(B31="",B30=""),"",B31/B30-1)</f>
        <v>0.00319901001829881</v>
      </c>
      <c r="D31" s="122" t="n">
        <f aca="false">IF(B31="","",IFERROR(B31/INDEX($B$2:$B$800,MATCH(DATE(YEAR(A31)-1,12,1),$A$2:$A$800,0))-1,""))</f>
        <v>0.00319901001829881</v>
      </c>
      <c r="E31" s="122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1" t="n">
        <v>35462</v>
      </c>
      <c r="B32" s="43" t="n">
        <v>153.147</v>
      </c>
      <c r="C32" s="122" t="n">
        <f aca="false">IF(OR(B32="",B31=""),"",B32/B31-1)</f>
        <v>0.00484882683323717</v>
      </c>
      <c r="D32" s="122" t="n">
        <f aca="false">IF(B32="","",IFERROR(B32/INDEX($B$2:$B$800,MATCH(DATE(YEAR(A32)-1,12,1),$A$2:$A$800,0))-1,""))</f>
        <v>0.00806334829715238</v>
      </c>
      <c r="E32" s="122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1" t="n">
        <v>35490</v>
      </c>
      <c r="B33" s="43" t="n">
        <v>154.26</v>
      </c>
      <c r="C33" s="122" t="n">
        <f aca="false">IF(OR(B33="",B32=""),"",B33/B32-1)</f>
        <v>0.00726752727771363</v>
      </c>
      <c r="D33" s="122" t="n">
        <f aca="false">IF(B33="","",IFERROR(B33/INDEX($B$2:$B$800,MATCH(DATE(YEAR(A33)-1,12,1),$A$2:$A$800,0))-1,""))</f>
        <v>0.0153894761785653</v>
      </c>
      <c r="E33" s="122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1" t="n">
        <v>35521</v>
      </c>
      <c r="B34" s="43" t="n">
        <v>154.616</v>
      </c>
      <c r="C34" s="122" t="n">
        <f aca="false">IF(OR(B34="",B33=""),"",B34/B33-1)</f>
        <v>0.00230779203941411</v>
      </c>
      <c r="D34" s="122" t="n">
        <f aca="false">IF(B34="","",IFERROR(B34/INDEX($B$2:$B$800,MATCH(DATE(YEAR(A34)-1,12,1),$A$2:$A$800,0))-1,""))</f>
        <v>0.017732783928595</v>
      </c>
      <c r="E34" s="122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1" t="n">
        <v>35551</v>
      </c>
      <c r="B35" s="43" t="n">
        <v>155.953</v>
      </c>
      <c r="C35" s="122" t="n">
        <f aca="false">IF(OR(B35="",B34=""),"",B35/B34-1)</f>
        <v>0.00864722926475903</v>
      </c>
      <c r="D35" s="122" t="n">
        <f aca="false">IF(B35="","",IFERROR(B35/INDEX($B$2:$B$800,MATCH(DATE(YEAR(A35)-1,12,1),$A$2:$A$800,0))-1,""))</f>
        <v>0.026533352641487</v>
      </c>
      <c r="E35" s="122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1" t="n">
        <v>35582</v>
      </c>
      <c r="B36" s="43" t="n">
        <v>157.687</v>
      </c>
      <c r="C36" s="122" t="n">
        <f aca="false">IF(OR(B36="",B35=""),"",B36/B35-1)</f>
        <v>0.0111187344905197</v>
      </c>
      <c r="D36" s="122" t="n">
        <f aca="false">IF(B36="","",IFERROR(B36/INDEX($B$2:$B$800,MATCH(DATE(YEAR(A36)-1,12,1),$A$2:$A$800,0))-1,""))</f>
        <v>0.0379471044351707</v>
      </c>
      <c r="E36" s="122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1" t="n">
        <v>35612</v>
      </c>
      <c r="B37" s="43" t="n">
        <v>158.485</v>
      </c>
      <c r="C37" s="122" t="n">
        <f aca="false">IF(OR(B37="",B36=""),"",B37/B36-1)</f>
        <v>0.00506065813922518</v>
      </c>
      <c r="D37" s="122" t="n">
        <f aca="false">IF(B37="","",IFERROR(B37/INDEX($B$2:$B$800,MATCH(DATE(YEAR(A37)-1,12,1),$A$2:$A$800,0))-1,""))</f>
        <v>0.0431997998973159</v>
      </c>
      <c r="E37" s="122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1" t="n">
        <v>35643</v>
      </c>
      <c r="B38" s="43" t="n">
        <v>160.352</v>
      </c>
      <c r="C38" s="122" t="n">
        <f aca="false">IF(OR(B38="",B37=""),"",B38/B37-1)</f>
        <v>0.0117802946651102</v>
      </c>
      <c r="D38" s="122" t="n">
        <f aca="false">IF(B38="","",IFERROR(B38/INDEX($B$2:$B$800,MATCH(DATE(YEAR(A38)-1,12,1),$A$2:$A$800,0))-1,""))</f>
        <v>0.0554890009346902</v>
      </c>
      <c r="E38" s="122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1" t="n">
        <v>35674</v>
      </c>
      <c r="B39" s="43" t="n">
        <v>160.78</v>
      </c>
      <c r="C39" s="122" t="n">
        <f aca="false">IF(OR(B39="",B38=""),"",B39/B38-1)</f>
        <v>0.0026691279185791</v>
      </c>
      <c r="D39" s="122" t="n">
        <f aca="false">IF(B39="","",IFERROR(B39/INDEX($B$2:$B$800,MATCH(DATE(YEAR(A39)-1,12,1),$A$2:$A$800,0))-1,""))</f>
        <v>0.0583062360948381</v>
      </c>
      <c r="E39" s="122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1" t="n">
        <v>35704</v>
      </c>
      <c r="B40" s="43" t="n">
        <v>161.024</v>
      </c>
      <c r="C40" s="122" t="n">
        <f aca="false">IF(OR(B40="",B39=""),"",B40/B39-1)</f>
        <v>0.00151760169175263</v>
      </c>
      <c r="D40" s="122" t="n">
        <f aca="false">IF(B40="","",IFERROR(B40/INDEX($B$2:$B$800,MATCH(DATE(YEAR(A40)-1,12,1),$A$2:$A$800,0))-1,""))</f>
        <v>0.0599123234291281</v>
      </c>
      <c r="E40" s="122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1" t="n">
        <v>35735</v>
      </c>
      <c r="B41" s="43" t="n">
        <v>161.897</v>
      </c>
      <c r="C41" s="122" t="n">
        <f aca="false">IF(OR(B41="",B40=""),"",B41/B40-1)</f>
        <v>0.00542155206677264</v>
      </c>
      <c r="D41" s="122" t="n">
        <f aca="false">IF(B41="","",IFERROR(B41/INDEX($B$2:$B$800,MATCH(DATE(YEAR(A41)-1,12,1),$A$2:$A$800,0))-1,""))</f>
        <v>0.0656586932768131</v>
      </c>
      <c r="E41" s="122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1" t="n">
        <v>35765</v>
      </c>
      <c r="B42" s="43" t="n">
        <v>162.271</v>
      </c>
      <c r="C42" s="122" t="n">
        <f aca="false">IF(OR(B42="",B41=""),"",B42/B41-1)</f>
        <v>0.002310110749427</v>
      </c>
      <c r="D42" s="122" t="n">
        <f aca="false">IF(B42="","",IFERROR(B42/INDEX($B$2:$B$800,MATCH(DATE(YEAR(A42)-1,12,1),$A$2:$A$800,0))-1,""))</f>
        <v>0.0681204828793722</v>
      </c>
      <c r="E42" s="122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1" t="n">
        <v>35796</v>
      </c>
      <c r="B43" s="43" t="n">
        <v>162.805</v>
      </c>
      <c r="C43" s="122" t="n">
        <f aca="false">IF(OR(B43="",B42=""),"",B43/B42-1)</f>
        <v>0.00329079133055221</v>
      </c>
      <c r="D43" s="122" t="n">
        <f aca="false">IF(B43="","",IFERROR(B43/INDEX($B$2:$B$800,MATCH(DATE(YEAR(A43)-1,12,1),$A$2:$A$800,0))-1,""))</f>
        <v>0.00329079133055221</v>
      </c>
      <c r="E43" s="122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1" t="n">
        <v>35827</v>
      </c>
      <c r="B44" s="43" t="n">
        <v>163.593</v>
      </c>
      <c r="C44" s="122" t="n">
        <f aca="false">IF(OR(B44="",B43=""),"",B44/B43-1)</f>
        <v>0.00484014618715634</v>
      </c>
      <c r="D44" s="122" t="n">
        <f aca="false">IF(B44="","",IFERROR(B44/INDEX($B$2:$B$800,MATCH(DATE(YEAR(A44)-1,12,1),$A$2:$A$800,0))-1,""))</f>
        <v>0.00814686542881971</v>
      </c>
      <c r="E44" s="122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1" t="n">
        <v>35855</v>
      </c>
      <c r="B45" s="43" t="n">
        <v>164.361</v>
      </c>
      <c r="C45" s="122" t="n">
        <f aca="false">IF(OR(B45="",B44=""),"",B45/B44-1)</f>
        <v>0.00469457739634338</v>
      </c>
      <c r="D45" s="122" t="n">
        <f aca="false">IF(B45="","",IFERROR(B45/INDEX($B$2:$B$800,MATCH(DATE(YEAR(A45)-1,12,1),$A$2:$A$800,0))-1,""))</f>
        <v>0.0128796889154563</v>
      </c>
      <c r="E45" s="122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1" t="n">
        <v>35886</v>
      </c>
      <c r="B46" s="43" t="n">
        <v>163.535</v>
      </c>
      <c r="C46" s="122" t="n">
        <f aca="false">IF(OR(B46="",B45=""),"",B46/B45-1)</f>
        <v>-0.00502552308637694</v>
      </c>
      <c r="D46" s="122" t="n">
        <f aca="false">IF(B46="","",IFERROR(B46/INDEX($B$2:$B$800,MATCH(DATE(YEAR(A46)-1,12,1),$A$2:$A$800,0))-1,""))</f>
        <v>0.00778943865508941</v>
      </c>
      <c r="E46" s="122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1" t="n">
        <v>35916</v>
      </c>
      <c r="B47" s="43" t="n">
        <v>165.133</v>
      </c>
      <c r="C47" s="122" t="n">
        <f aca="false">IF(OR(B47="",B46=""),"",B47/B46-1)</f>
        <v>0.00977160852416925</v>
      </c>
      <c r="D47" s="122" t="n">
        <f aca="false">IF(B47="","",IFERROR(B47/INDEX($B$2:$B$800,MATCH(DATE(YEAR(A47)-1,12,1),$A$2:$A$800,0))-1,""))</f>
        <v>0.0176371625244192</v>
      </c>
      <c r="E47" s="122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1" t="n">
        <v>35947</v>
      </c>
      <c r="B48" s="43" t="n">
        <v>165.781</v>
      </c>
      <c r="C48" s="122" t="n">
        <f aca="false">IF(OR(B48="",B47=""),"",B48/B47-1)</f>
        <v>0.00392410965706436</v>
      </c>
      <c r="D48" s="122" t="n">
        <f aca="false">IF(B48="","",IFERROR(B48/INDEX($B$2:$B$800,MATCH(DATE(YEAR(A48)-1,12,1),$A$2:$A$800,0))-1,""))</f>
        <v>0.0216304823412687</v>
      </c>
      <c r="E48" s="122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1" t="n">
        <v>35977</v>
      </c>
      <c r="B49" s="43" t="n">
        <v>166.345</v>
      </c>
      <c r="C49" s="122" t="n">
        <f aca="false">IF(OR(B49="",B48=""),"",B49/B48-1)</f>
        <v>0.00340207864592434</v>
      </c>
      <c r="D49" s="122" t="n">
        <f aca="false">IF(B49="","",IFERROR(B49/INDEX($B$2:$B$800,MATCH(DATE(YEAR(A49)-1,12,1),$A$2:$A$800,0))-1,""))</f>
        <v>0.0251061495892675</v>
      </c>
      <c r="E49" s="122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1" t="n">
        <v>36008</v>
      </c>
      <c r="B50" s="43" t="n">
        <v>166.705</v>
      </c>
      <c r="C50" s="122" t="n">
        <f aca="false">IF(OR(B50="",B49=""),"",B50/B49-1)</f>
        <v>0.00216417686134252</v>
      </c>
      <c r="D50" s="122" t="n">
        <f aca="false">IF(B50="","",IFERROR(B50/INDEX($B$2:$B$800,MATCH(DATE(YEAR(A50)-1,12,1),$A$2:$A$800,0))-1,""))</f>
        <v>0.0273246605986284</v>
      </c>
      <c r="E50" s="122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1" t="n">
        <v>36039</v>
      </c>
      <c r="B51" s="43" t="n">
        <v>166.729</v>
      </c>
      <c r="C51" s="122" t="n">
        <f aca="false">IF(OR(B51="",B50=""),"",B51/B50-1)</f>
        <v>0.000143966887615754</v>
      </c>
      <c r="D51" s="122" t="n">
        <f aca="false">IF(B51="","",IFERROR(B51/INDEX($B$2:$B$800,MATCH(DATE(YEAR(A51)-1,12,1),$A$2:$A$800,0))-1,""))</f>
        <v>0.0274725613325857</v>
      </c>
      <c r="E51" s="122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1" t="n">
        <v>36069</v>
      </c>
      <c r="B52" s="43" t="n">
        <v>166.738</v>
      </c>
      <c r="C52" s="122" t="n">
        <f aca="false">IF(OR(B52="",B51=""),"",B52/B51-1)</f>
        <v>5.39798115504198E-005</v>
      </c>
      <c r="D52" s="122" t="n">
        <f aca="false">IF(B52="","",IFERROR(B52/INDEX($B$2:$B$800,MATCH(DATE(YEAR(A52)-1,12,1),$A$2:$A$800,0))-1,""))</f>
        <v>0.0275280241078197</v>
      </c>
      <c r="E52" s="122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1" t="n">
        <v>36100</v>
      </c>
      <c r="B53" s="43" t="n">
        <v>166.657</v>
      </c>
      <c r="C53" s="122" t="n">
        <f aca="false">IF(OR(B53="",B52=""),"",B53/B52-1)</f>
        <v>-0.000485792080989311</v>
      </c>
      <c r="D53" s="122" t="n">
        <f aca="false">IF(B53="","",IFERROR(B53/INDEX($B$2:$B$800,MATCH(DATE(YEAR(A53)-1,12,1),$A$2:$A$800,0))-1,""))</f>
        <v>0.0270288591307135</v>
      </c>
      <c r="E53" s="122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1" t="n">
        <v>36130</v>
      </c>
      <c r="B54" s="43" t="n">
        <v>166.733</v>
      </c>
      <c r="C54" s="122" t="n">
        <f aca="false">IF(OR(B54="",B53=""),"",B54/B53-1)</f>
        <v>0.00045602644953413</v>
      </c>
      <c r="D54" s="122" t="n">
        <f aca="false">IF(B54="","",IFERROR(B54/INDEX($B$2:$B$800,MATCH(DATE(YEAR(A54)-1,12,1),$A$2:$A$800,0))-1,""))</f>
        <v>0.0274972114549119</v>
      </c>
      <c r="E54" s="122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1" t="n">
        <v>36161</v>
      </c>
      <c r="B55" s="43" t="n">
        <v>167.648</v>
      </c>
      <c r="C55" s="122" t="n">
        <f aca="false">IF(OR(B55="",B54=""),"",B55/B54-1)</f>
        <v>0.00548781584929192</v>
      </c>
      <c r="D55" s="122" t="n">
        <f aca="false">IF(B55="","",IFERROR(B55/INDEX($B$2:$B$800,MATCH(DATE(YEAR(A55)-1,12,1),$A$2:$A$800,0))-1,""))</f>
        <v>0.00548781584929192</v>
      </c>
      <c r="E55" s="122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1" t="n">
        <v>36192</v>
      </c>
      <c r="B56" s="43" t="n">
        <v>169.288</v>
      </c>
      <c r="C56" s="122" t="n">
        <f aca="false">IF(OR(B56="",B55=""),"",B56/B55-1)</f>
        <v>0.00978240122160723</v>
      </c>
      <c r="D56" s="122" t="n">
        <f aca="false">IF(B56="","",IFERROR(B56/INDEX($B$2:$B$800,MATCH(DATE(YEAR(A56)-1,12,1),$A$2:$A$800,0))-1,""))</f>
        <v>0.0153239010873674</v>
      </c>
      <c r="E56" s="122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1" t="n">
        <v>36220</v>
      </c>
      <c r="B57" s="43" t="n">
        <v>170.221</v>
      </c>
      <c r="C57" s="122" t="n">
        <f aca="false">IF(OR(B57="",B56=""),"",B57/B56-1)</f>
        <v>0.00551131799064319</v>
      </c>
      <c r="D57" s="122" t="n">
        <f aca="false">IF(B57="","",IFERROR(B57/INDEX($B$2:$B$800,MATCH(DATE(YEAR(A57)-1,12,1),$A$2:$A$800,0))-1,""))</f>
        <v>0.0209196739697601</v>
      </c>
      <c r="E57" s="122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1" t="n">
        <v>36251</v>
      </c>
      <c r="B58" s="43" t="n">
        <v>171.1</v>
      </c>
      <c r="C58" s="122" t="n">
        <f aca="false">IF(OR(B58="",B57=""),"",B58/B57-1)</f>
        <v>0.00516387519753736</v>
      </c>
      <c r="D58" s="122" t="n">
        <f aca="false">IF(B58="","",IFERROR(B58/INDEX($B$2:$B$800,MATCH(DATE(YEAR(A58)-1,12,1),$A$2:$A$800,0))-1,""))</f>
        <v>0.0261915757528504</v>
      </c>
      <c r="E58" s="122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1" t="n">
        <v>36281</v>
      </c>
      <c r="B59" s="43" t="n">
        <v>172.578</v>
      </c>
      <c r="C59" s="122" t="n">
        <f aca="false">IF(OR(B59="",B58=""),"",B59/B58-1)</f>
        <v>0.00863822326125074</v>
      </c>
      <c r="D59" s="122" t="n">
        <f aca="false">IF(B59="","",IFERROR(B59/INDEX($B$2:$B$800,MATCH(DATE(YEAR(A59)-1,12,1),$A$2:$A$800,0))-1,""))</f>
        <v>0.0350560476930182</v>
      </c>
      <c r="E59" s="122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1" t="n">
        <v>36312</v>
      </c>
      <c r="B60" s="43" t="n">
        <v>173.279</v>
      </c>
      <c r="C60" s="122" t="n">
        <f aca="false">IF(OR(B60="",B59=""),"",B60/B59-1)</f>
        <v>0.00406193141651889</v>
      </c>
      <c r="D60" s="122" t="n">
        <f aca="false">IF(B60="","",IFERROR(B60/INDEX($B$2:$B$800,MATCH(DATE(YEAR(A60)-1,12,1),$A$2:$A$800,0))-1,""))</f>
        <v>0.0392603743710003</v>
      </c>
      <c r="E60" s="122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1" t="n">
        <v>36342</v>
      </c>
      <c r="B61" s="43" t="n">
        <v>174.074</v>
      </c>
      <c r="C61" s="122" t="n">
        <f aca="false">IF(OR(B61="",B60=""),"",B61/B60-1)</f>
        <v>0.00458797661574706</v>
      </c>
      <c r="D61" s="122" t="n">
        <f aca="false">IF(B61="","",IFERROR(B61/INDEX($B$2:$B$800,MATCH(DATE(YEAR(A61)-1,12,1),$A$2:$A$800,0))-1,""))</f>
        <v>0.0440284766662868</v>
      </c>
      <c r="E61" s="122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1" t="n">
        <v>36373</v>
      </c>
      <c r="B62" s="43" t="n">
        <v>175.28</v>
      </c>
      <c r="C62" s="122" t="n">
        <f aca="false">IF(OR(B62="",B61=""),"",B62/B61-1)</f>
        <v>0.00692808805450551</v>
      </c>
      <c r="D62" s="122" t="n">
        <f aca="false">IF(B62="","",IFERROR(B62/INDEX($B$2:$B$800,MATCH(DATE(YEAR(A62)-1,12,1),$A$2:$A$800,0))-1,""))</f>
        <v>0.0512615978840421</v>
      </c>
      <c r="E62" s="122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1" t="n">
        <v>36404</v>
      </c>
      <c r="B63" s="43" t="n">
        <v>176.785</v>
      </c>
      <c r="C63" s="122" t="n">
        <f aca="false">IF(OR(B63="",B62=""),"",B63/B62-1)</f>
        <v>0.00858626198083057</v>
      </c>
      <c r="D63" s="122" t="n">
        <f aca="false">IF(B63="","",IFERROR(B63/INDEX($B$2:$B$800,MATCH(DATE(YEAR(A63)-1,12,1),$A$2:$A$800,0))-1,""))</f>
        <v>0.0602880053738613</v>
      </c>
      <c r="E63" s="122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1" t="n">
        <v>36434</v>
      </c>
      <c r="B64" s="43" t="n">
        <v>178.574</v>
      </c>
      <c r="C64" s="122" t="n">
        <f aca="false">IF(OR(B64="",B63=""),"",B64/B63-1)</f>
        <v>0.0101196368470176</v>
      </c>
      <c r="D64" s="122" t="n">
        <f aca="false">IF(B64="","",IFERROR(B64/INDEX($B$2:$B$800,MATCH(DATE(YEAR(A64)-1,12,1),$A$2:$A$800,0))-1,""))</f>
        <v>0.0710177349414933</v>
      </c>
      <c r="E64" s="122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1" t="n">
        <v>36465</v>
      </c>
      <c r="B65" s="43" t="n">
        <v>180.207</v>
      </c>
      <c r="C65" s="122" t="n">
        <f aca="false">IF(OR(B65="",B64=""),"",B65/B64-1)</f>
        <v>0.00914466831677618</v>
      </c>
      <c r="D65" s="122" t="n">
        <f aca="false">IF(B65="","",IFERROR(B65/INDEX($B$2:$B$800,MATCH(DATE(YEAR(A65)-1,12,1),$A$2:$A$800,0))-1,""))</f>
        <v>0.0808118368889181</v>
      </c>
      <c r="E65" s="122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1" t="n">
        <v>36495</v>
      </c>
      <c r="B66" s="43" t="n">
        <v>182.084</v>
      </c>
      <c r="C66" s="122" t="n">
        <f aca="false">IF(OR(B66="",B65=""),"",B66/B65-1)</f>
        <v>0.0104157996082284</v>
      </c>
      <c r="D66" s="122" t="n">
        <f aca="false">IF(B66="","",IFERROR(B66/INDEX($B$2:$B$800,MATCH(DATE(YEAR(A66)-1,12,1),$A$2:$A$800,0))-1,""))</f>
        <v>0.0920693563961543</v>
      </c>
      <c r="E66" s="122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1" t="n">
        <v>36526</v>
      </c>
      <c r="B67" s="43" t="n">
        <v>184.039</v>
      </c>
      <c r="C67" s="122" t="n">
        <f aca="false">IF(OR(B67="",B66=""),"",B67/B66-1)</f>
        <v>0.0107368027943147</v>
      </c>
      <c r="D67" s="122" t="n">
        <f aca="false">IF(B67="","",IFERROR(B67/INDEX($B$2:$B$800,MATCH(DATE(YEAR(A67)-1,12,1),$A$2:$A$800,0))-1,""))</f>
        <v>0.0107368027943147</v>
      </c>
      <c r="E67" s="122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1" t="n">
        <v>36557</v>
      </c>
      <c r="B68" s="43" t="n">
        <v>185.461</v>
      </c>
      <c r="C68" s="122" t="n">
        <f aca="false">IF(OR(B68="",B67=""),"",B68/B67-1)</f>
        <v>0.00772662316139527</v>
      </c>
      <c r="D68" s="122" t="n">
        <f aca="false">IF(B68="","",IFERROR(B68/INDEX($B$2:$B$800,MATCH(DATE(YEAR(A68)-1,12,1),$A$2:$A$800,0))-1,""))</f>
        <v>0.0185463851848597</v>
      </c>
      <c r="E68" s="122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1" t="n">
        <v>36586</v>
      </c>
      <c r="B69" s="43" t="n">
        <v>186.492</v>
      </c>
      <c r="C69" s="122" t="n">
        <f aca="false">IF(OR(B69="",B68=""),"",B69/B68-1)</f>
        <v>0.00555912024630501</v>
      </c>
      <c r="D69" s="122" t="n">
        <f aca="false">IF(B69="","",IFERROR(B69/INDEX($B$2:$B$800,MATCH(DATE(YEAR(A69)-1,12,1),$A$2:$A$800,0))-1,""))</f>
        <v>0.0242086070165417</v>
      </c>
      <c r="E69" s="122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1" t="n">
        <v>36617</v>
      </c>
      <c r="B70" s="43" t="n">
        <v>187.604</v>
      </c>
      <c r="C70" s="122" t="n">
        <f aca="false">IF(OR(B70="",B69=""),"",B70/B69-1)</f>
        <v>0.00596272226154482</v>
      </c>
      <c r="D70" s="122" t="n">
        <f aca="false">IF(B70="","",IFERROR(B70/INDEX($B$2:$B$800,MATCH(DATE(YEAR(A70)-1,12,1),$A$2:$A$800,0))-1,""))</f>
        <v>0.0303156784780652</v>
      </c>
      <c r="E70" s="122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1" t="n">
        <v>36647</v>
      </c>
      <c r="B71" s="43" t="n">
        <v>190.136</v>
      </c>
      <c r="C71" s="122" t="n">
        <f aca="false">IF(OR(B71="",B70=""),"",B71/B70-1)</f>
        <v>0.0134965139336047</v>
      </c>
      <c r="D71" s="122" t="n">
        <f aca="false">IF(B71="","",IFERROR(B71/INDEX($B$2:$B$800,MATCH(DATE(YEAR(A71)-1,12,1),$A$2:$A$800,0))-1,""))</f>
        <v>0.0442213483886558</v>
      </c>
      <c r="E71" s="122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1" t="n">
        <v>36678</v>
      </c>
      <c r="B72" s="43" t="n">
        <v>191.527</v>
      </c>
      <c r="C72" s="122" t="n">
        <f aca="false">IF(OR(B72="",B71=""),"",B72/B71-1)</f>
        <v>0.00731581604746068</v>
      </c>
      <c r="D72" s="122" t="n">
        <f aca="false">IF(B72="","",IFERROR(B72/INDEX($B$2:$B$800,MATCH(DATE(YEAR(A72)-1,12,1),$A$2:$A$800,0))-1,""))</f>
        <v>0.0518606796862986</v>
      </c>
      <c r="E72" s="122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1" t="n">
        <v>36708</v>
      </c>
      <c r="B73" s="43" t="n">
        <v>192.104</v>
      </c>
      <c r="C73" s="122" t="n">
        <f aca="false">IF(OR(B73="",B72=""),"",B73/B72-1)</f>
        <v>0.00301263007304464</v>
      </c>
      <c r="D73" s="122" t="n">
        <f aca="false">IF(B73="","",IFERROR(B73/INDEX($B$2:$B$800,MATCH(DATE(YEAR(A73)-1,12,1),$A$2:$A$800,0))-1,""))</f>
        <v>0.0550295468025748</v>
      </c>
      <c r="E73" s="122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1" t="n">
        <v>36739</v>
      </c>
      <c r="B74" s="43" t="n">
        <v>192.846</v>
      </c>
      <c r="C74" s="122" t="n">
        <f aca="false">IF(OR(B74="",B73=""),"",B74/B73-1)</f>
        <v>0.00386249115062665</v>
      </c>
      <c r="D74" s="122" t="n">
        <f aca="false">IF(B74="","",IFERROR(B74/INDEX($B$2:$B$800,MATCH(DATE(YEAR(A74)-1,12,1),$A$2:$A$800,0))-1,""))</f>
        <v>0.0591045890907493</v>
      </c>
      <c r="E74" s="122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1" t="n">
        <v>36770</v>
      </c>
      <c r="B75" s="43" t="n">
        <v>193.342</v>
      </c>
      <c r="C75" s="122" t="n">
        <f aca="false">IF(OR(B75="",B74=""),"",B75/B74-1)</f>
        <v>0.00257200045632278</v>
      </c>
      <c r="D75" s="122" t="n">
        <f aca="false">IF(B75="","",IFERROR(B75/INDEX($B$2:$B$800,MATCH(DATE(YEAR(A75)-1,12,1),$A$2:$A$800,0))-1,""))</f>
        <v>0.0618286065771843</v>
      </c>
      <c r="E75" s="122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1" t="n">
        <v>36800</v>
      </c>
      <c r="B76" s="43" t="n">
        <v>193.984</v>
      </c>
      <c r="C76" s="122" t="n">
        <f aca="false">IF(OR(B76="",B75=""),"",B76/B75-1)</f>
        <v>0.00332054080334321</v>
      </c>
      <c r="D76" s="122" t="n">
        <f aca="false">IF(B76="","",IFERROR(B76/INDEX($B$2:$B$800,MATCH(DATE(YEAR(A76)-1,12,1),$A$2:$A$800,0))-1,""))</f>
        <v>0.0653544517914808</v>
      </c>
      <c r="E76" s="122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1" t="n">
        <v>36831</v>
      </c>
      <c r="B77" s="43" t="n">
        <v>194.789</v>
      </c>
      <c r="C77" s="122" t="n">
        <f aca="false">IF(OR(B77="",B76=""),"",B77/B76-1)</f>
        <v>0.00414982678983833</v>
      </c>
      <c r="D77" s="122" t="n">
        <f aca="false">IF(B77="","",IFERROR(B77/INDEX($B$2:$B$800,MATCH(DATE(YEAR(A77)-1,12,1),$A$2:$A$800,0))-1,""))</f>
        <v>0.0697754882361985</v>
      </c>
      <c r="E77" s="122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1" t="n">
        <v>36861</v>
      </c>
      <c r="B78" s="43" t="n">
        <v>196.037</v>
      </c>
      <c r="C78" s="122" t="n">
        <f aca="false">IF(OR(B78="",B77=""),"",B78/B77-1)</f>
        <v>0.00640693262966607</v>
      </c>
      <c r="D78" s="122" t="n">
        <f aca="false">IF(B78="","",IFERROR(B78/INDEX($B$2:$B$800,MATCH(DATE(YEAR(A78)-1,12,1),$A$2:$A$800,0))-1,""))</f>
        <v>0.076629467718196</v>
      </c>
      <c r="E78" s="122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1" t="n">
        <v>36892</v>
      </c>
      <c r="B79" s="43" t="n">
        <v>197.174</v>
      </c>
      <c r="C79" s="122" t="n">
        <f aca="false">IF(OR(B79="",B78=""),"",B79/B78-1)</f>
        <v>0.00579992552426334</v>
      </c>
      <c r="D79" s="122" t="n">
        <f aca="false">IF(B79="","",IFERROR(B79/INDEX($B$2:$B$800,MATCH(DATE(YEAR(A79)-1,12,1),$A$2:$A$800,0))-1,""))</f>
        <v>0.00579992552426334</v>
      </c>
      <c r="E79" s="122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1" t="n">
        <v>36923</v>
      </c>
      <c r="B80" s="43" t="n">
        <v>197.849</v>
      </c>
      <c r="C80" s="122" t="n">
        <f aca="false">IF(OR(B80="",B79=""),"",B80/B79-1)</f>
        <v>0.00342337224989087</v>
      </c>
      <c r="D80" s="122" t="n">
        <f aca="false">IF(B80="","",IFERROR(B80/INDEX($B$2:$B$800,MATCH(DATE(YEAR(A80)-1,12,1),$A$2:$A$800,0))-1,""))</f>
        <v>0.0092431530782453</v>
      </c>
      <c r="E80" s="122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1" t="n">
        <v>36951</v>
      </c>
      <c r="B81" s="43" t="n">
        <v>198.388</v>
      </c>
      <c r="C81" s="122" t="n">
        <f aca="false">IF(OR(B81="",B80=""),"",B81/B80-1)</f>
        <v>0.00272429984483114</v>
      </c>
      <c r="D81" s="122" t="n">
        <f aca="false">IF(B81="","",IFERROR(B81/INDEX($B$2:$B$800,MATCH(DATE(YEAR(A81)-1,12,1),$A$2:$A$800,0))-1,""))</f>
        <v>0.0119926340435734</v>
      </c>
      <c r="E81" s="122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1" t="n">
        <v>36982</v>
      </c>
      <c r="B82" s="43" t="n">
        <v>199.112</v>
      </c>
      <c r="C82" s="122" t="n">
        <f aca="false">IF(OR(B82="",B81=""),"",B82/B81-1)</f>
        <v>0.00364941427908949</v>
      </c>
      <c r="D82" s="122" t="n">
        <f aca="false">IF(B82="","",IFERROR(B82/INDEX($B$2:$B$800,MATCH(DATE(YEAR(A82)-1,12,1),$A$2:$A$800,0))-1,""))</f>
        <v>0.0156858144125853</v>
      </c>
      <c r="E82" s="122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1" t="n">
        <v>37012</v>
      </c>
      <c r="B83" s="43" t="n">
        <v>203.321</v>
      </c>
      <c r="C83" s="122" t="n">
        <f aca="false">IF(OR(B83="",B82=""),"",B83/B82-1)</f>
        <v>0.021138856522962</v>
      </c>
      <c r="D83" s="122" t="n">
        <f aca="false">IF(B83="","",IFERROR(B83/INDEX($B$2:$B$800,MATCH(DATE(YEAR(A83)-1,12,1),$A$2:$A$800,0))-1,""))</f>
        <v>0.0371562511158607</v>
      </c>
      <c r="E83" s="122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1" t="n">
        <v>37043</v>
      </c>
      <c r="B84" s="43" t="n">
        <v>205.682</v>
      </c>
      <c r="C84" s="122" t="n">
        <f aca="false">IF(OR(B84="",B83=""),"",B84/B83-1)</f>
        <v>0.0116121797551654</v>
      </c>
      <c r="D84" s="122" t="n">
        <f aca="false">IF(B84="","",IFERROR(B84/INDEX($B$2:$B$800,MATCH(DATE(YEAR(A84)-1,12,1),$A$2:$A$800,0))-1,""))</f>
        <v>0.0491998959380116</v>
      </c>
      <c r="E84" s="122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1" t="n">
        <v>37073</v>
      </c>
      <c r="B85" s="43" t="n">
        <v>206.742</v>
      </c>
      <c r="C85" s="122" t="n">
        <f aca="false">IF(OR(B85="",B84=""),"",B85/B84-1)</f>
        <v>0.00515358660456444</v>
      </c>
      <c r="D85" s="122" t="n">
        <f aca="false">IF(B85="","",IFERROR(B85/INDEX($B$2:$B$800,MATCH(DATE(YEAR(A85)-1,12,1),$A$2:$A$800,0))-1,""))</f>
        <v>0.0546070384672281</v>
      </c>
      <c r="E85" s="122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1" t="n">
        <v>37104</v>
      </c>
      <c r="B86" s="43" t="n">
        <v>208.026</v>
      </c>
      <c r="C86" s="122" t="n">
        <f aca="false">IF(OR(B86="",B85=""),"",B86/B85-1)</f>
        <v>0.0062106393475927</v>
      </c>
      <c r="D86" s="122" t="n">
        <f aca="false">IF(B86="","",IFERROR(B86/INDEX($B$2:$B$800,MATCH(DATE(YEAR(A86)-1,12,1),$A$2:$A$800,0))-1,""))</f>
        <v>0.0611568224365808</v>
      </c>
      <c r="E86" s="122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1" t="n">
        <v>37135</v>
      </c>
      <c r="B87" s="43" t="n">
        <v>209.174</v>
      </c>
      <c r="C87" s="122" t="n">
        <f aca="false">IF(OR(B87="",B86=""),"",B87/B86-1)</f>
        <v>0.00551854095161186</v>
      </c>
      <c r="D87" s="122" t="n">
        <f aca="false">IF(B87="","",IFERROR(B87/INDEX($B$2:$B$800,MATCH(DATE(YEAR(A87)-1,12,1),$A$2:$A$800,0))-1,""))</f>
        <v>0.0670128598172795</v>
      </c>
      <c r="E87" s="122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1" t="n">
        <v>37165</v>
      </c>
      <c r="B88" s="43" t="n">
        <v>211.122</v>
      </c>
      <c r="C88" s="122" t="n">
        <f aca="false">IF(OR(B88="",B87=""),"",B88/B87-1)</f>
        <v>0.0093128209050839</v>
      </c>
      <c r="D88" s="122" t="n">
        <f aca="false">IF(B88="","",IFERROR(B88/INDEX($B$2:$B$800,MATCH(DATE(YEAR(A88)-1,12,1),$A$2:$A$800,0))-1,""))</f>
        <v>0.076949759484179</v>
      </c>
      <c r="E88" s="122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1" t="n">
        <v>37196</v>
      </c>
      <c r="B89" s="43" t="n">
        <v>212.676</v>
      </c>
      <c r="C89" s="122" t="n">
        <f aca="false">IF(OR(B89="",B88=""),"",B89/B88-1)</f>
        <v>0.00736067297581489</v>
      </c>
      <c r="D89" s="122" t="n">
        <f aca="false">IF(B89="","",IFERROR(B89/INDEX($B$2:$B$800,MATCH(DATE(YEAR(A89)-1,12,1),$A$2:$A$800,0))-1,""))</f>
        <v>0.0848768344751245</v>
      </c>
      <c r="E89" s="122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1" t="n">
        <v>37226</v>
      </c>
      <c r="B90" s="43" t="n">
        <v>213.393</v>
      </c>
      <c r="C90" s="122" t="n">
        <f aca="false">IF(OR(B90="",B89=""),"",B90/B89-1)</f>
        <v>0.00337132539637763</v>
      </c>
      <c r="D90" s="122" t="n">
        <f aca="false">IF(B90="","",IFERROR(B90/INDEX($B$2:$B$800,MATCH(DATE(YEAR(A90)-1,12,1),$A$2:$A$800,0))-1,""))</f>
        <v>0.0885343072991323</v>
      </c>
      <c r="E90" s="122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1" t="n">
        <v>37257</v>
      </c>
      <c r="B91" s="43" t="n">
        <v>214.162</v>
      </c>
      <c r="C91" s="122" t="n">
        <f aca="false">IF(OR(B91="",B90=""),"",B91/B90-1)</f>
        <v>0.00360367959586316</v>
      </c>
      <c r="D91" s="122" t="n">
        <f aca="false">IF(B91="","",IFERROR(B91/INDEX($B$2:$B$800,MATCH(DATE(YEAR(A91)-1,12,1),$A$2:$A$800,0))-1,""))</f>
        <v>0.00360367959586316</v>
      </c>
      <c r="E91" s="122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1" t="n">
        <v>37288</v>
      </c>
      <c r="B92" s="43" t="n">
        <v>215.399</v>
      </c>
      <c r="C92" s="122" t="n">
        <f aca="false">IF(OR(B92="",B91=""),"",B92/B91-1)</f>
        <v>0.00577600134477629</v>
      </c>
      <c r="D92" s="122" t="n">
        <f aca="false">IF(B92="","",IFERROR(B92/INDEX($B$2:$B$800,MATCH(DATE(YEAR(A92)-1,12,1),$A$2:$A$800,0))-1,""))</f>
        <v>0.00940049579883118</v>
      </c>
      <c r="E92" s="122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1" t="n">
        <v>37316</v>
      </c>
      <c r="B93" s="43" t="n">
        <v>216.577</v>
      </c>
      <c r="C93" s="122" t="n">
        <f aca="false">IF(OR(B93="",B92=""),"",B93/B92-1)</f>
        <v>0.00546892046852587</v>
      </c>
      <c r="D93" s="122" t="n">
        <f aca="false">IF(B93="","",IFERROR(B93/INDEX($B$2:$B$800,MATCH(DATE(YEAR(A93)-1,12,1),$A$2:$A$800,0))-1,""))</f>
        <v>0.0149208268312455</v>
      </c>
      <c r="E93" s="122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1" t="n">
        <v>37347</v>
      </c>
      <c r="B94" s="43" t="n">
        <v>217.288</v>
      </c>
      <c r="C94" s="122" t="n">
        <f aca="false">IF(OR(B94="",B93=""),"",B94/B93-1)</f>
        <v>0.00328289707586693</v>
      </c>
      <c r="D94" s="122" t="n">
        <f aca="false">IF(B94="","",IFERROR(B94/INDEX($B$2:$B$800,MATCH(DATE(YEAR(A94)-1,12,1),$A$2:$A$800,0))-1,""))</f>
        <v>0.0182527074458863</v>
      </c>
      <c r="E94" s="122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1" t="n">
        <v>37377</v>
      </c>
      <c r="B95" s="43" t="n">
        <v>222.793</v>
      </c>
      <c r="C95" s="122" t="n">
        <f aca="false">IF(OR(B95="",B94=""),"",B95/B94-1)</f>
        <v>0.0253350392106328</v>
      </c>
      <c r="D95" s="122" t="n">
        <f aca="false">IF(B95="","",IFERROR(B95/INDEX($B$2:$B$800,MATCH(DATE(YEAR(A95)-1,12,1),$A$2:$A$800,0))-1,""))</f>
        <v>0.044050179715361</v>
      </c>
      <c r="E95" s="122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1" t="n">
        <v>37408</v>
      </c>
      <c r="B96" s="43" t="n">
        <v>224.054</v>
      </c>
      <c r="C96" s="122" t="n">
        <f aca="false">IF(OR(B96="",B95=""),"",B96/B95-1)</f>
        <v>0.00565996238661004</v>
      </c>
      <c r="D96" s="122" t="n">
        <f aca="false">IF(B96="","",IFERROR(B96/INDEX($B$2:$B$800,MATCH(DATE(YEAR(A96)-1,12,1),$A$2:$A$800,0))-1,""))</f>
        <v>0.0499594644622832</v>
      </c>
      <c r="E96" s="122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1" t="n">
        <v>37438</v>
      </c>
      <c r="B97" s="43" t="n">
        <v>224.712</v>
      </c>
      <c r="C97" s="122" t="n">
        <f aca="false">IF(OR(B97="",B96=""),"",B97/B96-1)</f>
        <v>0.0029367920233514</v>
      </c>
      <c r="D97" s="122" t="n">
        <f aca="false">IF(B97="","",IFERROR(B97/INDEX($B$2:$B$800,MATCH(DATE(YEAR(A97)-1,12,1),$A$2:$A$800,0))-1,""))</f>
        <v>0.0530429770423584</v>
      </c>
      <c r="E97" s="122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1" t="n">
        <v>37469</v>
      </c>
      <c r="B98" s="43" t="n">
        <v>226.968</v>
      </c>
      <c r="C98" s="122" t="n">
        <f aca="false">IF(OR(B98="",B97=""),"",B98/B97-1)</f>
        <v>0.0100395172487451</v>
      </c>
      <c r="D98" s="122" t="n">
        <f aca="false">IF(B98="","",IFERROR(B98/INDEX($B$2:$B$800,MATCH(DATE(YEAR(A98)-1,12,1),$A$2:$A$800,0))-1,""))</f>
        <v>0.0636150201740451</v>
      </c>
      <c r="E98" s="122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1" t="n">
        <v>37500</v>
      </c>
      <c r="B99" s="43" t="n">
        <v>228.576</v>
      </c>
      <c r="C99" s="122" t="n">
        <f aca="false">IF(OR(B99="",B98=""),"",B99/B98-1)</f>
        <v>0.00708469916464005</v>
      </c>
      <c r="D99" s="122" t="n">
        <f aca="false">IF(B99="","",IFERROR(B99/INDEX($B$2:$B$800,MATCH(DATE(YEAR(A99)-1,12,1),$A$2:$A$800,0))-1,""))</f>
        <v>0.0711504126189706</v>
      </c>
      <c r="E99" s="122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1" t="n">
        <v>37530</v>
      </c>
      <c r="B100" s="43" t="n">
        <v>231.167</v>
      </c>
      <c r="C100" s="122" t="n">
        <f aca="false">IF(OR(B100="",B99=""),"",B100/B99-1)</f>
        <v>0.0113353982920341</v>
      </c>
      <c r="D100" s="122" t="n">
        <f aca="false">IF(B100="","",IFERROR(B100/INDEX($B$2:$B$800,MATCH(DATE(YEAR(A100)-1,12,1),$A$2:$A$800,0))-1,""))</f>
        <v>0.0832923291766834</v>
      </c>
      <c r="E100" s="122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1" t="n">
        <v>37561</v>
      </c>
      <c r="B101" s="43" t="n">
        <v>236.83</v>
      </c>
      <c r="C101" s="122" t="n">
        <f aca="false">IF(OR(B101="",B100=""),"",B101/B100-1)</f>
        <v>0.0244974412437762</v>
      </c>
      <c r="D101" s="122" t="n">
        <f aca="false">IF(B101="","",IFERROR(B101/INDEX($B$2:$B$800,MATCH(DATE(YEAR(A101)-1,12,1),$A$2:$A$800,0))-1,""))</f>
        <v>0.109830219360523</v>
      </c>
      <c r="E101" s="122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1" t="n">
        <v>37591</v>
      </c>
      <c r="B102" s="43" t="n">
        <v>240.861</v>
      </c>
      <c r="C102" s="122" t="n">
        <f aca="false">IF(OR(B102="",B101=""),"",B102/B101-1)</f>
        <v>0.0170206477219945</v>
      </c>
      <c r="D102" s="122" t="n">
        <f aca="false">IF(B102="","",IFERROR(B102/INDEX($B$2:$B$800,MATCH(DATE(YEAR(A102)-1,12,1),$A$2:$A$800,0))-1,""))</f>
        <v>0.128720248555482</v>
      </c>
      <c r="E102" s="122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1" t="n">
        <v>37622</v>
      </c>
      <c r="B103" s="43" t="n">
        <v>244.489</v>
      </c>
      <c r="C103" s="122" t="n">
        <f aca="false">IF(OR(B103="",B102=""),"",B103/B102-1)</f>
        <v>0.0150626294833951</v>
      </c>
      <c r="D103" s="122" t="n">
        <f aca="false">IF(B103="","",IFERROR(B103/INDEX($B$2:$B$800,MATCH(DATE(YEAR(A103)-1,12,1),$A$2:$A$800,0))-1,""))</f>
        <v>0.0150626294833951</v>
      </c>
      <c r="E103" s="122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1" t="n">
        <v>37653</v>
      </c>
      <c r="B104" s="43" t="n">
        <v>247.898</v>
      </c>
      <c r="C104" s="122" t="n">
        <f aca="false">IF(OR(B104="",B103=""),"",B104/B103-1)</f>
        <v>0.01394336759527</v>
      </c>
      <c r="D104" s="122" t="n">
        <f aca="false">IF(B104="","",IFERROR(B104/INDEX($B$2:$B$800,MATCH(DATE(YEAR(A104)-1,12,1),$A$2:$A$800,0))-1,""))</f>
        <v>0.0292160208585035</v>
      </c>
      <c r="E104" s="122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1" t="n">
        <v>37681</v>
      </c>
      <c r="B105" s="43" t="n">
        <v>251.318</v>
      </c>
      <c r="C105" s="122" t="n">
        <f aca="false">IF(OR(B105="",B104=""),"",B105/B104-1)</f>
        <v>0.013795996740595</v>
      </c>
      <c r="D105" s="122" t="n">
        <f aca="false">IF(B105="","",IFERROR(B105/INDEX($B$2:$B$800,MATCH(DATE(YEAR(A105)-1,12,1),$A$2:$A$800,0))-1,""))</f>
        <v>0.0434150817276355</v>
      </c>
      <c r="E105" s="122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1" t="n">
        <v>37712</v>
      </c>
      <c r="B106" s="43" t="n">
        <v>253.585</v>
      </c>
      <c r="C106" s="122" t="n">
        <f aca="false">IF(OR(B106="",B105=""),"",B106/B105-1)</f>
        <v>0.00902044421808235</v>
      </c>
      <c r="D106" s="122" t="n">
        <f aca="false">IF(B106="","",IFERROR(B106/INDEX($B$2:$B$800,MATCH(DATE(YEAR(A106)-1,12,1),$A$2:$A$800,0))-1,""))</f>
        <v>0.0528271492686654</v>
      </c>
      <c r="E106" s="122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1" t="n">
        <v>37742</v>
      </c>
      <c r="B107" s="43" t="n">
        <v>260.778</v>
      </c>
      <c r="C107" s="122" t="n">
        <f aca="false">IF(OR(B107="",B106=""),"",B107/B106-1)</f>
        <v>0.0283652424236449</v>
      </c>
      <c r="D107" s="122" t="n">
        <f aca="false">IF(B107="","",IFERROR(B107/INDEX($B$2:$B$800,MATCH(DATE(YEAR(A107)-1,12,1),$A$2:$A$800,0))-1,""))</f>
        <v>0.0826908465878662</v>
      </c>
      <c r="E107" s="122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1" t="n">
        <v>37773</v>
      </c>
      <c r="B108" s="43" t="n">
        <v>263.516</v>
      </c>
      <c r="C108" s="122" t="n">
        <f aca="false">IF(OR(B108="",B107=""),"",B108/B107-1)</f>
        <v>0.0104993519391974</v>
      </c>
      <c r="D108" s="122" t="n">
        <f aca="false">IF(B108="","",IFERROR(B108/INDEX($B$2:$B$800,MATCH(DATE(YEAR(A108)-1,12,1),$A$2:$A$800,0))-1,""))</f>
        <v>0.0940583988275396</v>
      </c>
      <c r="E108" s="122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1" t="n">
        <v>37803</v>
      </c>
      <c r="B109" s="43" t="n">
        <v>266.132</v>
      </c>
      <c r="C109" s="122" t="n">
        <f aca="false">IF(OR(B109="",B108=""),"",B109/B108-1)</f>
        <v>0.00992729094248546</v>
      </c>
      <c r="D109" s="122" t="n">
        <f aca="false">IF(B109="","",IFERROR(B109/INDEX($B$2:$B$800,MATCH(DATE(YEAR(A109)-1,12,1),$A$2:$A$800,0))-1,""))</f>
        <v>0.10491943486077</v>
      </c>
      <c r="E109" s="122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1" t="n">
        <v>37834</v>
      </c>
      <c r="B110" s="43" t="n">
        <v>269.967</v>
      </c>
      <c r="C110" s="122" t="n">
        <f aca="false">IF(OR(B110="",B109=""),"",B110/B109-1)</f>
        <v>0.0144101423353824</v>
      </c>
      <c r="D110" s="122" t="n">
        <f aca="false">IF(B110="","",IFERROR(B110/INDEX($B$2:$B$800,MATCH(DATE(YEAR(A110)-1,12,1),$A$2:$A$800,0))-1,""))</f>
        <v>0.120841481186244</v>
      </c>
      <c r="E110" s="122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1" t="n">
        <v>37865</v>
      </c>
      <c r="B111" s="43" t="n">
        <v>270.555</v>
      </c>
      <c r="C111" s="122" t="n">
        <f aca="false">IF(OR(B111="",B110=""),"",B111/B110-1)</f>
        <v>0.00217804398315358</v>
      </c>
      <c r="D111" s="122" t="n">
        <f aca="false">IF(B111="","",IFERROR(B111/INDEX($B$2:$B$800,MATCH(DATE(YEAR(A111)-1,12,1),$A$2:$A$800,0))-1,""))</f>
        <v>0.123282723230411</v>
      </c>
      <c r="E111" s="122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1" t="n">
        <v>37895</v>
      </c>
      <c r="B112" s="43" t="n">
        <v>272.325</v>
      </c>
      <c r="C112" s="122" t="n">
        <f aca="false">IF(OR(B112="",B111=""),"",B112/B111-1)</f>
        <v>0.00654210788933862</v>
      </c>
      <c r="D112" s="122" t="n">
        <f aca="false">IF(B112="","",IFERROR(B112/INDEX($B$2:$B$800,MATCH(DATE(YEAR(A112)-1,12,1),$A$2:$A$800,0))-1,""))</f>
        <v>0.130631359996014</v>
      </c>
      <c r="E112" s="122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1" t="n">
        <v>37926</v>
      </c>
      <c r="B113" s="43" t="n">
        <v>275.152</v>
      </c>
      <c r="C113" s="122" t="n">
        <f aca="false">IF(OR(B113="",B112=""),"",B113/B112-1)</f>
        <v>0.0103809786101166</v>
      </c>
      <c r="D113" s="122" t="n">
        <f aca="false">IF(B113="","",IFERROR(B113/INDEX($B$2:$B$800,MATCH(DATE(YEAR(A113)-1,12,1),$A$2:$A$800,0))-1,""))</f>
        <v>0.14236841996006</v>
      </c>
      <c r="E113" s="122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1" t="n">
        <v>37956</v>
      </c>
      <c r="B114" s="43" t="n">
        <v>275.594</v>
      </c>
      <c r="C114" s="122" t="n">
        <f aca="false">IF(OR(B114="",B113=""),"",B114/B113-1)</f>
        <v>0.00160638483456421</v>
      </c>
      <c r="D114" s="122" t="n">
        <f aca="false">IF(B114="","",IFERROR(B114/INDEX($B$2:$B$800,MATCH(DATE(YEAR(A114)-1,12,1),$A$2:$A$800,0))-1,""))</f>
        <v>0.144203503265369</v>
      </c>
      <c r="E114" s="122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1" t="n">
        <v>37987</v>
      </c>
      <c r="B115" s="43" t="n">
        <v>276.49</v>
      </c>
      <c r="C115" s="122" t="n">
        <f aca="false">IF(OR(B115="",B114=""),"",B115/B114-1)</f>
        <v>0.00325115931406339</v>
      </c>
      <c r="D115" s="122" t="n">
        <f aca="false">IF(B115="","",IFERROR(B115/INDEX($B$2:$B$800,MATCH(DATE(YEAR(A115)-1,12,1),$A$2:$A$800,0))-1,""))</f>
        <v>0.00325115931406339</v>
      </c>
      <c r="E115" s="122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1" t="n">
        <v>38018</v>
      </c>
      <c r="B116" s="43" t="n">
        <v>279.243</v>
      </c>
      <c r="C116" s="122" t="n">
        <f aca="false">IF(OR(B116="",B115=""),"",B116/B115-1)</f>
        <v>0.00995696046873307</v>
      </c>
      <c r="D116" s="122" t="n">
        <f aca="false">IF(B116="","",IFERROR(B116/INDEX($B$2:$B$800,MATCH(DATE(YEAR(A116)-1,12,1),$A$2:$A$800,0))-1,""))</f>
        <v>0.0132404914475641</v>
      </c>
      <c r="E116" s="122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1" t="n">
        <v>38047</v>
      </c>
      <c r="B117" s="43" t="n">
        <v>282.47</v>
      </c>
      <c r="C117" s="122" t="n">
        <f aca="false">IF(OR(B117="",B116=""),"",B117/B116-1)</f>
        <v>0.0115562431287446</v>
      </c>
      <c r="D117" s="122" t="n">
        <f aca="false">IF(B117="","",IFERROR(B117/INDEX($B$2:$B$800,MATCH(DATE(YEAR(A117)-1,12,1),$A$2:$A$800,0))-1,""))</f>
        <v>0.024949744914621</v>
      </c>
      <c r="E117" s="122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1" t="n">
        <v>38078</v>
      </c>
      <c r="B118" s="43" t="n">
        <v>284.128</v>
      </c>
      <c r="C118" s="122" t="n">
        <f aca="false">IF(OR(B118="",B117=""),"",B118/B117-1)</f>
        <v>0.0058696498743227</v>
      </c>
      <c r="D118" s="122" t="n">
        <f aca="false">IF(B118="","",IFERROR(B118/INDEX($B$2:$B$800,MATCH(DATE(YEAR(A118)-1,12,1),$A$2:$A$800,0))-1,""))</f>
        <v>0.0309658410560463</v>
      </c>
      <c r="E118" s="122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1" t="n">
        <v>38108</v>
      </c>
      <c r="B119" s="43" t="n">
        <v>289.317</v>
      </c>
      <c r="C119" s="122" t="n">
        <f aca="false">IF(OR(B119="",B118=""),"",B119/B118-1)</f>
        <v>0.0182628955963511</v>
      </c>
      <c r="D119" s="122" t="n">
        <f aca="false">IF(B119="","",IFERROR(B119/INDEX($B$2:$B$800,MATCH(DATE(YEAR(A119)-1,12,1),$A$2:$A$800,0))-1,""))</f>
        <v>0.049794262574657</v>
      </c>
      <c r="E119" s="122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1" t="n">
        <v>38139</v>
      </c>
      <c r="B120" s="43" t="n">
        <v>291.348</v>
      </c>
      <c r="C120" s="122" t="n">
        <f aca="false">IF(OR(B120="",B119=""),"",B120/B119-1)</f>
        <v>0.00701998154273698</v>
      </c>
      <c r="D120" s="122" t="n">
        <f aca="false">IF(B120="","",IFERROR(B120/INDEX($B$2:$B$800,MATCH(DATE(YEAR(A120)-1,12,1),$A$2:$A$800,0))-1,""))</f>
        <v>0.0571637989216021</v>
      </c>
      <c r="E120" s="122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1" t="n">
        <v>38169</v>
      </c>
      <c r="B121" s="43" t="n">
        <v>294.625</v>
      </c>
      <c r="C121" s="122" t="n">
        <f aca="false">IF(OR(B121="",B120=""),"",B121/B120-1)</f>
        <v>0.0112477175062125</v>
      </c>
      <c r="D121" s="122" t="n">
        <f aca="false">IF(B121="","",IFERROR(B121/INDEX($B$2:$B$800,MATCH(DATE(YEAR(A121)-1,12,1),$A$2:$A$800,0))-1,""))</f>
        <v>0.0690544786896667</v>
      </c>
      <c r="E121" s="122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1" t="n">
        <v>38200</v>
      </c>
      <c r="B122" s="43" t="n">
        <v>297.003</v>
      </c>
      <c r="C122" s="122" t="n">
        <f aca="false">IF(OR(B122="",B121=""),"",B122/B121-1)</f>
        <v>0.00807127704709365</v>
      </c>
      <c r="D122" s="122" t="n">
        <f aca="false">IF(B122="","",IFERROR(B122/INDEX($B$2:$B$800,MATCH(DATE(YEAR(A122)-1,12,1),$A$2:$A$800,0))-1,""))</f>
        <v>0.0776831135656073</v>
      </c>
      <c r="E122" s="122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1" t="n">
        <v>38231</v>
      </c>
      <c r="B123" s="43" t="n">
        <v>298.722</v>
      </c>
      <c r="C123" s="122" t="n">
        <f aca="false">IF(OR(B123="",B122=""),"",B123/B122-1)</f>
        <v>0.00578782032504721</v>
      </c>
      <c r="D123" s="122" t="n">
        <f aca="false">IF(B123="","",IFERROR(B123/INDEX($B$2:$B$800,MATCH(DATE(YEAR(A123)-1,12,1),$A$2:$A$800,0))-1,""))</f>
        <v>0.0839205497942626</v>
      </c>
      <c r="E123" s="122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1" t="n">
        <v>38261</v>
      </c>
      <c r="B124" s="43" t="n">
        <v>302.275</v>
      </c>
      <c r="C124" s="122" t="n">
        <f aca="false">IF(OR(B124="",B123=""),"",B124/B123-1)</f>
        <v>0.0118940017809202</v>
      </c>
      <c r="D124" s="122" t="n">
        <f aca="false">IF(B124="","",IFERROR(B124/INDEX($B$2:$B$800,MATCH(DATE(YEAR(A124)-1,12,1),$A$2:$A$800,0))-1,""))</f>
        <v>0.0968127027438914</v>
      </c>
      <c r="E124" s="122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1" t="n">
        <v>38292</v>
      </c>
      <c r="B125" s="43" t="n">
        <v>304.429</v>
      </c>
      <c r="C125" s="122" t="n">
        <f aca="false">IF(OR(B125="",B124=""),"",B125/B124-1)</f>
        <v>0.00712596145893629</v>
      </c>
      <c r="D125" s="122" t="n">
        <f aca="false">IF(B125="","",IFERROR(B125/INDEX($B$2:$B$800,MATCH(DATE(YEAR(A125)-1,12,1),$A$2:$A$800,0))-1,""))</f>
        <v>0.104628547791316</v>
      </c>
      <c r="E125" s="122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1" t="n">
        <v>38322</v>
      </c>
      <c r="B126" s="43" t="n">
        <v>305.974</v>
      </c>
      <c r="C126" s="122" t="n">
        <f aca="false">IF(OR(B126="",B125=""),"",B126/B125-1)</f>
        <v>0.00507507497643145</v>
      </c>
      <c r="D126" s="122" t="n">
        <f aca="false">IF(B126="","",IFERROR(B126/INDEX($B$2:$B$800,MATCH(DATE(YEAR(A126)-1,12,1),$A$2:$A$800,0))-1,""))</f>
        <v>0.110234620492464</v>
      </c>
      <c r="E126" s="122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1" t="n">
        <v>38353</v>
      </c>
      <c r="B127" s="43" t="n">
        <v>308.284</v>
      </c>
      <c r="C127" s="122" t="n">
        <f aca="false">IF(OR(B127="",B126=""),"",B127/B126-1)</f>
        <v>0.00754966108231425</v>
      </c>
      <c r="D127" s="122" t="n">
        <f aca="false">IF(B127="","",IFERROR(B127/INDEX($B$2:$B$800,MATCH(DATE(YEAR(A127)-1,12,1),$A$2:$A$800,0))-1,""))</f>
        <v>0.00754966108231425</v>
      </c>
      <c r="E127" s="122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1" t="n">
        <v>38384</v>
      </c>
      <c r="B128" s="43" t="n">
        <v>309.646</v>
      </c>
      <c r="C128" s="122" t="n">
        <f aca="false">IF(OR(B128="",B127=""),"",B128/B127-1)</f>
        <v>0.00441800417796578</v>
      </c>
      <c r="D128" s="122" t="n">
        <f aca="false">IF(B128="","",IFERROR(B128/INDEX($B$2:$B$800,MATCH(DATE(YEAR(A128)-1,12,1),$A$2:$A$800,0))-1,""))</f>
        <v>0.012001019694484</v>
      </c>
      <c r="E128" s="122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1" t="n">
        <v>38412</v>
      </c>
      <c r="B129" s="43" t="n">
        <v>311.733</v>
      </c>
      <c r="C129" s="122" t="n">
        <f aca="false">IF(OR(B129="",B128=""),"",B129/B128-1)</f>
        <v>0.00673995465789967</v>
      </c>
      <c r="D129" s="122" t="n">
        <f aca="false">IF(B129="","",IFERROR(B129/INDEX($B$2:$B$800,MATCH(DATE(YEAR(A129)-1,12,1),$A$2:$A$800,0))-1,""))</f>
        <v>0.0188218606809729</v>
      </c>
      <c r="E129" s="122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1" t="n">
        <v>38443</v>
      </c>
      <c r="B130" s="43" t="n">
        <v>313.977</v>
      </c>
      <c r="C130" s="122" t="n">
        <f aca="false">IF(OR(B130="",B129=""),"",B130/B129-1)</f>
        <v>0.00719846791966194</v>
      </c>
      <c r="D130" s="122" t="n">
        <f aca="false">IF(B130="","",IFERROR(B130/INDEX($B$2:$B$800,MATCH(DATE(YEAR(A130)-1,12,1),$A$2:$A$800,0))-1,""))</f>
        <v>0.0261558171609353</v>
      </c>
      <c r="E130" s="122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1" t="n">
        <v>38473</v>
      </c>
      <c r="B131" s="43" t="n">
        <v>320.524</v>
      </c>
      <c r="C131" s="122" t="n">
        <f aca="false">IF(OR(B131="",B130=""),"",B131/B130-1)</f>
        <v>0.0208518458358415</v>
      </c>
      <c r="D131" s="122" t="n">
        <f aca="false">IF(B131="","",IFERROR(B131/INDEX($B$2:$B$800,MATCH(DATE(YEAR(A131)-1,12,1),$A$2:$A$800,0))-1,""))</f>
        <v>0.0475530600639271</v>
      </c>
      <c r="E131" s="122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1" t="n">
        <v>38504</v>
      </c>
      <c r="B132" s="43" t="n">
        <v>322.974</v>
      </c>
      <c r="C132" s="122" t="n">
        <f aca="false">IF(OR(B132="",B131=""),"",B132/B131-1)</f>
        <v>0.00764373338657953</v>
      </c>
      <c r="D132" s="122" t="n">
        <f aca="false">IF(B132="","",IFERROR(B132/INDEX($B$2:$B$800,MATCH(DATE(YEAR(A132)-1,12,1),$A$2:$A$800,0))-1,""))</f>
        <v>0.0555602763633511</v>
      </c>
      <c r="E132" s="122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1" t="n">
        <v>38534</v>
      </c>
      <c r="B133" s="43" t="n">
        <v>323.332</v>
      </c>
      <c r="C133" s="122" t="n">
        <f aca="false">IF(OR(B133="",B132=""),"",B133/B132-1)</f>
        <v>0.00110844835807211</v>
      </c>
      <c r="D133" s="122" t="n">
        <f aca="false">IF(B133="","",IFERROR(B133/INDEX($B$2:$B$800,MATCH(DATE(YEAR(A133)-1,12,1),$A$2:$A$800,0))-1,""))</f>
        <v>0.0567303104185324</v>
      </c>
      <c r="E133" s="122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1" t="n">
        <v>38565</v>
      </c>
      <c r="B134" s="43" t="n">
        <v>323.382</v>
      </c>
      <c r="C134" s="122" t="n">
        <f aca="false">IF(OR(B134="",B133=""),"",B134/B133-1)</f>
        <v>0.000154639812947721</v>
      </c>
      <c r="D134" s="122" t="n">
        <f aca="false">IF(B134="","",IFERROR(B134/INDEX($B$2:$B$800,MATCH(DATE(YEAR(A134)-1,12,1),$A$2:$A$800,0))-1,""))</f>
        <v>0.0568937229960715</v>
      </c>
      <c r="E134" s="122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1" t="n">
        <v>38596</v>
      </c>
      <c r="B135" s="43" t="n">
        <v>324.164</v>
      </c>
      <c r="C135" s="122" t="n">
        <f aca="false">IF(OR(B135="",B134=""),"",B135/B134-1)</f>
        <v>0.00241819272563104</v>
      </c>
      <c r="D135" s="122" t="n">
        <f aca="false">IF(B135="","",IFERROR(B135/INDEX($B$2:$B$800,MATCH(DATE(YEAR(A135)-1,12,1),$A$2:$A$800,0))-1,""))</f>
        <v>0.0594494957087857</v>
      </c>
      <c r="E135" s="122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1" t="n">
        <v>38626</v>
      </c>
      <c r="B136" s="43" t="n">
        <v>324.782</v>
      </c>
      <c r="C136" s="122" t="n">
        <f aca="false">IF(OR(B136="",B135=""),"",B136/B135-1)</f>
        <v>0.00190644241803528</v>
      </c>
      <c r="D136" s="122" t="n">
        <f aca="false">IF(B136="","",IFERROR(B136/INDEX($B$2:$B$800,MATCH(DATE(YEAR(A136)-1,12,1),$A$2:$A$800,0))-1,""))</f>
        <v>0.061469275167171</v>
      </c>
      <c r="E136" s="122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1" t="n">
        <v>38657</v>
      </c>
      <c r="B137" s="43" t="n">
        <v>325.703</v>
      </c>
      <c r="C137" s="122" t="n">
        <f aca="false">IF(OR(B137="",B136=""),"",B137/B136-1)</f>
        <v>0.00283574828654287</v>
      </c>
      <c r="D137" s="122" t="n">
        <f aca="false">IF(B137="","",IFERROR(B137/INDEX($B$2:$B$800,MATCH(DATE(YEAR(A137)-1,12,1),$A$2:$A$800,0))-1,""))</f>
        <v>0.0644793348454444</v>
      </c>
      <c r="E137" s="122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1" t="n">
        <v>38687</v>
      </c>
      <c r="B138" s="43" t="n">
        <v>326.915</v>
      </c>
      <c r="C138" s="122" t="n">
        <f aca="false">IF(OR(B138="",B137=""),"",B138/B137-1)</f>
        <v>0.0037211815672562</v>
      </c>
      <c r="D138" s="122" t="n">
        <f aca="false">IF(B138="","",IFERROR(B138/INDEX($B$2:$B$800,MATCH(DATE(YEAR(A138)-1,12,1),$A$2:$A$800,0))-1,""))</f>
        <v>0.0684404557249962</v>
      </c>
      <c r="E138" s="122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1" t="n">
        <v>38718</v>
      </c>
      <c r="B139" s="43" t="n">
        <v>328.042</v>
      </c>
      <c r="C139" s="122" t="n">
        <f aca="false">IF(OR(B139="",B138=""),"",B139/B138-1)</f>
        <v>0.00344737928819394</v>
      </c>
      <c r="D139" s="122" t="n">
        <f aca="false">IF(B139="","",IFERROR(B139/INDEX($B$2:$B$800,MATCH(DATE(YEAR(A139)-1,12,1),$A$2:$A$800,0))-1,""))</f>
        <v>0.00344737928819394</v>
      </c>
      <c r="E139" s="122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1" t="n">
        <v>38749</v>
      </c>
      <c r="B140" s="43" t="n">
        <v>328.651</v>
      </c>
      <c r="C140" s="122" t="n">
        <f aca="false">IF(OR(B140="",B139=""),"",B140/B139-1)</f>
        <v>0.00185646959840513</v>
      </c>
      <c r="D140" s="122" t="n">
        <f aca="false">IF(B140="","",IFERROR(B140/INDEX($B$2:$B$800,MATCH(DATE(YEAR(A140)-1,12,1),$A$2:$A$800,0))-1,""))</f>
        <v>0.00531024884144204</v>
      </c>
      <c r="E140" s="122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1" t="n">
        <v>38777</v>
      </c>
      <c r="B141" s="43" t="n">
        <v>329.32</v>
      </c>
      <c r="C141" s="122" t="n">
        <f aca="false">IF(OR(B141="",B140=""),"",B141/B140-1)</f>
        <v>0.00203559398875997</v>
      </c>
      <c r="D141" s="122" t="n">
        <f aca="false">IF(B141="","",IFERROR(B141/INDEX($B$2:$B$800,MATCH(DATE(YEAR(A141)-1,12,1),$A$2:$A$800,0))-1,""))</f>
        <v>0.00735665234082239</v>
      </c>
      <c r="E141" s="122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1" t="n">
        <v>38808</v>
      </c>
      <c r="B142" s="43" t="n">
        <v>330.501</v>
      </c>
      <c r="C142" s="122" t="n">
        <f aca="false">IF(OR(B142="",B141=""),"",B142/B141-1)</f>
        <v>0.00358617757803947</v>
      </c>
      <c r="D142" s="122" t="n">
        <f aca="false">IF(B142="","",IFERROR(B142/INDEX($B$2:$B$800,MATCH(DATE(YEAR(A142)-1,12,1),$A$2:$A$800,0))-1,""))</f>
        <v>0.010969212180536</v>
      </c>
      <c r="E142" s="122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1" t="n">
        <v>38838</v>
      </c>
      <c r="B143" s="43" t="n">
        <v>334.867</v>
      </c>
      <c r="C143" s="122" t="n">
        <f aca="false">IF(OR(B143="",B142=""),"",B143/B142-1)</f>
        <v>0.0132102474727762</v>
      </c>
      <c r="D143" s="122" t="n">
        <f aca="false">IF(B143="","",IFERROR(B143/INDEX($B$2:$B$800,MATCH(DATE(YEAR(A143)-1,12,1),$A$2:$A$800,0))-1,""))</f>
        <v>0.0243243656607988</v>
      </c>
      <c r="E143" s="122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1" t="n">
        <v>38869</v>
      </c>
      <c r="B144" s="43" t="n">
        <v>337.892</v>
      </c>
      <c r="C144" s="122" t="n">
        <f aca="false">IF(OR(B144="",B143=""),"",B144/B143-1)</f>
        <v>0.00903343715564686</v>
      </c>
      <c r="D144" s="122" t="n">
        <f aca="false">IF(B144="","",IFERROR(B144/INDEX($B$2:$B$800,MATCH(DATE(YEAR(A144)-1,12,1),$A$2:$A$800,0))-1,""))</f>
        <v>0.0335775354449932</v>
      </c>
      <c r="E144" s="122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1" t="n">
        <v>38899</v>
      </c>
      <c r="B145" s="43" t="n">
        <v>339.484</v>
      </c>
      <c r="C145" s="122" t="n">
        <f aca="false">IF(OR(B145="",B144=""),"",B145/B144-1)</f>
        <v>0.00471156464195666</v>
      </c>
      <c r="D145" s="122" t="n">
        <f aca="false">IF(B145="","",IFERROR(B145/INDEX($B$2:$B$800,MATCH(DATE(YEAR(A145)-1,12,1),$A$2:$A$800,0))-1,""))</f>
        <v>0.0384473028157164</v>
      </c>
      <c r="E145" s="122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1" t="n">
        <v>38930</v>
      </c>
      <c r="B146" s="43" t="n">
        <v>340.283</v>
      </c>
      <c r="C146" s="122" t="n">
        <f aca="false">IF(OR(B146="",B145=""),"",B146/B145-1)</f>
        <v>0.00235357189145891</v>
      </c>
      <c r="D146" s="122" t="n">
        <f aca="false">IF(B146="","",IFERROR(B146/INDEX($B$2:$B$800,MATCH(DATE(YEAR(A146)-1,12,1),$A$2:$A$800,0))-1,""))</f>
        <v>0.0408913631983849</v>
      </c>
      <c r="E146" s="122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1" t="n">
        <v>38961</v>
      </c>
      <c r="B147" s="43" t="n">
        <v>340.67</v>
      </c>
      <c r="C147" s="122" t="n">
        <f aca="false">IF(OR(B147="",B146=""),"",B147/B146-1)</f>
        <v>0.00113728866854945</v>
      </c>
      <c r="D147" s="122" t="n">
        <f aca="false">IF(B147="","",IFERROR(B147/INDEX($B$2:$B$800,MATCH(DATE(YEAR(A147)-1,12,1),$A$2:$A$800,0))-1,""))</f>
        <v>0.0420751571509415</v>
      </c>
      <c r="E147" s="122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1" t="n">
        <v>38991</v>
      </c>
      <c r="B148" s="43" t="n">
        <v>341.369</v>
      </c>
      <c r="C148" s="122" t="n">
        <f aca="false">IF(OR(B148="",B147=""),"",B148/B147-1)</f>
        <v>0.00205183902310147</v>
      </c>
      <c r="D148" s="122" t="n">
        <f aca="false">IF(B148="","",IFERROR(B148/INDEX($B$2:$B$800,MATCH(DATE(YEAR(A148)-1,12,1),$A$2:$A$800,0))-1,""))</f>
        <v>0.0442133276233883</v>
      </c>
      <c r="E148" s="122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1" t="n">
        <v>39022</v>
      </c>
      <c r="B149" s="43" t="n">
        <v>342.159</v>
      </c>
      <c r="C149" s="122" t="n">
        <f aca="false">IF(OR(B149="",B148=""),"",B149/B148-1)</f>
        <v>0.00231421130799792</v>
      </c>
      <c r="D149" s="122" t="n">
        <f aca="false">IF(B149="","",IFERROR(B149/INDEX($B$2:$B$800,MATCH(DATE(YEAR(A149)-1,12,1),$A$2:$A$800,0))-1,""))</f>
        <v>0.0466298579141367</v>
      </c>
      <c r="E149" s="122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1" t="n">
        <v>39052</v>
      </c>
      <c r="B150" s="43" t="n">
        <v>343.401</v>
      </c>
      <c r="C150" s="122" t="n">
        <f aca="false">IF(OR(B150="",B149=""),"",B150/B149-1)</f>
        <v>0.00362989136629466</v>
      </c>
      <c r="D150" s="122" t="n">
        <f aca="false">IF(B150="","",IFERROR(B150/INDEX($B$2:$B$800,MATCH(DATE(YEAR(A150)-1,12,1),$A$2:$A$800,0))-1,""))</f>
        <v>0.0504290105990854</v>
      </c>
      <c r="E150" s="122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1" t="n">
        <v>39083</v>
      </c>
      <c r="B151" s="43" t="n">
        <v>344.943</v>
      </c>
      <c r="C151" s="122" t="n">
        <f aca="false">IF(OR(B151="",B150=""),"",B151/B150-1)</f>
        <v>0.00449037713926281</v>
      </c>
      <c r="D151" s="122" t="n">
        <f aca="false">IF(B151="","",IFERROR(B151/INDEX($B$2:$B$800,MATCH(DATE(YEAR(A151)-1,12,1),$A$2:$A$800,0))-1,""))</f>
        <v>0.00449037713926281</v>
      </c>
      <c r="E151" s="122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1" t="n">
        <v>39114</v>
      </c>
      <c r="B152" s="43" t="n">
        <v>345.682</v>
      </c>
      <c r="C152" s="122" t="n">
        <f aca="false">IF(OR(B152="",B151=""),"",B152/B151-1)</f>
        <v>0.0021423829444287</v>
      </c>
      <c r="D152" s="122" t="n">
        <f aca="false">IF(B152="","",IFERROR(B152/INDEX($B$2:$B$800,MATCH(DATE(YEAR(A152)-1,12,1),$A$2:$A$800,0))-1,""))</f>
        <v>0.00664238019108865</v>
      </c>
      <c r="E152" s="122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1" t="n">
        <v>39142</v>
      </c>
      <c r="B153" s="43" t="n">
        <v>346.617</v>
      </c>
      <c r="C153" s="122" t="n">
        <f aca="false">IF(OR(B153="",B152=""),"",B153/B152-1)</f>
        <v>0.00270479805138835</v>
      </c>
      <c r="D153" s="122" t="n">
        <f aca="false">IF(B153="","",IFERROR(B153/INDEX($B$2:$B$800,MATCH(DATE(YEAR(A153)-1,12,1),$A$2:$A$800,0))-1,""))</f>
        <v>0.00936514453947424</v>
      </c>
      <c r="E153" s="122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1" t="n">
        <v>39173</v>
      </c>
      <c r="B154" s="43" t="n">
        <v>348.194</v>
      </c>
      <c r="C154" s="122" t="n">
        <f aca="false">IF(OR(B154="",B153=""),"",B154/B153-1)</f>
        <v>0.0045496902921669</v>
      </c>
      <c r="D154" s="122" t="n">
        <f aca="false">IF(B154="","",IFERROR(B154/INDEX($B$2:$B$800,MATCH(DATE(YEAR(A154)-1,12,1),$A$2:$A$800,0))-1,""))</f>
        <v>0.0139574433388372</v>
      </c>
      <c r="E154" s="122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1" t="n">
        <v>39203</v>
      </c>
      <c r="B155" s="43" t="n">
        <v>352.204</v>
      </c>
      <c r="C155" s="122" t="n">
        <f aca="false">IF(OR(B155="",B154=""),"",B155/B154-1)</f>
        <v>0.011516568349828</v>
      </c>
      <c r="D155" s="122" t="n">
        <f aca="false">IF(B155="","",IFERROR(B155/INDEX($B$2:$B$800,MATCH(DATE(YEAR(A155)-1,12,1),$A$2:$A$800,0))-1,""))</f>
        <v>0.0256347535388657</v>
      </c>
      <c r="E155" s="122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1" t="n">
        <v>39234</v>
      </c>
      <c r="B156" s="43" t="n">
        <v>355.456</v>
      </c>
      <c r="C156" s="122" t="n">
        <f aca="false">IF(OR(B156="",B155=""),"",B156/B155-1)</f>
        <v>0.00923328525513623</v>
      </c>
      <c r="D156" s="122" t="n">
        <f aca="false">IF(B156="","",IFERROR(B156/INDEX($B$2:$B$800,MATCH(DATE(YEAR(A156)-1,12,1),$A$2:$A$800,0))-1,""))</f>
        <v>0.0351047317858713</v>
      </c>
      <c r="E156" s="122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1" t="n">
        <v>39264</v>
      </c>
      <c r="B157" s="43" t="n">
        <v>356.545</v>
      </c>
      <c r="C157" s="122" t="n">
        <f aca="false">IF(OR(B157="",B156=""),"",B157/B156-1)</f>
        <v>0.00306367032769184</v>
      </c>
      <c r="D157" s="122" t="n">
        <f aca="false">IF(B157="","",IFERROR(B157/INDEX($B$2:$B$800,MATCH(DATE(YEAR(A157)-1,12,1),$A$2:$A$800,0))-1,""))</f>
        <v>0.038275951438697</v>
      </c>
      <c r="E157" s="122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1" t="n">
        <v>39295</v>
      </c>
      <c r="B158" s="43" t="n">
        <v>357.467</v>
      </c>
      <c r="C158" s="122" t="n">
        <f aca="false">IF(OR(B158="",B157=""),"",B158/B157-1)</f>
        <v>0.00258592884488618</v>
      </c>
      <c r="D158" s="122" t="n">
        <f aca="false">IF(B158="","",IFERROR(B158/INDEX($B$2:$B$800,MATCH(DATE(YEAR(A158)-1,12,1),$A$2:$A$800,0))-1,""))</f>
        <v>0.040960859170474</v>
      </c>
      <c r="E158" s="122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1" t="n">
        <v>39326</v>
      </c>
      <c r="B159" s="43" t="n">
        <v>359.276</v>
      </c>
      <c r="C159" s="122" t="n">
        <f aca="false">IF(OR(B159="",B158=""),"",B159/B158-1)</f>
        <v>0.00506060699309319</v>
      </c>
      <c r="D159" s="122" t="n">
        <f aca="false">IF(B159="","",IFERROR(B159/INDEX($B$2:$B$800,MATCH(DATE(YEAR(A159)-1,12,1),$A$2:$A$800,0))-1,""))</f>
        <v>0.0462287529739285</v>
      </c>
      <c r="E159" s="122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1" t="n">
        <v>39356</v>
      </c>
      <c r="B160" s="43" t="n">
        <v>361.102</v>
      </c>
      <c r="C160" s="122" t="n">
        <f aca="false">IF(OR(B160="",B159=""),"",B160/B159-1)</f>
        <v>0.00508244358097953</v>
      </c>
      <c r="D160" s="122" t="n">
        <f aca="false">IF(B160="","",IFERROR(B160/INDEX($B$2:$B$800,MATCH(DATE(YEAR(A160)-1,12,1),$A$2:$A$800,0))-1,""))</f>
        <v>0.0515461515837168</v>
      </c>
      <c r="E160" s="122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1" t="n">
        <v>39387</v>
      </c>
      <c r="B161" s="43" t="n">
        <v>362.403</v>
      </c>
      <c r="C161" s="122" t="n">
        <f aca="false">IF(OR(B161="",B160=""),"",B161/B160-1)</f>
        <v>0.00360286013370192</v>
      </c>
      <c r="D161" s="122" t="n">
        <f aca="false">IF(B161="","",IFERROR(B161/INDEX($B$2:$B$800,MATCH(DATE(YEAR(A161)-1,12,1),$A$2:$A$800,0))-1,""))</f>
        <v>0.0553347252920056</v>
      </c>
      <c r="E161" s="122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1" t="n">
        <v>39417</v>
      </c>
      <c r="B162" s="43" t="n">
        <v>364.525</v>
      </c>
      <c r="C162" s="122" t="n">
        <f aca="false">IF(OR(B162="",B161=""),"",B162/B161-1)</f>
        <v>0.00585535991699837</v>
      </c>
      <c r="D162" s="122" t="n">
        <f aca="false">IF(B162="","",IFERROR(B162/INDEX($B$2:$B$800,MATCH(DATE(YEAR(A162)-1,12,1),$A$2:$A$800,0))-1,""))</f>
        <v>0.0615140899414968</v>
      </c>
      <c r="E162" s="122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1" t="n">
        <v>39448</v>
      </c>
      <c r="B163" s="43" t="n">
        <v>365.906</v>
      </c>
      <c r="C163" s="122" t="n">
        <f aca="false">IF(OR(B163="",B162=""),"",B163/B162-1)</f>
        <v>0.00378849187298558</v>
      </c>
      <c r="D163" s="122" t="n">
        <f aca="false">IF(B163="","",IFERROR(B163/INDEX($B$2:$B$800,MATCH(DATE(YEAR(A163)-1,12,1),$A$2:$A$800,0))-1,""))</f>
        <v>0.00378849187298558</v>
      </c>
      <c r="E163" s="122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1" t="n">
        <v>39479</v>
      </c>
      <c r="B164" s="43" t="n">
        <v>367.382</v>
      </c>
      <c r="C164" s="122" t="n">
        <f aca="false">IF(OR(B164="",B163=""),"",B164/B163-1)</f>
        <v>0.00403382289440457</v>
      </c>
      <c r="D164" s="122" t="n">
        <f aca="false">IF(B164="","",IFERROR(B164/INDEX($B$2:$B$800,MATCH(DATE(YEAR(A164)-1,12,1),$A$2:$A$800,0))-1,""))</f>
        <v>0.00783759687264252</v>
      </c>
      <c r="E164" s="122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1" t="n">
        <v>39508</v>
      </c>
      <c r="B165" s="43" t="n">
        <v>369.812</v>
      </c>
      <c r="C165" s="122" t="n">
        <f aca="false">IF(OR(B165="",B164=""),"",B165/B164-1)</f>
        <v>0.00661436869525445</v>
      </c>
      <c r="D165" s="122" t="n">
        <f aca="false">IF(B165="","",IFERROR(B165/INDEX($B$2:$B$800,MATCH(DATE(YEAR(A165)-1,12,1),$A$2:$A$800,0))-1,""))</f>
        <v>0.0145038063232976</v>
      </c>
      <c r="E165" s="122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1" t="n">
        <v>39539</v>
      </c>
      <c r="B166" s="43" t="n">
        <v>373.031</v>
      </c>
      <c r="C166" s="122" t="n">
        <f aca="false">IF(OR(B166="",B165=""),"",B166/B165-1)</f>
        <v>0.00870442278779482</v>
      </c>
      <c r="D166" s="122" t="n">
        <f aca="false">IF(B166="","",IFERROR(B166/INDEX($B$2:$B$800,MATCH(DATE(YEAR(A166)-1,12,1),$A$2:$A$800,0))-1,""))</f>
        <v>0.0233344763733627</v>
      </c>
      <c r="E166" s="122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1" t="n">
        <v>39569</v>
      </c>
      <c r="B167" s="43" t="n">
        <v>380.582</v>
      </c>
      <c r="C167" s="122" t="n">
        <f aca="false">IF(OR(B167="",B166=""),"",B167/B166-1)</f>
        <v>0.0202422854936988</v>
      </c>
      <c r="D167" s="122" t="n">
        <f aca="false">IF(B167="","",IFERROR(B167/INDEX($B$2:$B$800,MATCH(DATE(YEAR(A167)-1,12,1),$A$2:$A$800,0))-1,""))</f>
        <v>0.0440491049996572</v>
      </c>
      <c r="E167" s="122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1" t="n">
        <v>39600</v>
      </c>
      <c r="B168" s="43" t="n">
        <v>387.906</v>
      </c>
      <c r="C168" s="122" t="n">
        <f aca="false">IF(OR(B168="",B167=""),"",B168/B167-1)</f>
        <v>0.0192442101833508</v>
      </c>
      <c r="D168" s="122" t="n">
        <f aca="false">IF(B168="","",IFERROR(B168/INDEX($B$2:$B$800,MATCH(DATE(YEAR(A168)-1,12,1),$A$2:$A$800,0))-1,""))</f>
        <v>0.0641410054180098</v>
      </c>
      <c r="E168" s="122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1" t="n">
        <v>39630</v>
      </c>
      <c r="B169" s="43" t="n">
        <v>393.556</v>
      </c>
      <c r="C169" s="122" t="n">
        <f aca="false">IF(OR(B169="",B168=""),"",B169/B168-1)</f>
        <v>0.0145653843972509</v>
      </c>
      <c r="D169" s="122" t="n">
        <f aca="false">IF(B169="","",IFERROR(B169/INDEX($B$2:$B$800,MATCH(DATE(YEAR(A169)-1,12,1),$A$2:$A$800,0))-1,""))</f>
        <v>0.0796406282148001</v>
      </c>
      <c r="E169" s="122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1" t="n">
        <v>39661</v>
      </c>
      <c r="B170" s="43" t="n">
        <v>398.202</v>
      </c>
      <c r="C170" s="122" t="n">
        <f aca="false">IF(OR(B170="",B169=""),"",B170/B169-1)</f>
        <v>0.0118051814735387</v>
      </c>
      <c r="D170" s="122" t="n">
        <f aca="false">IF(B170="","",IFERROR(B170/INDEX($B$2:$B$800,MATCH(DATE(YEAR(A170)-1,12,1),$A$2:$A$800,0))-1,""))</f>
        <v>0.0923859817570811</v>
      </c>
      <c r="E170" s="122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1" t="n">
        <v>39692</v>
      </c>
      <c r="B171" s="43" t="n">
        <v>401.975</v>
      </c>
      <c r="C171" s="122" t="n">
        <f aca="false">IF(OR(B171="",B170=""),"",B171/B170-1)</f>
        <v>0.00947509053194118</v>
      </c>
      <c r="D171" s="122" t="n">
        <f aca="false">IF(B171="","",IFERROR(B171/INDEX($B$2:$B$800,MATCH(DATE(YEAR(A171)-1,12,1),$A$2:$A$800,0))-1,""))</f>
        <v>0.102736437830053</v>
      </c>
      <c r="E171" s="122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1" t="n">
        <v>39722</v>
      </c>
      <c r="B172" s="43" t="n">
        <v>405.09</v>
      </c>
      <c r="C172" s="122" t="n">
        <f aca="false">IF(OR(B172="",B171=""),"",B172/B171-1)</f>
        <v>0.00774923813669992</v>
      </c>
      <c r="D172" s="122" t="n">
        <f aca="false">IF(B172="","",IFERROR(B172/INDEX($B$2:$B$800,MATCH(DATE(YEAR(A172)-1,12,1),$A$2:$A$800,0))-1,""))</f>
        <v>0.111281805088814</v>
      </c>
      <c r="E172" s="122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1" t="n">
        <v>39753</v>
      </c>
      <c r="B173" s="43" t="n">
        <v>407.109</v>
      </c>
      <c r="C173" s="122" t="n">
        <f aca="false">IF(OR(B173="",B172=""),"",B173/B172-1)</f>
        <v>0.0049840776123824</v>
      </c>
      <c r="D173" s="122" t="n">
        <f aca="false">IF(B173="","",IFERROR(B173/INDEX($B$2:$B$800,MATCH(DATE(YEAR(A173)-1,12,1),$A$2:$A$800,0))-1,""))</f>
        <v>0.116820519854605</v>
      </c>
      <c r="E173" s="122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1" t="n">
        <v>39783</v>
      </c>
      <c r="B174" s="43" t="n">
        <v>407.807</v>
      </c>
      <c r="C174" s="122" t="n">
        <f aca="false">IF(OR(B174="",B173=""),"",B174/B173-1)</f>
        <v>0.00171452854149634</v>
      </c>
      <c r="D174" s="122" t="n">
        <f aca="false">IF(B174="","",IFERROR(B174/INDEX($B$2:$B$800,MATCH(DATE(YEAR(A174)-1,12,1),$A$2:$A$800,0))-1,""))</f>
        <v>0.118735340511625</v>
      </c>
      <c r="E174" s="122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1" t="n">
        <v>39814</v>
      </c>
      <c r="B175" s="43" t="n">
        <v>409.166</v>
      </c>
      <c r="C175" s="122" t="n">
        <f aca="false">IF(OR(B175="",B174=""),"",B175/B174-1)</f>
        <v>0.00333245873660815</v>
      </c>
      <c r="D175" s="122" t="n">
        <f aca="false">IF(B175="","",IFERROR(B175/INDEX($B$2:$B$800,MATCH(DATE(YEAR(A175)-1,12,1),$A$2:$A$800,0))-1,""))</f>
        <v>0.00333245873660815</v>
      </c>
      <c r="E175" s="122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1" t="n">
        <v>39845</v>
      </c>
      <c r="B176" s="43" t="n">
        <v>410.262</v>
      </c>
      <c r="C176" s="122" t="n">
        <f aca="false">IF(OR(B176="",B175=""),"",B176/B175-1)</f>
        <v>0.00267861943563252</v>
      </c>
      <c r="D176" s="122" t="n">
        <f aca="false">IF(B176="","",IFERROR(B176/INDEX($B$2:$B$800,MATCH(DATE(YEAR(A176)-1,12,1),$A$2:$A$800,0))-1,""))</f>
        <v>0.00602000456098106</v>
      </c>
      <c r="E176" s="122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1" t="n">
        <v>39873</v>
      </c>
      <c r="B177" s="43" t="n">
        <v>409.216</v>
      </c>
      <c r="C177" s="122" t="n">
        <f aca="false">IF(OR(B177="",B176=""),"",B177/B176-1)</f>
        <v>-0.00254959026183266</v>
      </c>
      <c r="D177" s="122" t="n">
        <f aca="false">IF(B177="","",IFERROR(B177/INDEX($B$2:$B$800,MATCH(DATE(YEAR(A177)-1,12,1),$A$2:$A$800,0))-1,""))</f>
        <v>0.00345506575414345</v>
      </c>
      <c r="E177" s="122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1" t="n">
        <v>39904</v>
      </c>
      <c r="B178" s="43" t="n">
        <v>409.042</v>
      </c>
      <c r="C178" s="122" t="n">
        <f aca="false">IF(OR(B178="",B177=""),"",B178/B177-1)</f>
        <v>-0.000425203315608469</v>
      </c>
      <c r="D178" s="122" t="n">
        <f aca="false">IF(B178="","",IFERROR(B178/INDEX($B$2:$B$800,MATCH(DATE(YEAR(A178)-1,12,1),$A$2:$A$800,0))-1,""))</f>
        <v>0.00302839333312077</v>
      </c>
      <c r="E178" s="122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1" t="n">
        <v>39934</v>
      </c>
      <c r="B179" s="43" t="n">
        <v>414.742</v>
      </c>
      <c r="C179" s="122" t="n">
        <f aca="false">IF(OR(B179="",B178=""),"",B179/B178-1)</f>
        <v>0.0139349993399212</v>
      </c>
      <c r="D179" s="122" t="n">
        <f aca="false">IF(B179="","",IFERROR(B179/INDEX($B$2:$B$800,MATCH(DATE(YEAR(A179)-1,12,1),$A$2:$A$800,0))-1,""))</f>
        <v>0.01700559333214</v>
      </c>
      <c r="E179" s="122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1" t="n">
        <v>39965</v>
      </c>
      <c r="B180" s="43" t="n">
        <v>417.657</v>
      </c>
      <c r="C180" s="122" t="n">
        <f aca="false">IF(OR(B180="",B179=""),"",B180/B179-1)</f>
        <v>0.00702846588963735</v>
      </c>
      <c r="D180" s="122" t="n">
        <f aca="false">IF(B180="","",IFERROR(B180/INDEX($B$2:$B$800,MATCH(DATE(YEAR(A180)-1,12,1),$A$2:$A$800,0))-1,""))</f>
        <v>0.0241535824544452</v>
      </c>
      <c r="E180" s="122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1" t="n">
        <v>39995</v>
      </c>
      <c r="B181" s="43" t="n">
        <v>418.757</v>
      </c>
      <c r="C181" s="122" t="n">
        <f aca="false">IF(OR(B181="",B180=""),"",B181/B180-1)</f>
        <v>0.00263374012646755</v>
      </c>
      <c r="D181" s="122" t="n">
        <f aca="false">IF(B181="","",IFERROR(B181/INDEX($B$2:$B$800,MATCH(DATE(YEAR(A181)-1,12,1),$A$2:$A$800,0))-1,""))</f>
        <v>0.026850936840221</v>
      </c>
      <c r="E181" s="122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1" t="n">
        <v>40026</v>
      </c>
      <c r="B182" s="43" t="n">
        <v>418.528</v>
      </c>
      <c r="C182" s="122" t="n">
        <f aca="false">IF(OR(B182="",B181=""),"",B182/B181-1)</f>
        <v>-0.000546856530159512</v>
      </c>
      <c r="D182" s="122" t="n">
        <f aca="false">IF(B182="","",IFERROR(B182/INDEX($B$2:$B$800,MATCH(DATE(YEAR(A182)-1,12,1),$A$2:$A$800,0))-1,""))</f>
        <v>0.0262893966999096</v>
      </c>
      <c r="E182" s="122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1" t="n">
        <v>40057</v>
      </c>
      <c r="B183" s="43" t="n">
        <v>419.147</v>
      </c>
      <c r="C183" s="122" t="n">
        <f aca="false">IF(OR(B183="",B182=""),"",B183/B182-1)</f>
        <v>0.00147899304228138</v>
      </c>
      <c r="D183" s="122" t="n">
        <f aca="false">IF(B183="","",IFERROR(B183/INDEX($B$2:$B$800,MATCH(DATE(YEAR(A183)-1,12,1),$A$2:$A$800,0))-1,""))</f>
        <v>0.0278072715769959</v>
      </c>
      <c r="E183" s="122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1" t="n">
        <v>40087</v>
      </c>
      <c r="B184" s="43" t="n">
        <v>419.405</v>
      </c>
      <c r="C184" s="122" t="n">
        <f aca="false">IF(OR(B184="",B183=""),"",B184/B183-1)</f>
        <v>0.000615535838262016</v>
      </c>
      <c r="D184" s="122" t="n">
        <f aca="false">IF(B184="","",IFERROR(B184/INDEX($B$2:$B$800,MATCH(DATE(YEAR(A184)-1,12,1),$A$2:$A$800,0))-1,""))</f>
        <v>0.0284399237874777</v>
      </c>
      <c r="E184" s="122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1" t="n">
        <v>40118</v>
      </c>
      <c r="B185" s="43" t="n">
        <v>420.635</v>
      </c>
      <c r="C185" s="122" t="n">
        <f aca="false">IF(OR(B185="",B184=""),"",B185/B184-1)</f>
        <v>0.0029327261239136</v>
      </c>
      <c r="D185" s="122" t="n">
        <f aca="false">IF(B185="","",IFERROR(B185/INDEX($B$2:$B$800,MATCH(DATE(YEAR(A185)-1,12,1),$A$2:$A$800,0))-1,""))</f>
        <v>0.0314560564188451</v>
      </c>
      <c r="E185" s="122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1" t="n">
        <v>40148</v>
      </c>
      <c r="B186" s="43" t="n">
        <v>421.051</v>
      </c>
      <c r="C186" s="122" t="n">
        <f aca="false">IF(OR(B186="",B185=""),"",B186/B185-1)</f>
        <v>0.000988980945475282</v>
      </c>
      <c r="D186" s="122" t="n">
        <f aca="false">IF(B186="","",IFERROR(B186/INDEX($B$2:$B$800,MATCH(DATE(YEAR(A186)-1,12,1),$A$2:$A$800,0))-1,""))</f>
        <v>0.0324761468047385</v>
      </c>
      <c r="E186" s="122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1" t="n">
        <v>40179</v>
      </c>
      <c r="B187" s="43" t="n">
        <v>423.74</v>
      </c>
      <c r="C187" s="122" t="n">
        <f aca="false">IF(OR(B187="",B186=""),"",B187/B186-1)</f>
        <v>0.00638639974729904</v>
      </c>
      <c r="D187" s="122" t="n">
        <f aca="false">IF(B187="","",IFERROR(B187/INDEX($B$2:$B$800,MATCH(DATE(YEAR(A187)-1,12,1),$A$2:$A$800,0))-1,""))</f>
        <v>0.00638639974729904</v>
      </c>
      <c r="E187" s="122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1" t="n">
        <v>40210</v>
      </c>
      <c r="B188" s="43" t="n">
        <v>425.268</v>
      </c>
      <c r="C188" s="122" t="n">
        <f aca="false">IF(OR(B188="",B187=""),"",B188/B187-1)</f>
        <v>0.00360598480200114</v>
      </c>
      <c r="D188" s="122" t="n">
        <f aca="false">IF(B188="","",IFERROR(B188/INDEX($B$2:$B$800,MATCH(DATE(YEAR(A188)-1,12,1),$A$2:$A$800,0))-1,""))</f>
        <v>0.0100154138097284</v>
      </c>
      <c r="E188" s="122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1" t="n">
        <v>40238</v>
      </c>
      <c r="B189" s="43" t="n">
        <v>428.476</v>
      </c>
      <c r="C189" s="122" t="n">
        <f aca="false">IF(OR(B189="",B188=""),"",B189/B188-1)</f>
        <v>0.00754347846534431</v>
      </c>
      <c r="D189" s="122" t="n">
        <f aca="false">IF(B189="","",IFERROR(B189/INDEX($B$2:$B$800,MATCH(DATE(YEAR(A189)-1,12,1),$A$2:$A$800,0))-1,""))</f>
        <v>0.0176344433334679</v>
      </c>
      <c r="E189" s="122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1" t="n">
        <v>40269</v>
      </c>
      <c r="B190" s="43" t="n">
        <v>432.079</v>
      </c>
      <c r="C190" s="122" t="n">
        <f aca="false">IF(OR(B190="",B189=""),"",B190/B189-1)</f>
        <v>0.00840887237558241</v>
      </c>
      <c r="D190" s="122" t="n">
        <f aca="false">IF(B190="","",IFERROR(B190/INDEX($B$2:$B$800,MATCH(DATE(YEAR(A190)-1,12,1),$A$2:$A$800,0))-1,""))</f>
        <v>0.0261916014924559</v>
      </c>
      <c r="E190" s="122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1" t="n">
        <v>40299</v>
      </c>
      <c r="B191" s="43" t="n">
        <v>439.914</v>
      </c>
      <c r="C191" s="122" t="n">
        <f aca="false">IF(OR(B191="",B190=""),"",B191/B190-1)</f>
        <v>0.0181332580384606</v>
      </c>
      <c r="D191" s="122" t="n">
        <f aca="false">IF(B191="","",IFERROR(B191/INDEX($B$2:$B$800,MATCH(DATE(YEAR(A191)-1,12,1),$A$2:$A$800,0))-1,""))</f>
        <v>0.0447997985992197</v>
      </c>
      <c r="E191" s="122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1" t="n">
        <v>40330</v>
      </c>
      <c r="B192" s="43" t="n">
        <v>444.718</v>
      </c>
      <c r="C192" s="122" t="n">
        <f aca="false">IF(OR(B192="",B191=""),"",B192/B191-1)</f>
        <v>0.0109203162436295</v>
      </c>
      <c r="D192" s="122" t="n">
        <f aca="false">IF(B192="","",IFERROR(B192/INDEX($B$2:$B$800,MATCH(DATE(YEAR(A192)-1,12,1),$A$2:$A$800,0))-1,""))</f>
        <v>0.0562093428112034</v>
      </c>
      <c r="E192" s="122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1" t="n">
        <v>40360</v>
      </c>
      <c r="B193" s="43" t="n">
        <v>446.688</v>
      </c>
      <c r="C193" s="122" t="n">
        <f aca="false">IF(OR(B193="",B192=""),"",B193/B192-1)</f>
        <v>0.00442977347442652</v>
      </c>
      <c r="D193" s="122" t="n">
        <f aca="false">IF(B193="","",IFERROR(B193/INDEX($B$2:$B$800,MATCH(DATE(YEAR(A193)-1,12,1),$A$2:$A$800,0))-1,""))</f>
        <v>0.0608881109414299</v>
      </c>
      <c r="E193" s="122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1" t="n">
        <v>40391</v>
      </c>
      <c r="B194" s="43" t="n">
        <v>447.296</v>
      </c>
      <c r="C194" s="122" t="n">
        <f aca="false">IF(OR(B194="",B193=""),"",B194/B193-1)</f>
        <v>0.0013611290207034</v>
      </c>
      <c r="D194" s="122" t="n">
        <f aca="false">IF(B194="","",IFERROR(B194/INDEX($B$2:$B$800,MATCH(DATE(YEAR(A194)-1,12,1),$A$2:$A$800,0))-1,""))</f>
        <v>0.0623321165369517</v>
      </c>
      <c r="E194" s="122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1" t="n">
        <v>40422</v>
      </c>
      <c r="B195" s="43" t="n">
        <v>448.222</v>
      </c>
      <c r="C195" s="122" t="n">
        <f aca="false">IF(OR(B195="",B194=""),"",B195/B194-1)</f>
        <v>0.00207021748461855</v>
      </c>
      <c r="D195" s="122" t="n">
        <f aca="false">IF(B195="","",IFERROR(B195/INDEX($B$2:$B$800,MATCH(DATE(YEAR(A195)-1,12,1),$A$2:$A$800,0))-1,""))</f>
        <v>0.0645313750590784</v>
      </c>
      <c r="E195" s="122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1" t="n">
        <v>40452</v>
      </c>
      <c r="B196" s="43" t="n">
        <v>449.103</v>
      </c>
      <c r="C196" s="122" t="n">
        <f aca="false">IF(OR(B196="",B195=""),"",B196/B195-1)</f>
        <v>0.00196554385996239</v>
      </c>
      <c r="D196" s="122" t="n">
        <f aca="false">IF(B196="","",IFERROR(B196/INDEX($B$2:$B$800,MATCH(DATE(YEAR(A196)-1,12,1),$A$2:$A$800,0))-1,""))</f>
        <v>0.066623758167063</v>
      </c>
      <c r="E196" s="122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1" t="n">
        <v>40483</v>
      </c>
      <c r="B197" s="43" t="n">
        <v>450.763</v>
      </c>
      <c r="C197" s="122" t="n">
        <f aca="false">IF(OR(B197="",B196=""),"",B197/B196-1)</f>
        <v>0.0036962567606984</v>
      </c>
      <c r="D197" s="122" t="n">
        <f aca="false">IF(B197="","",IFERROR(B197/INDEX($B$2:$B$800,MATCH(DATE(YEAR(A197)-1,12,1),$A$2:$A$800,0))-1,""))</f>
        <v>0.0705662734443096</v>
      </c>
      <c r="E197" s="122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1" t="n">
        <v>40513</v>
      </c>
      <c r="B198" s="43" t="n">
        <v>453.766</v>
      </c>
      <c r="C198" s="122" t="n">
        <f aca="false">IF(OR(B198="",B197=""),"",B198/B197-1)</f>
        <v>0.00666203747867522</v>
      </c>
      <c r="D198" s="122" t="n">
        <f aca="false">IF(B198="","",IFERROR(B198/INDEX($B$2:$B$800,MATCH(DATE(YEAR(A198)-1,12,1),$A$2:$A$800,0))-1,""))</f>
        <v>0.0776984260814011</v>
      </c>
      <c r="E198" s="122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1" t="n">
        <v>40544</v>
      </c>
      <c r="B199" s="43" t="n">
        <v>455.619</v>
      </c>
      <c r="C199" s="122" t="n">
        <f aca="false">IF(OR(B199="",B198=""),"",B199/B198-1)</f>
        <v>0.00408360256167284</v>
      </c>
      <c r="D199" s="122" t="n">
        <f aca="false">IF(B199="","",IFERROR(B199/INDEX($B$2:$B$800,MATCH(DATE(YEAR(A199)-1,12,1),$A$2:$A$800,0))-1,""))</f>
        <v>0.00408360256167284</v>
      </c>
      <c r="E199" s="122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1" t="n">
        <v>40575</v>
      </c>
      <c r="B200" s="43" t="n">
        <v>456.917</v>
      </c>
      <c r="C200" s="122" t="n">
        <f aca="false">IF(OR(B200="",B199=""),"",B200/B199-1)</f>
        <v>0.00284887153520796</v>
      </c>
      <c r="D200" s="122" t="n">
        <f aca="false">IF(B200="","",IFERROR(B200/INDEX($B$2:$B$800,MATCH(DATE(YEAR(A200)-1,12,1),$A$2:$A$800,0))-1,""))</f>
        <v>0.00694410775597976</v>
      </c>
      <c r="E200" s="122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1" t="n">
        <v>40603</v>
      </c>
      <c r="B201" s="43" t="n">
        <v>458.887</v>
      </c>
      <c r="C201" s="122" t="n">
        <f aca="false">IF(OR(B201="",B200=""),"",B201/B200-1)</f>
        <v>0.00431150515301471</v>
      </c>
      <c r="D201" s="122" t="n">
        <f aca="false">IF(B201="","",IFERROR(B201/INDEX($B$2:$B$800,MATCH(DATE(YEAR(A201)-1,12,1),$A$2:$A$800,0))-1,""))</f>
        <v>0.0112855524653677</v>
      </c>
      <c r="E201" s="122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1" t="n">
        <v>40634</v>
      </c>
      <c r="B202" s="43" t="n">
        <v>463.766</v>
      </c>
      <c r="C202" s="122" t="n">
        <f aca="false">IF(OR(B202="",B201=""),"",B202/B201-1)</f>
        <v>0.0106322471545284</v>
      </c>
      <c r="D202" s="122" t="n">
        <f aca="false">IF(B202="","",IFERROR(B202/INDEX($B$2:$B$800,MATCH(DATE(YEAR(A202)-1,12,1),$A$2:$A$800,0))-1,""))</f>
        <v>0.0220377904029829</v>
      </c>
      <c r="E202" s="122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1" t="n">
        <v>40664</v>
      </c>
      <c r="B203" s="43" t="n">
        <v>477.405</v>
      </c>
      <c r="C203" s="122" t="n">
        <f aca="false">IF(OR(B203="",B202=""),"",B203/B202-1)</f>
        <v>0.0294092279296023</v>
      </c>
      <c r="D203" s="122" t="n">
        <f aca="false">IF(B203="","",IFERROR(B203/INDEX($B$2:$B$800,MATCH(DATE(YEAR(A203)-1,12,1),$A$2:$A$800,0))-1,""))</f>
        <v>0.0520951327336114</v>
      </c>
      <c r="E203" s="122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1" t="n">
        <v>40695</v>
      </c>
      <c r="B204" s="43" t="n">
        <v>479.183</v>
      </c>
      <c r="C204" s="122" t="n">
        <f aca="false">IF(OR(B204="",B203=""),"",B204/B203-1)</f>
        <v>0.00372430116986622</v>
      </c>
      <c r="D204" s="122" t="n">
        <f aca="false">IF(B204="","",IFERROR(B204/INDEX($B$2:$B$800,MATCH(DATE(YEAR(A204)-1,12,1),$A$2:$A$800,0))-1,""))</f>
        <v>0.0560134518672619</v>
      </c>
      <c r="E204" s="122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1" t="n">
        <v>40726</v>
      </c>
      <c r="B205" s="43" t="n">
        <v>481.33</v>
      </c>
      <c r="C205" s="122" t="n">
        <f aca="false">IF(OR(B205="",B204=""),"",B205/B204-1)</f>
        <v>0.00448054292410194</v>
      </c>
      <c r="D205" s="122" t="n">
        <f aca="false">IF(B205="","",IFERROR(B205/INDEX($B$2:$B$800,MATCH(DATE(YEAR(A205)-1,12,1),$A$2:$A$800,0))-1,""))</f>
        <v>0.0607449654667824</v>
      </c>
      <c r="E205" s="122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1" t="n">
        <v>40756</v>
      </c>
      <c r="B206" s="43" t="n">
        <v>481.966</v>
      </c>
      <c r="C206" s="122" t="n">
        <f aca="false">IF(OR(B206="",B205=""),"",B206/B205-1)</f>
        <v>0.00132133879043495</v>
      </c>
      <c r="D206" s="122" t="n">
        <f aca="false">IF(B206="","",IFERROR(B206/INDEX($B$2:$B$800,MATCH(DATE(YEAR(A206)-1,12,1),$A$2:$A$800,0))-1,""))</f>
        <v>0.0621465689364122</v>
      </c>
      <c r="E206" s="122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1" t="n">
        <v>40787</v>
      </c>
      <c r="B207" s="43" t="n">
        <v>482.658</v>
      </c>
      <c r="C207" s="122" t="n">
        <f aca="false">IF(OR(B207="",B206=""),"",B207/B206-1)</f>
        <v>0.00143578592680815</v>
      </c>
      <c r="D207" s="122" t="n">
        <f aca="false">IF(B207="","",IFERROR(B207/INDEX($B$2:$B$800,MATCH(DATE(YEAR(A207)-1,12,1),$A$2:$A$800,0))-1,""))</f>
        <v>0.0636715840322986</v>
      </c>
      <c r="E207" s="122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1" t="n">
        <v>40817</v>
      </c>
      <c r="B208" s="43" t="n">
        <v>483.758</v>
      </c>
      <c r="C208" s="122" t="n">
        <f aca="false">IF(OR(B208="",B207=""),"",B208/B207-1)</f>
        <v>0.00227904644696642</v>
      </c>
      <c r="D208" s="122" t="n">
        <f aca="false">IF(B208="","",IFERROR(B208/INDEX($B$2:$B$800,MATCH(DATE(YEAR(A208)-1,12,1),$A$2:$A$800,0))-1,""))</f>
        <v>0.0660957409766267</v>
      </c>
      <c r="E208" s="122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1" t="n">
        <v>40848</v>
      </c>
      <c r="B209" s="43" t="n">
        <v>487.221</v>
      </c>
      <c r="C209" s="122" t="n">
        <f aca="false">IF(OR(B209="",B208=""),"",B209/B208-1)</f>
        <v>0.00715853794665922</v>
      </c>
      <c r="D209" s="122" t="n">
        <f aca="false">IF(B209="","",IFERROR(B209/INDEX($B$2:$B$800,MATCH(DATE(YEAR(A209)-1,12,1),$A$2:$A$800,0))-1,""))</f>
        <v>0.0737274277931797</v>
      </c>
      <c r="E209" s="122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1" t="n">
        <v>40878</v>
      </c>
      <c r="B210" s="43" t="n">
        <v>487.749</v>
      </c>
      <c r="C210" s="122" t="n">
        <f aca="false">IF(OR(B210="",B209=""),"",B210/B209-1)</f>
        <v>0.00108369713128131</v>
      </c>
      <c r="D210" s="122" t="n">
        <f aca="false">IF(B210="","",IFERROR(B210/INDEX($B$2:$B$800,MATCH(DATE(YEAR(A210)-1,12,1),$A$2:$A$800,0))-1,""))</f>
        <v>0.0748910231264572</v>
      </c>
      <c r="E210" s="122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1" t="n">
        <v>40909</v>
      </c>
      <c r="B211" s="43" t="n">
        <v>492.106</v>
      </c>
      <c r="C211" s="122" t="n">
        <f aca="false">IF(OR(B211="",B210=""),"",B211/B210-1)</f>
        <v>0.00893287326063197</v>
      </c>
      <c r="D211" s="122" t="n">
        <f aca="false">IF(B211="","",IFERROR(B211/INDEX($B$2:$B$800,MATCH(DATE(YEAR(A211)-1,12,1),$A$2:$A$800,0))-1,""))</f>
        <v>0.00893287326063197</v>
      </c>
      <c r="E211" s="122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1" t="n">
        <v>40940</v>
      </c>
      <c r="B212" s="43" t="n">
        <v>493.584</v>
      </c>
      <c r="C212" s="122" t="n">
        <f aca="false">IF(OR(B212="",B211=""),"",B212/B211-1)</f>
        <v>0.00300341796279668</v>
      </c>
      <c r="D212" s="122" t="n">
        <f aca="false">IF(B212="","",IFERROR(B212/INDEX($B$2:$B$800,MATCH(DATE(YEAR(A212)-1,12,1),$A$2:$A$800,0))-1,""))</f>
        <v>0.0119631203754389</v>
      </c>
      <c r="E212" s="122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1" t="n">
        <v>40969</v>
      </c>
      <c r="B213" s="43" t="n">
        <v>496.079</v>
      </c>
      <c r="C213" s="122" t="n">
        <f aca="false">IF(OR(B213="",B212=""),"",B213/B212-1)</f>
        <v>0.00505486401504096</v>
      </c>
      <c r="D213" s="122" t="n">
        <f aca="false">IF(B213="","",IFERROR(B213/INDEX($B$2:$B$800,MATCH(DATE(YEAR(A213)-1,12,1),$A$2:$A$800,0))-1,""))</f>
        <v>0.0170784563371733</v>
      </c>
      <c r="E213" s="122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1" t="n">
        <v>41000</v>
      </c>
      <c r="B214" s="43" t="n">
        <v>499.791</v>
      </c>
      <c r="C214" s="122" t="n">
        <f aca="false">IF(OR(B214="",B213=""),"",B214/B213-1)</f>
        <v>0.00748267917005152</v>
      </c>
      <c r="D214" s="122" t="n">
        <f aca="false">IF(B214="","",IFERROR(B214/INDEX($B$2:$B$800,MATCH(DATE(YEAR(A214)-1,12,1),$A$2:$A$800,0))-1,""))</f>
        <v>0.0246889281167157</v>
      </c>
      <c r="E214" s="122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1" t="n">
        <v>41030</v>
      </c>
      <c r="B215" s="43" t="n">
        <v>509.184</v>
      </c>
      <c r="C215" s="122" t="n">
        <f aca="false">IF(OR(B215="",B214=""),"",B215/B214-1)</f>
        <v>0.0187938558317378</v>
      </c>
      <c r="D215" s="122" t="n">
        <f aca="false">IF(B215="","",IFERROR(B215/INDEX($B$2:$B$800,MATCH(DATE(YEAR(A215)-1,12,1),$A$2:$A$800,0))-1,""))</f>
        <v>0.0439467841041192</v>
      </c>
      <c r="E215" s="122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1" t="n">
        <v>41061</v>
      </c>
      <c r="B216" s="43" t="n">
        <v>512.903</v>
      </c>
      <c r="C216" s="122" t="n">
        <f aca="false">IF(OR(B216="",B215=""),"",B216/B215-1)</f>
        <v>0.0073038430115635</v>
      </c>
      <c r="D216" s="122" t="n">
        <f aca="false">IF(B216="","",IFERROR(B216/INDEX($B$2:$B$800,MATCH(DATE(YEAR(A216)-1,12,1),$A$2:$A$800,0))-1,""))</f>
        <v>0.0515716075276422</v>
      </c>
      <c r="E216" s="122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1" t="n">
        <v>41091</v>
      </c>
      <c r="B217" s="43" t="n">
        <v>516.318</v>
      </c>
      <c r="C217" s="122" t="n">
        <f aca="false">IF(OR(B217="",B216=""),"",B217/B216-1)</f>
        <v>0.00665817903190269</v>
      </c>
      <c r="D217" s="122" t="n">
        <f aca="false">IF(B217="","",IFERROR(B217/INDEX($B$2:$B$800,MATCH(DATE(YEAR(A217)-1,12,1),$A$2:$A$800,0))-1,""))</f>
        <v>0.0585731595554271</v>
      </c>
      <c r="E217" s="122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1" t="n">
        <v>41122</v>
      </c>
      <c r="B218" s="43" t="n">
        <v>517.657</v>
      </c>
      <c r="C218" s="122" t="n">
        <f aca="false">IF(OR(B218="",B217=""),"",B218/B217-1)</f>
        <v>0.00259336300496993</v>
      </c>
      <c r="D218" s="122" t="n">
        <f aca="false">IF(B218="","",IFERROR(B218/INDEX($B$2:$B$800,MATCH(DATE(YEAR(A218)-1,12,1),$A$2:$A$800,0))-1,""))</f>
        <v>0.0613184240254721</v>
      </c>
      <c r="E218" s="122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1" t="n">
        <v>41153</v>
      </c>
      <c r="B219" s="43" t="n">
        <v>518.816</v>
      </c>
      <c r="C219" s="122" t="n">
        <f aca="false">IF(OR(B219="",B218=""),"",B219/B218-1)</f>
        <v>0.00223893427501221</v>
      </c>
      <c r="D219" s="122" t="n">
        <f aca="false">IF(B219="","",IFERROR(B219/INDEX($B$2:$B$800,MATCH(DATE(YEAR(A219)-1,12,1),$A$2:$A$800,0))-1,""))</f>
        <v>0.0636946462217247</v>
      </c>
      <c r="E219" s="122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1" t="n">
        <v>41183</v>
      </c>
      <c r="B220" s="43" t="n">
        <v>519.907</v>
      </c>
      <c r="C220" s="122" t="n">
        <f aca="false">IF(OR(B220="",B219=""),"",B220/B219-1)</f>
        <v>0.00210286498488865</v>
      </c>
      <c r="D220" s="122" t="n">
        <f aca="false">IF(B220="","",IFERROR(B220/INDEX($B$2:$B$800,MATCH(DATE(YEAR(A220)-1,12,1),$A$2:$A$800,0))-1,""))</f>
        <v>0.065931452447878</v>
      </c>
      <c r="E220" s="122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1" t="n">
        <v>41214</v>
      </c>
      <c r="B221" s="43" t="n">
        <v>521.638</v>
      </c>
      <c r="C221" s="122" t="n">
        <f aca="false">IF(OR(B221="",B220=""),"",B221/B220-1)</f>
        <v>0.00332944161167292</v>
      </c>
      <c r="D221" s="122" t="n">
        <f aca="false">IF(B221="","",IFERROR(B221/INDEX($B$2:$B$800,MATCH(DATE(YEAR(A221)-1,12,1),$A$2:$A$800,0))-1,""))</f>
        <v>0.0694804089808487</v>
      </c>
      <c r="E221" s="122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1" t="n">
        <v>41244</v>
      </c>
      <c r="B222" s="43" t="n">
        <v>522.474</v>
      </c>
      <c r="C222" s="122" t="n">
        <f aca="false">IF(OR(B222="",B221=""),"",B222/B221-1)</f>
        <v>0.00160264397915788</v>
      </c>
      <c r="D222" s="122" t="n">
        <f aca="false">IF(B222="","",IFERROR(B222/INDEX($B$2:$B$800,MATCH(DATE(YEAR(A222)-1,12,1),$A$2:$A$800,0))-1,""))</f>
        <v>0.0711944053191294</v>
      </c>
      <c r="E222" s="122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1" t="n">
        <v>41275</v>
      </c>
      <c r="B223" s="43" t="n">
        <v>525.85</v>
      </c>
      <c r="C223" s="122" t="n">
        <f aca="false">IF(OR(B223="",B222=""),"",B223/B222-1)</f>
        <v>0.00646156555158717</v>
      </c>
      <c r="D223" s="122" t="n">
        <f aca="false">IF(B223="","",IFERROR(B223/INDEX($B$2:$B$800,MATCH(DATE(YEAR(A223)-1,12,1),$A$2:$A$800,0))-1,""))</f>
        <v>0.00646156555158717</v>
      </c>
      <c r="E223" s="122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1" t="n">
        <v>41306</v>
      </c>
      <c r="B224" s="43" t="n">
        <v>529.029</v>
      </c>
      <c r="C224" s="122" t="n">
        <f aca="false">IF(OR(B224="",B223=""),"",B224/B223-1)</f>
        <v>0.00604545022344771</v>
      </c>
      <c r="D224" s="122" t="n">
        <f aca="false">IF(B224="","",IFERROR(B224/INDEX($B$2:$B$800,MATCH(DATE(YEAR(A224)-1,12,1),$A$2:$A$800,0))-1,""))</f>
        <v>0.0125460788479426</v>
      </c>
      <c r="E224" s="122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1" t="n">
        <v>41334</v>
      </c>
      <c r="B225" s="43" t="n">
        <v>531.691</v>
      </c>
      <c r="C225" s="122" t="n">
        <f aca="false">IF(OR(B225="",B224=""),"",B225/B224-1)</f>
        <v>0.00503186025718816</v>
      </c>
      <c r="D225" s="122" t="n">
        <f aca="false">IF(B225="","",IFERROR(B225/INDEX($B$2:$B$800,MATCH(DATE(YEAR(A225)-1,12,1),$A$2:$A$800,0))-1,""))</f>
        <v>0.0176410692206692</v>
      </c>
      <c r="E225" s="122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1" t="n">
        <v>41365</v>
      </c>
      <c r="B226" s="43" t="n">
        <v>535.601</v>
      </c>
      <c r="C226" s="122" t="n">
        <f aca="false">IF(OR(B226="",B225=""),"",B226/B225-1)</f>
        <v>0.00735389540165232</v>
      </c>
      <c r="D226" s="122" t="n">
        <f aca="false">IF(B226="","",IFERROR(B226/INDEX($B$2:$B$800,MATCH(DATE(YEAR(A226)-1,12,1),$A$2:$A$800,0))-1,""))</f>
        <v>0.0251246952001438</v>
      </c>
      <c r="E226" s="122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1" t="n">
        <v>41395</v>
      </c>
      <c r="B227" s="43" t="n">
        <v>547.655</v>
      </c>
      <c r="C227" s="122" t="n">
        <f aca="false">IF(OR(B227="",B226=""),"",B227/B226-1)</f>
        <v>0.0225055591755803</v>
      </c>
      <c r="D227" s="122" t="n">
        <f aca="false">IF(B227="","",IFERROR(B227/INDEX($B$2:$B$800,MATCH(DATE(YEAR(A227)-1,12,1),$A$2:$A$800,0))-1,""))</f>
        <v>0.0481956996903195</v>
      </c>
      <c r="E227" s="122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1" t="n">
        <v>41426</v>
      </c>
      <c r="B228" s="43" t="n">
        <v>553.948</v>
      </c>
      <c r="C228" s="122" t="n">
        <f aca="false">IF(OR(B228="",B227=""),"",B228/B227-1)</f>
        <v>0.0114908108206808</v>
      </c>
      <c r="D228" s="122" t="n">
        <f aca="false">IF(B228="","",IFERROR(B228/INDEX($B$2:$B$800,MATCH(DATE(YEAR(A228)-1,12,1),$A$2:$A$800,0))-1,""))</f>
        <v>0.0602403181785121</v>
      </c>
      <c r="E228" s="122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1" t="n">
        <v>41456</v>
      </c>
      <c r="B229" s="43" t="n">
        <v>556.6</v>
      </c>
      <c r="C229" s="122" t="n">
        <f aca="false">IF(OR(B229="",B228=""),"",B229/B228-1)</f>
        <v>0.00478745297392536</v>
      </c>
      <c r="D229" s="122" t="n">
        <f aca="false">IF(B229="","",IFERROR(B229/INDEX($B$2:$B$800,MATCH(DATE(YEAR(A229)-1,12,1),$A$2:$A$800,0))-1,""))</f>
        <v>0.0653161688428514</v>
      </c>
      <c r="E229" s="122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1" t="n">
        <v>41487</v>
      </c>
      <c r="B230" s="43" t="n">
        <v>558.34</v>
      </c>
      <c r="C230" s="122" t="n">
        <f aca="false">IF(OR(B230="",B229=""),"",B230/B229-1)</f>
        <v>0.00312612288896874</v>
      </c>
      <c r="D230" s="122" t="n">
        <f aca="false">IF(B230="","",IFERROR(B230/INDEX($B$2:$B$800,MATCH(DATE(YEAR(A230)-1,12,1),$A$2:$A$800,0))-1,""))</f>
        <v>0.0686464781022595</v>
      </c>
      <c r="E230" s="122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1" t="n">
        <v>41518</v>
      </c>
      <c r="B231" s="43" t="n">
        <v>560.767</v>
      </c>
      <c r="C231" s="122" t="n">
        <f aca="false">IF(OR(B231="",B230=""),"",B231/B230-1)</f>
        <v>0.00434681376938784</v>
      </c>
      <c r="D231" s="122" t="n">
        <f aca="false">IF(B231="","",IFERROR(B231/INDEX($B$2:$B$800,MATCH(DATE(YEAR(A231)-1,12,1),$A$2:$A$800,0))-1,""))</f>
        <v>0.0732916853278824</v>
      </c>
      <c r="E231" s="122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1" t="n">
        <v>41548</v>
      </c>
      <c r="B232" s="43" t="n">
        <v>562.241</v>
      </c>
      <c r="C232" s="122" t="n">
        <f aca="false">IF(OR(B232="",B231=""),"",B232/B231-1)</f>
        <v>0.0026285426924193</v>
      </c>
      <c r="D232" s="122" t="n">
        <f aca="false">IF(B232="","",IFERROR(B232/INDEX($B$2:$B$800,MATCH(DATE(YEAR(A232)-1,12,1),$A$2:$A$800,0))-1,""))</f>
        <v>0.0761128783441853</v>
      </c>
      <c r="E232" s="122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1" t="n">
        <v>41579</v>
      </c>
      <c r="B233" s="43" t="n">
        <v>564.201</v>
      </c>
      <c r="C233" s="122" t="n">
        <f aca="false">IF(OR(B233="",B232=""),"",B233/B232-1)</f>
        <v>0.00348604957660514</v>
      </c>
      <c r="D233" s="122" t="n">
        <f aca="false">IF(B233="","",IFERROR(B233/INDEX($B$2:$B$800,MATCH(DATE(YEAR(A233)-1,12,1),$A$2:$A$800,0))-1,""))</f>
        <v>0.0798642611881164</v>
      </c>
      <c r="E233" s="122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1" t="n">
        <v>41609</v>
      </c>
      <c r="B234" s="43" t="n">
        <v>564.765</v>
      </c>
      <c r="C234" s="122" t="n">
        <f aca="false">IF(OR(B234="",B233=""),"",B234/B233-1)</f>
        <v>0.000999643743984757</v>
      </c>
      <c r="D234" s="122" t="n">
        <f aca="false">IF(B234="","",IFERROR(B234/INDEX($B$2:$B$800,MATCH(DATE(YEAR(A234)-1,12,1),$A$2:$A$800,0))-1,""))</f>
        <v>0.080943740741166</v>
      </c>
      <c r="E234" s="122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1" t="n">
        <v>41640</v>
      </c>
      <c r="B235" s="43" t="n">
        <v>569.72</v>
      </c>
      <c r="C235" s="122" t="n">
        <f aca="false">IF(OR(B235="",B234=""),"",B235/B234-1)</f>
        <v>0.0087735606845325</v>
      </c>
      <c r="D235" s="122" t="n">
        <f aca="false">IF(B235="","",IFERROR(B235/INDEX($B$2:$B$800,MATCH(DATE(YEAR(A235)-1,12,1),$A$2:$A$800,0))-1,""))</f>
        <v>0.0087735606845325</v>
      </c>
      <c r="E235" s="122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1" t="n">
        <v>41671</v>
      </c>
      <c r="B236" s="43" t="n">
        <v>571.577</v>
      </c>
      <c r="C236" s="122" t="n">
        <f aca="false">IF(OR(B236="",B235=""),"",B236/B235-1)</f>
        <v>0.00325949589271923</v>
      </c>
      <c r="D236" s="122" t="n">
        <f aca="false">IF(B236="","",IFERROR(B236/INDEX($B$2:$B$800,MATCH(DATE(YEAR(A236)-1,12,1),$A$2:$A$800,0))-1,""))</f>
        <v>0.0120616539622675</v>
      </c>
      <c r="E236" s="122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1" t="n">
        <v>41699</v>
      </c>
      <c r="B237" s="43" t="n">
        <v>573.156</v>
      </c>
      <c r="C237" s="122" t="n">
        <f aca="false">IF(OR(B237="",B236=""),"",B237/B236-1)</f>
        <v>0.0027625324322007</v>
      </c>
      <c r="D237" s="122" t="n">
        <f aca="false">IF(B237="","",IFERROR(B237/INDEX($B$2:$B$800,MATCH(DATE(YEAR(A237)-1,12,1),$A$2:$A$800,0))-1,""))</f>
        <v>0.014857507104725</v>
      </c>
      <c r="E237" s="122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1" t="n">
        <v>41730</v>
      </c>
      <c r="B238" s="43" t="n">
        <v>578.224</v>
      </c>
      <c r="C238" s="122" t="n">
        <f aca="false">IF(OR(B238="",B237=""),"",B238/B237-1)</f>
        <v>0.00884226981833924</v>
      </c>
      <c r="D238" s="122" t="n">
        <f aca="false">IF(B238="","",IFERROR(B238/INDEX($B$2:$B$800,MATCH(DATE(YEAR(A238)-1,12,1),$A$2:$A$800,0))-1,""))</f>
        <v>0.023831151009712</v>
      </c>
      <c r="E238" s="122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1" t="n">
        <v>41760</v>
      </c>
      <c r="B239" s="43" t="n">
        <v>590.099</v>
      </c>
      <c r="C239" s="122" t="n">
        <f aca="false">IF(OR(B239="",B238=""),"",B239/B238-1)</f>
        <v>0.0205370237139932</v>
      </c>
      <c r="D239" s="122" t="n">
        <f aca="false">IF(B239="","",IFERROR(B239/INDEX($B$2:$B$800,MATCH(DATE(YEAR(A239)-1,12,1),$A$2:$A$800,0))-1,""))</f>
        <v>0.0448575956371236</v>
      </c>
      <c r="E239" s="122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1" t="n">
        <v>41791</v>
      </c>
      <c r="B240" s="43" t="n">
        <v>594.013</v>
      </c>
      <c r="C240" s="122" t="n">
        <f aca="false">IF(OR(B240="",B239=""),"",B240/B239-1)</f>
        <v>0.00663278534618761</v>
      </c>
      <c r="D240" s="122" t="n">
        <f aca="false">IF(B240="","",IFERROR(B240/INDEX($B$2:$B$800,MATCH(DATE(YEAR(A240)-1,12,1),$A$2:$A$800,0))-1,""))</f>
        <v>0.0517879117863183</v>
      </c>
      <c r="E240" s="122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1" t="n">
        <v>41821</v>
      </c>
      <c r="B241" s="43" t="n">
        <v>598.441</v>
      </c>
      <c r="C241" s="122" t="n">
        <f aca="false">IF(OR(B241="",B240=""),"",B241/B240-1)</f>
        <v>0.00745438231149831</v>
      </c>
      <c r="D241" s="122" t="n">
        <f aca="false">IF(B241="","",IFERROR(B241/INDEX($B$2:$B$800,MATCH(DATE(YEAR(A241)-1,12,1),$A$2:$A$800,0))-1,""))</f>
        <v>0.0596283409913858</v>
      </c>
      <c r="E241" s="122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1" t="n">
        <v>41852</v>
      </c>
      <c r="B242" s="43" t="n">
        <v>598.898</v>
      </c>
      <c r="C242" s="122" t="n">
        <f aca="false">IF(OR(B242="",B241=""),"",B242/B241-1)</f>
        <v>0.000763650886219436</v>
      </c>
      <c r="D242" s="122" t="n">
        <f aca="false">IF(B242="","",IFERROR(B242/INDEX($B$2:$B$800,MATCH(DATE(YEAR(A242)-1,12,1),$A$2:$A$800,0))-1,""))</f>
        <v>0.0604375271130471</v>
      </c>
      <c r="E242" s="122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1" t="n">
        <v>41883</v>
      </c>
      <c r="B243" s="43" t="n">
        <v>599.823</v>
      </c>
      <c r="C243" s="122" t="n">
        <f aca="false">IF(OR(B243="",B242=""),"",B243/B242-1)</f>
        <v>0.00154450340458645</v>
      </c>
      <c r="D243" s="122" t="n">
        <f aca="false">IF(B243="","",IFERROR(B243/INDEX($B$2:$B$800,MATCH(DATE(YEAR(A243)-1,12,1),$A$2:$A$800,0))-1,""))</f>
        <v>0.0620753764840243</v>
      </c>
      <c r="E243" s="122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1" t="n">
        <v>41913</v>
      </c>
      <c r="B244" s="43" t="n">
        <v>600.865</v>
      </c>
      <c r="C244" s="122" t="n">
        <f aca="false">IF(OR(B244="",B243=""),"",B244/B243-1)</f>
        <v>0.00173717913451132</v>
      </c>
      <c r="D244" s="122" t="n">
        <f aca="false">IF(B244="","",IFERROR(B244/INDEX($B$2:$B$800,MATCH(DATE(YEAR(A244)-1,12,1),$A$2:$A$800,0))-1,""))</f>
        <v>0.0639203916673308</v>
      </c>
      <c r="E244" s="122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1" t="n">
        <v>41944</v>
      </c>
      <c r="B245" s="43" t="n">
        <v>603.524</v>
      </c>
      <c r="C245" s="122" t="n">
        <f aca="false">IF(OR(B245="",B244=""),"",B245/B244-1)</f>
        <v>0.00442528687808408</v>
      </c>
      <c r="D245" s="122" t="n">
        <f aca="false">IF(B245="","",IFERROR(B245/INDEX($B$2:$B$800,MATCH(DATE(YEAR(A245)-1,12,1),$A$2:$A$800,0))-1,""))</f>
        <v>0.0686285446159023</v>
      </c>
      <c r="E245" s="122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1" t="n">
        <v>41974</v>
      </c>
      <c r="B246" s="43" t="n">
        <v>604.026</v>
      </c>
      <c r="C246" s="122" t="n">
        <f aca="false">IF(OR(B246="",B245=""),"",B246/B245-1)</f>
        <v>0.000831781337610416</v>
      </c>
      <c r="D246" s="122" t="n">
        <f aca="false">IF(B246="","",IFERROR(B246/INDEX($B$2:$B$800,MATCH(DATE(YEAR(A246)-1,12,1),$A$2:$A$800,0))-1,""))</f>
        <v>0.0695174098961515</v>
      </c>
      <c r="E246" s="122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1" t="n">
        <v>42005</v>
      </c>
      <c r="B247" s="43" t="n">
        <v>609.568</v>
      </c>
      <c r="C247" s="122" t="n">
        <f aca="false">IF(OR(B247="",B246=""),"",B247/B246-1)</f>
        <v>0.00917510173403136</v>
      </c>
      <c r="D247" s="122" t="n">
        <f aca="false">IF(B247="","",IFERROR(B247/INDEX($B$2:$B$800,MATCH(DATE(YEAR(A247)-1,12,1),$A$2:$A$800,0))-1,""))</f>
        <v>0.00917510173403136</v>
      </c>
      <c r="E247" s="122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1" t="n">
        <v>42036</v>
      </c>
      <c r="B248" s="43" t="n">
        <v>611.447</v>
      </c>
      <c r="C248" s="122" t="n">
        <f aca="false">IF(OR(B248="",B247=""),"",B248/B247-1)</f>
        <v>0.00308251089296019</v>
      </c>
      <c r="D248" s="122" t="n">
        <f aca="false">IF(B248="","",IFERROR(B248/INDEX($B$2:$B$800,MATCH(DATE(YEAR(A248)-1,12,1),$A$2:$A$800,0))-1,""))</f>
        <v>0.0122858949780309</v>
      </c>
      <c r="E248" s="122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1" t="n">
        <v>42064</v>
      </c>
      <c r="B249" s="43" t="n">
        <v>615.248</v>
      </c>
      <c r="C249" s="122" t="n">
        <f aca="false">IF(OR(B249="",B248=""),"",B249/B248-1)</f>
        <v>0.006216401421546</v>
      </c>
      <c r="D249" s="122" t="n">
        <f aca="false">IF(B249="","",IFERROR(B249/INDEX($B$2:$B$800,MATCH(DATE(YEAR(A249)-1,12,1),$A$2:$A$800,0))-1,""))</f>
        <v>0.0185786704545832</v>
      </c>
      <c r="E249" s="122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1" t="n">
        <v>42095</v>
      </c>
      <c r="B250" s="43" t="n">
        <v>618.06</v>
      </c>
      <c r="C250" s="122" t="n">
        <f aca="false">IF(OR(B250="",B249=""),"",B250/B249-1)</f>
        <v>0.00457051465425318</v>
      </c>
      <c r="D250" s="122" t="n">
        <f aca="false">IF(B250="","",IFERROR(B250/INDEX($B$2:$B$800,MATCH(DATE(YEAR(A250)-1,12,1),$A$2:$A$800,0))-1,""))</f>
        <v>0.0232340991944056</v>
      </c>
      <c r="E250" s="122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1" t="n">
        <v>42125</v>
      </c>
      <c r="B251" s="43" t="n">
        <v>623.951</v>
      </c>
      <c r="C251" s="122" t="n">
        <f aca="false">IF(OR(B251="",B250=""),"",B251/B250-1)</f>
        <v>0.00953143707730653</v>
      </c>
      <c r="D251" s="122" t="n">
        <f aca="false">IF(B251="","",IFERROR(B251/INDEX($B$2:$B$800,MATCH(DATE(YEAR(A251)-1,12,1),$A$2:$A$800,0))-1,""))</f>
        <v>0.0329869906262315</v>
      </c>
      <c r="E251" s="122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1" t="n">
        <v>42156</v>
      </c>
      <c r="B252" s="43" t="n">
        <v>635.403</v>
      </c>
      <c r="C252" s="122" t="n">
        <f aca="false">IF(OR(B252="",B251=""),"",B252/B251-1)</f>
        <v>0.0183540053626006</v>
      </c>
      <c r="D252" s="122" t="n">
        <f aca="false">IF(B252="","",IFERROR(B252/INDEX($B$2:$B$800,MATCH(DATE(YEAR(A252)-1,12,1),$A$2:$A$800,0))-1,""))</f>
        <v>0.051946439391682</v>
      </c>
      <c r="E252" s="122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1" t="n">
        <v>42186</v>
      </c>
      <c r="B253" s="43" t="n">
        <v>638.88</v>
      </c>
      <c r="C253" s="122" t="n">
        <f aca="false">IF(OR(B253="",B252=""),"",B253/B252-1)</f>
        <v>0.00547211769538381</v>
      </c>
      <c r="D253" s="122" t="n">
        <f aca="false">IF(B253="","",IFERROR(B253/INDEX($B$2:$B$800,MATCH(DATE(YEAR(A253)-1,12,1),$A$2:$A$800,0))-1,""))</f>
        <v>0.0577028141172731</v>
      </c>
      <c r="E253" s="122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1" t="n">
        <v>42217</v>
      </c>
      <c r="B254" s="43" t="n">
        <v>642.644</v>
      </c>
      <c r="C254" s="122" t="n">
        <f aca="false">IF(OR(B254="",B253=""),"",B254/B253-1)</f>
        <v>0.00589156023040327</v>
      </c>
      <c r="D254" s="122" t="n">
        <f aca="false">IF(B254="","",IFERROR(B254/INDEX($B$2:$B$800,MATCH(DATE(YEAR(A254)-1,12,1),$A$2:$A$800,0))-1,""))</f>
        <v>0.063934333952512</v>
      </c>
      <c r="E254" s="122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1" t="n">
        <v>42248</v>
      </c>
      <c r="B255" s="43" t="n">
        <v>644.046</v>
      </c>
      <c r="C255" s="122" t="n">
        <f aca="false">IF(OR(B255="",B254=""),"",B255/B254-1)</f>
        <v>0.00218161221453883</v>
      </c>
      <c r="D255" s="122" t="n">
        <f aca="false">IF(B255="","",IFERROR(B255/INDEX($B$2:$B$800,MATCH(DATE(YEAR(A255)-1,12,1),$A$2:$A$800,0))-1,""))</f>
        <v>0.0662554260909301</v>
      </c>
      <c r="E255" s="122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1" t="n">
        <v>42278</v>
      </c>
      <c r="B256" s="43" t="n">
        <v>646.355</v>
      </c>
      <c r="C256" s="122" t="n">
        <f aca="false">IF(OR(B256="",B255=""),"",B256/B255-1)</f>
        <v>0.0035851476447335</v>
      </c>
      <c r="D256" s="122" t="n">
        <f aca="false">IF(B256="","",IFERROR(B256/INDEX($B$2:$B$800,MATCH(DATE(YEAR(A256)-1,12,1),$A$2:$A$800,0))-1,""))</f>
        <v>0.0700781092204641</v>
      </c>
      <c r="E256" s="122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1" t="n">
        <v>42309</v>
      </c>
      <c r="B257" s="43" t="n">
        <v>648.542</v>
      </c>
      <c r="C257" s="122" t="n">
        <f aca="false">IF(OR(B257="",B256=""),"",B257/B256-1)</f>
        <v>0.00338358951350259</v>
      </c>
      <c r="D257" s="122" t="n">
        <f aca="false">IF(B257="","",IFERROR(B257/INDEX($B$2:$B$800,MATCH(DATE(YEAR(A257)-1,12,1),$A$2:$A$800,0))-1,""))</f>
        <v>0.0736988142894512</v>
      </c>
      <c r="E257" s="122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1" t="n">
        <v>42339</v>
      </c>
      <c r="B258" s="43" t="n">
        <v>649.216</v>
      </c>
      <c r="C258" s="122" t="n">
        <f aca="false">IF(OR(B258="",B257=""),"",B258/B257-1)</f>
        <v>0.00103925420404538</v>
      </c>
      <c r="D258" s="122" t="n">
        <f aca="false">IF(B258="","",IFERROR(B258/INDEX($B$2:$B$800,MATCH(DATE(YEAR(A258)-1,12,1),$A$2:$A$800,0))-1,""))</f>
        <v>0.07481466029608</v>
      </c>
      <c r="E258" s="122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1" t="n">
        <v>42370</v>
      </c>
      <c r="B259" s="43" t="n">
        <v>651.759</v>
      </c>
      <c r="C259" s="122" t="n">
        <f aca="false">IF(OR(B259="",B258=""),"",B259/B258-1)</f>
        <v>0.00391703223580442</v>
      </c>
      <c r="D259" s="122" t="n">
        <f aca="false">IF(B259="","",IFERROR(B259/INDEX($B$2:$B$800,MATCH(DATE(YEAR(A259)-1,12,1),$A$2:$A$800,0))-1,""))</f>
        <v>0.00391703223580442</v>
      </c>
      <c r="E259" s="122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1" t="n">
        <v>42401</v>
      </c>
      <c r="B260" s="43" t="n">
        <v>655.263</v>
      </c>
      <c r="C260" s="122" t="n">
        <f aca="false">IF(OR(B260="",B259=""),"",B260/B259-1)</f>
        <v>0.00537622035138763</v>
      </c>
      <c r="D260" s="122" t="n">
        <f aca="false">IF(B260="","",IFERROR(B260/INDEX($B$2:$B$800,MATCH(DATE(YEAR(A260)-1,12,1),$A$2:$A$800,0))-1,""))</f>
        <v>0.00931431141561512</v>
      </c>
      <c r="E260" s="122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1" t="n">
        <v>42430</v>
      </c>
      <c r="B261" s="43" t="n">
        <v>659.446</v>
      </c>
      <c r="C261" s="122" t="n">
        <f aca="false">IF(OR(B261="",B260=""),"",B261/B260-1)</f>
        <v>0.00638369631735647</v>
      </c>
      <c r="D261" s="122" t="n">
        <f aca="false">IF(B261="","",IFERROR(B261/INDEX($B$2:$B$800,MATCH(DATE(YEAR(A261)-1,12,1),$A$2:$A$800,0))-1,""))</f>
        <v>0.0157574674684542</v>
      </c>
      <c r="E261" s="122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1" t="n">
        <v>42461</v>
      </c>
      <c r="B262" s="43" t="n">
        <v>663.057</v>
      </c>
      <c r="C262" s="122" t="n">
        <f aca="false">IF(OR(B262="",B261=""),"",B262/B261-1)</f>
        <v>0.00547580848166485</v>
      </c>
      <c r="D262" s="122" t="n">
        <f aca="false">IF(B262="","",IFERROR(B262/INDEX($B$2:$B$800,MATCH(DATE(YEAR(A262)-1,12,1),$A$2:$A$800,0))-1,""))</f>
        <v>0.0213195608241326</v>
      </c>
      <c r="E262" s="122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1" t="n">
        <v>42491</v>
      </c>
      <c r="B263" s="43" t="n">
        <v>663.61</v>
      </c>
      <c r="C263" s="122" t="n">
        <f aca="false">IF(OR(B263="",B262=""),"",B263/B262-1)</f>
        <v>0.00083401577843234</v>
      </c>
      <c r="D263" s="122" t="n">
        <f aca="false">IF(B263="","",IFERROR(B263/INDEX($B$2:$B$800,MATCH(DATE(YEAR(A263)-1,12,1),$A$2:$A$800,0))-1,""))</f>
        <v>0.0221713574526814</v>
      </c>
      <c r="E263" s="122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1" t="n">
        <v>42522</v>
      </c>
      <c r="B264" s="43" t="n">
        <v>676.42</v>
      </c>
      <c r="C264" s="122" t="n">
        <f aca="false">IF(OR(B264="",B263=""),"",B264/B263-1)</f>
        <v>0.0193035065776586</v>
      </c>
      <c r="D264" s="122" t="n">
        <f aca="false">IF(B264="","",IFERROR(B264/INDEX($B$2:$B$800,MATCH(DATE(YEAR(A264)-1,12,1),$A$2:$A$800,0))-1,""))</f>
        <v>0.0419028489747633</v>
      </c>
      <c r="E264" s="122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1" t="n">
        <v>42552</v>
      </c>
      <c r="B265" s="43" t="n">
        <v>679.751</v>
      </c>
      <c r="C265" s="122" t="n">
        <f aca="false">IF(OR(B265="",B264=""),"",B265/B264-1)</f>
        <v>0.00492445522012952</v>
      </c>
      <c r="D265" s="122" t="n">
        <f aca="false">IF(B265="","",IFERROR(B265/INDEX($B$2:$B$800,MATCH(DATE(YEAR(A265)-1,12,1),$A$2:$A$800,0))-1,""))</f>
        <v>0.0470336528982649</v>
      </c>
      <c r="E265" s="122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1" t="n">
        <v>42583</v>
      </c>
      <c r="B266" s="43" t="n">
        <v>681.756</v>
      </c>
      <c r="C266" s="122" t="n">
        <f aca="false">IF(OR(B266="",B265=""),"",B266/B265-1)</f>
        <v>0.00294960948935707</v>
      </c>
      <c r="D266" s="122" t="n">
        <f aca="false">IF(B266="","",IFERROR(B266/INDEX($B$2:$B$800,MATCH(DATE(YEAR(A266)-1,12,1),$A$2:$A$800,0))-1,""))</f>
        <v>0.05012199329653</v>
      </c>
      <c r="E266" s="122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1" t="n">
        <v>42614</v>
      </c>
      <c r="B267" s="43" t="n">
        <v>684.025</v>
      </c>
      <c r="C267" s="122" t="n">
        <f aca="false">IF(OR(B267="",B266=""),"",B267/B266-1)</f>
        <v>0.00332817019578857</v>
      </c>
      <c r="D267" s="122" t="n">
        <f aca="false">IF(B267="","",IFERROR(B267/INDEX($B$2:$B$800,MATCH(DATE(YEAR(A267)-1,12,1),$A$2:$A$800,0))-1,""))</f>
        <v>0.0536169780165614</v>
      </c>
      <c r="E267" s="122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1" t="n">
        <v>42644</v>
      </c>
      <c r="B268" s="43" t="n">
        <v>685.489</v>
      </c>
      <c r="C268" s="122" t="n">
        <f aca="false">IF(OR(B268="",B267=""),"",B268/B267-1)</f>
        <v>0.00214027265085348</v>
      </c>
      <c r="D268" s="122" t="n">
        <f aca="false">IF(B268="","",IFERROR(B268/INDEX($B$2:$B$800,MATCH(DATE(YEAR(A268)-1,12,1),$A$2:$A$800,0))-1,""))</f>
        <v>0.0558720056190851</v>
      </c>
      <c r="E268" s="122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1" t="n">
        <v>42675</v>
      </c>
      <c r="B269" s="43" t="n">
        <v>686.607</v>
      </c>
      <c r="C269" s="122" t="n">
        <f aca="false">IF(OR(B269="",B268=""),"",B269/B268-1)</f>
        <v>0.00163095250251999</v>
      </c>
      <c r="D269" s="122" t="n">
        <f aca="false">IF(B269="","",IFERROR(B269/INDEX($B$2:$B$800,MATCH(DATE(YEAR(A269)-1,12,1),$A$2:$A$800,0))-1,""))</f>
        <v>0.0575940827089905</v>
      </c>
      <c r="E269" s="122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1" t="n">
        <v>42705</v>
      </c>
      <c r="B270" s="43" t="n">
        <v>688.985</v>
      </c>
      <c r="C270" s="122" t="n">
        <f aca="false">IF(OR(B270="",B269=""),"",B270/B269-1)</f>
        <v>0.00346340774271159</v>
      </c>
      <c r="D270" s="122" t="n">
        <f aca="false">IF(B270="","",IFERROR(B270/INDEX($B$2:$B$800,MATCH(DATE(YEAR(A270)-1,12,1),$A$2:$A$800,0))-1,""))</f>
        <v>0.0612569622436909</v>
      </c>
      <c r="E270" s="122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1" t="n">
        <v>42736</v>
      </c>
      <c r="B271" s="43" t="n">
        <v>691.792</v>
      </c>
      <c r="C271" s="122" t="n">
        <f aca="false">IF(OR(B271="",B270=""),"",B271/B270-1)</f>
        <v>0.0040741090154357</v>
      </c>
      <c r="D271" s="122" t="n">
        <f aca="false">IF(B271="","",IFERROR(B271/INDEX($B$2:$B$800,MATCH(DATE(YEAR(A271)-1,12,1),$A$2:$A$800,0))-1,""))</f>
        <v>0.0040741090154357</v>
      </c>
      <c r="E271" s="122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1" t="n">
        <v>42767</v>
      </c>
      <c r="B272" s="43" t="n">
        <v>696.314</v>
      </c>
      <c r="C272" s="122" t="n">
        <f aca="false">IF(OR(B272="",B271=""),"",B272/B271-1)</f>
        <v>0.00653664685338939</v>
      </c>
      <c r="D272" s="122" t="n">
        <f aca="false">IF(B272="","",IFERROR(B272/INDEX($B$2:$B$800,MATCH(DATE(YEAR(A272)-1,12,1),$A$2:$A$800,0))-1,""))</f>
        <v>0.0106373868807013</v>
      </c>
      <c r="E272" s="122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1" t="n">
        <v>42795</v>
      </c>
      <c r="B273" s="43" t="n">
        <v>697.41</v>
      </c>
      <c r="C273" s="122" t="n">
        <f aca="false">IF(OR(B273="",B272=""),"",B273/B272-1)</f>
        <v>0.00157400253333995</v>
      </c>
      <c r="D273" s="122" t="n">
        <f aca="false">IF(B273="","",IFERROR(B273/INDEX($B$2:$B$800,MATCH(DATE(YEAR(A273)-1,12,1),$A$2:$A$800,0))-1,""))</f>
        <v>0.0122281326879394</v>
      </c>
      <c r="E273" s="122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1" t="n">
        <v>42826</v>
      </c>
      <c r="B274" s="43" t="n">
        <v>697.244</v>
      </c>
      <c r="C274" s="122" t="n">
        <f aca="false">IF(OR(B274="",B273=""),"",B274/B273-1)</f>
        <v>-0.000238023544256505</v>
      </c>
      <c r="D274" s="122" t="n">
        <f aca="false">IF(B274="","",IFERROR(B274/INDEX($B$2:$B$800,MATCH(DATE(YEAR(A274)-1,12,1),$A$2:$A$800,0))-1,""))</f>
        <v>0.0119871985602009</v>
      </c>
      <c r="E274" s="122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1" t="n">
        <v>42856</v>
      </c>
      <c r="B275" s="43" t="n">
        <v>701.664</v>
      </c>
      <c r="C275" s="122" t="n">
        <f aca="false">IF(OR(B275="",B274=""),"",B275/B274-1)</f>
        <v>0.00633924422440346</v>
      </c>
      <c r="D275" s="122" t="n">
        <f aca="false">IF(B275="","",IFERROR(B275/INDEX($B$2:$B$800,MATCH(DATE(YEAR(A275)-1,12,1),$A$2:$A$800,0))-1,""))</f>
        <v>0.0184024325638439</v>
      </c>
      <c r="E275" s="122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1" t="n">
        <v>42887</v>
      </c>
      <c r="B276" s="43" t="n">
        <v>708.197</v>
      </c>
      <c r="C276" s="122" t="n">
        <f aca="false">IF(OR(B276="",B275=""),"",B276/B275-1)</f>
        <v>0.00931072422127977</v>
      </c>
      <c r="D276" s="122" t="n">
        <f aca="false">IF(B276="","",IFERROR(B276/INDEX($B$2:$B$800,MATCH(DATE(YEAR(A276)-1,12,1),$A$2:$A$800,0))-1,""))</f>
        <v>0.0278844967597263</v>
      </c>
      <c r="E276" s="122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1" t="n">
        <v>42917</v>
      </c>
      <c r="B277" s="43" t="n">
        <v>710.355</v>
      </c>
      <c r="C277" s="122" t="n">
        <f aca="false">IF(OR(B277="",B276=""),"",B277/B276-1)</f>
        <v>0.00304717472680616</v>
      </c>
      <c r="D277" s="122" t="n">
        <f aca="false">IF(B277="","",IFERROR(B277/INDEX($B$2:$B$800,MATCH(DATE(YEAR(A277)-1,12,1),$A$2:$A$800,0))-1,""))</f>
        <v>0.0310166404203285</v>
      </c>
      <c r="E277" s="122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1" t="n">
        <v>42948</v>
      </c>
      <c r="B278" s="43" t="n">
        <v>712.884</v>
      </c>
      <c r="C278" s="122" t="n">
        <f aca="false">IF(OR(B278="",B277=""),"",B278/B277-1)</f>
        <v>0.00356019173511846</v>
      </c>
      <c r="D278" s="122" t="n">
        <f aca="false">IF(B278="","",IFERROR(B278/INDEX($B$2:$B$800,MATCH(DATE(YEAR(A278)-1,12,1),$A$2:$A$800,0))-1,""))</f>
        <v>0.0346872573423225</v>
      </c>
      <c r="E278" s="122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1" t="n">
        <v>42979</v>
      </c>
      <c r="B279" s="43" t="n">
        <v>713.33</v>
      </c>
      <c r="C279" s="122" t="n">
        <f aca="false">IF(OR(B279="",B278=""),"",B279/B278-1)</f>
        <v>0.000625627731861034</v>
      </c>
      <c r="D279" s="122" t="n">
        <f aca="false">IF(B279="","",IFERROR(B279/INDEX($B$2:$B$800,MATCH(DATE(YEAR(A279)-1,12,1),$A$2:$A$800,0))-1,""))</f>
        <v>0.0353345863843191</v>
      </c>
      <c r="E279" s="122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1" t="n">
        <v>43009</v>
      </c>
      <c r="B280" s="43" t="n">
        <v>715.527</v>
      </c>
      <c r="C280" s="122" t="n">
        <f aca="false">IF(OR(B280="",B279=""),"",B280/B279-1)</f>
        <v>0.00307992093421006</v>
      </c>
      <c r="D280" s="122" t="n">
        <f aca="false">IF(B280="","",IFERROR(B280/INDEX($B$2:$B$800,MATCH(DATE(YEAR(A280)-1,12,1),$A$2:$A$800,0))-1,""))</f>
        <v>0.0385233350508356</v>
      </c>
      <c r="E280" s="122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1" t="n">
        <v>43040</v>
      </c>
      <c r="B281" s="43" t="n">
        <v>717.751</v>
      </c>
      <c r="C281" s="122" t="n">
        <f aca="false">IF(OR(B281="",B280=""),"",B281/B280-1)</f>
        <v>0.00310819857252054</v>
      </c>
      <c r="D281" s="122" t="n">
        <f aca="false">IF(B281="","",IFERROR(B281/INDEX($B$2:$B$800,MATCH(DATE(YEAR(A281)-1,12,1),$A$2:$A$800,0))-1,""))</f>
        <v>0.0417512717983699</v>
      </c>
      <c r="E281" s="122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1" t="n">
        <v>43070</v>
      </c>
      <c r="B282" s="43" t="n">
        <v>718.276</v>
      </c>
      <c r="C282" s="122" t="n">
        <f aca="false">IF(OR(B282="",B281=""),"",B282/B281-1)</f>
        <v>0.000731451436500885</v>
      </c>
      <c r="D282" s="122" t="n">
        <f aca="false">IF(B282="","",IFERROR(B282/INDEX($B$2:$B$800,MATCH(DATE(YEAR(A282)-1,12,1),$A$2:$A$800,0))-1,""))</f>
        <v>0.0425132622626037</v>
      </c>
      <c r="E282" s="122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1" t="n">
        <v>43101</v>
      </c>
      <c r="B283" s="43" t="n">
        <v>720.495</v>
      </c>
      <c r="C283" s="122" t="n">
        <f aca="false">IF(OR(B283="",B282=""),"",B283/B282-1)</f>
        <v>0.00308934170151876</v>
      </c>
      <c r="D283" s="122" t="n">
        <f aca="false">IF(B283="","",IFERROR(B283/INDEX($B$2:$B$800,MATCH(DATE(YEAR(A283)-1,12,1),$A$2:$A$800,0))-1,""))</f>
        <v>0.00308934170151876</v>
      </c>
      <c r="E283" s="122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1" t="n">
        <v>43132</v>
      </c>
      <c r="B284" s="43" t="n">
        <v>721.414</v>
      </c>
      <c r="C284" s="122" t="n">
        <f aca="false">IF(OR(B284="",B283=""),"",B284/B283-1)</f>
        <v>0.00127551197440656</v>
      </c>
      <c r="D284" s="122" t="n">
        <f aca="false">IF(B284="","",IFERROR(B284/INDEX($B$2:$B$800,MATCH(DATE(YEAR(A284)-1,12,1),$A$2:$A$800,0))-1,""))</f>
        <v>0.00436879416825842</v>
      </c>
      <c r="E284" s="122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1" t="n">
        <v>43160</v>
      </c>
      <c r="B285" s="43" t="n">
        <v>723.163</v>
      </c>
      <c r="C285" s="122" t="n">
        <f aca="false">IF(OR(B285="",B284=""),"",B285/B284-1)</f>
        <v>0.00242440540383204</v>
      </c>
      <c r="D285" s="122" t="n">
        <f aca="false">IF(B285="","",IFERROR(B285/INDEX($B$2:$B$800,MATCH(DATE(YEAR(A285)-1,12,1),$A$2:$A$800,0))-1,""))</f>
        <v>0.0068037913002803</v>
      </c>
      <c r="E285" s="122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1" t="n">
        <v>43191</v>
      </c>
      <c r="B286" s="43" t="n">
        <v>725.245</v>
      </c>
      <c r="C286" s="122" t="n">
        <f aca="false">IF(OR(B286="",B285=""),"",B286/B285-1)</f>
        <v>0.00287901897635812</v>
      </c>
      <c r="D286" s="122" t="n">
        <f aca="false">IF(B286="","",IFERROR(B286/INDEX($B$2:$B$800,MATCH(DATE(YEAR(A286)-1,12,1),$A$2:$A$800,0))-1,""))</f>
        <v>0.00970239852090282</v>
      </c>
      <c r="E286" s="122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1" t="n">
        <v>43221</v>
      </c>
      <c r="B287" s="43" t="n">
        <v>726.923</v>
      </c>
      <c r="C287" s="122" t="n">
        <f aca="false">IF(OR(B287="",B286=""),"",B287/B286-1)</f>
        <v>0.00231370088728644</v>
      </c>
      <c r="D287" s="122" t="n">
        <f aca="false">IF(B287="","",IFERROR(B287/INDEX($B$2:$B$800,MATCH(DATE(YEAR(A287)-1,12,1),$A$2:$A$800,0))-1,""))</f>
        <v>0.0120385478562559</v>
      </c>
      <c r="E287" s="122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1" t="n">
        <v>43252</v>
      </c>
      <c r="B288" s="43" t="n">
        <v>733.984</v>
      </c>
      <c r="C288" s="122" t="n">
        <f aca="false">IF(OR(B288="",B287=""),"",B288/B287-1)</f>
        <v>0.00971354600143348</v>
      </c>
      <c r="D288" s="122" t="n">
        <f aca="false">IF(B288="","",IFERROR(B288/INDEX($B$2:$B$800,MATCH(DATE(YEAR(A288)-1,12,1),$A$2:$A$800,0))-1,""))</f>
        <v>0.0218690308460816</v>
      </c>
      <c r="E288" s="122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1" t="n">
        <v>43282</v>
      </c>
      <c r="B289" s="43" t="n">
        <v>738.487</v>
      </c>
      <c r="C289" s="122" t="n">
        <f aca="false">IF(OR(B289="",B288=""),"",B289/B288-1)</f>
        <v>0.00613501111740855</v>
      </c>
      <c r="D289" s="122" t="n">
        <f aca="false">IF(B289="","",IFERROR(B289/INDEX($B$2:$B$800,MATCH(DATE(YEAR(A289)-1,12,1),$A$2:$A$800,0))-1,""))</f>
        <v>0.0281382087108577</v>
      </c>
      <c r="E289" s="122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1" t="n">
        <v>43313</v>
      </c>
      <c r="B290" s="43" t="n">
        <v>739.583</v>
      </c>
      <c r="C290" s="122" t="n">
        <f aca="false">IF(OR(B290="",B289=""),"",B290/B289-1)</f>
        <v>0.00148411549560112</v>
      </c>
      <c r="D290" s="122" t="n">
        <f aca="false">IF(B290="","",IFERROR(B290/INDEX($B$2:$B$800,MATCH(DATE(YEAR(A290)-1,12,1),$A$2:$A$800,0))-1,""))</f>
        <v>0.0296640845580252</v>
      </c>
      <c r="E290" s="122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1" t="n">
        <v>43344</v>
      </c>
      <c r="B291" s="43" t="n">
        <v>741.305</v>
      </c>
      <c r="C291" s="122" t="n">
        <f aca="false">IF(OR(B291="",B290=""),"",B291/B290-1)</f>
        <v>0.00232833907756125</v>
      </c>
      <c r="D291" s="122" t="n">
        <f aca="false">IF(B291="","",IFERROR(B291/INDEX($B$2:$B$800,MATCH(DATE(YEAR(A291)-1,12,1),$A$2:$A$800,0))-1,""))</f>
        <v>0.0320614916828628</v>
      </c>
      <c r="E291" s="122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1" t="n">
        <v>43374</v>
      </c>
      <c r="B292" s="43" t="n">
        <v>743.866</v>
      </c>
      <c r="C292" s="122" t="n">
        <f aca="false">IF(OR(B292="",B291=""),"",B292/B291-1)</f>
        <v>0.00345471836828293</v>
      </c>
      <c r="D292" s="122" t="n">
        <f aca="false">IF(B292="","",IFERROR(B292/INDEX($B$2:$B$800,MATCH(DATE(YEAR(A292)-1,12,1),$A$2:$A$800,0))-1,""))</f>
        <v>0.0356269734753771</v>
      </c>
      <c r="E292" s="122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1" t="n">
        <v>43405</v>
      </c>
      <c r="B293" s="43" t="n">
        <v>744.865</v>
      </c>
      <c r="C293" s="122" t="n">
        <f aca="false">IF(OR(B293="",B292=""),"",B293/B292-1)</f>
        <v>0.00134298381697784</v>
      </c>
      <c r="D293" s="122" t="n">
        <f aca="false">IF(B293="","",IFERROR(B293/INDEX($B$2:$B$800,MATCH(DATE(YEAR(A293)-1,12,1),$A$2:$A$800,0))-1,""))</f>
        <v>0.0370178037411804</v>
      </c>
      <c r="E293" s="122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1" t="n">
        <v>43435</v>
      </c>
      <c r="B294" s="43" t="n">
        <v>745.856</v>
      </c>
      <c r="C294" s="122" t="n">
        <f aca="false">IF(OR(B294="",B293=""),"",B294/B293-1)</f>
        <v>0.00133044242916491</v>
      </c>
      <c r="D294" s="122" t="n">
        <f aca="false">IF(B294="","",IFERROR(B294/INDEX($B$2:$B$800,MATCH(DATE(YEAR(A294)-1,12,1),$A$2:$A$800,0))-1,""))</f>
        <v>0.0383974962270772</v>
      </c>
      <c r="E294" s="122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1" t="n">
        <v>43466</v>
      </c>
      <c r="B295" s="43" t="n">
        <v>749.517</v>
      </c>
      <c r="C295" s="122" t="n">
        <f aca="false">IF(OR(B295="",B294=""),"",B295/B294-1)</f>
        <v>0.00490845417882291</v>
      </c>
      <c r="D295" s="122" t="n">
        <f aca="false">IF(B295="","",IFERROR(B295/INDEX($B$2:$B$800,MATCH(DATE(YEAR(A295)-1,12,1),$A$2:$A$800,0))-1,""))</f>
        <v>0.00490845417882291</v>
      </c>
      <c r="E295" s="122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1" t="n">
        <v>43497</v>
      </c>
      <c r="B296" s="43" t="n">
        <v>750.18</v>
      </c>
      <c r="C296" s="122" t="n">
        <f aca="false">IF(OR(B296="",B295=""),"",B296/B295-1)</f>
        <v>0.000884569662862766</v>
      </c>
      <c r="D296" s="122" t="n">
        <f aca="false">IF(B296="","",IFERROR(B296/INDEX($B$2:$B$800,MATCH(DATE(YEAR(A296)-1,12,1),$A$2:$A$800,0))-1,""))</f>
        <v>0.00579736571134371</v>
      </c>
      <c r="E296" s="122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1" t="n">
        <v>43525</v>
      </c>
      <c r="B297" s="43" t="n">
        <v>752.524</v>
      </c>
      <c r="C297" s="122" t="n">
        <f aca="false">IF(OR(B297="",B296=""),"",B297/B296-1)</f>
        <v>0.00312458343330935</v>
      </c>
      <c r="D297" s="122" t="n">
        <f aca="false">IF(B297="","",IFERROR(B297/INDEX($B$2:$B$800,MATCH(DATE(YEAR(A297)-1,12,1),$A$2:$A$800,0))-1,""))</f>
        <v>0.00894006349751164</v>
      </c>
      <c r="E297" s="122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1" t="n">
        <v>43556</v>
      </c>
      <c r="B298" s="43" t="n">
        <v>755.373</v>
      </c>
      <c r="C298" s="122" t="n">
        <f aca="false">IF(OR(B298="",B297=""),"",B298/B297-1)</f>
        <v>0.00378592576449388</v>
      </c>
      <c r="D298" s="122" t="n">
        <f aca="false">IF(B298="","",IFERROR(B298/INDEX($B$2:$B$800,MATCH(DATE(YEAR(A298)-1,12,1),$A$2:$A$800,0))-1,""))</f>
        <v>0.0127598356787371</v>
      </c>
      <c r="E298" s="122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1" t="n">
        <v>43586</v>
      </c>
      <c r="B299" s="43" t="n">
        <v>755.625</v>
      </c>
      <c r="C299" s="122" t="n">
        <f aca="false">IF(OR(B299="",B298=""),"",B299/B298-1)</f>
        <v>0.000333610017832164</v>
      </c>
      <c r="D299" s="122" t="n">
        <f aca="false">IF(B299="","",IFERROR(B299/INDEX($B$2:$B$800,MATCH(DATE(YEAR(A299)-1,12,1),$A$2:$A$800,0))-1,""))</f>
        <v>0.0130977025055774</v>
      </c>
      <c r="E299" s="122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1" t="n">
        <v>43617</v>
      </c>
      <c r="B300" s="43" t="n">
        <v>762.304</v>
      </c>
      <c r="C300" s="122" t="n">
        <f aca="false">IF(OR(B300="",B299=""),"",B300/B299-1)</f>
        <v>0.00883904052936302</v>
      </c>
      <c r="D300" s="122" t="n">
        <f aca="false">IF(B300="","",IFERROR(B300/INDEX($B$2:$B$800,MATCH(DATE(YEAR(A300)-1,12,1),$A$2:$A$800,0))-1,""))</f>
        <v>0.0220525141582288</v>
      </c>
      <c r="E300" s="122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1" t="n">
        <v>43647</v>
      </c>
      <c r="B301" s="43" t="n">
        <v>766.699</v>
      </c>
      <c r="C301" s="122" t="n">
        <f aca="false">IF(OR(B301="",B300=""),"",B301/B300-1)</f>
        <v>0.00576541642179507</v>
      </c>
      <c r="D301" s="122" t="n">
        <f aca="false">IF(B301="","",IFERROR(B301/INDEX($B$2:$B$800,MATCH(DATE(YEAR(A301)-1,12,1),$A$2:$A$800,0))-1,""))</f>
        <v>0.0279450725072936</v>
      </c>
      <c r="E301" s="122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1" t="n">
        <v>43678</v>
      </c>
      <c r="B302" s="43" t="n">
        <v>769.951</v>
      </c>
      <c r="C302" s="122" t="n">
        <f aca="false">IF(OR(B302="",B301=""),"",B302/B301-1)</f>
        <v>0.00424156024724187</v>
      </c>
      <c r="D302" s="122" t="n">
        <f aca="false">IF(B302="","",IFERROR(B302/INDEX($B$2:$B$800,MATCH(DATE(YEAR(A302)-1,12,1),$A$2:$A$800,0))-1,""))</f>
        <v>0.0323051634631886</v>
      </c>
      <c r="E302" s="122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1" t="n">
        <v>43709</v>
      </c>
      <c r="B303" s="43" t="n">
        <v>773.52</v>
      </c>
      <c r="C303" s="122" t="n">
        <f aca="false">IF(OR(B303="",B302=""),"",B303/B302-1)</f>
        <v>0.00463535991251396</v>
      </c>
      <c r="D303" s="122" t="n">
        <f aca="false">IF(B303="","",IFERROR(B303/INDEX($B$2:$B$800,MATCH(DATE(YEAR(A303)-1,12,1),$A$2:$A$800,0))-1,""))</f>
        <v>0.037090269435387</v>
      </c>
      <c r="E303" s="122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1" t="n">
        <v>43739</v>
      </c>
      <c r="B304" s="43" t="n">
        <v>774.939</v>
      </c>
      <c r="C304" s="122" t="n">
        <f aca="false">IF(OR(B304="",B303=""),"",B304/B303-1)</f>
        <v>0.00183447098976108</v>
      </c>
      <c r="D304" s="122" t="n">
        <f aca="false">IF(B304="","",IFERROR(B304/INDEX($B$2:$B$800,MATCH(DATE(YEAR(A304)-1,12,1),$A$2:$A$800,0))-1,""))</f>
        <v>0.0389927814484297</v>
      </c>
      <c r="E304" s="122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1" t="n">
        <v>43770</v>
      </c>
      <c r="B305" s="43" t="n">
        <v>775.225</v>
      </c>
      <c r="C305" s="122" t="n">
        <f aca="false">IF(OR(B305="",B304=""),"",B305/B304-1)</f>
        <v>0.000369061306761065</v>
      </c>
      <c r="D305" s="122" t="n">
        <f aca="false">IF(B305="","",IFERROR(B305/INDEX($B$2:$B$800,MATCH(DATE(YEAR(A305)-1,12,1),$A$2:$A$800,0))-1,""))</f>
        <v>0.0393762334820662</v>
      </c>
      <c r="E305" s="122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1" t="n">
        <v>43800</v>
      </c>
      <c r="B306" s="43" t="n">
        <v>776.839</v>
      </c>
      <c r="C306" s="122" t="n">
        <f aca="false">IF(OR(B306="",B305=""),"",B306/B305-1)</f>
        <v>0.00208197620045802</v>
      </c>
      <c r="D306" s="122" t="n">
        <f aca="false">IF(B306="","",IFERROR(B306/INDEX($B$2:$B$800,MATCH(DATE(YEAR(A306)-1,12,1),$A$2:$A$800,0))-1,""))</f>
        <v>0.0415401900634975</v>
      </c>
      <c r="E306" s="122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1" t="n">
        <v>43831</v>
      </c>
      <c r="B307" s="43" t="n">
        <v>779.766</v>
      </c>
      <c r="C307" s="122" t="n">
        <f aca="false">IF(OR(B307="",B306=""),"",B307/B306-1)</f>
        <v>0.0037678334893072</v>
      </c>
      <c r="D307" s="122" t="n">
        <f aca="false">IF(B307="","",IFERROR(B307/INDEX($B$2:$B$800,MATCH(DATE(YEAR(A307)-1,12,1),$A$2:$A$800,0))-1,""))</f>
        <v>0.0037678334893072</v>
      </c>
      <c r="E307" s="122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1" t="n">
        <v>43862</v>
      </c>
      <c r="B308" s="43" t="n">
        <v>782.336</v>
      </c>
      <c r="C308" s="122" t="n">
        <f aca="false">IF(OR(B308="",B307=""),"",B308/B307-1)</f>
        <v>0.00329586055303777</v>
      </c>
      <c r="D308" s="122" t="n">
        <f aca="false">IF(B308="","",IFERROR(B308/INDEX($B$2:$B$800,MATCH(DATE(YEAR(A308)-1,12,1),$A$2:$A$800,0))-1,""))</f>
        <v>0.00707611229611271</v>
      </c>
      <c r="E308" s="122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1" t="n">
        <v>43891</v>
      </c>
      <c r="B309" s="43" t="n">
        <v>784.338</v>
      </c>
      <c r="C309" s="122" t="n">
        <f aca="false">IF(OR(B309="",B308=""),"",B309/B308-1)</f>
        <v>0.00255900278141352</v>
      </c>
      <c r="D309" s="122" t="n">
        <f aca="false">IF(B309="","",IFERROR(B309/INDEX($B$2:$B$800,MATCH(DATE(YEAR(A309)-1,12,1),$A$2:$A$800,0))-1,""))</f>
        <v>0.00965322286857373</v>
      </c>
      <c r="E309" s="122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1" t="n">
        <v>43922</v>
      </c>
      <c r="B310" s="43" t="n">
        <v>786.07</v>
      </c>
      <c r="C310" s="122" t="n">
        <f aca="false">IF(OR(B310="",B309=""),"",B310/B309-1)</f>
        <v>0.00220823165523032</v>
      </c>
      <c r="D310" s="122" t="n">
        <f aca="false">IF(B310="","",IFERROR(B310/INDEX($B$2:$B$800,MATCH(DATE(YEAR(A310)-1,12,1),$A$2:$A$800,0))-1,""))</f>
        <v>0.0118827710761173</v>
      </c>
      <c r="E310" s="122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1" t="n">
        <v>43952</v>
      </c>
      <c r="B311" s="43" t="n">
        <v>787.666</v>
      </c>
      <c r="C311" s="122" t="n">
        <f aca="false">IF(OR(B311="",B310=""),"",B311/B310-1)</f>
        <v>0.00203035353085612</v>
      </c>
      <c r="D311" s="122" t="n">
        <f aca="false">IF(B311="","",IFERROR(B311/INDEX($B$2:$B$800,MATCH(DATE(YEAR(A311)-1,12,1),$A$2:$A$800,0))-1,""))</f>
        <v>0.0139372508331843</v>
      </c>
      <c r="E311" s="122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1" t="n">
        <v>43983</v>
      </c>
      <c r="B312" s="43" t="n">
        <v>790.331</v>
      </c>
      <c r="C312" s="122" t="n">
        <f aca="false">IF(OR(B312="",B311=""),"",B312/B311-1)</f>
        <v>0.0033834137819837</v>
      </c>
      <c r="D312" s="122" t="n">
        <f aca="false">IF(B312="","",IFERROR(B312/INDEX($B$2:$B$800,MATCH(DATE(YEAR(A312)-1,12,1),$A$2:$A$800,0))-1,""))</f>
        <v>0.0173678201017198</v>
      </c>
      <c r="E312" s="122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1" t="n">
        <v>44013</v>
      </c>
      <c r="B313" s="43" t="n">
        <v>799.589</v>
      </c>
      <c r="C313" s="122" t="n">
        <f aca="false">IF(OR(B313="",B312=""),"",B313/B312-1)</f>
        <v>0.0117140792908288</v>
      </c>
      <c r="D313" s="122" t="n">
        <f aca="false">IF(B313="","",IFERROR(B313/INDEX($B$2:$B$800,MATCH(DATE(YEAR(A313)-1,12,1),$A$2:$A$800,0))-1,""))</f>
        <v>0.0292853474143291</v>
      </c>
      <c r="E313" s="122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1" t="n">
        <v>44044</v>
      </c>
      <c r="B314" s="43" t="n">
        <v>805.356</v>
      </c>
      <c r="C314" s="122" t="n">
        <f aca="false">IF(OR(B314="",B313=""),"",B314/B313-1)</f>
        <v>0.0072124553989612</v>
      </c>
      <c r="D314" s="122" t="n">
        <f aca="false">IF(B314="","",IFERROR(B314/INDEX($B$2:$B$800,MATCH(DATE(YEAR(A314)-1,12,1),$A$2:$A$800,0))-1,""))</f>
        <v>0.0367090220753592</v>
      </c>
      <c r="E314" s="122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1" t="n">
        <v>44075</v>
      </c>
      <c r="B315" s="43" t="n">
        <v>814.701</v>
      </c>
      <c r="C315" s="122" t="n">
        <f aca="false">IF(OR(B315="",B314=""),"",B315/B314-1)</f>
        <v>0.0116035641380954</v>
      </c>
      <c r="D315" s="122" t="n">
        <f aca="false">IF(B315="","",IFERROR(B315/INDEX($B$2:$B$800,MATCH(DATE(YEAR(A315)-1,12,1),$A$2:$A$800,0))-1,""))</f>
        <v>0.0487385417055528</v>
      </c>
      <c r="E315" s="122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1" t="n">
        <v>44105</v>
      </c>
      <c r="B316" s="43" t="n">
        <v>828.778</v>
      </c>
      <c r="C316" s="122" t="n">
        <f aca="false">IF(OR(B316="",B315=""),"",B316/B315-1)</f>
        <v>0.0172787317064789</v>
      </c>
      <c r="D316" s="122" t="n">
        <f aca="false">IF(B316="","",IFERROR(B316/INDEX($B$2:$B$800,MATCH(DATE(YEAR(A316)-1,12,1),$A$2:$A$800,0))-1,""))</f>
        <v>0.066859413597927</v>
      </c>
      <c r="E316" s="122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1" t="n">
        <v>44136</v>
      </c>
      <c r="B317" s="43" t="n">
        <v>839.382</v>
      </c>
      <c r="C317" s="122" t="n">
        <f aca="false">IF(OR(B317="",B316=""),"",B317/B316-1)</f>
        <v>0.0127947411731488</v>
      </c>
      <c r="D317" s="122" t="n">
        <f aca="false">IF(B317="","",IFERROR(B317/INDEX($B$2:$B$800,MATCH(DATE(YEAR(A317)-1,12,1),$A$2:$A$800,0))-1,""))</f>
        <v>0.0805096036630497</v>
      </c>
      <c r="E317" s="122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1" t="n">
        <v>44166</v>
      </c>
      <c r="B318" s="43" t="n">
        <v>845.268</v>
      </c>
      <c r="C318" s="122" t="n">
        <f aca="false">IF(OR(B318="",B317=""),"",B318/B317-1)</f>
        <v>0.00701230190783231</v>
      </c>
      <c r="D318" s="122" t="n">
        <f aca="false">IF(B318="","",IFERROR(B318/INDEX($B$2:$B$800,MATCH(DATE(YEAR(A318)-1,12,1),$A$2:$A$800,0))-1,""))</f>
        <v>0.0880864632182472</v>
      </c>
      <c r="E318" s="122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1" t="n">
        <v>44197</v>
      </c>
      <c r="B319" s="43" t="n">
        <v>852.809</v>
      </c>
      <c r="C319" s="122" t="n">
        <f aca="false">IF(OR(B319="",B318=""),"",B319/B318-1)</f>
        <v>0.00892143083613717</v>
      </c>
      <c r="D319" s="122" t="n">
        <f aca="false">IF(B319="","",IFERROR(B319/INDEX($B$2:$B$800,MATCH(DATE(YEAR(A319)-1,12,1),$A$2:$A$800,0))-1,""))</f>
        <v>0.00892143083613717</v>
      </c>
      <c r="E319" s="122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1" t="n">
        <v>44228</v>
      </c>
      <c r="B320" s="43" t="n">
        <v>868.929</v>
      </c>
      <c r="C320" s="122" t="n">
        <f aca="false">IF(OR(B320="",B319=""),"",B320/B319-1)</f>
        <v>0.018902239540155</v>
      </c>
      <c r="D320" s="122" t="n">
        <f aca="false">IF(B320="","",IFERROR(B320/INDEX($B$2:$B$800,MATCH(DATE(YEAR(A320)-1,12,1),$A$2:$A$800,0))-1,""))</f>
        <v>0.0279923053989977</v>
      </c>
      <c r="E320" s="122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1" t="n">
        <v>44256</v>
      </c>
      <c r="B321" s="43" t="n">
        <v>880.265</v>
      </c>
      <c r="C321" s="122" t="n">
        <f aca="false">IF(OR(B321="",B320=""),"",B321/B320-1)</f>
        <v>0.0130459450657074</v>
      </c>
      <c r="D321" s="122" t="n">
        <f aca="false">IF(B321="","",IFERROR(B321/INDEX($B$2:$B$800,MATCH(DATE(YEAR(A321)-1,12,1),$A$2:$A$800,0))-1,""))</f>
        <v>0.0414034365432028</v>
      </c>
      <c r="E321" s="122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1" t="n">
        <v>44287</v>
      </c>
      <c r="B322" s="43" t="n">
        <v>888.191</v>
      </c>
      <c r="C322" s="122" t="n">
        <f aca="false">IF(OR(B322="",B321=""),"",B322/B321-1)</f>
        <v>0.00900410671786345</v>
      </c>
      <c r="D322" s="122" t="n">
        <f aca="false">IF(B322="","",IFERROR(B322/INDEX($B$2:$B$800,MATCH(DATE(YEAR(A322)-1,12,1),$A$2:$A$800,0))-1,""))</f>
        <v>0.0507803442221875</v>
      </c>
      <c r="E322" s="122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1" t="n">
        <v>44317</v>
      </c>
      <c r="B323" s="43" t="n">
        <v>907.899</v>
      </c>
      <c r="C323" s="122" t="n">
        <f aca="false">IF(OR(B323="",B322=""),"",B323/B322-1)</f>
        <v>0.0221889210766604</v>
      </c>
      <c r="D323" s="122" t="n">
        <f aca="false">IF(B323="","",IFERROR(B323/INDEX($B$2:$B$800,MATCH(DATE(YEAR(A323)-1,12,1),$A$2:$A$800,0))-1,""))</f>
        <v>0.0740960263490396</v>
      </c>
      <c r="E323" s="122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1" t="n">
        <v>44348</v>
      </c>
      <c r="B324" s="43" t="n">
        <v>927.512</v>
      </c>
      <c r="C324" s="122" t="n">
        <f aca="false">IF(OR(B324="",B323=""),"",B324/B323-1)</f>
        <v>0.0216026231992765</v>
      </c>
      <c r="D324" s="122" t="n">
        <f aca="false">IF(B324="","",IFERROR(B324/INDEX($B$2:$B$800,MATCH(DATE(YEAR(A324)-1,12,1),$A$2:$A$800,0))-1,""))</f>
        <v>0.0972993180860979</v>
      </c>
      <c r="E324" s="122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1" t="n">
        <v>44378</v>
      </c>
      <c r="B325" s="43" t="n">
        <v>935.359</v>
      </c>
      <c r="C325" s="122" t="n">
        <f aca="false">IF(OR(B325="",B324=""),"",B325/B324-1)</f>
        <v>0.00846026789949894</v>
      </c>
      <c r="D325" s="122" t="n">
        <f aca="false">IF(B325="","",IFERROR(B325/INDEX($B$2:$B$800,MATCH(DATE(YEAR(A325)-1,12,1),$A$2:$A$800,0))-1,""))</f>
        <v>0.106582764283044</v>
      </c>
      <c r="E325" s="122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1" t="n">
        <v>44409</v>
      </c>
      <c r="B326" s="43" t="n">
        <v>939.699</v>
      </c>
      <c r="C326" s="122" t="n">
        <f aca="false">IF(OR(B326="",B325=""),"",B326/B325-1)</f>
        <v>0.00463992969544314</v>
      </c>
      <c r="D326" s="122" t="n">
        <f aca="false">IF(B326="","",IFERROR(B326/INDEX($B$2:$B$800,MATCH(DATE(YEAR(A326)-1,12,1),$A$2:$A$800,0))-1,""))</f>
        <v>0.111717230511506</v>
      </c>
      <c r="E326" s="122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1" t="n">
        <v>44440</v>
      </c>
      <c r="B327" s="43" t="n">
        <v>944.52</v>
      </c>
      <c r="C327" s="122" t="n">
        <f aca="false">IF(OR(B327="",B326=""),"",B327/B326-1)</f>
        <v>0.00513036621301088</v>
      </c>
      <c r="D327" s="122" t="n">
        <f aca="false">IF(B327="","",IFERROR(B327/INDEX($B$2:$B$800,MATCH(DATE(YEAR(A327)-1,12,1),$A$2:$A$800,0))-1,""))</f>
        <v>0.117420747029344</v>
      </c>
      <c r="E327" s="122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1" t="n">
        <v>44470</v>
      </c>
      <c r="B328" s="43" t="n">
        <v>952.596</v>
      </c>
      <c r="C328" s="122" t="n">
        <f aca="false">IF(OR(B328="",B327=""),"",B328/B327-1)</f>
        <v>0.00855037479354603</v>
      </c>
      <c r="D328" s="122" t="n">
        <f aca="false">IF(B328="","",IFERROR(B328/INDEX($B$2:$B$800,MATCH(DATE(YEAR(A328)-1,12,1),$A$2:$A$800,0))-1,""))</f>
        <v>0.12697511321853</v>
      </c>
      <c r="E328" s="122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1" t="n">
        <v>44501</v>
      </c>
      <c r="B329" s="43" t="n">
        <v>959.001</v>
      </c>
      <c r="C329" s="122" t="n">
        <f aca="false">IF(OR(B329="",B328=""),"",B329/B328-1)</f>
        <v>0.00672373178136376</v>
      </c>
      <c r="D329" s="122" t="n">
        <f aca="false">IF(B329="","",IFERROR(B329/INDEX($B$2:$B$800,MATCH(DATE(YEAR(A329)-1,12,1),$A$2:$A$800,0))-1,""))</f>
        <v>0.134552591604083</v>
      </c>
      <c r="E329" s="122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1" t="n">
        <v>44531</v>
      </c>
      <c r="B330" s="43" t="n">
        <v>962.321</v>
      </c>
      <c r="C330" s="122" t="n">
        <f aca="false">IF(OR(B330="",B329=""),"",B330/B329-1)</f>
        <v>0.00346193591039023</v>
      </c>
      <c r="D330" s="122" t="n">
        <f aca="false">IF(B330="","",IFERROR(B330/INDEX($B$2:$B$800,MATCH(DATE(YEAR(A330)-1,12,1),$A$2:$A$800,0))-1,""))</f>
        <v>0.138480339963183</v>
      </c>
      <c r="E330" s="122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1" t="n">
        <v>44562</v>
      </c>
      <c r="B331" s="43" t="n">
        <v>969.184</v>
      </c>
      <c r="C331" s="122" t="n">
        <f aca="false">IF(OR(B331="",B330=""),"",B331/B330-1)</f>
        <v>0.00713171592431205</v>
      </c>
      <c r="D331" s="122" t="n">
        <f aca="false">IF(B331="","",IFERROR(B331/INDEX($B$2:$B$800,MATCH(DATE(YEAR(A331)-1,12,1),$A$2:$A$800,0))-1,""))</f>
        <v>0.00713171592431205</v>
      </c>
      <c r="E331" s="122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1" t="n">
        <v>44593</v>
      </c>
      <c r="B332" s="43" t="n">
        <v>972.904</v>
      </c>
      <c r="C332" s="122" t="n">
        <f aca="false">IF(OR(B332="",B331=""),"",B332/B331-1)</f>
        <v>0.00383828045035828</v>
      </c>
      <c r="D332" s="122" t="n">
        <f aca="false">IF(B332="","",IFERROR(B332/INDEX($B$2:$B$800,MATCH(DATE(YEAR(A332)-1,12,1),$A$2:$A$800,0))-1,""))</f>
        <v>0.0109973699004802</v>
      </c>
      <c r="E332" s="122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1" t="n">
        <v>44621</v>
      </c>
      <c r="B333" s="43" t="n">
        <v>981.244</v>
      </c>
      <c r="C333" s="122" t="n">
        <f aca="false">IF(OR(B333="",B332=""),"",B333/B332-1)</f>
        <v>0.00857227434567021</v>
      </c>
      <c r="D333" s="122" t="n">
        <f aca="false">IF(B333="","",IFERROR(B333/INDEX($B$2:$B$800,MATCH(DATE(YEAR(A333)-1,12,1),$A$2:$A$800,0))-1,""))</f>
        <v>0.0196639167180182</v>
      </c>
      <c r="E333" s="122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1" t="n">
        <v>44652</v>
      </c>
      <c r="B334" s="43" t="n">
        <v>990.543</v>
      </c>
      <c r="C334" s="122" t="n">
        <f aca="false">IF(OR(B334="",B333=""),"",B334/B333-1)</f>
        <v>0.00947674584507019</v>
      </c>
      <c r="D334" s="122" t="n">
        <f aca="false">IF(B334="","",IFERROR(B334/INDEX($B$2:$B$800,MATCH(DATE(YEAR(A334)-1,12,1),$A$2:$A$800,0))-1,""))</f>
        <v>0.0293270125041436</v>
      </c>
      <c r="E334" s="122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1" t="n">
        <v>44682</v>
      </c>
      <c r="B335" s="43" t="n">
        <v>1013.164</v>
      </c>
      <c r="C335" s="122" t="n">
        <f aca="false">IF(OR(B335="",B334=""),"",B335/B334-1)</f>
        <v>0.0228369692178936</v>
      </c>
      <c r="D335" s="122" t="n">
        <f aca="false">IF(B335="","",IFERROR(B335/INDEX($B$2:$B$800,MATCH(DATE(YEAR(A335)-1,12,1),$A$2:$A$800,0))-1,""))</f>
        <v>0.052833721803847</v>
      </c>
      <c r="E335" s="122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1" t="n">
        <v>44713</v>
      </c>
      <c r="B336" s="43" t="n">
        <v>1034.824</v>
      </c>
      <c r="C336" s="122" t="n">
        <f aca="false">IF(OR(B336="",B335=""),"",B336/B335-1)</f>
        <v>0.0213785724719791</v>
      </c>
      <c r="D336" s="122" t="n">
        <f aca="false">IF(B336="","",IFERROR(B336/INDEX($B$2:$B$800,MATCH(DATE(YEAR(A336)-1,12,1),$A$2:$A$800,0))-1,""))</f>
        <v>0.075341803826374</v>
      </c>
      <c r="E336" s="122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1" t="n">
        <v>44743</v>
      </c>
      <c r="B337" s="43" t="n">
        <v>1043.76</v>
      </c>
      <c r="C337" s="122" t="n">
        <f aca="false">IF(OR(B337="",B336=""),"",B337/B336-1)</f>
        <v>0.00863528484070719</v>
      </c>
      <c r="D337" s="122" t="n">
        <f aca="false">IF(B337="","",IFERROR(B337/INDEX($B$2:$B$800,MATCH(DATE(YEAR(A337)-1,12,1),$A$2:$A$800,0))-1,""))</f>
        <v>0.0846276866035345</v>
      </c>
      <c r="E337" s="122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1" t="n">
        <v>44774</v>
      </c>
      <c r="B338" s="43" t="n">
        <v>1044.679</v>
      </c>
      <c r="C338" s="122" t="n">
        <f aca="false">IF(OR(B338="",B337=""),"",B338/B337-1)</f>
        <v>0.000880470606269723</v>
      </c>
      <c r="D338" s="122" t="n">
        <f aca="false">IF(B338="","",IFERROR(B338/INDEX($B$2:$B$800,MATCH(DATE(YEAR(A338)-1,12,1),$A$2:$A$800,0))-1,""))</f>
        <v>0.0855826694003352</v>
      </c>
      <c r="E338" s="122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1" t="n">
        <v>44805</v>
      </c>
      <c r="B339" s="43" t="n">
        <v>1045.616</v>
      </c>
      <c r="C339" s="122" t="n">
        <f aca="false">IF(OR(B339="",B338=""),"",B339/B338-1)</f>
        <v>0.000896926232842654</v>
      </c>
      <c r="D339" s="122" t="n">
        <f aca="false">IF(B339="","",IFERROR(B339/INDEX($B$2:$B$800,MATCH(DATE(YEAR(A339)-1,12,1),$A$2:$A$800,0))-1,""))</f>
        <v>0.0865563569744399</v>
      </c>
      <c r="E339" s="122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1" t="n">
        <v>44835</v>
      </c>
      <c r="B340" s="43" t="n">
        <v>1046.896</v>
      </c>
      <c r="C340" s="122" t="n">
        <f aca="false">IF(OR(B340="",B339=""),"",B340/B339-1)</f>
        <v>0.00122415877339299</v>
      </c>
      <c r="D340" s="122" t="n">
        <f aca="false">IF(B340="","",IFERROR(B340/INDEX($B$2:$B$800,MATCH(DATE(YEAR(A340)-1,12,1),$A$2:$A$800,0))-1,""))</f>
        <v>0.0878864744716159</v>
      </c>
      <c r="E340" s="122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1" t="n">
        <v>44866</v>
      </c>
      <c r="B341" s="43" t="n">
        <v>1050.701</v>
      </c>
      <c r="C341" s="122" t="n">
        <f aca="false">IF(OR(B341="",B340=""),"",B341/B340-1)</f>
        <v>0.00363455395760415</v>
      </c>
      <c r="D341" s="122" t="n">
        <f aca="false">IF(B341="","",IFERROR(B341/INDEX($B$2:$B$800,MATCH(DATE(YEAR(A341)-1,12,1),$A$2:$A$800,0))-1,""))</f>
        <v>0.0918404565628308</v>
      </c>
      <c r="E341" s="122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1" t="n">
        <v>44896</v>
      </c>
      <c r="B342" s="43" t="n">
        <v>1051.632</v>
      </c>
      <c r="C342" s="122" t="n">
        <f aca="false">IF(OR(B342="",B341=""),"",B342/B341-1)</f>
        <v>0.000886075106048212</v>
      </c>
      <c r="D342" s="122" t="n">
        <f aca="false">IF(B342="","",IFERROR(B342/INDEX($B$2:$B$800,MATCH(DATE(YEAR(A342)-1,12,1),$A$2:$A$800,0))-1,""))</f>
        <v>0.0928079092111676</v>
      </c>
      <c r="E342" s="122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1" t="n">
        <v>44927</v>
      </c>
      <c r="B343" s="43" t="n">
        <v>1056.418</v>
      </c>
      <c r="C343" s="122" t="n">
        <f aca="false">IF(OR(B343="",B342=""),"",B343/B342-1)</f>
        <v>0.00455102165015875</v>
      </c>
      <c r="D343" s="122" t="n">
        <f aca="false">IF(B343="","",IFERROR(B343/INDEX($B$2:$B$800,MATCH(DATE(YEAR(A343)-1,12,1),$A$2:$A$800,0))-1,""))</f>
        <v>0.00455102165015875</v>
      </c>
      <c r="E343" s="122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1" t="n">
        <v>44958</v>
      </c>
      <c r="B344" s="43" t="n">
        <v>1056.896</v>
      </c>
      <c r="C344" s="122" t="n">
        <f aca="false">IF(OR(B344="",B343=""),"",B344/B343-1)</f>
        <v>0.000452472411488714</v>
      </c>
      <c r="D344" s="122" t="n">
        <f aca="false">IF(B344="","",IFERROR(B344/INDEX($B$2:$B$800,MATCH(DATE(YEAR(A344)-1,12,1),$A$2:$A$800,0))-1,""))</f>
        <v>0.00500555327338836</v>
      </c>
      <c r="E344" s="122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1" t="n">
        <v>44986</v>
      </c>
      <c r="B345" s="43" t="n">
        <v>1060.116</v>
      </c>
      <c r="C345" s="122" t="n">
        <f aca="false">IF(OR(B345="",B344=""),"",B345/B344-1)</f>
        <v>0.00304665738161569</v>
      </c>
      <c r="D345" s="122" t="n">
        <f aca="false">IF(B345="","",IFERROR(B345/INDEX($B$2:$B$800,MATCH(DATE(YEAR(A345)-1,12,1),$A$2:$A$800,0))-1,""))</f>
        <v>0.00806746086083332</v>
      </c>
      <c r="E345" s="122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1" t="n">
        <v>45017</v>
      </c>
      <c r="B346" s="43" t="n">
        <v>1061.635</v>
      </c>
      <c r="C346" s="122" t="n">
        <f aca="false">IF(OR(B346="",B345=""),"",B346/B345-1)</f>
        <v>0.0014328620641515</v>
      </c>
      <c r="D346" s="122" t="n">
        <f aca="false">IF(B346="","",IFERROR(B346/INDEX($B$2:$B$800,MATCH(DATE(YEAR(A346)-1,12,1),$A$2:$A$800,0))-1,""))</f>
        <v>0.00951188248360646</v>
      </c>
      <c r="E346" s="122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1" t="n">
        <v>45047</v>
      </c>
      <c r="B347" s="43" t="n">
        <v>1067.919</v>
      </c>
      <c r="C347" s="122" t="n">
        <f aca="false">IF(OR(B347="",B346=""),"",B347/B346-1)</f>
        <v>0.00591917184343038</v>
      </c>
      <c r="D347" s="122" t="n">
        <f aca="false">IF(B347="","",IFERROR(B347/INDEX($B$2:$B$800,MATCH(DATE(YEAR(A347)-1,12,1),$A$2:$A$800,0))-1,""))</f>
        <v>0.0154873567940117</v>
      </c>
      <c r="E347" s="122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1" t="n">
        <v>45078</v>
      </c>
      <c r="B348" s="43" t="n">
        <v>1075.54</v>
      </c>
      <c r="C348" s="122" t="n">
        <f aca="false">IF(OR(B348="",B347=""),"",B348/B347-1)</f>
        <v>0.00713630902718254</v>
      </c>
      <c r="D348" s="122" t="n">
        <f aca="false">IF(B348="","",IFERROR(B348/INDEX($B$2:$B$800,MATCH(DATE(YEAR(A348)-1,12,1),$A$2:$A$800,0))-1,""))</f>
        <v>0.0227341883852905</v>
      </c>
      <c r="E348" s="122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1" t="n">
        <v>45108</v>
      </c>
      <c r="B349" s="43" t="n">
        <v>1076.626</v>
      </c>
      <c r="C349" s="122" t="n">
        <f aca="false">IF(OR(B349="",B348=""),"",B349/B348-1)</f>
        <v>0.0010097253472674</v>
      </c>
      <c r="D349" s="122" t="n">
        <f aca="false">IF(B349="","",IFERROR(B349/INDEX($B$2:$B$800,MATCH(DATE(YEAR(A349)-1,12,1),$A$2:$A$800,0))-1,""))</f>
        <v>0.0237668690188202</v>
      </c>
      <c r="E349" s="122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1" t="n">
        <v>45139</v>
      </c>
      <c r="B350" s="43" t="n">
        <v>1078.412</v>
      </c>
      <c r="C350" s="122" t="n">
        <f aca="false">IF(OR(B350="",B349=""),"",B350/B349-1)</f>
        <v>0.00165888618703258</v>
      </c>
      <c r="D350" s="122" t="n">
        <f aca="false">IF(B350="","",IFERROR(B350/INDEX($B$2:$B$800,MATCH(DATE(YEAR(A350)-1,12,1),$A$2:$A$800,0))-1,""))</f>
        <v>0.025465181736577</v>
      </c>
      <c r="E350" s="122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1" t="n">
        <v>45170</v>
      </c>
      <c r="B351" s="43" t="n">
        <v>1082.104</v>
      </c>
      <c r="C351" s="122" t="n">
        <f aca="false">IF(OR(B351="",B350=""),"",B351/B350-1)</f>
        <v>0.00342355240854153</v>
      </c>
      <c r="D351" s="122" t="n">
        <f aca="false">IF(B351="","",IFERROR(B351/INDEX($B$2:$B$800,MATCH(DATE(YEAR(A351)-1,12,1),$A$2:$A$800,0))-1,""))</f>
        <v>0.0289759155293867</v>
      </c>
      <c r="E351" s="122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1" t="n">
        <v>45200</v>
      </c>
      <c r="B352" s="43" t="n">
        <v>1084.242</v>
      </c>
      <c r="C352" s="122" t="n">
        <f aca="false">IF(OR(B352="",B351=""),"",B352/B351-1)</f>
        <v>0.00197578051647529</v>
      </c>
      <c r="D352" s="122" t="n">
        <f aca="false">IF(B352="","",IFERROR(B352/INDEX($B$2:$B$800,MATCH(DATE(YEAR(A352)-1,12,1),$A$2:$A$800,0))-1,""))</f>
        <v>0.0310089460952119</v>
      </c>
      <c r="E352" s="122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1" t="n">
        <v>45231</v>
      </c>
      <c r="B353" s="43" t="n">
        <v>1084.986</v>
      </c>
      <c r="C353" s="122" t="n">
        <f aca="false">IF(OR(B353="",B352=""),"",B353/B352-1)</f>
        <v>0.000686193672630342</v>
      </c>
      <c r="D353" s="122" t="n">
        <f aca="false">IF(B353="","",IFERROR(B353/INDEX($B$2:$B$800,MATCH(DATE(YEAR(A353)-1,12,1),$A$2:$A$800,0))-1,""))</f>
        <v>0.0317164179104479</v>
      </c>
      <c r="E353" s="122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1" t="n">
        <v>45261</v>
      </c>
      <c r="B354" s="43" t="n">
        <v>1088.312</v>
      </c>
      <c r="C354" s="122" t="n">
        <f aca="false">IF(OR(B354="",B353=""),"",B354/B353-1)</f>
        <v>0.00306547734256468</v>
      </c>
      <c r="D354" s="122" t="n">
        <f aca="false">IF(B354="","",IFERROR(B354/INDEX($B$2:$B$800,MATCH(DATE(YEAR(A354)-1,12,1),$A$2:$A$800,0))-1,""))</f>
        <v>0.0348791212135042</v>
      </c>
      <c r="E354" s="122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1" t="n">
        <v>45292</v>
      </c>
      <c r="B355" s="43" t="n">
        <v>1091.25</v>
      </c>
      <c r="C355" s="122" t="n">
        <f aca="false">IF(OR(B355="",B354=""),"",B355/B354-1)</f>
        <v>0.00269959349892313</v>
      </c>
      <c r="D355" s="122" t="n">
        <f aca="false">IF(B355="","",IFERROR(B355/INDEX($B$2:$B$800,MATCH(DATE(YEAR(A355)-1,12,1),$A$2:$A$800,0))-1,""))</f>
        <v>0.00269959349892313</v>
      </c>
      <c r="E355" s="122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1" t="n">
        <v>45323</v>
      </c>
      <c r="B356" s="43" t="n">
        <v>1092.685</v>
      </c>
      <c r="C356" s="122" t="n">
        <f aca="false">IF(OR(B356="",B355=""),"",B356/B355-1)</f>
        <v>0.00131500572737675</v>
      </c>
      <c r="D356" s="122" t="n">
        <f aca="false">IF(B356="","",IFERROR(B356/INDEX($B$2:$B$800,MATCH(DATE(YEAR(A356)-1,12,1),$A$2:$A$800,0))-1,""))</f>
        <v>0.00401814920721266</v>
      </c>
      <c r="E356" s="122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1" t="n">
        <v>45352</v>
      </c>
      <c r="B357" s="43" t="n">
        <v>1095.738</v>
      </c>
      <c r="C357" s="122" t="n">
        <f aca="false">IF(OR(B357="",B356=""),"",B357/B356-1)</f>
        <v>0.00279403487738938</v>
      </c>
      <c r="D357" s="122" t="n">
        <f aca="false">IF(B357="","",IFERROR(B357/INDEX($B$2:$B$800,MATCH(DATE(YEAR(A357)-1,12,1),$A$2:$A$800,0))-1,""))</f>
        <v>0.00682341093362937</v>
      </c>
      <c r="E357" s="122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1" t="n">
        <v>45383</v>
      </c>
      <c r="B358" s="43" t="n">
        <v>1101.389</v>
      </c>
      <c r="C358" s="122" t="n">
        <f aca="false">IF(OR(B358="",B357=""),"",B358/B357-1)</f>
        <v>0.00515725474520345</v>
      </c>
      <c r="D358" s="122" t="n">
        <f aca="false">IF(B358="","",IFERROR(B358/INDEX($B$2:$B$800,MATCH(DATE(YEAR(A358)-1,12,1),$A$2:$A$800,0))-1,""))</f>
        <v>0.0120158557472489</v>
      </c>
      <c r="E358" s="122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1" t="n">
        <v>45413</v>
      </c>
      <c r="B359" s="43" t="n">
        <v>1110.887</v>
      </c>
      <c r="C359" s="122" t="n">
        <f aca="false">IF(OR(B359="",B358=""),"",B359/B358-1)</f>
        <v>0.00862365612876115</v>
      </c>
      <c r="D359" s="122" t="n">
        <f aca="false">IF(B359="","",IFERROR(B359/INDEX($B$2:$B$800,MATCH(DATE(YEAR(A359)-1,12,1),$A$2:$A$800,0))-1,""))</f>
        <v>0.020743132484067</v>
      </c>
      <c r="E359" s="122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1" t="n">
        <v>45444</v>
      </c>
      <c r="B360" s="43" t="n">
        <v>1118.827</v>
      </c>
      <c r="C360" s="122" t="n">
        <f aca="false">IF(OR(B360="",B359=""),"",B360/B359-1)</f>
        <v>0.00714744163897874</v>
      </c>
      <c r="D360" s="122" t="n">
        <f aca="false">IF(B360="","",IFERROR(B360/INDEX($B$2:$B$800,MATCH(DATE(YEAR(A360)-1,12,1),$A$2:$A$800,0))-1,""))</f>
        <v>0.0280388344518852</v>
      </c>
      <c r="E360" s="122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1" t="n">
        <v>45474</v>
      </c>
      <c r="B361" s="43" t="n">
        <v>1126.916</v>
      </c>
      <c r="C361" s="122" t="n">
        <f aca="false">IF(OR(B361="",B360=""),"",B361/B360-1)</f>
        <v>0.00722989345090874</v>
      </c>
      <c r="D361" s="122" t="n">
        <f aca="false">IF(B361="","",IFERROR(B361/INDEX($B$2:$B$800,MATCH(DATE(YEAR(A361)-1,12,1),$A$2:$A$800,0))-1,""))</f>
        <v>0.0354714456883689</v>
      </c>
      <c r="E361" s="122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1" t="n">
        <v>45505</v>
      </c>
      <c r="B362" s="43" t="n">
        <v>1134.775</v>
      </c>
      <c r="C362" s="122" t="n">
        <f aca="false">IF(OR(B362="",B361=""),"",B362/B361-1)</f>
        <v>0.006973900450433</v>
      </c>
      <c r="D362" s="122" t="n">
        <f aca="false">IF(B362="","",IFERROR(B362/INDEX($B$2:$B$800,MATCH(DATE(YEAR(A362)-1,12,1),$A$2:$A$800,0))-1,""))</f>
        <v>0.0426927204698655</v>
      </c>
      <c r="E362" s="122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1" t="n">
        <v>45536</v>
      </c>
      <c r="B363" s="43" t="n">
        <v>1141.398</v>
      </c>
      <c r="C363" s="122" t="n">
        <f aca="false">IF(OR(B363="",B362=""),"",B363/B362-1)</f>
        <v>0.00583639928620205</v>
      </c>
      <c r="D363" s="122" t="n">
        <f aca="false">IF(B363="","",IFERROR(B363/INDEX($B$2:$B$800,MATCH(DATE(YEAR(A363)-1,12,1),$A$2:$A$800,0))-1,""))</f>
        <v>0.0487782915193438</v>
      </c>
      <c r="E363" s="122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1" t="n">
        <v>45566</v>
      </c>
      <c r="B364" s="43" t="n">
        <v>1149.17</v>
      </c>
      <c r="C364" s="122" t="n">
        <f aca="false">IF(OR(B364="",B363=""),"",B364/B363-1)</f>
        <v>0.0068091936379775</v>
      </c>
      <c r="D364" s="122" t="n">
        <f aca="false">IF(B364="","",IFERROR(B364/INDEX($B$2:$B$800,MATCH(DATE(YEAR(A364)-1,12,1),$A$2:$A$800,0))-1,""))</f>
        <v>0.055919625989606</v>
      </c>
      <c r="E364" s="122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1" t="n">
        <v>45597</v>
      </c>
      <c r="B365" s="43" t="n">
        <v>1153.725</v>
      </c>
      <c r="C365" s="122" t="n">
        <f aca="false">IF(OR(B365="",B364=""),"",B365/B364-1)</f>
        <v>0.00396373034450948</v>
      </c>
      <c r="D365" s="122" t="n">
        <f aca="false">IF(B365="","",IFERROR(B365/INDEX($B$2:$B$800,MATCH(DATE(YEAR(A365)-1,12,1),$A$2:$A$800,0))-1,""))</f>
        <v>0.0601050066525042</v>
      </c>
      <c r="E365" s="122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1" t="n">
        <v>45627</v>
      </c>
      <c r="B366" s="43" t="n">
        <v>1159.536</v>
      </c>
      <c r="C366" s="122" t="n">
        <f aca="false">IF(OR(B366="",B365=""),"",B366/B365-1)</f>
        <v>0.00503672885653006</v>
      </c>
      <c r="D366" s="122" t="n">
        <f aca="false">IF(B366="","",IFERROR(B366/INDEX($B$2:$B$800,MATCH(DATE(YEAR(A366)-1,12,1),$A$2:$A$800,0))-1,""))</f>
        <v>0.0654444681304627</v>
      </c>
      <c r="E366" s="122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1" t="n">
        <v>45658</v>
      </c>
      <c r="B367" s="43" t="n">
        <v>1169.116</v>
      </c>
      <c r="C367" s="122" t="n">
        <f aca="false">IF(OR(B367="",B366=""),"",B367/B366-1)</f>
        <v>0.00826192545983906</v>
      </c>
      <c r="D367" s="122" t="n">
        <f aca="false">IF(B367="","",IFERROR(B367/INDEX($B$2:$B$800,MATCH(DATE(YEAR(A367)-1,12,1),$A$2:$A$800,0))-1,""))</f>
        <v>0.00826192545983906</v>
      </c>
      <c r="E367" s="122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1" t="n">
        <v>45689</v>
      </c>
      <c r="B368" s="43" t="n">
        <v>1173.775</v>
      </c>
      <c r="C368" s="122" t="n">
        <f aca="false">IF(OR(B368="",B367=""),"",B368/B367-1)</f>
        <v>0.00398506221794936</v>
      </c>
      <c r="D368" s="122" t="n">
        <f aca="false">IF(B368="","",IFERROR(B368/INDEX($B$2:$B$800,MATCH(DATE(YEAR(A368)-1,12,1),$A$2:$A$800,0))-1,""))</f>
        <v>0.0122799119647858</v>
      </c>
      <c r="E368" s="122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1" t="n">
        <v>45717</v>
      </c>
      <c r="B369" s="43" t="n">
        <v>1178.386</v>
      </c>
      <c r="C369" s="122" t="n">
        <f aca="false">IF(OR(B369="",B368=""),"",B369/B368-1)</f>
        <v>0.0039283508338479</v>
      </c>
      <c r="D369" s="122" t="n">
        <f aca="false">IF(B369="","",IFERROR(B369/INDEX($B$2:$B$800,MATCH(DATE(YEAR(A369)-1,12,1),$A$2:$A$800,0))-1,""))</f>
        <v>0.0162565026010404</v>
      </c>
      <c r="E369" s="122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1" t="n">
        <v>45748</v>
      </c>
      <c r="B370" s="43" t="n">
        <v>1184.462</v>
      </c>
      <c r="C370" s="122" t="n">
        <f aca="false">IF(OR(B370="",B369=""),"",B370/B369-1)</f>
        <v>0.00515620518234261</v>
      </c>
      <c r="D370" s="122" t="n">
        <f aca="false">IF(B370="","",IFERROR(B370/INDEX($B$2:$B$800,MATCH(DATE(YEAR(A370)-1,12,1),$A$2:$A$800,0))-1,""))</f>
        <v>0.0214965296463412</v>
      </c>
      <c r="E370" s="122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1" t="n">
        <v>45778</v>
      </c>
      <c r="B371" s="43" t="n">
        <v>1191.327</v>
      </c>
      <c r="C371" s="122" t="n">
        <f aca="false">IF(OR(B371="",B370=""),"",B371/B370-1)</f>
        <v>0.00579588032372502</v>
      </c>
      <c r="D371" s="122" t="n">
        <f aca="false">IF(B371="","",IFERROR(B371/INDEX($B$2:$B$800,MATCH(DATE(YEAR(A371)-1,12,1),$A$2:$A$800,0))-1,""))</f>
        <v>0.027417001283272</v>
      </c>
      <c r="E371" s="122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1" t="n">
        <v>45809</v>
      </c>
      <c r="B372" s="43" t="n">
        <v>1199.509</v>
      </c>
      <c r="C372" s="122" t="n">
        <f aca="false">IF(OR(B372="",B371=""),"",B372/B371-1)</f>
        <v>0.00686797159805841</v>
      </c>
      <c r="D372" s="122" t="n">
        <f aca="false">IF(B372="","",IFERROR(B372/INDEX($B$2:$B$800,MATCH(DATE(YEAR(A372)-1,12,1),$A$2:$A$800,0))-1,""))</f>
        <v>0.0344732720674477</v>
      </c>
      <c r="E372" s="122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1" t="n">
        <v>45839</v>
      </c>
      <c r="B373" s="43" t="n">
        <v>1210.471</v>
      </c>
      <c r="C373" s="122" t="n">
        <f aca="false">IF(OR(B373="",B372=""),"",B373/B372-1)</f>
        <v>0.00913873926748354</v>
      </c>
      <c r="D373" s="122" t="n">
        <f aca="false">IF(B373="","",IFERROR(B373/INDEX($B$2:$B$800,MATCH(DATE(YEAR(A373)-1,12,1),$A$2:$A$800,0))-1,""))</f>
        <v>0.0439270535800527</v>
      </c>
      <c r="E373" s="122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1" t="n">
        <v>45870</v>
      </c>
      <c r="B374" s="43" t="n">
        <v>1216.706</v>
      </c>
      <c r="C374" s="122" t="n">
        <f aca="false">IF(OR(B374="",B373=""),"",B374/B373-1)</f>
        <v>0.00515088754707871</v>
      </c>
      <c r="D374" s="122" t="n">
        <f aca="false">IF(B374="","",IFERROR(B374/INDEX($B$2:$B$800,MATCH(DATE(YEAR(A374)-1,12,1),$A$2:$A$800,0))-1,""))</f>
        <v>0.0493042044403966</v>
      </c>
      <c r="E374" s="122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1" t="n">
        <v>45901</v>
      </c>
      <c r="B375" s="43" t="n">
        <v>1218.747</v>
      </c>
      <c r="C375" s="122" t="n">
        <f aca="false">IF(OR(B375="",B374=""),"",B375/B374-1)</f>
        <v>0.00167748001571466</v>
      </c>
      <c r="D375" s="122" t="n">
        <f aca="false">IF(B375="","",IFERROR(B375/INDEX($B$2:$B$800,MATCH(DATE(YEAR(A375)-1,12,1),$A$2:$A$800,0))-1,""))</f>
        <v>0.051064391273751</v>
      </c>
      <c r="E375" s="122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1" t="n">
        <v>45931</v>
      </c>
      <c r="B376" s="43" t="n">
        <v>1222.356</v>
      </c>
      <c r="C376" s="122" t="n">
        <f aca="false">IF(OR(B376="",B375=""),"",B376/B375-1)</f>
        <v>0.00296123805843207</v>
      </c>
      <c r="D376" s="122" t="n">
        <f aca="false">IF(B376="","",IFERROR(B376/INDEX($B$2:$B$800,MATCH(DATE(YEAR(A376)-1,12,1),$A$2:$A$800,0))-1,""))</f>
        <v>0.0541768431510534</v>
      </c>
      <c r="E376" s="122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1" t="n">
        <v>45962</v>
      </c>
      <c r="B377" s="43" t="n">
        <v>1225.633</v>
      </c>
      <c r="C377" s="122" t="n">
        <f aca="false">IF(OR(B377="",B376=""),"",B377/B376-1)</f>
        <v>0.00268088838276248</v>
      </c>
      <c r="D377" s="122" t="n">
        <f aca="false">IF(B377="","",IFERROR(B377/INDEX($B$2:$B$800,MATCH(DATE(YEAR(A377)-1,12,1),$A$2:$A$800,0))-1,""))</f>
        <v>0.0570029736032345</v>
      </c>
      <c r="E377" s="122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1" t="n">
        <v>45992</v>
      </c>
      <c r="B378" s="43" t="n">
        <v>1228.161</v>
      </c>
      <c r="C378" s="122" t="n">
        <f aca="false">IF(OR(B378="",B377=""),"",B378/B377-1)</f>
        <v>0.00206260764845601</v>
      </c>
      <c r="D378" s="122" t="n">
        <f aca="false">IF(B378="","",IFERROR(B378/INDEX($B$2:$B$800,MATCH(DATE(YEAR(A378)-1,12,1),$A$2:$A$800,0))-1,""))</f>
        <v>0.0591831560210292</v>
      </c>
      <c r="E378" s="122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1" t="n">
        <v>46023</v>
      </c>
      <c r="B379" s="43" t="n">
        <v>1237.036</v>
      </c>
      <c r="C379" s="122" t="n">
        <f aca="false">IF(OR(B379="",B378=""),"",B379/B378-1)</f>
        <v>0.00722625128138743</v>
      </c>
      <c r="D379" s="122" t="n">
        <f aca="false">IF(B379="","",IFERROR(B379/INDEX($B$2:$B$800,MATCH(DATE(YEAR(A379)-1,12,1),$A$2:$A$800,0))-1,""))</f>
        <v>0.00722625128138743</v>
      </c>
      <c r="E379" s="122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1" t="n">
        <v>46054</v>
      </c>
      <c r="B380" s="43" t="n">
        <v>1240.481</v>
      </c>
      <c r="C380" s="122" t="n">
        <f aca="false">IF(OR(B380="",B379=""),"",B380/B379-1)</f>
        <v>0.00278488257415299</v>
      </c>
      <c r="D380" s="122" t="n">
        <f aca="false">IF(B380="","",IFERROR(B380/INDEX($B$2:$B$800,MATCH(DATE(YEAR(A380)-1,12,1),$A$2:$A$800,0))-1,""))</f>
        <v>0.0100312581168103</v>
      </c>
      <c r="E380" s="122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1" t="n">
        <v>46082</v>
      </c>
      <c r="B381" s="43" t="n">
        <v>1247.181</v>
      </c>
      <c r="C381" s="122" t="n">
        <f aca="false">IF(OR(B381="",B380=""),"",B381/B380-1)</f>
        <v>0.0054011306904338</v>
      </c>
      <c r="D381" s="122" t="n">
        <f aca="false">IF(B381="","",IFERROR(B381/INDEX($B$2:$B$800,MATCH(DATE(YEAR(A381)-1,12,1),$A$2:$A$800,0))-1,""))</f>
        <v>0.0154865689433226</v>
      </c>
      <c r="E381" s="122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1" t="n">
        <v>46113</v>
      </c>
      <c r="B382" s="43" t="n">
        <v>1259.652</v>
      </c>
      <c r="C382" s="122" t="n">
        <f aca="false">IF(OR(B382="",B381=""),"",B382/B381-1)</f>
        <v>0.0099993505353273</v>
      </c>
      <c r="D382" s="122" t="n">
        <f aca="false">IF(B382="","",IFERROR(B382/INDEX($B$2:$B$800,MATCH(DATE(YEAR(A382)-1,12,1),$A$2:$A$800,0))-1,""))</f>
        <v>0.0256407751101035</v>
      </c>
      <c r="E382" s="122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1" t="n">
        <v>46143</v>
      </c>
      <c r="B383" s="43" t="n">
        <v>1270.695</v>
      </c>
      <c r="C383" s="122" t="n">
        <f aca="false">IF(OR(B383="",B382=""),"",B383/B382-1)</f>
        <v>0.00876670699526527</v>
      </c>
      <c r="D383" s="122" t="n">
        <f aca="false">IF(B383="","",IFERROR(B383/INDEX($B$2:$B$800,MATCH(DATE(YEAR(A383)-1,12,1),$A$2:$A$800,0))-1,""))</f>
        <v>0.0346322672678907</v>
      </c>
      <c r="E383" s="122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1" t="n">
        <v>46174</v>
      </c>
      <c r="B384" s="43" t="n">
        <v>1280.641</v>
      </c>
      <c r="C384" s="122" t="n">
        <f aca="false">IF(OR(B384="",B383=""),"",B384/B383-1)</f>
        <v>0.00782721266708397</v>
      </c>
      <c r="D384" s="122" t="n">
        <f aca="false">IF(B384="","",IFERROR(B384/INDEX($B$2:$B$800,MATCH(DATE(YEAR(A384)-1,12,1),$A$2:$A$800,0))-1,""))</f>
        <v>0.0427305540560237</v>
      </c>
      <c r="E384" s="122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1" t="n">
        <v>46204</v>
      </c>
      <c r="B385" s="43" t="n">
        <v>1288.431</v>
      </c>
      <c r="C385" s="122" t="n">
        <f aca="false">IF(OR(B385="",B384=""),"",B385/B384-1)</f>
        <v>0.00608289130209005</v>
      </c>
      <c r="D385" s="122" t="n">
        <f aca="false">IF(B385="","",IFERROR(B385/INDEX($B$2:$B$800,MATCH(DATE(YEAR(A385)-1,12,1),$A$2:$A$800,0))-1,""))</f>
        <v>0.0490733706737145</v>
      </c>
      <c r="E385" s="122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1" t="n">
        <v>46235</v>
      </c>
      <c r="B386" s="43" t="n">
        <v>1296.889</v>
      </c>
      <c r="C386" s="122" t="n">
        <f aca="false">IF(OR(B386="",B385=""),"",B386/B385-1)</f>
        <v>0.00656457350063744</v>
      </c>
      <c r="D386" s="122" t="n">
        <f aca="false">IF(B386="","",IFERROR(B386/INDEX($B$2:$B$800,MATCH(DATE(YEAR(A386)-1,12,1),$A$2:$A$800,0))-1,""))</f>
        <v>0.0559600899230637</v>
      </c>
      <c r="E386" s="122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1" t="n">
        <v>46266</v>
      </c>
      <c r="B387" s="43" t="n">
        <v>1299.742</v>
      </c>
      <c r="C387" s="122" t="n">
        <f aca="false">IF(OR(B387="",B386=""),"",B387/B386-1)</f>
        <v>0.00219987986635717</v>
      </c>
      <c r="D387" s="122" t="n">
        <f aca="false">IF(B387="","",IFERROR(B387/INDEX($B$2:$B$800,MATCH(DATE(YEAR(A387)-1,12,1),$A$2:$A$800,0))-1,""))</f>
        <v>0.0582830752645622</v>
      </c>
      <c r="E387" s="122" t="n">
        <f aca="false">IF(B387="","",IFERROR(B387/INDEX($B$2:$B$800,MATCH(DATE(YEAR(A387)-1,MONTH(A387),1),$A$2:$A$800,0))-1,""))</f>
        <v>0.0664575994853731</v>
      </c>
    </row>
    <row r="388" customFormat="false" ht="15" hidden="false" customHeight="false" outlineLevel="0" collapsed="false">
      <c r="A388" s="124"/>
      <c r="B388" s="125"/>
      <c r="C388" s="122" t="str">
        <f aca="false">IF(OR(B388="",B387=""),"",B388/B387-1)</f>
        <v/>
      </c>
      <c r="D388" s="122" t="str">
        <f aca="false">IF(B388="","",IFERROR(B388/INDEX($B$2:$B$800,MATCH(DATE(YEAR(A388)-1,12,1),$A$2:$A$800,0))-1,""))</f>
        <v/>
      </c>
      <c r="E388" s="122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4"/>
      <c r="B389" s="125"/>
      <c r="C389" s="122" t="str">
        <f aca="false">IF(OR(B389="",B388=""),"",B389/B388-1)</f>
        <v/>
      </c>
      <c r="D389" s="122" t="str">
        <f aca="false">IF(B389="","",IFERROR(B389/INDEX($B$2:$B$800,MATCH(DATE(YEAR(A389)-1,12,1),$A$2:$A$800,0))-1,""))</f>
        <v/>
      </c>
      <c r="E389" s="122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4"/>
      <c r="B390" s="125"/>
      <c r="C390" s="122" t="str">
        <f aca="false">IF(OR(B390="",B389=""),"",B390/B389-1)</f>
        <v/>
      </c>
      <c r="D390" s="122" t="str">
        <f aca="false">IF(B390="","",IFERROR(B390/INDEX($B$2:$B$800,MATCH(DATE(YEAR(A390)-1,12,1),$A$2:$A$800,0))-1,""))</f>
        <v/>
      </c>
      <c r="E390" s="122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4"/>
      <c r="B391" s="125"/>
      <c r="C391" s="122" t="str">
        <f aca="false">IF(OR(B391="",B390=""),"",B391/B390-1)</f>
        <v/>
      </c>
      <c r="D391" s="122" t="str">
        <f aca="false">IF(B391="","",IFERROR(B391/INDEX($B$2:$B$800,MATCH(DATE(YEAR(A391)-1,12,1),$A$2:$A$800,0))-1,""))</f>
        <v/>
      </c>
      <c r="E391" s="122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4"/>
      <c r="B392" s="125"/>
      <c r="C392" s="122" t="str">
        <f aca="false">IF(OR(B392="",B391=""),"",B392/B391-1)</f>
        <v/>
      </c>
      <c r="D392" s="122" t="str">
        <f aca="false">IF(B392="","",IFERROR(B392/INDEX($B$2:$B$800,MATCH(DATE(YEAR(A392)-1,12,1),$A$2:$A$800,0))-1,""))</f>
        <v/>
      </c>
      <c r="E392" s="122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4"/>
      <c r="B393" s="125"/>
      <c r="C393" s="122" t="str">
        <f aca="false">IF(OR(B393="",B392=""),"",B393/B392-1)</f>
        <v/>
      </c>
      <c r="D393" s="122" t="str">
        <f aca="false">IF(B393="","",IFERROR(B393/INDEX($B$2:$B$800,MATCH(DATE(YEAR(A393)-1,12,1),$A$2:$A$800,0))-1,""))</f>
        <v/>
      </c>
      <c r="E393" s="122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4"/>
      <c r="B394" s="125"/>
      <c r="C394" s="122" t="str">
        <f aca="false">IF(OR(B394="",B393=""),"",B394/B393-1)</f>
        <v/>
      </c>
      <c r="D394" s="122" t="str">
        <f aca="false">IF(B394="","",IFERROR(B394/INDEX($B$2:$B$800,MATCH(DATE(YEAR(A394)-1,12,1),$A$2:$A$800,0))-1,""))</f>
        <v/>
      </c>
      <c r="E394" s="122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4"/>
      <c r="B395" s="125"/>
      <c r="C395" s="122" t="str">
        <f aca="false">IF(OR(B395="",B394=""),"",B395/B394-1)</f>
        <v/>
      </c>
      <c r="D395" s="122" t="str">
        <f aca="false">IF(B395="","",IFERROR(B395/INDEX($B$2:$B$800,MATCH(DATE(YEAR(A395)-1,12,1),$A$2:$A$800,0))-1,""))</f>
        <v/>
      </c>
      <c r="E395" s="122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4"/>
      <c r="B396" s="125"/>
      <c r="C396" s="122" t="str">
        <f aca="false">IF(OR(B396="",B395=""),"",B396/B395-1)</f>
        <v/>
      </c>
      <c r="D396" s="122" t="str">
        <f aca="false">IF(B396="","",IFERROR(B396/INDEX($B$2:$B$800,MATCH(DATE(YEAR(A396)-1,12,1),$A$2:$A$800,0))-1,""))</f>
        <v/>
      </c>
      <c r="E396" s="122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4"/>
      <c r="B397" s="125"/>
      <c r="C397" s="122" t="str">
        <f aca="false">IF(OR(B397="",B396=""),"",B397/B396-1)</f>
        <v/>
      </c>
      <c r="D397" s="122" t="str">
        <f aca="false">IF(B397="","",IFERROR(B397/INDEX($B$2:$B$800,MATCH(DATE(YEAR(A397)-1,12,1),$A$2:$A$800,0))-1,""))</f>
        <v/>
      </c>
      <c r="E397" s="122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4"/>
      <c r="B398" s="125"/>
      <c r="C398" s="122" t="str">
        <f aca="false">IF(OR(B398="",B397=""),"",B398/B397-1)</f>
        <v/>
      </c>
      <c r="D398" s="122" t="str">
        <f aca="false">IF(B398="","",IFERROR(B398/INDEX($B$2:$B$800,MATCH(DATE(YEAR(A398)-1,12,1),$A$2:$A$800,0))-1,""))</f>
        <v/>
      </c>
      <c r="E398" s="122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4"/>
      <c r="B399" s="125"/>
      <c r="C399" s="122" t="str">
        <f aca="false">IF(OR(B399="",B398=""),"",B399/B398-1)</f>
        <v/>
      </c>
      <c r="D399" s="122" t="str">
        <f aca="false">IF(B399="","",IFERROR(B399/INDEX($B$2:$B$800,MATCH(DATE(YEAR(A399)-1,12,1),$A$2:$A$800,0))-1,""))</f>
        <v/>
      </c>
      <c r="E399" s="122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4"/>
      <c r="B400" s="125"/>
      <c r="C400" s="122" t="str">
        <f aca="false">IF(OR(B400="",B399=""),"",B400/B399-1)</f>
        <v/>
      </c>
      <c r="D400" s="122" t="str">
        <f aca="false">IF(B400="","",IFERROR(B400/INDEX($B$2:$B$800,MATCH(DATE(YEAR(A400)-1,12,1),$A$2:$A$800,0))-1,""))</f>
        <v/>
      </c>
      <c r="E400" s="122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4"/>
      <c r="B401" s="125"/>
      <c r="C401" s="122" t="str">
        <f aca="false">IF(OR(B401="",B400=""),"",B401/B400-1)</f>
        <v/>
      </c>
      <c r="D401" s="122" t="str">
        <f aca="false">IF(B401="","",IFERROR(B401/INDEX($B$2:$B$800,MATCH(DATE(YEAR(A401)-1,12,1),$A$2:$A$800,0))-1,""))</f>
        <v/>
      </c>
      <c r="E401" s="122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4"/>
      <c r="B402" s="125"/>
      <c r="C402" s="122" t="str">
        <f aca="false">IF(OR(B402="",B401=""),"",B402/B401-1)</f>
        <v/>
      </c>
      <c r="D402" s="122" t="str">
        <f aca="false">IF(B402="","",IFERROR(B402/INDEX($B$2:$B$800,MATCH(DATE(YEAR(A402)-1,12,1),$A$2:$A$800,0))-1,""))</f>
        <v/>
      </c>
      <c r="E402" s="122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4"/>
      <c r="B403" s="125"/>
      <c r="C403" s="122" t="str">
        <f aca="false">IF(OR(B403="",B402=""),"",B403/B402-1)</f>
        <v/>
      </c>
      <c r="D403" s="122" t="str">
        <f aca="false">IF(B403="","",IFERROR(B403/INDEX($B$2:$B$800,MATCH(DATE(YEAR(A403)-1,12,1),$A$2:$A$800,0))-1,""))</f>
        <v/>
      </c>
      <c r="E403" s="122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4"/>
      <c r="B404" s="125"/>
      <c r="C404" s="122" t="str">
        <f aca="false">IF(OR(B404="",B403=""),"",B404/B403-1)</f>
        <v/>
      </c>
      <c r="D404" s="122" t="str">
        <f aca="false">IF(B404="","",IFERROR(B404/INDEX($B$2:$B$800,MATCH(DATE(YEAR(A404)-1,12,1),$A$2:$A$800,0))-1,""))</f>
        <v/>
      </c>
      <c r="E404" s="122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4"/>
      <c r="B405" s="125"/>
      <c r="C405" s="122" t="str">
        <f aca="false">IF(OR(B405="",B404=""),"",B405/B404-1)</f>
        <v/>
      </c>
      <c r="D405" s="122" t="str">
        <f aca="false">IF(B405="","",IFERROR(B405/INDEX($B$2:$B$800,MATCH(DATE(YEAR(A405)-1,12,1),$A$2:$A$800,0))-1,""))</f>
        <v/>
      </c>
      <c r="E405" s="122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4"/>
      <c r="B406" s="125"/>
      <c r="C406" s="122" t="str">
        <f aca="false">IF(OR(B406="",B405=""),"",B406/B405-1)</f>
        <v/>
      </c>
      <c r="D406" s="122" t="str">
        <f aca="false">IF(B406="","",IFERROR(B406/INDEX($B$2:$B$800,MATCH(DATE(YEAR(A406)-1,12,1),$A$2:$A$800,0))-1,""))</f>
        <v/>
      </c>
      <c r="E406" s="122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4"/>
      <c r="B407" s="125"/>
      <c r="C407" s="122" t="str">
        <f aca="false">IF(OR(B407="",B406=""),"",B407/B406-1)</f>
        <v/>
      </c>
      <c r="D407" s="122" t="str">
        <f aca="false">IF(B407="","",IFERROR(B407/INDEX($B$2:$B$800,MATCH(DATE(YEAR(A407)-1,12,1),$A$2:$A$800,0))-1,""))</f>
        <v/>
      </c>
      <c r="E407" s="122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4"/>
      <c r="B408" s="125"/>
      <c r="C408" s="122" t="str">
        <f aca="false">IF(OR(B408="",B407=""),"",B408/B407-1)</f>
        <v/>
      </c>
      <c r="D408" s="122" t="str">
        <f aca="false">IF(B408="","",IFERROR(B408/INDEX($B$2:$B$800,MATCH(DATE(YEAR(A408)-1,12,1),$A$2:$A$800,0))-1,""))</f>
        <v/>
      </c>
      <c r="E408" s="122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4"/>
      <c r="B409" s="125"/>
      <c r="C409" s="122" t="str">
        <f aca="false">IF(OR(B409="",B408=""),"",B409/B408-1)</f>
        <v/>
      </c>
      <c r="D409" s="122" t="str">
        <f aca="false">IF(B409="","",IFERROR(B409/INDEX($B$2:$B$800,MATCH(DATE(YEAR(A409)-1,12,1),$A$2:$A$800,0))-1,""))</f>
        <v/>
      </c>
      <c r="E409" s="122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4"/>
      <c r="B410" s="125"/>
      <c r="C410" s="122" t="str">
        <f aca="false">IF(OR(B410="",B409=""),"",B410/B409-1)</f>
        <v/>
      </c>
      <c r="D410" s="122" t="str">
        <f aca="false">IF(B410="","",IFERROR(B410/INDEX($B$2:$B$800,MATCH(DATE(YEAR(A410)-1,12,1),$A$2:$A$800,0))-1,""))</f>
        <v/>
      </c>
      <c r="E410" s="122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4"/>
      <c r="B411" s="125"/>
      <c r="C411" s="122" t="str">
        <f aca="false">IF(OR(B411="",B410=""),"",B411/B410-1)</f>
        <v/>
      </c>
      <c r="D411" s="122" t="str">
        <f aca="false">IF(B411="","",IFERROR(B411/INDEX($B$2:$B$800,MATCH(DATE(YEAR(A411)-1,12,1),$A$2:$A$800,0))-1,""))</f>
        <v/>
      </c>
      <c r="E411" s="122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4"/>
      <c r="B412" s="125"/>
      <c r="C412" s="122" t="str">
        <f aca="false">IF(OR(B412="",B411=""),"",B412/B411-1)</f>
        <v/>
      </c>
      <c r="D412" s="122" t="str">
        <f aca="false">IF(B412="","",IFERROR(B412/INDEX($B$2:$B$800,MATCH(DATE(YEAR(A412)-1,12,1),$A$2:$A$800,0))-1,""))</f>
        <v/>
      </c>
      <c r="E412" s="122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4"/>
      <c r="B413" s="125"/>
      <c r="C413" s="122" t="str">
        <f aca="false">IF(OR(B413="",B412=""),"",B413/B412-1)</f>
        <v/>
      </c>
      <c r="D413" s="122" t="str">
        <f aca="false">IF(B413="","",IFERROR(B413/INDEX($B$2:$B$800,MATCH(DATE(YEAR(A413)-1,12,1),$A$2:$A$800,0))-1,""))</f>
        <v/>
      </c>
      <c r="E413" s="122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4"/>
      <c r="B414" s="125"/>
      <c r="C414" s="122" t="str">
        <f aca="false">IF(OR(B414="",B413=""),"",B414/B413-1)</f>
        <v/>
      </c>
      <c r="D414" s="122" t="str">
        <f aca="false">IF(B414="","",IFERROR(B414/INDEX($B$2:$B$800,MATCH(DATE(YEAR(A414)-1,12,1),$A$2:$A$800,0))-1,""))</f>
        <v/>
      </c>
      <c r="E414" s="122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4"/>
      <c r="B415" s="125"/>
      <c r="C415" s="122" t="str">
        <f aca="false">IF(OR(B415="",B414=""),"",B415/B414-1)</f>
        <v/>
      </c>
      <c r="D415" s="122" t="str">
        <f aca="false">IF(B415="","",IFERROR(B415/INDEX($B$2:$B$800,MATCH(DATE(YEAR(A415)-1,12,1),$A$2:$A$800,0))-1,""))</f>
        <v/>
      </c>
      <c r="E415" s="122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4"/>
      <c r="B416" s="125"/>
      <c r="C416" s="122" t="str">
        <f aca="false">IF(OR(B416="",B415=""),"",B416/B415-1)</f>
        <v/>
      </c>
      <c r="D416" s="122" t="str">
        <f aca="false">IF(B416="","",IFERROR(B416/INDEX($B$2:$B$800,MATCH(DATE(YEAR(A416)-1,12,1),$A$2:$A$800,0))-1,""))</f>
        <v/>
      </c>
      <c r="E416" s="122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4"/>
      <c r="B417" s="125"/>
      <c r="C417" s="122" t="str">
        <f aca="false">IF(OR(B417="",B416=""),"",B417/B416-1)</f>
        <v/>
      </c>
      <c r="D417" s="122" t="str">
        <f aca="false">IF(B417="","",IFERROR(B417/INDEX($B$2:$B$800,MATCH(DATE(YEAR(A417)-1,12,1),$A$2:$A$800,0))-1,""))</f>
        <v/>
      </c>
      <c r="E417" s="122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4"/>
      <c r="B418" s="125"/>
      <c r="C418" s="122" t="str">
        <f aca="false">IF(OR(B418="",B417=""),"",B418/B417-1)</f>
        <v/>
      </c>
      <c r="D418" s="122" t="str">
        <f aca="false">IF(B418="","",IFERROR(B418/INDEX($B$2:$B$800,MATCH(DATE(YEAR(A418)-1,12,1),$A$2:$A$800,0))-1,""))</f>
        <v/>
      </c>
      <c r="E418" s="122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4"/>
      <c r="B419" s="125"/>
      <c r="C419" s="122" t="str">
        <f aca="false">IF(OR(B419="",B418=""),"",B419/B418-1)</f>
        <v/>
      </c>
      <c r="D419" s="122" t="str">
        <f aca="false">IF(B419="","",IFERROR(B419/INDEX($B$2:$B$800,MATCH(DATE(YEAR(A419)-1,12,1),$A$2:$A$800,0))-1,""))</f>
        <v/>
      </c>
      <c r="E419" s="122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4"/>
      <c r="B420" s="125"/>
      <c r="C420" s="122" t="str">
        <f aca="false">IF(OR(B420="",B419=""),"",B420/B419-1)</f>
        <v/>
      </c>
      <c r="D420" s="122" t="str">
        <f aca="false">IF(B420="","",IFERROR(B420/INDEX($B$2:$B$800,MATCH(DATE(YEAR(A420)-1,12,1),$A$2:$A$800,0))-1,""))</f>
        <v/>
      </c>
      <c r="E420" s="122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4"/>
      <c r="B421" s="125"/>
      <c r="C421" s="122" t="str">
        <f aca="false">IF(OR(B421="",B420=""),"",B421/B420-1)</f>
        <v/>
      </c>
      <c r="D421" s="122" t="str">
        <f aca="false">IF(B421="","",IFERROR(B421/INDEX($B$2:$B$800,MATCH(DATE(YEAR(A421)-1,12,1),$A$2:$A$800,0))-1,""))</f>
        <v/>
      </c>
      <c r="E421" s="122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4"/>
      <c r="B422" s="125"/>
      <c r="C422" s="122" t="str">
        <f aca="false">IF(OR(B422="",B421=""),"",B422/B421-1)</f>
        <v/>
      </c>
      <c r="D422" s="122" t="str">
        <f aca="false">IF(B422="","",IFERROR(B422/INDEX($B$2:$B$800,MATCH(DATE(YEAR(A422)-1,12,1),$A$2:$A$800,0))-1,""))</f>
        <v/>
      </c>
      <c r="E422" s="122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4"/>
      <c r="B423" s="125"/>
      <c r="C423" s="122" t="str">
        <f aca="false">IF(OR(B423="",B422=""),"",B423/B422-1)</f>
        <v/>
      </c>
      <c r="D423" s="122" t="str">
        <f aca="false">IF(B423="","",IFERROR(B423/INDEX($B$2:$B$800,MATCH(DATE(YEAR(A423)-1,12,1),$A$2:$A$800,0))-1,""))</f>
        <v/>
      </c>
      <c r="E423" s="122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4"/>
      <c r="B424" s="125"/>
      <c r="C424" s="122" t="str">
        <f aca="false">IF(OR(B424="",B423=""),"",B424/B423-1)</f>
        <v/>
      </c>
      <c r="D424" s="122" t="str">
        <f aca="false">IF(B424="","",IFERROR(B424/INDEX($B$2:$B$800,MATCH(DATE(YEAR(A424)-1,12,1),$A$2:$A$800,0))-1,""))</f>
        <v/>
      </c>
      <c r="E424" s="122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4"/>
      <c r="B425" s="125"/>
      <c r="C425" s="122" t="str">
        <f aca="false">IF(OR(B425="",B424=""),"",B425/B424-1)</f>
        <v/>
      </c>
      <c r="D425" s="122" t="str">
        <f aca="false">IF(B425="","",IFERROR(B425/INDEX($B$2:$B$800,MATCH(DATE(YEAR(A425)-1,12,1),$A$2:$A$800,0))-1,""))</f>
        <v/>
      </c>
      <c r="E425" s="122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4"/>
      <c r="B426" s="125"/>
      <c r="C426" s="122" t="str">
        <f aca="false">IF(OR(B426="",B425=""),"",B426/B425-1)</f>
        <v/>
      </c>
      <c r="D426" s="122" t="str">
        <f aca="false">IF(B426="","",IFERROR(B426/INDEX($B$2:$B$800,MATCH(DATE(YEAR(A426)-1,12,1),$A$2:$A$800,0))-1,""))</f>
        <v/>
      </c>
      <c r="E426" s="122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4"/>
      <c r="B427" s="125"/>
      <c r="C427" s="122" t="str">
        <f aca="false">IF(OR(B427="",B426=""),"",B427/B426-1)</f>
        <v/>
      </c>
      <c r="D427" s="122" t="str">
        <f aca="false">IF(B427="","",IFERROR(B427/INDEX($B$2:$B$800,MATCH(DATE(YEAR(A427)-1,12,1),$A$2:$A$800,0))-1,""))</f>
        <v/>
      </c>
      <c r="E427" s="122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4"/>
      <c r="B428" s="125"/>
      <c r="C428" s="122" t="str">
        <f aca="false">IF(OR(B428="",B427=""),"",B428/B427-1)</f>
        <v/>
      </c>
      <c r="D428" s="122" t="str">
        <f aca="false">IF(B428="","",IFERROR(B428/INDEX($B$2:$B$800,MATCH(DATE(YEAR(A428)-1,12,1),$A$2:$A$800,0))-1,""))</f>
        <v/>
      </c>
      <c r="E428" s="122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4"/>
      <c r="B429" s="125"/>
      <c r="C429" s="122" t="str">
        <f aca="false">IF(OR(B429="",B428=""),"",B429/B428-1)</f>
        <v/>
      </c>
      <c r="D429" s="122" t="str">
        <f aca="false">IF(B429="","",IFERROR(B429/INDEX($B$2:$B$800,MATCH(DATE(YEAR(A429)-1,12,1),$A$2:$A$800,0))-1,""))</f>
        <v/>
      </c>
      <c r="E429" s="122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4"/>
      <c r="B430" s="125"/>
      <c r="C430" s="122" t="str">
        <f aca="false">IF(OR(B430="",B429=""),"",B430/B429-1)</f>
        <v/>
      </c>
      <c r="D430" s="122" t="str">
        <f aca="false">IF(B430="","",IFERROR(B430/INDEX($B$2:$B$800,MATCH(DATE(YEAR(A430)-1,12,1),$A$2:$A$800,0))-1,""))</f>
        <v/>
      </c>
      <c r="E430" s="122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4"/>
      <c r="B431" s="125"/>
      <c r="C431" s="122" t="str">
        <f aca="false">IF(OR(B431="",B430=""),"",B431/B430-1)</f>
        <v/>
      </c>
      <c r="D431" s="122" t="str">
        <f aca="false">IF(B431="","",IFERROR(B431/INDEX($B$2:$B$800,MATCH(DATE(YEAR(A431)-1,12,1),$A$2:$A$800,0))-1,""))</f>
        <v/>
      </c>
      <c r="E431" s="122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4"/>
      <c r="B432" s="125"/>
      <c r="C432" s="122" t="str">
        <f aca="false">IF(OR(B432="",B431=""),"",B432/B431-1)</f>
        <v/>
      </c>
      <c r="D432" s="122" t="str">
        <f aca="false">IF(B432="","",IFERROR(B432/INDEX($B$2:$B$800,MATCH(DATE(YEAR(A432)-1,12,1),$A$2:$A$800,0))-1,""))</f>
        <v/>
      </c>
      <c r="E432" s="122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4"/>
      <c r="B433" s="125"/>
      <c r="C433" s="122" t="str">
        <f aca="false">IF(OR(B433="",B432=""),"",B433/B432-1)</f>
        <v/>
      </c>
      <c r="D433" s="122" t="str">
        <f aca="false">IF(B433="","",IFERROR(B433/INDEX($B$2:$B$800,MATCH(DATE(YEAR(A433)-1,12,1),$A$2:$A$800,0))-1,""))</f>
        <v/>
      </c>
      <c r="E433" s="122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4"/>
      <c r="B434" s="125"/>
      <c r="C434" s="122" t="str">
        <f aca="false">IF(OR(B434="",B433=""),"",B434/B433-1)</f>
        <v/>
      </c>
      <c r="D434" s="122" t="str">
        <f aca="false">IF(B434="","",IFERROR(B434/INDEX($B$2:$B$800,MATCH(DATE(YEAR(A434)-1,12,1),$A$2:$A$800,0))-1,""))</f>
        <v/>
      </c>
      <c r="E434" s="122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4"/>
      <c r="B435" s="125"/>
      <c r="C435" s="122" t="str">
        <f aca="false">IF(OR(B435="",B434=""),"",B435/B434-1)</f>
        <v/>
      </c>
      <c r="D435" s="122" t="str">
        <f aca="false">IF(B435="","",IFERROR(B435/INDEX($B$2:$B$800,MATCH(DATE(YEAR(A435)-1,12,1),$A$2:$A$800,0))-1,""))</f>
        <v/>
      </c>
      <c r="E435" s="122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4"/>
      <c r="B436" s="125"/>
      <c r="C436" s="122" t="str">
        <f aca="false">IF(OR(B436="",B435=""),"",B436/B435-1)</f>
        <v/>
      </c>
      <c r="D436" s="122" t="str">
        <f aca="false">IF(B436="","",IFERROR(B436/INDEX($B$2:$B$800,MATCH(DATE(YEAR(A436)-1,12,1),$A$2:$A$800,0))-1,""))</f>
        <v/>
      </c>
      <c r="E436" s="122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4"/>
      <c r="B437" s="125"/>
      <c r="C437" s="122" t="str">
        <f aca="false">IF(OR(B437="",B436=""),"",B437/B436-1)</f>
        <v/>
      </c>
      <c r="D437" s="122" t="str">
        <f aca="false">IF(B437="","",IFERROR(B437/INDEX($B$2:$B$800,MATCH(DATE(YEAR(A437)-1,12,1),$A$2:$A$800,0))-1,""))</f>
        <v/>
      </c>
      <c r="E437" s="122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4"/>
      <c r="B438" s="125"/>
      <c r="C438" s="122" t="str">
        <f aca="false">IF(OR(B438="",B437=""),"",B438/B437-1)</f>
        <v/>
      </c>
      <c r="D438" s="122" t="str">
        <f aca="false">IF(B438="","",IFERROR(B438/INDEX($B$2:$B$800,MATCH(DATE(YEAR(A438)-1,12,1),$A$2:$A$800,0))-1,""))</f>
        <v/>
      </c>
      <c r="E438" s="122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4"/>
      <c r="B439" s="125"/>
      <c r="C439" s="122" t="str">
        <f aca="false">IF(OR(B439="",B438=""),"",B439/B438-1)</f>
        <v/>
      </c>
      <c r="D439" s="122" t="str">
        <f aca="false">IF(B439="","",IFERROR(B439/INDEX($B$2:$B$800,MATCH(DATE(YEAR(A439)-1,12,1),$A$2:$A$800,0))-1,""))</f>
        <v/>
      </c>
      <c r="E439" s="122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4"/>
      <c r="B440" s="125"/>
      <c r="C440" s="122" t="str">
        <f aca="false">IF(OR(B440="",B439=""),"",B440/B439-1)</f>
        <v/>
      </c>
      <c r="D440" s="122" t="str">
        <f aca="false">IF(B440="","",IFERROR(B440/INDEX($B$2:$B$800,MATCH(DATE(YEAR(A440)-1,12,1),$A$2:$A$800,0))-1,""))</f>
        <v/>
      </c>
      <c r="E440" s="122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4"/>
      <c r="B441" s="125"/>
      <c r="C441" s="122" t="str">
        <f aca="false">IF(OR(B441="",B440=""),"",B441/B440-1)</f>
        <v/>
      </c>
      <c r="D441" s="122" t="str">
        <f aca="false">IF(B441="","",IFERROR(B441/INDEX($B$2:$B$800,MATCH(DATE(YEAR(A441)-1,12,1),$A$2:$A$800,0))-1,""))</f>
        <v/>
      </c>
      <c r="E441" s="122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4"/>
      <c r="B442" s="125"/>
      <c r="C442" s="122" t="str">
        <f aca="false">IF(OR(B442="",B441=""),"",B442/B441-1)</f>
        <v/>
      </c>
      <c r="D442" s="122" t="str">
        <f aca="false">IF(B442="","",IFERROR(B442/INDEX($B$2:$B$800,MATCH(DATE(YEAR(A442)-1,12,1),$A$2:$A$800,0))-1,""))</f>
        <v/>
      </c>
      <c r="E442" s="122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4"/>
      <c r="B443" s="125"/>
      <c r="C443" s="122" t="str">
        <f aca="false">IF(OR(B443="",B442=""),"",B443/B442-1)</f>
        <v/>
      </c>
      <c r="D443" s="122" t="str">
        <f aca="false">IF(B443="","",IFERROR(B443/INDEX($B$2:$B$800,MATCH(DATE(YEAR(A443)-1,12,1),$A$2:$A$800,0))-1,""))</f>
        <v/>
      </c>
      <c r="E443" s="122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4"/>
      <c r="B444" s="125"/>
      <c r="C444" s="122" t="str">
        <f aca="false">IF(OR(B444="",B443=""),"",B444/B443-1)</f>
        <v/>
      </c>
      <c r="D444" s="122" t="str">
        <f aca="false">IF(B444="","",IFERROR(B444/INDEX($B$2:$B$800,MATCH(DATE(YEAR(A444)-1,12,1),$A$2:$A$800,0))-1,""))</f>
        <v/>
      </c>
      <c r="E444" s="122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4"/>
      <c r="B445" s="125"/>
      <c r="C445" s="122" t="str">
        <f aca="false">IF(OR(B445="",B444=""),"",B445/B444-1)</f>
        <v/>
      </c>
      <c r="D445" s="122" t="str">
        <f aca="false">IF(B445="","",IFERROR(B445/INDEX($B$2:$B$800,MATCH(DATE(YEAR(A445)-1,12,1),$A$2:$A$800,0))-1,""))</f>
        <v/>
      </c>
      <c r="E445" s="122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4"/>
      <c r="B446" s="125"/>
      <c r="C446" s="122" t="str">
        <f aca="false">IF(OR(B446="",B445=""),"",B446/B445-1)</f>
        <v/>
      </c>
      <c r="D446" s="122" t="str">
        <f aca="false">IF(B446="","",IFERROR(B446/INDEX($B$2:$B$800,MATCH(DATE(YEAR(A446)-1,12,1),$A$2:$A$800,0))-1,""))</f>
        <v/>
      </c>
      <c r="E446" s="122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4"/>
      <c r="B447" s="125"/>
      <c r="C447" s="122" t="str">
        <f aca="false">IF(OR(B447="",B446=""),"",B447/B446-1)</f>
        <v/>
      </c>
      <c r="D447" s="122" t="str">
        <f aca="false">IF(B447="","",IFERROR(B447/INDEX($B$2:$B$800,MATCH(DATE(YEAR(A447)-1,12,1),$A$2:$A$800,0))-1,""))</f>
        <v/>
      </c>
      <c r="E447" s="122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4"/>
      <c r="B448" s="125"/>
      <c r="C448" s="122" t="str">
        <f aca="false">IF(OR(B448="",B447=""),"",B448/B447-1)</f>
        <v/>
      </c>
      <c r="D448" s="122" t="str">
        <f aca="false">IF(B448="","",IFERROR(B448/INDEX($B$2:$B$800,MATCH(DATE(YEAR(A448)-1,12,1),$A$2:$A$800,0))-1,""))</f>
        <v/>
      </c>
      <c r="E448" s="122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4"/>
      <c r="B449" s="125"/>
      <c r="C449" s="122" t="str">
        <f aca="false">IF(OR(B449="",B448=""),"",B449/B448-1)</f>
        <v/>
      </c>
      <c r="D449" s="122" t="str">
        <f aca="false">IF(B449="","",IFERROR(B449/INDEX($B$2:$B$800,MATCH(DATE(YEAR(A449)-1,12,1),$A$2:$A$800,0))-1,""))</f>
        <v/>
      </c>
      <c r="E449" s="122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4"/>
      <c r="B450" s="125"/>
      <c r="C450" s="122" t="str">
        <f aca="false">IF(OR(B450="",B449=""),"",B450/B449-1)</f>
        <v/>
      </c>
      <c r="D450" s="122" t="str">
        <f aca="false">IF(B450="","",IFERROR(B450/INDEX($B$2:$B$800,MATCH(DATE(YEAR(A450)-1,12,1),$A$2:$A$800,0))-1,""))</f>
        <v/>
      </c>
      <c r="E450" s="122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4"/>
      <c r="B451" s="125"/>
      <c r="C451" s="122" t="str">
        <f aca="false">IF(OR(B451="",B450=""),"",B451/B450-1)</f>
        <v/>
      </c>
      <c r="D451" s="122" t="str">
        <f aca="false">IF(B451="","",IFERROR(B451/INDEX($B$2:$B$800,MATCH(DATE(YEAR(A451)-1,12,1),$A$2:$A$800,0))-1,""))</f>
        <v/>
      </c>
      <c r="E451" s="122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4"/>
      <c r="B452" s="125"/>
      <c r="C452" s="122" t="str">
        <f aca="false">IF(OR(B452="",B451=""),"",B452/B451-1)</f>
        <v/>
      </c>
      <c r="D452" s="122" t="str">
        <f aca="false">IF(B452="","",IFERROR(B452/INDEX($B$2:$B$800,MATCH(DATE(YEAR(A452)-1,12,1),$A$2:$A$800,0))-1,""))</f>
        <v/>
      </c>
      <c r="E452" s="122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4"/>
      <c r="B453" s="125"/>
      <c r="C453" s="122" t="str">
        <f aca="false">IF(OR(B453="",B452=""),"",B453/B452-1)</f>
        <v/>
      </c>
      <c r="D453" s="122" t="str">
        <f aca="false">IF(B453="","",IFERROR(B453/INDEX($B$2:$B$800,MATCH(DATE(YEAR(A453)-1,12,1),$A$2:$A$800,0))-1,""))</f>
        <v/>
      </c>
      <c r="E453" s="122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4"/>
      <c r="B454" s="125"/>
      <c r="C454" s="122" t="str">
        <f aca="false">IF(OR(B454="",B453=""),"",B454/B453-1)</f>
        <v/>
      </c>
      <c r="D454" s="122" t="str">
        <f aca="false">IF(B454="","",IFERROR(B454/INDEX($B$2:$B$800,MATCH(DATE(YEAR(A454)-1,12,1),$A$2:$A$800,0))-1,""))</f>
        <v/>
      </c>
      <c r="E454" s="122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4"/>
      <c r="B455" s="125"/>
      <c r="C455" s="122" t="str">
        <f aca="false">IF(OR(B455="",B454=""),"",B455/B454-1)</f>
        <v/>
      </c>
      <c r="D455" s="122" t="str">
        <f aca="false">IF(B455="","",IFERROR(B455/INDEX($B$2:$B$800,MATCH(DATE(YEAR(A455)-1,12,1),$A$2:$A$800,0))-1,""))</f>
        <v/>
      </c>
      <c r="E455" s="122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4"/>
      <c r="B456" s="125"/>
      <c r="C456" s="122" t="str">
        <f aca="false">IF(OR(B456="",B455=""),"",B456/B455-1)</f>
        <v/>
      </c>
      <c r="D456" s="122" t="str">
        <f aca="false">IF(B456="","",IFERROR(B456/INDEX($B$2:$B$800,MATCH(DATE(YEAR(A456)-1,12,1),$A$2:$A$800,0))-1,""))</f>
        <v/>
      </c>
      <c r="E456" s="122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4"/>
      <c r="B457" s="125"/>
      <c r="C457" s="122" t="str">
        <f aca="false">IF(OR(B457="",B456=""),"",B457/B456-1)</f>
        <v/>
      </c>
      <c r="D457" s="122" t="str">
        <f aca="false">IF(B457="","",IFERROR(B457/INDEX($B$2:$B$800,MATCH(DATE(YEAR(A457)-1,12,1),$A$2:$A$800,0))-1,""))</f>
        <v/>
      </c>
      <c r="E457" s="122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4"/>
      <c r="B458" s="125"/>
      <c r="C458" s="122" t="str">
        <f aca="false">IF(OR(B458="",B457=""),"",B458/B457-1)</f>
        <v/>
      </c>
      <c r="D458" s="122" t="str">
        <f aca="false">IF(B458="","",IFERROR(B458/INDEX($B$2:$B$800,MATCH(DATE(YEAR(A458)-1,12,1),$A$2:$A$800,0))-1,""))</f>
        <v/>
      </c>
      <c r="E458" s="122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4"/>
      <c r="B459" s="125"/>
      <c r="C459" s="122" t="str">
        <f aca="false">IF(OR(B459="",B458=""),"",B459/B458-1)</f>
        <v/>
      </c>
      <c r="D459" s="122" t="str">
        <f aca="false">IF(B459="","",IFERROR(B459/INDEX($B$2:$B$800,MATCH(DATE(YEAR(A459)-1,12,1),$A$2:$A$800,0))-1,""))</f>
        <v/>
      </c>
      <c r="E459" s="122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4"/>
      <c r="B460" s="125"/>
      <c r="C460" s="122" t="str">
        <f aca="false">IF(OR(B460="",B459=""),"",B460/B459-1)</f>
        <v/>
      </c>
      <c r="D460" s="122" t="str">
        <f aca="false">IF(B460="","",IFERROR(B460/INDEX($B$2:$B$800,MATCH(DATE(YEAR(A460)-1,12,1),$A$2:$A$800,0))-1,""))</f>
        <v/>
      </c>
      <c r="E460" s="122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4"/>
      <c r="B461" s="125"/>
      <c r="C461" s="122" t="str">
        <f aca="false">IF(OR(B461="",B460=""),"",B461/B460-1)</f>
        <v/>
      </c>
      <c r="D461" s="122" t="str">
        <f aca="false">IF(B461="","",IFERROR(B461/INDEX($B$2:$B$800,MATCH(DATE(YEAR(A461)-1,12,1),$A$2:$A$800,0))-1,""))</f>
        <v/>
      </c>
      <c r="E461" s="122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4"/>
      <c r="B462" s="125"/>
      <c r="C462" s="122" t="str">
        <f aca="false">IF(OR(B462="",B461=""),"",B462/B461-1)</f>
        <v/>
      </c>
      <c r="D462" s="122" t="str">
        <f aca="false">IF(B462="","",IFERROR(B462/INDEX($B$2:$B$800,MATCH(DATE(YEAR(A462)-1,12,1),$A$2:$A$800,0))-1,""))</f>
        <v/>
      </c>
      <c r="E462" s="122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4"/>
      <c r="B463" s="125"/>
      <c r="C463" s="122" t="str">
        <f aca="false">IF(OR(B463="",B462=""),"",B463/B462-1)</f>
        <v/>
      </c>
      <c r="D463" s="122" t="str">
        <f aca="false">IF(B463="","",IFERROR(B463/INDEX($B$2:$B$800,MATCH(DATE(YEAR(A463)-1,12,1),$A$2:$A$800,0))-1,""))</f>
        <v/>
      </c>
      <c r="E463" s="122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4"/>
      <c r="B464" s="125"/>
      <c r="C464" s="122" t="str">
        <f aca="false">IF(OR(B464="",B463=""),"",B464/B463-1)</f>
        <v/>
      </c>
      <c r="D464" s="122" t="str">
        <f aca="false">IF(B464="","",IFERROR(B464/INDEX($B$2:$B$800,MATCH(DATE(YEAR(A464)-1,12,1),$A$2:$A$800,0))-1,""))</f>
        <v/>
      </c>
      <c r="E464" s="122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4"/>
      <c r="B465" s="125"/>
      <c r="C465" s="122" t="str">
        <f aca="false">IF(OR(B465="",B464=""),"",B465/B464-1)</f>
        <v/>
      </c>
      <c r="D465" s="122" t="str">
        <f aca="false">IF(B465="","",IFERROR(B465/INDEX($B$2:$B$800,MATCH(DATE(YEAR(A465)-1,12,1),$A$2:$A$800,0))-1,""))</f>
        <v/>
      </c>
      <c r="E465" s="122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4"/>
      <c r="B466" s="125"/>
      <c r="C466" s="122" t="str">
        <f aca="false">IF(OR(B466="",B465=""),"",B466/B465-1)</f>
        <v/>
      </c>
      <c r="D466" s="122" t="str">
        <f aca="false">IF(B466="","",IFERROR(B466/INDEX($B$2:$B$800,MATCH(DATE(YEAR(A466)-1,12,1),$A$2:$A$800,0))-1,""))</f>
        <v/>
      </c>
      <c r="E466" s="122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4"/>
      <c r="B467" s="125"/>
      <c r="C467" s="122" t="str">
        <f aca="false">IF(OR(B467="",B466=""),"",B467/B466-1)</f>
        <v/>
      </c>
      <c r="D467" s="122" t="str">
        <f aca="false">IF(B467="","",IFERROR(B467/INDEX($B$2:$B$800,MATCH(DATE(YEAR(A467)-1,12,1),$A$2:$A$800,0))-1,""))</f>
        <v/>
      </c>
      <c r="E467" s="122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4"/>
      <c r="B468" s="125"/>
      <c r="C468" s="122" t="str">
        <f aca="false">IF(OR(B468="",B467=""),"",B468/B467-1)</f>
        <v/>
      </c>
      <c r="D468" s="122" t="str">
        <f aca="false">IF(B468="","",IFERROR(B468/INDEX($B$2:$B$800,MATCH(DATE(YEAR(A468)-1,12,1),$A$2:$A$800,0))-1,""))</f>
        <v/>
      </c>
      <c r="E468" s="122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4"/>
      <c r="B469" s="125"/>
      <c r="C469" s="122" t="str">
        <f aca="false">IF(OR(B469="",B468=""),"",B469/B468-1)</f>
        <v/>
      </c>
      <c r="D469" s="122" t="str">
        <f aca="false">IF(B469="","",IFERROR(B469/INDEX($B$2:$B$800,MATCH(DATE(YEAR(A469)-1,12,1),$A$2:$A$800,0))-1,""))</f>
        <v/>
      </c>
      <c r="E469" s="122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4"/>
      <c r="B470" s="125"/>
      <c r="C470" s="122" t="str">
        <f aca="false">IF(OR(B470="",B469=""),"",B470/B469-1)</f>
        <v/>
      </c>
      <c r="D470" s="122" t="str">
        <f aca="false">IF(B470="","",IFERROR(B470/INDEX($B$2:$B$800,MATCH(DATE(YEAR(A470)-1,12,1),$A$2:$A$800,0))-1,""))</f>
        <v/>
      </c>
      <c r="E470" s="122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4"/>
      <c r="B471" s="125"/>
      <c r="C471" s="122" t="str">
        <f aca="false">IF(OR(B471="",B470=""),"",B471/B470-1)</f>
        <v/>
      </c>
      <c r="D471" s="122" t="str">
        <f aca="false">IF(B471="","",IFERROR(B471/INDEX($B$2:$B$800,MATCH(DATE(YEAR(A471)-1,12,1),$A$2:$A$800,0))-1,""))</f>
        <v/>
      </c>
      <c r="E471" s="122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4"/>
      <c r="B472" s="125"/>
      <c r="C472" s="122" t="str">
        <f aca="false">IF(OR(B472="",B471=""),"",B472/B471-1)</f>
        <v/>
      </c>
      <c r="D472" s="122" t="str">
        <f aca="false">IF(B472="","",IFERROR(B472/INDEX($B$2:$B$800,MATCH(DATE(YEAR(A472)-1,12,1),$A$2:$A$800,0))-1,""))</f>
        <v/>
      </c>
      <c r="E472" s="122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4"/>
      <c r="B473" s="125"/>
      <c r="C473" s="122" t="str">
        <f aca="false">IF(OR(B473="",B472=""),"",B473/B472-1)</f>
        <v/>
      </c>
      <c r="D473" s="122" t="str">
        <f aca="false">IF(B473="","",IFERROR(B473/INDEX($B$2:$B$800,MATCH(DATE(YEAR(A473)-1,12,1),$A$2:$A$800,0))-1,""))</f>
        <v/>
      </c>
      <c r="E473" s="122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4"/>
      <c r="B474" s="125"/>
      <c r="C474" s="122" t="str">
        <f aca="false">IF(OR(B474="",B473=""),"",B474/B473-1)</f>
        <v/>
      </c>
      <c r="D474" s="122" t="str">
        <f aca="false">IF(B474="","",IFERROR(B474/INDEX($B$2:$B$800,MATCH(DATE(YEAR(A474)-1,12,1),$A$2:$A$800,0))-1,""))</f>
        <v/>
      </c>
      <c r="E474" s="122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4"/>
      <c r="B475" s="125"/>
      <c r="C475" s="122" t="str">
        <f aca="false">IF(OR(B475="",B474=""),"",B475/B474-1)</f>
        <v/>
      </c>
      <c r="D475" s="122" t="str">
        <f aca="false">IF(B475="","",IFERROR(B475/INDEX($B$2:$B$800,MATCH(DATE(YEAR(A475)-1,12,1),$A$2:$A$800,0))-1,""))</f>
        <v/>
      </c>
      <c r="E475" s="122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4"/>
      <c r="B476" s="125"/>
      <c r="C476" s="122" t="str">
        <f aca="false">IF(OR(B476="",B475=""),"",B476/B475-1)</f>
        <v/>
      </c>
      <c r="D476" s="122" t="str">
        <f aca="false">IF(B476="","",IFERROR(B476/INDEX($B$2:$B$800,MATCH(DATE(YEAR(A476)-1,12,1),$A$2:$A$800,0))-1,""))</f>
        <v/>
      </c>
      <c r="E476" s="122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4"/>
      <c r="B477" s="125"/>
      <c r="C477" s="122" t="str">
        <f aca="false">IF(OR(B477="",B476=""),"",B477/B476-1)</f>
        <v/>
      </c>
      <c r="D477" s="122" t="str">
        <f aca="false">IF(B477="","",IFERROR(B477/INDEX($B$2:$B$800,MATCH(DATE(YEAR(A477)-1,12,1),$A$2:$A$800,0))-1,""))</f>
        <v/>
      </c>
      <c r="E477" s="122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4"/>
      <c r="B478" s="125"/>
      <c r="C478" s="122" t="str">
        <f aca="false">IF(OR(B478="",B477=""),"",B478/B477-1)</f>
        <v/>
      </c>
      <c r="D478" s="122" t="str">
        <f aca="false">IF(B478="","",IFERROR(B478/INDEX($B$2:$B$800,MATCH(DATE(YEAR(A478)-1,12,1),$A$2:$A$800,0))-1,""))</f>
        <v/>
      </c>
      <c r="E478" s="122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4"/>
      <c r="B479" s="125"/>
      <c r="C479" s="122" t="str">
        <f aca="false">IF(OR(B479="",B478=""),"",B479/B478-1)</f>
        <v/>
      </c>
      <c r="D479" s="122" t="str">
        <f aca="false">IF(B479="","",IFERROR(B479/INDEX($B$2:$B$800,MATCH(DATE(YEAR(A479)-1,12,1),$A$2:$A$800,0))-1,""))</f>
        <v/>
      </c>
      <c r="E479" s="122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4"/>
      <c r="B480" s="125"/>
      <c r="C480" s="122" t="str">
        <f aca="false">IF(OR(B480="",B479=""),"",B480/B479-1)</f>
        <v/>
      </c>
      <c r="D480" s="122" t="str">
        <f aca="false">IF(B480="","",IFERROR(B480/INDEX($B$2:$B$800,MATCH(DATE(YEAR(A480)-1,12,1),$A$2:$A$800,0))-1,""))</f>
        <v/>
      </c>
      <c r="E480" s="122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4"/>
      <c r="B481" s="125"/>
      <c r="C481" s="122" t="str">
        <f aca="false">IF(OR(B481="",B480=""),"",B481/B480-1)</f>
        <v/>
      </c>
      <c r="D481" s="122" t="str">
        <f aca="false">IF(B481="","",IFERROR(B481/INDEX($B$2:$B$800,MATCH(DATE(YEAR(A481)-1,12,1),$A$2:$A$800,0))-1,""))</f>
        <v/>
      </c>
      <c r="E481" s="122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4"/>
      <c r="B482" s="125"/>
      <c r="C482" s="122" t="str">
        <f aca="false">IF(OR(B482="",B481=""),"",B482/B481-1)</f>
        <v/>
      </c>
      <c r="D482" s="122" t="str">
        <f aca="false">IF(B482="","",IFERROR(B482/INDEX($B$2:$B$800,MATCH(DATE(YEAR(A482)-1,12,1),$A$2:$A$800,0))-1,""))</f>
        <v/>
      </c>
      <c r="E482" s="122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4"/>
      <c r="B483" s="125"/>
      <c r="C483" s="122" t="str">
        <f aca="false">IF(OR(B483="",B482=""),"",B483/B482-1)</f>
        <v/>
      </c>
      <c r="D483" s="122" t="str">
        <f aca="false">IF(B483="","",IFERROR(B483/INDEX($B$2:$B$800,MATCH(DATE(YEAR(A483)-1,12,1),$A$2:$A$800,0))-1,""))</f>
        <v/>
      </c>
      <c r="E483" s="122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4"/>
      <c r="B484" s="125"/>
      <c r="C484" s="122" t="str">
        <f aca="false">IF(OR(B484="",B483=""),"",B484/B483-1)</f>
        <v/>
      </c>
      <c r="D484" s="122" t="str">
        <f aca="false">IF(B484="","",IFERROR(B484/INDEX($B$2:$B$800,MATCH(DATE(YEAR(A484)-1,12,1),$A$2:$A$800,0))-1,""))</f>
        <v/>
      </c>
      <c r="E484" s="122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4"/>
      <c r="B485" s="125"/>
      <c r="C485" s="122" t="str">
        <f aca="false">IF(OR(B485="",B484=""),"",B485/B484-1)</f>
        <v/>
      </c>
      <c r="D485" s="122" t="str">
        <f aca="false">IF(B485="","",IFERROR(B485/INDEX($B$2:$B$800,MATCH(DATE(YEAR(A485)-1,12,1),$A$2:$A$800,0))-1,""))</f>
        <v/>
      </c>
      <c r="E485" s="122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4"/>
      <c r="B486" s="125"/>
      <c r="C486" s="122" t="str">
        <f aca="false">IF(OR(B486="",B485=""),"",B486/B485-1)</f>
        <v/>
      </c>
      <c r="D486" s="122" t="str">
        <f aca="false">IF(B486="","",IFERROR(B486/INDEX($B$2:$B$800,MATCH(DATE(YEAR(A486)-1,12,1),$A$2:$A$800,0))-1,""))</f>
        <v/>
      </c>
      <c r="E486" s="122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4"/>
      <c r="B487" s="125"/>
      <c r="C487" s="122" t="str">
        <f aca="false">IF(OR(B487="",B486=""),"",B487/B486-1)</f>
        <v/>
      </c>
      <c r="D487" s="122" t="str">
        <f aca="false">IF(B487="","",IFERROR(B487/INDEX($B$2:$B$800,MATCH(DATE(YEAR(A487)-1,12,1),$A$2:$A$800,0))-1,""))</f>
        <v/>
      </c>
      <c r="E487" s="122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4"/>
      <c r="B488" s="125"/>
      <c r="C488" s="122" t="str">
        <f aca="false">IF(OR(B488="",B487=""),"",B488/B487-1)</f>
        <v/>
      </c>
      <c r="D488" s="122" t="str">
        <f aca="false">IF(B488="","",IFERROR(B488/INDEX($B$2:$B$800,MATCH(DATE(YEAR(A488)-1,12,1),$A$2:$A$800,0))-1,""))</f>
        <v/>
      </c>
      <c r="E488" s="122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4"/>
      <c r="B489" s="125"/>
      <c r="C489" s="122" t="str">
        <f aca="false">IF(OR(B489="",B488=""),"",B489/B488-1)</f>
        <v/>
      </c>
      <c r="D489" s="122" t="str">
        <f aca="false">IF(B489="","",IFERROR(B489/INDEX($B$2:$B$800,MATCH(DATE(YEAR(A489)-1,12,1),$A$2:$A$800,0))-1,""))</f>
        <v/>
      </c>
      <c r="E489" s="122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4"/>
      <c r="B490" s="125"/>
      <c r="C490" s="122" t="str">
        <f aca="false">IF(OR(B490="",B489=""),"",B490/B489-1)</f>
        <v/>
      </c>
      <c r="D490" s="122" t="str">
        <f aca="false">IF(B490="","",IFERROR(B490/INDEX($B$2:$B$800,MATCH(DATE(YEAR(A490)-1,12,1),$A$2:$A$800,0))-1,""))</f>
        <v/>
      </c>
      <c r="E490" s="122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4"/>
      <c r="B491" s="125"/>
      <c r="C491" s="122" t="str">
        <f aca="false">IF(OR(B491="",B490=""),"",B491/B490-1)</f>
        <v/>
      </c>
      <c r="D491" s="122" t="str">
        <f aca="false">IF(B491="","",IFERROR(B491/INDEX($B$2:$B$800,MATCH(DATE(YEAR(A491)-1,12,1),$A$2:$A$800,0))-1,""))</f>
        <v/>
      </c>
      <c r="E491" s="122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4"/>
      <c r="B492" s="125"/>
      <c r="C492" s="122" t="str">
        <f aca="false">IF(OR(B492="",B491=""),"",B492/B491-1)</f>
        <v/>
      </c>
      <c r="D492" s="122" t="str">
        <f aca="false">IF(B492="","",IFERROR(B492/INDEX($B$2:$B$800,MATCH(DATE(YEAR(A492)-1,12,1),$A$2:$A$800,0))-1,""))</f>
        <v/>
      </c>
      <c r="E492" s="122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4"/>
      <c r="B493" s="125"/>
      <c r="C493" s="122" t="str">
        <f aca="false">IF(OR(B493="",B492=""),"",B493/B492-1)</f>
        <v/>
      </c>
      <c r="D493" s="122" t="str">
        <f aca="false">IF(B493="","",IFERROR(B493/INDEX($B$2:$B$800,MATCH(DATE(YEAR(A493)-1,12,1),$A$2:$A$800,0))-1,""))</f>
        <v/>
      </c>
      <c r="E493" s="122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4"/>
      <c r="B494" s="125"/>
      <c r="C494" s="122" t="str">
        <f aca="false">IF(OR(B494="",B493=""),"",B494/B493-1)</f>
        <v/>
      </c>
      <c r="D494" s="122" t="str">
        <f aca="false">IF(B494="","",IFERROR(B494/INDEX($B$2:$B$800,MATCH(DATE(YEAR(A494)-1,12,1),$A$2:$A$800,0))-1,""))</f>
        <v/>
      </c>
      <c r="E494" s="122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4"/>
      <c r="B495" s="125"/>
      <c r="C495" s="122" t="str">
        <f aca="false">IF(OR(B495="",B494=""),"",B495/B494-1)</f>
        <v/>
      </c>
      <c r="D495" s="122" t="str">
        <f aca="false">IF(B495="","",IFERROR(B495/INDEX($B$2:$B$800,MATCH(DATE(YEAR(A495)-1,12,1),$A$2:$A$800,0))-1,""))</f>
        <v/>
      </c>
      <c r="E495" s="122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4"/>
      <c r="B496" s="125"/>
      <c r="C496" s="122" t="str">
        <f aca="false">IF(OR(B496="",B495=""),"",B496/B495-1)</f>
        <v/>
      </c>
      <c r="D496" s="122" t="str">
        <f aca="false">IF(B496="","",IFERROR(B496/INDEX($B$2:$B$800,MATCH(DATE(YEAR(A496)-1,12,1),$A$2:$A$800,0))-1,""))</f>
        <v/>
      </c>
      <c r="E496" s="122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4"/>
      <c r="B497" s="125"/>
      <c r="C497" s="122" t="str">
        <f aca="false">IF(OR(B497="",B496=""),"",B497/B496-1)</f>
        <v/>
      </c>
      <c r="D497" s="122" t="str">
        <f aca="false">IF(B497="","",IFERROR(B497/INDEX($B$2:$B$800,MATCH(DATE(YEAR(A497)-1,12,1),$A$2:$A$800,0))-1,""))</f>
        <v/>
      </c>
      <c r="E497" s="122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4"/>
      <c r="B498" s="125"/>
      <c r="C498" s="122" t="str">
        <f aca="false">IF(OR(B498="",B497=""),"",B498/B497-1)</f>
        <v/>
      </c>
      <c r="D498" s="122" t="str">
        <f aca="false">IF(B498="","",IFERROR(B498/INDEX($B$2:$B$800,MATCH(DATE(YEAR(A498)-1,12,1),$A$2:$A$800,0))-1,""))</f>
        <v/>
      </c>
      <c r="E498" s="122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4"/>
      <c r="B499" s="125"/>
      <c r="C499" s="122" t="str">
        <f aca="false">IF(OR(B499="",B498=""),"",B499/B498-1)</f>
        <v/>
      </c>
      <c r="D499" s="122" t="str">
        <f aca="false">IF(B499="","",IFERROR(B499/INDEX($B$2:$B$800,MATCH(DATE(YEAR(A499)-1,12,1),$A$2:$A$800,0))-1,""))</f>
        <v/>
      </c>
      <c r="E499" s="122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4"/>
      <c r="B500" s="125"/>
      <c r="C500" s="122" t="str">
        <f aca="false">IF(OR(B500="",B499=""),"",B500/B499-1)</f>
        <v/>
      </c>
      <c r="D500" s="122" t="str">
        <f aca="false">IF(B500="","",IFERROR(B500/INDEX($B$2:$B$800,MATCH(DATE(YEAR(A500)-1,12,1),$A$2:$A$800,0))-1,""))</f>
        <v/>
      </c>
      <c r="E500" s="122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4"/>
      <c r="B501" s="125"/>
      <c r="C501" s="122" t="str">
        <f aca="false">IF(OR(B501="",B500=""),"",B501/B500-1)</f>
        <v/>
      </c>
      <c r="D501" s="122" t="str">
        <f aca="false">IF(B501="","",IFERROR(B501/INDEX($B$2:$B$800,MATCH(DATE(YEAR(A501)-1,12,1),$A$2:$A$800,0))-1,""))</f>
        <v/>
      </c>
      <c r="E501" s="122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4"/>
      <c r="B502" s="125"/>
      <c r="C502" s="122" t="str">
        <f aca="false">IF(OR(B502="",B501=""),"",B502/B501-1)</f>
        <v/>
      </c>
      <c r="D502" s="122" t="str">
        <f aca="false">IF(B502="","",IFERROR(B502/INDEX($B$2:$B$800,MATCH(DATE(YEAR(A502)-1,12,1),$A$2:$A$800,0))-1,""))</f>
        <v/>
      </c>
      <c r="E502" s="122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4"/>
      <c r="B503" s="125"/>
      <c r="C503" s="122" t="str">
        <f aca="false">IF(OR(B503="",B502=""),"",B503/B502-1)</f>
        <v/>
      </c>
      <c r="D503" s="122" t="str">
        <f aca="false">IF(B503="","",IFERROR(B503/INDEX($B$2:$B$800,MATCH(DATE(YEAR(A503)-1,12,1),$A$2:$A$800,0))-1,""))</f>
        <v/>
      </c>
      <c r="E503" s="122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4"/>
      <c r="B504" s="125"/>
      <c r="C504" s="122" t="str">
        <f aca="false">IF(OR(B504="",B503=""),"",B504/B503-1)</f>
        <v/>
      </c>
      <c r="D504" s="122" t="str">
        <f aca="false">IF(B504="","",IFERROR(B504/INDEX($B$2:$B$800,MATCH(DATE(YEAR(A504)-1,12,1),$A$2:$A$800,0))-1,""))</f>
        <v/>
      </c>
      <c r="E504" s="122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4"/>
      <c r="B505" s="125"/>
      <c r="C505" s="122" t="str">
        <f aca="false">IF(OR(B505="",B504=""),"",B505/B504-1)</f>
        <v/>
      </c>
      <c r="D505" s="122" t="str">
        <f aca="false">IF(B505="","",IFERROR(B505/INDEX($B$2:$B$800,MATCH(DATE(YEAR(A505)-1,12,1),$A$2:$A$800,0))-1,""))</f>
        <v/>
      </c>
      <c r="E505" s="122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4"/>
      <c r="B506" s="125"/>
      <c r="C506" s="122" t="str">
        <f aca="false">IF(OR(B506="",B505=""),"",B506/B505-1)</f>
        <v/>
      </c>
      <c r="D506" s="122" t="str">
        <f aca="false">IF(B506="","",IFERROR(B506/INDEX($B$2:$B$800,MATCH(DATE(YEAR(A506)-1,12,1),$A$2:$A$800,0))-1,""))</f>
        <v/>
      </c>
      <c r="E506" s="122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4"/>
      <c r="B507" s="125"/>
      <c r="C507" s="122" t="str">
        <f aca="false">IF(OR(B507="",B506=""),"",B507/B506-1)</f>
        <v/>
      </c>
      <c r="D507" s="122" t="str">
        <f aca="false">IF(B507="","",IFERROR(B507/INDEX($B$2:$B$800,MATCH(DATE(YEAR(A507)-1,12,1),$A$2:$A$800,0))-1,""))</f>
        <v/>
      </c>
      <c r="E507" s="122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4"/>
      <c r="B508" s="125"/>
      <c r="C508" s="122" t="str">
        <f aca="false">IF(OR(B508="",B507=""),"",B508/B507-1)</f>
        <v/>
      </c>
      <c r="D508" s="122" t="str">
        <f aca="false">IF(B508="","",IFERROR(B508/INDEX($B$2:$B$800,MATCH(DATE(YEAR(A508)-1,12,1),$A$2:$A$800,0))-1,""))</f>
        <v/>
      </c>
      <c r="E508" s="122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4"/>
      <c r="B509" s="125"/>
      <c r="C509" s="122" t="str">
        <f aca="false">IF(OR(B509="",B508=""),"",B509/B508-1)</f>
        <v/>
      </c>
      <c r="D509" s="122" t="str">
        <f aca="false">IF(B509="","",IFERROR(B509/INDEX($B$2:$B$800,MATCH(DATE(YEAR(A509)-1,12,1),$A$2:$A$800,0))-1,""))</f>
        <v/>
      </c>
      <c r="E509" s="122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4"/>
      <c r="B510" s="125"/>
      <c r="C510" s="122" t="str">
        <f aca="false">IF(OR(B510="",B509=""),"",B510/B509-1)</f>
        <v/>
      </c>
      <c r="D510" s="122" t="str">
        <f aca="false">IF(B510="","",IFERROR(B510/INDEX($B$2:$B$800,MATCH(DATE(YEAR(A510)-1,12,1),$A$2:$A$800,0))-1,""))</f>
        <v/>
      </c>
      <c r="E510" s="122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4"/>
      <c r="B511" s="125"/>
      <c r="C511" s="122" t="str">
        <f aca="false">IF(OR(B511="",B510=""),"",B511/B510-1)</f>
        <v/>
      </c>
      <c r="D511" s="122" t="str">
        <f aca="false">IF(B511="","",IFERROR(B511/INDEX($B$2:$B$800,MATCH(DATE(YEAR(A511)-1,12,1),$A$2:$A$800,0))-1,""))</f>
        <v/>
      </c>
      <c r="E511" s="122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4"/>
      <c r="B512" s="125"/>
      <c r="C512" s="122" t="str">
        <f aca="false">IF(OR(B512="",B511=""),"",B512/B511-1)</f>
        <v/>
      </c>
      <c r="D512" s="122" t="str">
        <f aca="false">IF(B512="","",IFERROR(B512/INDEX($B$2:$B$800,MATCH(DATE(YEAR(A512)-1,12,1),$A$2:$A$800,0))-1,""))</f>
        <v/>
      </c>
      <c r="E512" s="122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4"/>
      <c r="B513" s="125"/>
      <c r="C513" s="122" t="str">
        <f aca="false">IF(OR(B513="",B512=""),"",B513/B512-1)</f>
        <v/>
      </c>
      <c r="D513" s="122" t="str">
        <f aca="false">IF(B513="","",IFERROR(B513/INDEX($B$2:$B$800,MATCH(DATE(YEAR(A513)-1,12,1),$A$2:$A$800,0))-1,""))</f>
        <v/>
      </c>
      <c r="E513" s="122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4"/>
      <c r="B514" s="125"/>
      <c r="C514" s="122" t="str">
        <f aca="false">IF(OR(B514="",B513=""),"",B514/B513-1)</f>
        <v/>
      </c>
      <c r="D514" s="122" t="str">
        <f aca="false">IF(B514="","",IFERROR(B514/INDEX($B$2:$B$800,MATCH(DATE(YEAR(A514)-1,12,1),$A$2:$A$800,0))-1,""))</f>
        <v/>
      </c>
      <c r="E514" s="122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4"/>
      <c r="B515" s="125"/>
      <c r="C515" s="122" t="str">
        <f aca="false">IF(OR(B515="",B514=""),"",B515/B514-1)</f>
        <v/>
      </c>
      <c r="D515" s="122" t="str">
        <f aca="false">IF(B515="","",IFERROR(B515/INDEX($B$2:$B$800,MATCH(DATE(YEAR(A515)-1,12,1),$A$2:$A$800,0))-1,""))</f>
        <v/>
      </c>
      <c r="E515" s="122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4"/>
      <c r="B516" s="125"/>
      <c r="C516" s="122" t="str">
        <f aca="false">IF(OR(B516="",B515=""),"",B516/B515-1)</f>
        <v/>
      </c>
      <c r="D516" s="122" t="str">
        <f aca="false">IF(B516="","",IFERROR(B516/INDEX($B$2:$B$800,MATCH(DATE(YEAR(A516)-1,12,1),$A$2:$A$800,0))-1,""))</f>
        <v/>
      </c>
      <c r="E516" s="122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4"/>
      <c r="B517" s="125"/>
      <c r="C517" s="122" t="str">
        <f aca="false">IF(OR(B517="",B516=""),"",B517/B516-1)</f>
        <v/>
      </c>
      <c r="D517" s="122" t="str">
        <f aca="false">IF(B517="","",IFERROR(B517/INDEX($B$2:$B$800,MATCH(DATE(YEAR(A517)-1,12,1),$A$2:$A$800,0))-1,""))</f>
        <v/>
      </c>
      <c r="E517" s="122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4"/>
      <c r="B518" s="125"/>
      <c r="C518" s="122" t="str">
        <f aca="false">IF(OR(B518="",B517=""),"",B518/B517-1)</f>
        <v/>
      </c>
      <c r="D518" s="122" t="str">
        <f aca="false">IF(B518="","",IFERROR(B518/INDEX($B$2:$B$800,MATCH(DATE(YEAR(A518)-1,12,1),$A$2:$A$800,0))-1,""))</f>
        <v/>
      </c>
      <c r="E518" s="122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4"/>
      <c r="B519" s="125"/>
      <c r="C519" s="122" t="str">
        <f aca="false">IF(OR(B519="",B518=""),"",B519/B518-1)</f>
        <v/>
      </c>
      <c r="D519" s="122" t="str">
        <f aca="false">IF(B519="","",IFERROR(B519/INDEX($B$2:$B$800,MATCH(DATE(YEAR(A519)-1,12,1),$A$2:$A$800,0))-1,""))</f>
        <v/>
      </c>
      <c r="E519" s="122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4"/>
      <c r="B520" s="125"/>
      <c r="C520" s="122" t="str">
        <f aca="false">IF(OR(B520="",B519=""),"",B520/B519-1)</f>
        <v/>
      </c>
      <c r="D520" s="122" t="str">
        <f aca="false">IF(B520="","",IFERROR(B520/INDEX($B$2:$B$800,MATCH(DATE(YEAR(A520)-1,12,1),$A$2:$A$800,0))-1,""))</f>
        <v/>
      </c>
      <c r="E520" s="122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4"/>
      <c r="B521" s="125"/>
      <c r="C521" s="122" t="str">
        <f aca="false">IF(OR(B521="",B520=""),"",B521/B520-1)</f>
        <v/>
      </c>
      <c r="D521" s="122" t="str">
        <f aca="false">IF(B521="","",IFERROR(B521/INDEX($B$2:$B$800,MATCH(DATE(YEAR(A521)-1,12,1),$A$2:$A$800,0))-1,""))</f>
        <v/>
      </c>
      <c r="E521" s="122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4"/>
      <c r="B522" s="125"/>
      <c r="C522" s="122" t="str">
        <f aca="false">IF(OR(B522="",B521=""),"",B522/B521-1)</f>
        <v/>
      </c>
      <c r="D522" s="122" t="str">
        <f aca="false">IF(B522="","",IFERROR(B522/INDEX($B$2:$B$800,MATCH(DATE(YEAR(A522)-1,12,1),$A$2:$A$800,0))-1,""))</f>
        <v/>
      </c>
      <c r="E522" s="122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4"/>
      <c r="B523" s="125"/>
      <c r="C523" s="122" t="str">
        <f aca="false">IF(OR(B523="",B522=""),"",B523/B522-1)</f>
        <v/>
      </c>
      <c r="D523" s="122" t="str">
        <f aca="false">IF(B523="","",IFERROR(B523/INDEX($B$2:$B$800,MATCH(DATE(YEAR(A523)-1,12,1),$A$2:$A$800,0))-1,""))</f>
        <v/>
      </c>
      <c r="E523" s="122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4"/>
      <c r="B524" s="125"/>
      <c r="C524" s="122" t="str">
        <f aca="false">IF(OR(B524="",B523=""),"",B524/B523-1)</f>
        <v/>
      </c>
      <c r="D524" s="122" t="str">
        <f aca="false">IF(B524="","",IFERROR(B524/INDEX($B$2:$B$800,MATCH(DATE(YEAR(A524)-1,12,1),$A$2:$A$800,0))-1,""))</f>
        <v/>
      </c>
      <c r="E524" s="122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4"/>
      <c r="B525" s="125"/>
      <c r="C525" s="122" t="str">
        <f aca="false">IF(OR(B525="",B524=""),"",B525/B524-1)</f>
        <v/>
      </c>
      <c r="D525" s="122" t="str">
        <f aca="false">IF(B525="","",IFERROR(B525/INDEX($B$2:$B$800,MATCH(DATE(YEAR(A525)-1,12,1),$A$2:$A$800,0))-1,""))</f>
        <v/>
      </c>
      <c r="E525" s="122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4"/>
      <c r="B526" s="125"/>
      <c r="C526" s="122" t="str">
        <f aca="false">IF(OR(B526="",B525=""),"",B526/B525-1)</f>
        <v/>
      </c>
      <c r="D526" s="122" t="str">
        <f aca="false">IF(B526="","",IFERROR(B526/INDEX($B$2:$B$800,MATCH(DATE(YEAR(A526)-1,12,1),$A$2:$A$800,0))-1,""))</f>
        <v/>
      </c>
      <c r="E526" s="122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4"/>
      <c r="B527" s="125"/>
      <c r="C527" s="122" t="str">
        <f aca="false">IF(OR(B527="",B526=""),"",B527/B526-1)</f>
        <v/>
      </c>
      <c r="D527" s="122" t="str">
        <f aca="false">IF(B527="","",IFERROR(B527/INDEX($B$2:$B$800,MATCH(DATE(YEAR(A527)-1,12,1),$A$2:$A$800,0))-1,""))</f>
        <v/>
      </c>
      <c r="E527" s="122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4"/>
      <c r="B528" s="125"/>
      <c r="C528" s="122" t="str">
        <f aca="false">IF(OR(B528="",B527=""),"",B528/B527-1)</f>
        <v/>
      </c>
      <c r="D528" s="122" t="str">
        <f aca="false">IF(B528="","",IFERROR(B528/INDEX($B$2:$B$800,MATCH(DATE(YEAR(A528)-1,12,1),$A$2:$A$800,0))-1,""))</f>
        <v/>
      </c>
      <c r="E528" s="122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4"/>
      <c r="B529" s="125"/>
      <c r="C529" s="122" t="str">
        <f aca="false">IF(OR(B529="",B528=""),"",B529/B528-1)</f>
        <v/>
      </c>
      <c r="D529" s="122" t="str">
        <f aca="false">IF(B529="","",IFERROR(B529/INDEX($B$2:$B$800,MATCH(DATE(YEAR(A529)-1,12,1),$A$2:$A$800,0))-1,""))</f>
        <v/>
      </c>
      <c r="E529" s="122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4"/>
      <c r="B530" s="125"/>
      <c r="C530" s="122" t="str">
        <f aca="false">IF(OR(B530="",B529=""),"",B530/B529-1)</f>
        <v/>
      </c>
      <c r="D530" s="122" t="str">
        <f aca="false">IF(B530="","",IFERROR(B530/INDEX($B$2:$B$800,MATCH(DATE(YEAR(A530)-1,12,1),$A$2:$A$800,0))-1,""))</f>
        <v/>
      </c>
      <c r="E530" s="122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4"/>
      <c r="B531" s="125"/>
      <c r="C531" s="122" t="str">
        <f aca="false">IF(OR(B531="",B530=""),"",B531/B530-1)</f>
        <v/>
      </c>
      <c r="D531" s="122" t="str">
        <f aca="false">IF(B531="","",IFERROR(B531/INDEX($B$2:$B$800,MATCH(DATE(YEAR(A531)-1,12,1),$A$2:$A$800,0))-1,""))</f>
        <v/>
      </c>
      <c r="E531" s="122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4"/>
      <c r="B532" s="125"/>
      <c r="C532" s="122" t="str">
        <f aca="false">IF(OR(B532="",B531=""),"",B532/B531-1)</f>
        <v/>
      </c>
      <c r="D532" s="122" t="str">
        <f aca="false">IF(B532="","",IFERROR(B532/INDEX($B$2:$B$800,MATCH(DATE(YEAR(A532)-1,12,1),$A$2:$A$800,0))-1,""))</f>
        <v/>
      </c>
      <c r="E532" s="122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4"/>
      <c r="B533" s="125"/>
      <c r="C533" s="122" t="str">
        <f aca="false">IF(OR(B533="",B532=""),"",B533/B532-1)</f>
        <v/>
      </c>
      <c r="D533" s="122" t="str">
        <f aca="false">IF(B533="","",IFERROR(B533/INDEX($B$2:$B$800,MATCH(DATE(YEAR(A533)-1,12,1),$A$2:$A$800,0))-1,""))</f>
        <v/>
      </c>
      <c r="E533" s="122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4"/>
      <c r="B534" s="125"/>
      <c r="C534" s="122" t="str">
        <f aca="false">IF(OR(B534="",B533=""),"",B534/B533-1)</f>
        <v/>
      </c>
      <c r="D534" s="122" t="str">
        <f aca="false">IF(B534="","",IFERROR(B534/INDEX($B$2:$B$800,MATCH(DATE(YEAR(A534)-1,12,1),$A$2:$A$800,0))-1,""))</f>
        <v/>
      </c>
      <c r="E534" s="122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4"/>
      <c r="B535" s="125"/>
      <c r="C535" s="122" t="str">
        <f aca="false">IF(OR(B535="",B534=""),"",B535/B534-1)</f>
        <v/>
      </c>
      <c r="D535" s="122" t="str">
        <f aca="false">IF(B535="","",IFERROR(B535/INDEX($B$2:$B$800,MATCH(DATE(YEAR(A535)-1,12,1),$A$2:$A$800,0))-1,""))</f>
        <v/>
      </c>
      <c r="E535" s="122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4"/>
      <c r="B536" s="125"/>
      <c r="C536" s="122" t="str">
        <f aca="false">IF(OR(B536="",B535=""),"",B536/B535-1)</f>
        <v/>
      </c>
      <c r="D536" s="122" t="str">
        <f aca="false">IF(B536="","",IFERROR(B536/INDEX($B$2:$B$800,MATCH(DATE(YEAR(A536)-1,12,1),$A$2:$A$800,0))-1,""))</f>
        <v/>
      </c>
      <c r="E536" s="122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4"/>
      <c r="B537" s="125"/>
      <c r="C537" s="122" t="str">
        <f aca="false">IF(OR(B537="",B536=""),"",B537/B536-1)</f>
        <v/>
      </c>
      <c r="D537" s="122" t="str">
        <f aca="false">IF(B537="","",IFERROR(B537/INDEX($B$2:$B$800,MATCH(DATE(YEAR(A537)-1,12,1),$A$2:$A$800,0))-1,""))</f>
        <v/>
      </c>
      <c r="E537" s="122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4"/>
      <c r="B538" s="125"/>
      <c r="C538" s="122" t="str">
        <f aca="false">IF(OR(B538="",B537=""),"",B538/B537-1)</f>
        <v/>
      </c>
      <c r="D538" s="122" t="str">
        <f aca="false">IF(B538="","",IFERROR(B538/INDEX($B$2:$B$800,MATCH(DATE(YEAR(A538)-1,12,1),$A$2:$A$800,0))-1,""))</f>
        <v/>
      </c>
      <c r="E538" s="122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4"/>
      <c r="B539" s="125"/>
      <c r="C539" s="122" t="str">
        <f aca="false">IF(OR(B539="",B538=""),"",B539/B538-1)</f>
        <v/>
      </c>
      <c r="D539" s="122" t="str">
        <f aca="false">IF(B539="","",IFERROR(B539/INDEX($B$2:$B$800,MATCH(DATE(YEAR(A539)-1,12,1),$A$2:$A$800,0))-1,""))</f>
        <v/>
      </c>
      <c r="E539" s="122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4"/>
      <c r="B540" s="125"/>
      <c r="C540" s="122" t="str">
        <f aca="false">IF(OR(B540="",B539=""),"",B540/B539-1)</f>
        <v/>
      </c>
      <c r="D540" s="122" t="str">
        <f aca="false">IF(B540="","",IFERROR(B540/INDEX($B$2:$B$800,MATCH(DATE(YEAR(A540)-1,12,1),$A$2:$A$800,0))-1,""))</f>
        <v/>
      </c>
      <c r="E540" s="122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4"/>
      <c r="B541" s="125"/>
      <c r="C541" s="122" t="str">
        <f aca="false">IF(OR(B541="",B540=""),"",B541/B540-1)</f>
        <v/>
      </c>
      <c r="D541" s="122" t="str">
        <f aca="false">IF(B541="","",IFERROR(B541/INDEX($B$2:$B$800,MATCH(DATE(YEAR(A541)-1,12,1),$A$2:$A$800,0))-1,""))</f>
        <v/>
      </c>
      <c r="E541" s="122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4"/>
      <c r="B542" s="125"/>
      <c r="C542" s="122" t="str">
        <f aca="false">IF(OR(B542="",B541=""),"",B542/B541-1)</f>
        <v/>
      </c>
      <c r="D542" s="122" t="str">
        <f aca="false">IF(B542="","",IFERROR(B542/INDEX($B$2:$B$800,MATCH(DATE(YEAR(A542)-1,12,1),$A$2:$A$800,0))-1,""))</f>
        <v/>
      </c>
      <c r="E542" s="122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4"/>
      <c r="B543" s="125"/>
      <c r="C543" s="122" t="str">
        <f aca="false">IF(OR(B543="",B542=""),"",B543/B542-1)</f>
        <v/>
      </c>
      <c r="D543" s="122" t="str">
        <f aca="false">IF(B543="","",IFERROR(B543/INDEX($B$2:$B$800,MATCH(DATE(YEAR(A543)-1,12,1),$A$2:$A$800,0))-1,""))</f>
        <v/>
      </c>
      <c r="E543" s="122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4"/>
      <c r="B544" s="125"/>
      <c r="C544" s="122" t="str">
        <f aca="false">IF(OR(B544="",B543=""),"",B544/B543-1)</f>
        <v/>
      </c>
      <c r="D544" s="122" t="str">
        <f aca="false">IF(B544="","",IFERROR(B544/INDEX($B$2:$B$800,MATCH(DATE(YEAR(A544)-1,12,1),$A$2:$A$800,0))-1,""))</f>
        <v/>
      </c>
      <c r="E544" s="122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4"/>
      <c r="B545" s="125"/>
      <c r="C545" s="122" t="str">
        <f aca="false">IF(OR(B545="",B544=""),"",B545/B544-1)</f>
        <v/>
      </c>
      <c r="D545" s="122" t="str">
        <f aca="false">IF(B545="","",IFERROR(B545/INDEX($B$2:$B$800,MATCH(DATE(YEAR(A545)-1,12,1),$A$2:$A$800,0))-1,""))</f>
        <v/>
      </c>
      <c r="E545" s="122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4"/>
      <c r="B546" s="125"/>
      <c r="C546" s="122" t="str">
        <f aca="false">IF(OR(B546="",B545=""),"",B546/B545-1)</f>
        <v/>
      </c>
      <c r="D546" s="122" t="str">
        <f aca="false">IF(B546="","",IFERROR(B546/INDEX($B$2:$B$800,MATCH(DATE(YEAR(A546)-1,12,1),$A$2:$A$800,0))-1,""))</f>
        <v/>
      </c>
      <c r="E546" s="122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4"/>
      <c r="B547" s="125"/>
      <c r="C547" s="122" t="str">
        <f aca="false">IF(OR(B547="",B546=""),"",B547/B546-1)</f>
        <v/>
      </c>
      <c r="D547" s="122" t="str">
        <f aca="false">IF(B547="","",IFERROR(B547/INDEX($B$2:$B$800,MATCH(DATE(YEAR(A547)-1,12,1),$A$2:$A$800,0))-1,""))</f>
        <v/>
      </c>
      <c r="E547" s="122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4"/>
      <c r="B548" s="125"/>
      <c r="C548" s="122" t="str">
        <f aca="false">IF(OR(B548="",B547=""),"",B548/B547-1)</f>
        <v/>
      </c>
      <c r="D548" s="122" t="str">
        <f aca="false">IF(B548="","",IFERROR(B548/INDEX($B$2:$B$800,MATCH(DATE(YEAR(A548)-1,12,1),$A$2:$A$800,0))-1,""))</f>
        <v/>
      </c>
      <c r="E548" s="122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4"/>
      <c r="B549" s="125"/>
      <c r="C549" s="122" t="str">
        <f aca="false">IF(OR(B549="",B548=""),"",B549/B548-1)</f>
        <v/>
      </c>
      <c r="D549" s="122" t="str">
        <f aca="false">IF(B549="","",IFERROR(B549/INDEX($B$2:$B$800,MATCH(DATE(YEAR(A549)-1,12,1),$A$2:$A$800,0))-1,""))</f>
        <v/>
      </c>
      <c r="E549" s="122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4"/>
      <c r="B550" s="125"/>
      <c r="C550" s="122" t="str">
        <f aca="false">IF(OR(B550="",B549=""),"",B550/B549-1)</f>
        <v/>
      </c>
      <c r="D550" s="122" t="str">
        <f aca="false">IF(B550="","",IFERROR(B550/INDEX($B$2:$B$800,MATCH(DATE(YEAR(A550)-1,12,1),$A$2:$A$800,0))-1,""))</f>
        <v/>
      </c>
      <c r="E550" s="122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4"/>
      <c r="B551" s="125"/>
      <c r="C551" s="122" t="str">
        <f aca="false">IF(OR(B551="",B550=""),"",B551/B550-1)</f>
        <v/>
      </c>
      <c r="D551" s="122" t="str">
        <f aca="false">IF(B551="","",IFERROR(B551/INDEX($B$2:$B$800,MATCH(DATE(YEAR(A551)-1,12,1),$A$2:$A$800,0))-1,""))</f>
        <v/>
      </c>
      <c r="E551" s="122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4"/>
      <c r="B552" s="125"/>
      <c r="C552" s="122" t="str">
        <f aca="false">IF(OR(B552="",B551=""),"",B552/B551-1)</f>
        <v/>
      </c>
      <c r="D552" s="122" t="str">
        <f aca="false">IF(B552="","",IFERROR(B552/INDEX($B$2:$B$800,MATCH(DATE(YEAR(A552)-1,12,1),$A$2:$A$800,0))-1,""))</f>
        <v/>
      </c>
      <c r="E552" s="122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4"/>
      <c r="B553" s="125"/>
      <c r="C553" s="122" t="str">
        <f aca="false">IF(OR(B553="",B552=""),"",B553/B552-1)</f>
        <v/>
      </c>
      <c r="D553" s="122" t="str">
        <f aca="false">IF(B553="","",IFERROR(B553/INDEX($B$2:$B$800,MATCH(DATE(YEAR(A553)-1,12,1),$A$2:$A$800,0))-1,""))</f>
        <v/>
      </c>
      <c r="E553" s="122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4"/>
      <c r="B554" s="125"/>
      <c r="C554" s="122" t="str">
        <f aca="false">IF(OR(B554="",B553=""),"",B554/B553-1)</f>
        <v/>
      </c>
      <c r="D554" s="122" t="str">
        <f aca="false">IF(B554="","",IFERROR(B554/INDEX($B$2:$B$800,MATCH(DATE(YEAR(A554)-1,12,1),$A$2:$A$800,0))-1,""))</f>
        <v/>
      </c>
      <c r="E554" s="122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4"/>
      <c r="B555" s="125"/>
      <c r="C555" s="122" t="str">
        <f aca="false">IF(OR(B555="",B554=""),"",B555/B554-1)</f>
        <v/>
      </c>
      <c r="D555" s="122" t="str">
        <f aca="false">IF(B555="","",IFERROR(B555/INDEX($B$2:$B$800,MATCH(DATE(YEAR(A555)-1,12,1),$A$2:$A$800,0))-1,""))</f>
        <v/>
      </c>
      <c r="E555" s="122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4"/>
      <c r="B556" s="125"/>
      <c r="C556" s="122" t="str">
        <f aca="false">IF(OR(B556="",B555=""),"",B556/B555-1)</f>
        <v/>
      </c>
      <c r="D556" s="122" t="str">
        <f aca="false">IF(B556="","",IFERROR(B556/INDEX($B$2:$B$800,MATCH(DATE(YEAR(A556)-1,12,1),$A$2:$A$800,0))-1,""))</f>
        <v/>
      </c>
      <c r="E556" s="122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4"/>
      <c r="B557" s="125"/>
      <c r="C557" s="122" t="str">
        <f aca="false">IF(OR(B557="",B556=""),"",B557/B556-1)</f>
        <v/>
      </c>
      <c r="D557" s="122" t="str">
        <f aca="false">IF(B557="","",IFERROR(B557/INDEX($B$2:$B$800,MATCH(DATE(YEAR(A557)-1,12,1),$A$2:$A$800,0))-1,""))</f>
        <v/>
      </c>
      <c r="E557" s="122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4"/>
      <c r="B558" s="125"/>
      <c r="C558" s="122" t="str">
        <f aca="false">IF(OR(B558="",B557=""),"",B558/B557-1)</f>
        <v/>
      </c>
      <c r="D558" s="122" t="str">
        <f aca="false">IF(B558="","",IFERROR(B558/INDEX($B$2:$B$800,MATCH(DATE(YEAR(A558)-1,12,1),$A$2:$A$800,0))-1,""))</f>
        <v/>
      </c>
      <c r="E558" s="122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4"/>
      <c r="B559" s="125"/>
      <c r="C559" s="122" t="str">
        <f aca="false">IF(OR(B559="",B558=""),"",B559/B558-1)</f>
        <v/>
      </c>
      <c r="D559" s="122" t="str">
        <f aca="false">IF(B559="","",IFERROR(B559/INDEX($B$2:$B$800,MATCH(DATE(YEAR(A559)-1,12,1),$A$2:$A$800,0))-1,""))</f>
        <v/>
      </c>
      <c r="E559" s="122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4"/>
      <c r="B560" s="125"/>
      <c r="C560" s="122" t="str">
        <f aca="false">IF(OR(B560="",B559=""),"",B560/B559-1)</f>
        <v/>
      </c>
      <c r="D560" s="122" t="str">
        <f aca="false">IF(B560="","",IFERROR(B560/INDEX($B$2:$B$800,MATCH(DATE(YEAR(A560)-1,12,1),$A$2:$A$800,0))-1,""))</f>
        <v/>
      </c>
      <c r="E560" s="122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4"/>
      <c r="B561" s="125"/>
      <c r="C561" s="122" t="str">
        <f aca="false">IF(OR(B561="",B560=""),"",B561/B560-1)</f>
        <v/>
      </c>
      <c r="D561" s="122" t="str">
        <f aca="false">IF(B561="","",IFERROR(B561/INDEX($B$2:$B$800,MATCH(DATE(YEAR(A561)-1,12,1),$A$2:$A$800,0))-1,""))</f>
        <v/>
      </c>
      <c r="E561" s="122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4"/>
      <c r="B562" s="125"/>
      <c r="C562" s="122" t="str">
        <f aca="false">IF(OR(B562="",B561=""),"",B562/B561-1)</f>
        <v/>
      </c>
      <c r="D562" s="122" t="str">
        <f aca="false">IF(B562="","",IFERROR(B562/INDEX($B$2:$B$800,MATCH(DATE(YEAR(A562)-1,12,1),$A$2:$A$800,0))-1,""))</f>
        <v/>
      </c>
      <c r="E562" s="122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4"/>
      <c r="B563" s="125"/>
      <c r="C563" s="122" t="str">
        <f aca="false">IF(OR(B563="",B562=""),"",B563/B562-1)</f>
        <v/>
      </c>
      <c r="D563" s="122" t="str">
        <f aca="false">IF(B563="","",IFERROR(B563/INDEX($B$2:$B$800,MATCH(DATE(YEAR(A563)-1,12,1),$A$2:$A$800,0))-1,""))</f>
        <v/>
      </c>
      <c r="E563" s="122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4"/>
      <c r="B564" s="125"/>
      <c r="C564" s="122" t="str">
        <f aca="false">IF(OR(B564="",B563=""),"",B564/B563-1)</f>
        <v/>
      </c>
      <c r="D564" s="122" t="str">
        <f aca="false">IF(B564="","",IFERROR(B564/INDEX($B$2:$B$800,MATCH(DATE(YEAR(A564)-1,12,1),$A$2:$A$800,0))-1,""))</f>
        <v/>
      </c>
      <c r="E564" s="122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4"/>
      <c r="B565" s="125"/>
      <c r="C565" s="122" t="str">
        <f aca="false">IF(OR(B565="",B564=""),"",B565/B564-1)</f>
        <v/>
      </c>
      <c r="D565" s="122" t="str">
        <f aca="false">IF(B565="","",IFERROR(B565/INDEX($B$2:$B$800,MATCH(DATE(YEAR(A565)-1,12,1),$A$2:$A$800,0))-1,""))</f>
        <v/>
      </c>
      <c r="E565" s="122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4"/>
      <c r="B566" s="125"/>
      <c r="C566" s="122" t="str">
        <f aca="false">IF(OR(B566="",B565=""),"",B566/B565-1)</f>
        <v/>
      </c>
      <c r="D566" s="122" t="str">
        <f aca="false">IF(B566="","",IFERROR(B566/INDEX($B$2:$B$800,MATCH(DATE(YEAR(A566)-1,12,1),$A$2:$A$800,0))-1,""))</f>
        <v/>
      </c>
      <c r="E566" s="122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4"/>
      <c r="B567" s="125"/>
      <c r="C567" s="122" t="str">
        <f aca="false">IF(OR(B567="",B566=""),"",B567/B566-1)</f>
        <v/>
      </c>
      <c r="D567" s="122" t="str">
        <f aca="false">IF(B567="","",IFERROR(B567/INDEX($B$2:$B$800,MATCH(DATE(YEAR(A567)-1,12,1),$A$2:$A$800,0))-1,""))</f>
        <v/>
      </c>
      <c r="E567" s="122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4"/>
      <c r="B568" s="125"/>
      <c r="C568" s="122" t="str">
        <f aca="false">IF(OR(B568="",B567=""),"",B568/B567-1)</f>
        <v/>
      </c>
      <c r="D568" s="122" t="str">
        <f aca="false">IF(B568="","",IFERROR(B568/INDEX($B$2:$B$800,MATCH(DATE(YEAR(A568)-1,12,1),$A$2:$A$800,0))-1,""))</f>
        <v/>
      </c>
      <c r="E568" s="122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4"/>
      <c r="B569" s="125"/>
      <c r="C569" s="122" t="str">
        <f aca="false">IF(OR(B569="",B568=""),"",B569/B568-1)</f>
        <v/>
      </c>
      <c r="D569" s="122" t="str">
        <f aca="false">IF(B569="","",IFERROR(B569/INDEX($B$2:$B$800,MATCH(DATE(YEAR(A569)-1,12,1),$A$2:$A$800,0))-1,""))</f>
        <v/>
      </c>
      <c r="E569" s="122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4"/>
      <c r="B570" s="125"/>
      <c r="C570" s="122" t="str">
        <f aca="false">IF(OR(B570="",B569=""),"",B570/B569-1)</f>
        <v/>
      </c>
      <c r="D570" s="122" t="str">
        <f aca="false">IF(B570="","",IFERROR(B570/INDEX($B$2:$B$800,MATCH(DATE(YEAR(A570)-1,12,1),$A$2:$A$800,0))-1,""))</f>
        <v/>
      </c>
      <c r="E570" s="122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4"/>
      <c r="B571" s="125"/>
      <c r="C571" s="122" t="str">
        <f aca="false">IF(OR(B571="",B570=""),"",B571/B570-1)</f>
        <v/>
      </c>
      <c r="D571" s="122" t="str">
        <f aca="false">IF(B571="","",IFERROR(B571/INDEX($B$2:$B$800,MATCH(DATE(YEAR(A571)-1,12,1),$A$2:$A$800,0))-1,""))</f>
        <v/>
      </c>
      <c r="E571" s="122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4"/>
      <c r="B572" s="125"/>
      <c r="C572" s="122" t="str">
        <f aca="false">IF(OR(B572="",B571=""),"",B572/B571-1)</f>
        <v/>
      </c>
      <c r="D572" s="122" t="str">
        <f aca="false">IF(B572="","",IFERROR(B572/INDEX($B$2:$B$800,MATCH(DATE(YEAR(A572)-1,12,1),$A$2:$A$800,0))-1,""))</f>
        <v/>
      </c>
      <c r="E572" s="122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4"/>
      <c r="B573" s="125"/>
      <c r="C573" s="122" t="str">
        <f aca="false">IF(OR(B573="",B572=""),"",B573/B572-1)</f>
        <v/>
      </c>
      <c r="D573" s="122" t="str">
        <f aca="false">IF(B573="","",IFERROR(B573/INDEX($B$2:$B$800,MATCH(DATE(YEAR(A573)-1,12,1),$A$2:$A$800,0))-1,""))</f>
        <v/>
      </c>
      <c r="E573" s="122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4"/>
      <c r="B574" s="125"/>
      <c r="C574" s="122" t="str">
        <f aca="false">IF(OR(B574="",B573=""),"",B574/B573-1)</f>
        <v/>
      </c>
      <c r="D574" s="122" t="str">
        <f aca="false">IF(B574="","",IFERROR(B574/INDEX($B$2:$B$800,MATCH(DATE(YEAR(A574)-1,12,1),$A$2:$A$800,0))-1,""))</f>
        <v/>
      </c>
      <c r="E574" s="122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4"/>
      <c r="B575" s="125"/>
      <c r="C575" s="122" t="str">
        <f aca="false">IF(OR(B575="",B574=""),"",B575/B574-1)</f>
        <v/>
      </c>
      <c r="D575" s="122" t="str">
        <f aca="false">IF(B575="","",IFERROR(B575/INDEX($B$2:$B$800,MATCH(DATE(YEAR(A575)-1,12,1),$A$2:$A$800,0))-1,""))</f>
        <v/>
      </c>
      <c r="E575" s="122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4"/>
      <c r="B576" s="125"/>
      <c r="C576" s="122" t="str">
        <f aca="false">IF(OR(B576="",B575=""),"",B576/B575-1)</f>
        <v/>
      </c>
      <c r="D576" s="122" t="str">
        <f aca="false">IF(B576="","",IFERROR(B576/INDEX($B$2:$B$800,MATCH(DATE(YEAR(A576)-1,12,1),$A$2:$A$800,0))-1,""))</f>
        <v/>
      </c>
      <c r="E576" s="122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4"/>
      <c r="B577" s="125"/>
      <c r="C577" s="122" t="str">
        <f aca="false">IF(OR(B577="",B576=""),"",B577/B576-1)</f>
        <v/>
      </c>
      <c r="D577" s="122" t="str">
        <f aca="false">IF(B577="","",IFERROR(B577/INDEX($B$2:$B$800,MATCH(DATE(YEAR(A577)-1,12,1),$A$2:$A$800,0))-1,""))</f>
        <v/>
      </c>
      <c r="E577" s="122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4"/>
      <c r="B578" s="125"/>
      <c r="C578" s="122" t="str">
        <f aca="false">IF(OR(B578="",B577=""),"",B578/B577-1)</f>
        <v/>
      </c>
      <c r="D578" s="122" t="str">
        <f aca="false">IF(B578="","",IFERROR(B578/INDEX($B$2:$B$800,MATCH(DATE(YEAR(A578)-1,12,1),$A$2:$A$800,0))-1,""))</f>
        <v/>
      </c>
      <c r="E578" s="122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4"/>
      <c r="B579" s="125"/>
      <c r="C579" s="122" t="str">
        <f aca="false">IF(OR(B579="",B578=""),"",B579/B578-1)</f>
        <v/>
      </c>
      <c r="D579" s="122" t="str">
        <f aca="false">IF(B579="","",IFERROR(B579/INDEX($B$2:$B$800,MATCH(DATE(YEAR(A579)-1,12,1),$A$2:$A$800,0))-1,""))</f>
        <v/>
      </c>
      <c r="E579" s="122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4"/>
      <c r="B580" s="125"/>
      <c r="C580" s="122" t="str">
        <f aca="false">IF(OR(B580="",B579=""),"",B580/B579-1)</f>
        <v/>
      </c>
      <c r="D580" s="122" t="str">
        <f aca="false">IF(B580="","",IFERROR(B580/INDEX($B$2:$B$800,MATCH(DATE(YEAR(A580)-1,12,1),$A$2:$A$800,0))-1,""))</f>
        <v/>
      </c>
      <c r="E580" s="122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4"/>
      <c r="B581" s="125"/>
      <c r="C581" s="122" t="str">
        <f aca="false">IF(OR(B581="",B580=""),"",B581/B580-1)</f>
        <v/>
      </c>
      <c r="D581" s="122" t="str">
        <f aca="false">IF(B581="","",IFERROR(B581/INDEX($B$2:$B$800,MATCH(DATE(YEAR(A581)-1,12,1),$A$2:$A$800,0))-1,""))</f>
        <v/>
      </c>
      <c r="E581" s="122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4"/>
      <c r="B582" s="125"/>
      <c r="C582" s="122" t="str">
        <f aca="false">IF(OR(B582="",B581=""),"",B582/B581-1)</f>
        <v/>
      </c>
      <c r="D582" s="122" t="str">
        <f aca="false">IF(B582="","",IFERROR(B582/INDEX($B$2:$B$800,MATCH(DATE(YEAR(A582)-1,12,1),$A$2:$A$800,0))-1,""))</f>
        <v/>
      </c>
      <c r="E582" s="122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4"/>
      <c r="B583" s="125"/>
      <c r="C583" s="122" t="str">
        <f aca="false">IF(OR(B583="",B582=""),"",B583/B582-1)</f>
        <v/>
      </c>
      <c r="D583" s="122" t="str">
        <f aca="false">IF(B583="","",IFERROR(B583/INDEX($B$2:$B$800,MATCH(DATE(YEAR(A583)-1,12,1),$A$2:$A$800,0))-1,""))</f>
        <v/>
      </c>
      <c r="E583" s="122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4"/>
      <c r="B584" s="125"/>
      <c r="C584" s="122" t="str">
        <f aca="false">IF(OR(B584="",B583=""),"",B584/B583-1)</f>
        <v/>
      </c>
      <c r="D584" s="122" t="str">
        <f aca="false">IF(B584="","",IFERROR(B584/INDEX($B$2:$B$800,MATCH(DATE(YEAR(A584)-1,12,1),$A$2:$A$800,0))-1,""))</f>
        <v/>
      </c>
      <c r="E584" s="122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4"/>
      <c r="B585" s="125"/>
      <c r="C585" s="122" t="str">
        <f aca="false">IF(OR(B585="",B584=""),"",B585/B584-1)</f>
        <v/>
      </c>
      <c r="D585" s="122" t="str">
        <f aca="false">IF(B585="","",IFERROR(B585/INDEX($B$2:$B$800,MATCH(DATE(YEAR(A585)-1,12,1),$A$2:$A$800,0))-1,""))</f>
        <v/>
      </c>
      <c r="E585" s="122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4"/>
      <c r="B586" s="125"/>
      <c r="C586" s="122" t="str">
        <f aca="false">IF(OR(B586="",B585=""),"",B586/B585-1)</f>
        <v/>
      </c>
      <c r="D586" s="122" t="str">
        <f aca="false">IF(B586="","",IFERROR(B586/INDEX($B$2:$B$800,MATCH(DATE(YEAR(A586)-1,12,1),$A$2:$A$800,0))-1,""))</f>
        <v/>
      </c>
      <c r="E586" s="122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4"/>
      <c r="B587" s="125"/>
      <c r="C587" s="122" t="str">
        <f aca="false">IF(OR(B587="",B586=""),"",B587/B586-1)</f>
        <v/>
      </c>
      <c r="D587" s="122" t="str">
        <f aca="false">IF(B587="","",IFERROR(B587/INDEX($B$2:$B$800,MATCH(DATE(YEAR(A587)-1,12,1),$A$2:$A$800,0))-1,""))</f>
        <v/>
      </c>
      <c r="E587" s="122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4"/>
      <c r="B588" s="125"/>
      <c r="C588" s="122" t="str">
        <f aca="false">IF(OR(B588="",B587=""),"",B588/B587-1)</f>
        <v/>
      </c>
      <c r="D588" s="122" t="str">
        <f aca="false">IF(B588="","",IFERROR(B588/INDEX($B$2:$B$800,MATCH(DATE(YEAR(A588)-1,12,1),$A$2:$A$800,0))-1,""))</f>
        <v/>
      </c>
      <c r="E588" s="122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4"/>
      <c r="B589" s="125"/>
      <c r="C589" s="122" t="str">
        <f aca="false">IF(OR(B589="",B588=""),"",B589/B588-1)</f>
        <v/>
      </c>
      <c r="D589" s="122" t="str">
        <f aca="false">IF(B589="","",IFERROR(B589/INDEX($B$2:$B$800,MATCH(DATE(YEAR(A589)-1,12,1),$A$2:$A$800,0))-1,""))</f>
        <v/>
      </c>
      <c r="E589" s="122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4"/>
      <c r="B590" s="125"/>
      <c r="C590" s="122" t="str">
        <f aca="false">IF(OR(B590="",B589=""),"",B590/B589-1)</f>
        <v/>
      </c>
      <c r="D590" s="122" t="str">
        <f aca="false">IF(B590="","",IFERROR(B590/INDEX($B$2:$B$800,MATCH(DATE(YEAR(A590)-1,12,1),$A$2:$A$800,0))-1,""))</f>
        <v/>
      </c>
      <c r="E590" s="122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4"/>
      <c r="B591" s="125"/>
      <c r="C591" s="122" t="str">
        <f aca="false">IF(OR(B591="",B590=""),"",B591/B590-1)</f>
        <v/>
      </c>
      <c r="D591" s="122" t="str">
        <f aca="false">IF(B591="","",IFERROR(B591/INDEX($B$2:$B$800,MATCH(DATE(YEAR(A591)-1,12,1),$A$2:$A$800,0))-1,""))</f>
        <v/>
      </c>
      <c r="E591" s="122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4"/>
      <c r="B592" s="125"/>
      <c r="C592" s="122" t="str">
        <f aca="false">IF(OR(B592="",B591=""),"",B592/B591-1)</f>
        <v/>
      </c>
      <c r="D592" s="122" t="str">
        <f aca="false">IF(B592="","",IFERROR(B592/INDEX($B$2:$B$800,MATCH(DATE(YEAR(A592)-1,12,1),$A$2:$A$800,0))-1,""))</f>
        <v/>
      </c>
      <c r="E592" s="122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4"/>
      <c r="B593" s="125"/>
      <c r="C593" s="122" t="str">
        <f aca="false">IF(OR(B593="",B592=""),"",B593/B592-1)</f>
        <v/>
      </c>
      <c r="D593" s="122" t="str">
        <f aca="false">IF(B593="","",IFERROR(B593/INDEX($B$2:$B$800,MATCH(DATE(YEAR(A593)-1,12,1),$A$2:$A$800,0))-1,""))</f>
        <v/>
      </c>
      <c r="E593" s="122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4"/>
      <c r="B594" s="125"/>
      <c r="C594" s="122" t="str">
        <f aca="false">IF(OR(B594="",B593=""),"",B594/B593-1)</f>
        <v/>
      </c>
      <c r="D594" s="122" t="str">
        <f aca="false">IF(B594="","",IFERROR(B594/INDEX($B$2:$B$800,MATCH(DATE(YEAR(A594)-1,12,1),$A$2:$A$800,0))-1,""))</f>
        <v/>
      </c>
      <c r="E594" s="122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4"/>
      <c r="B595" s="125"/>
      <c r="C595" s="122" t="str">
        <f aca="false">IF(OR(B595="",B594=""),"",B595/B594-1)</f>
        <v/>
      </c>
      <c r="D595" s="122" t="str">
        <f aca="false">IF(B595="","",IFERROR(B595/INDEX($B$2:$B$800,MATCH(DATE(YEAR(A595)-1,12,1),$A$2:$A$800,0))-1,""))</f>
        <v/>
      </c>
      <c r="E595" s="122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4"/>
      <c r="B596" s="125"/>
      <c r="C596" s="122" t="str">
        <f aca="false">IF(OR(B596="",B595=""),"",B596/B595-1)</f>
        <v/>
      </c>
      <c r="D596" s="122" t="str">
        <f aca="false">IF(B596="","",IFERROR(B596/INDEX($B$2:$B$800,MATCH(DATE(YEAR(A596)-1,12,1),$A$2:$A$800,0))-1,""))</f>
        <v/>
      </c>
      <c r="E596" s="122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4"/>
      <c r="B597" s="125"/>
      <c r="C597" s="122" t="str">
        <f aca="false">IF(OR(B597="",B596=""),"",B597/B596-1)</f>
        <v/>
      </c>
      <c r="D597" s="122" t="str">
        <f aca="false">IF(B597="","",IFERROR(B597/INDEX($B$2:$B$800,MATCH(DATE(YEAR(A597)-1,12,1),$A$2:$A$800,0))-1,""))</f>
        <v/>
      </c>
      <c r="E597" s="122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4"/>
      <c r="B598" s="125"/>
      <c r="C598" s="122" t="str">
        <f aca="false">IF(OR(B598="",B597=""),"",B598/B597-1)</f>
        <v/>
      </c>
      <c r="D598" s="122" t="str">
        <f aca="false">IF(B598="","",IFERROR(B598/INDEX($B$2:$B$800,MATCH(DATE(YEAR(A598)-1,12,1),$A$2:$A$800,0))-1,""))</f>
        <v/>
      </c>
      <c r="E598" s="122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4"/>
      <c r="B599" s="125"/>
      <c r="C599" s="122" t="str">
        <f aca="false">IF(OR(B599="",B598=""),"",B599/B598-1)</f>
        <v/>
      </c>
      <c r="D599" s="122" t="str">
        <f aca="false">IF(B599="","",IFERROR(B599/INDEX($B$2:$B$800,MATCH(DATE(YEAR(A599)-1,12,1),$A$2:$A$800,0))-1,""))</f>
        <v/>
      </c>
      <c r="E599" s="122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4"/>
      <c r="B600" s="125"/>
      <c r="C600" s="122" t="str">
        <f aca="false">IF(OR(B600="",B599=""),"",B600/B599-1)</f>
        <v/>
      </c>
      <c r="D600" s="122" t="str">
        <f aca="false">IF(B600="","",IFERROR(B600/INDEX($B$2:$B$800,MATCH(DATE(YEAR(A600)-1,12,1),$A$2:$A$800,0))-1,""))</f>
        <v/>
      </c>
      <c r="E600" s="122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4"/>
      <c r="B601" s="125"/>
      <c r="C601" s="122" t="str">
        <f aca="false">IF(OR(B601="",B600=""),"",B601/B600-1)</f>
        <v/>
      </c>
      <c r="D601" s="122" t="str">
        <f aca="false">IF(B601="","",IFERROR(B601/INDEX($B$2:$B$800,MATCH(DATE(YEAR(A601)-1,12,1),$A$2:$A$800,0))-1,""))</f>
        <v/>
      </c>
      <c r="E601" s="122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4"/>
      <c r="B602" s="125"/>
      <c r="C602" s="122" t="str">
        <f aca="false">IF(OR(B602="",B601=""),"",B602/B601-1)</f>
        <v/>
      </c>
      <c r="D602" s="122" t="str">
        <f aca="false">IF(B602="","",IFERROR(B602/INDEX($B$2:$B$800,MATCH(DATE(YEAR(A602)-1,12,1),$A$2:$A$800,0))-1,""))</f>
        <v/>
      </c>
      <c r="E602" s="122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4"/>
      <c r="B603" s="125"/>
      <c r="C603" s="122" t="str">
        <f aca="false">IF(OR(B603="",B602=""),"",B603/B602-1)</f>
        <v/>
      </c>
      <c r="D603" s="122" t="str">
        <f aca="false">IF(B603="","",IFERROR(B603/INDEX($B$2:$B$800,MATCH(DATE(YEAR(A603)-1,12,1),$A$2:$A$800,0))-1,""))</f>
        <v/>
      </c>
      <c r="E603" s="122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4"/>
      <c r="B604" s="125"/>
      <c r="C604" s="122" t="str">
        <f aca="false">IF(OR(B604="",B603=""),"",B604/B603-1)</f>
        <v/>
      </c>
      <c r="D604" s="122" t="str">
        <f aca="false">IF(B604="","",IFERROR(B604/INDEX($B$2:$B$800,MATCH(DATE(YEAR(A604)-1,12,1),$A$2:$A$800,0))-1,""))</f>
        <v/>
      </c>
      <c r="E604" s="122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4"/>
      <c r="B605" s="125"/>
      <c r="C605" s="122" t="str">
        <f aca="false">IF(OR(B605="",B604=""),"",B605/B604-1)</f>
        <v/>
      </c>
      <c r="D605" s="122" t="str">
        <f aca="false">IF(B605="","",IFERROR(B605/INDEX($B$2:$B$800,MATCH(DATE(YEAR(A605)-1,12,1),$A$2:$A$800,0))-1,""))</f>
        <v/>
      </c>
      <c r="E605" s="122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4"/>
      <c r="B606" s="125"/>
      <c r="C606" s="122" t="str">
        <f aca="false">IF(OR(B606="",B605=""),"",B606/B605-1)</f>
        <v/>
      </c>
      <c r="D606" s="122" t="str">
        <f aca="false">IF(B606="","",IFERROR(B606/INDEX($B$2:$B$800,MATCH(DATE(YEAR(A606)-1,12,1),$A$2:$A$800,0))-1,""))</f>
        <v/>
      </c>
      <c r="E606" s="122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4"/>
      <c r="B607" s="125"/>
      <c r="C607" s="122" t="str">
        <f aca="false">IF(OR(B607="",B606=""),"",B607/B606-1)</f>
        <v/>
      </c>
      <c r="D607" s="122" t="str">
        <f aca="false">IF(B607="","",IFERROR(B607/INDEX($B$2:$B$800,MATCH(DATE(YEAR(A607)-1,12,1),$A$2:$A$800,0))-1,""))</f>
        <v/>
      </c>
      <c r="E607" s="122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4"/>
      <c r="B608" s="125"/>
      <c r="C608" s="122" t="str">
        <f aca="false">IF(OR(B608="",B607=""),"",B608/B607-1)</f>
        <v/>
      </c>
      <c r="D608" s="122" t="str">
        <f aca="false">IF(B608="","",IFERROR(B608/INDEX($B$2:$B$800,MATCH(DATE(YEAR(A608)-1,12,1),$A$2:$A$800,0))-1,""))</f>
        <v/>
      </c>
      <c r="E608" s="122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4"/>
      <c r="B609" s="125"/>
      <c r="C609" s="122" t="str">
        <f aca="false">IF(OR(B609="",B608=""),"",B609/B608-1)</f>
        <v/>
      </c>
      <c r="D609" s="122" t="str">
        <f aca="false">IF(B609="","",IFERROR(B609/INDEX($B$2:$B$800,MATCH(DATE(YEAR(A609)-1,12,1),$A$2:$A$800,0))-1,""))</f>
        <v/>
      </c>
      <c r="E609" s="122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4"/>
      <c r="B610" s="125"/>
      <c r="C610" s="122" t="str">
        <f aca="false">IF(OR(B610="",B609=""),"",B610/B609-1)</f>
        <v/>
      </c>
      <c r="D610" s="122" t="str">
        <f aca="false">IF(B610="","",IFERROR(B610/INDEX($B$2:$B$800,MATCH(DATE(YEAR(A610)-1,12,1),$A$2:$A$800,0))-1,""))</f>
        <v/>
      </c>
      <c r="E610" s="122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4"/>
      <c r="B611" s="125"/>
      <c r="C611" s="122" t="str">
        <f aca="false">IF(OR(B611="",B610=""),"",B611/B610-1)</f>
        <v/>
      </c>
      <c r="D611" s="122" t="str">
        <f aca="false">IF(B611="","",IFERROR(B611/INDEX($B$2:$B$800,MATCH(DATE(YEAR(A611)-1,12,1),$A$2:$A$800,0))-1,""))</f>
        <v/>
      </c>
      <c r="E611" s="122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4"/>
      <c r="B612" s="125"/>
      <c r="C612" s="122" t="str">
        <f aca="false">IF(OR(B612="",B611=""),"",B612/B611-1)</f>
        <v/>
      </c>
      <c r="D612" s="122" t="str">
        <f aca="false">IF(B612="","",IFERROR(B612/INDEX($B$2:$B$800,MATCH(DATE(YEAR(A612)-1,12,1),$A$2:$A$800,0))-1,""))</f>
        <v/>
      </c>
      <c r="E612" s="122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4"/>
      <c r="B613" s="125"/>
      <c r="C613" s="122" t="str">
        <f aca="false">IF(OR(B613="",B612=""),"",B613/B612-1)</f>
        <v/>
      </c>
      <c r="D613" s="122" t="str">
        <f aca="false">IF(B613="","",IFERROR(B613/INDEX($B$2:$B$800,MATCH(DATE(YEAR(A613)-1,12,1),$A$2:$A$800,0))-1,""))</f>
        <v/>
      </c>
      <c r="E613" s="122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4"/>
      <c r="B614" s="125"/>
      <c r="C614" s="122" t="str">
        <f aca="false">IF(OR(B614="",B613=""),"",B614/B613-1)</f>
        <v/>
      </c>
      <c r="D614" s="122" t="str">
        <f aca="false">IF(B614="","",IFERROR(B614/INDEX($B$2:$B$800,MATCH(DATE(YEAR(A614)-1,12,1),$A$2:$A$800,0))-1,""))</f>
        <v/>
      </c>
      <c r="E614" s="122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4"/>
      <c r="B615" s="125"/>
      <c r="C615" s="122" t="str">
        <f aca="false">IF(OR(B615="",B614=""),"",B615/B614-1)</f>
        <v/>
      </c>
      <c r="D615" s="122" t="str">
        <f aca="false">IF(B615="","",IFERROR(B615/INDEX($B$2:$B$800,MATCH(DATE(YEAR(A615)-1,12,1),$A$2:$A$800,0))-1,""))</f>
        <v/>
      </c>
      <c r="E615" s="122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4"/>
      <c r="B616" s="125"/>
      <c r="C616" s="122" t="str">
        <f aca="false">IF(OR(B616="",B615=""),"",B616/B615-1)</f>
        <v/>
      </c>
      <c r="D616" s="122" t="str">
        <f aca="false">IF(B616="","",IFERROR(B616/INDEX($B$2:$B$800,MATCH(DATE(YEAR(A616)-1,12,1),$A$2:$A$800,0))-1,""))</f>
        <v/>
      </c>
      <c r="E616" s="122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4"/>
      <c r="B617" s="125"/>
      <c r="C617" s="122" t="str">
        <f aca="false">IF(OR(B617="",B616=""),"",B617/B616-1)</f>
        <v/>
      </c>
      <c r="D617" s="122" t="str">
        <f aca="false">IF(B617="","",IFERROR(B617/INDEX($B$2:$B$800,MATCH(DATE(YEAR(A617)-1,12,1),$A$2:$A$800,0))-1,""))</f>
        <v/>
      </c>
      <c r="E617" s="122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4"/>
      <c r="B618" s="125"/>
      <c r="C618" s="122" t="str">
        <f aca="false">IF(OR(B618="",B617=""),"",B618/B617-1)</f>
        <v/>
      </c>
      <c r="D618" s="122" t="str">
        <f aca="false">IF(B618="","",IFERROR(B618/INDEX($B$2:$B$800,MATCH(DATE(YEAR(A618)-1,12,1),$A$2:$A$800,0))-1,""))</f>
        <v/>
      </c>
      <c r="E618" s="122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4"/>
      <c r="B619" s="125"/>
      <c r="C619" s="122" t="str">
        <f aca="false">IF(OR(B619="",B618=""),"",B619/B618-1)</f>
        <v/>
      </c>
      <c r="D619" s="122" t="str">
        <f aca="false">IF(B619="","",IFERROR(B619/INDEX($B$2:$B$800,MATCH(DATE(YEAR(A619)-1,12,1),$A$2:$A$800,0))-1,""))</f>
        <v/>
      </c>
      <c r="E619" s="122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4"/>
      <c r="B620" s="125"/>
      <c r="C620" s="122" t="str">
        <f aca="false">IF(OR(B620="",B619=""),"",B620/B619-1)</f>
        <v/>
      </c>
      <c r="D620" s="122" t="str">
        <f aca="false">IF(B620="","",IFERROR(B620/INDEX($B$2:$B$800,MATCH(DATE(YEAR(A620)-1,12,1),$A$2:$A$800,0))-1,""))</f>
        <v/>
      </c>
      <c r="E620" s="122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4"/>
      <c r="B621" s="125"/>
      <c r="C621" s="122" t="str">
        <f aca="false">IF(OR(B621="",B620=""),"",B621/B620-1)</f>
        <v/>
      </c>
      <c r="D621" s="122" t="str">
        <f aca="false">IF(B621="","",IFERROR(B621/INDEX($B$2:$B$800,MATCH(DATE(YEAR(A621)-1,12,1),$A$2:$A$800,0))-1,""))</f>
        <v/>
      </c>
      <c r="E621" s="122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4"/>
      <c r="B622" s="125"/>
      <c r="C622" s="122" t="str">
        <f aca="false">IF(OR(B622="",B621=""),"",B622/B621-1)</f>
        <v/>
      </c>
      <c r="D622" s="122" t="str">
        <f aca="false">IF(B622="","",IFERROR(B622/INDEX($B$2:$B$800,MATCH(DATE(YEAR(A622)-1,12,1),$A$2:$A$800,0))-1,""))</f>
        <v/>
      </c>
      <c r="E622" s="122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4"/>
      <c r="B623" s="125"/>
      <c r="C623" s="122" t="str">
        <f aca="false">IF(OR(B623="",B622=""),"",B623/B622-1)</f>
        <v/>
      </c>
      <c r="D623" s="122" t="str">
        <f aca="false">IF(B623="","",IFERROR(B623/INDEX($B$2:$B$800,MATCH(DATE(YEAR(A623)-1,12,1),$A$2:$A$800,0))-1,""))</f>
        <v/>
      </c>
      <c r="E623" s="122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4"/>
      <c r="B624" s="125"/>
      <c r="C624" s="122" t="str">
        <f aca="false">IF(OR(B624="",B623=""),"",B624/B623-1)</f>
        <v/>
      </c>
      <c r="D624" s="122" t="str">
        <f aca="false">IF(B624="","",IFERROR(B624/INDEX($B$2:$B$800,MATCH(DATE(YEAR(A624)-1,12,1),$A$2:$A$800,0))-1,""))</f>
        <v/>
      </c>
      <c r="E624" s="122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4"/>
      <c r="B625" s="125"/>
      <c r="C625" s="122" t="str">
        <f aca="false">IF(OR(B625="",B624=""),"",B625/B624-1)</f>
        <v/>
      </c>
      <c r="D625" s="122" t="str">
        <f aca="false">IF(B625="","",IFERROR(B625/INDEX($B$2:$B$800,MATCH(DATE(YEAR(A625)-1,12,1),$A$2:$A$800,0))-1,""))</f>
        <v/>
      </c>
      <c r="E625" s="122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4"/>
      <c r="B626" s="125"/>
      <c r="C626" s="122" t="str">
        <f aca="false">IF(OR(B626="",B625=""),"",B626/B625-1)</f>
        <v/>
      </c>
      <c r="D626" s="122" t="str">
        <f aca="false">IF(B626="","",IFERROR(B626/INDEX($B$2:$B$800,MATCH(DATE(YEAR(A626)-1,12,1),$A$2:$A$800,0))-1,""))</f>
        <v/>
      </c>
      <c r="E626" s="122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4"/>
      <c r="B627" s="125"/>
      <c r="C627" s="122" t="str">
        <f aca="false">IF(OR(B627="",B626=""),"",B627/B626-1)</f>
        <v/>
      </c>
      <c r="D627" s="122" t="str">
        <f aca="false">IF(B627="","",IFERROR(B627/INDEX($B$2:$B$800,MATCH(DATE(YEAR(A627)-1,12,1),$A$2:$A$800,0))-1,""))</f>
        <v/>
      </c>
      <c r="E627" s="122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4"/>
      <c r="B628" s="125"/>
      <c r="C628" s="122" t="str">
        <f aca="false">IF(OR(B628="",B627=""),"",B628/B627-1)</f>
        <v/>
      </c>
      <c r="D628" s="122" t="str">
        <f aca="false">IF(B628="","",IFERROR(B628/INDEX($B$2:$B$800,MATCH(DATE(YEAR(A628)-1,12,1),$A$2:$A$800,0))-1,""))</f>
        <v/>
      </c>
      <c r="E628" s="122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4"/>
      <c r="B629" s="125"/>
      <c r="C629" s="122" t="str">
        <f aca="false">IF(OR(B629="",B628=""),"",B629/B628-1)</f>
        <v/>
      </c>
      <c r="D629" s="122" t="str">
        <f aca="false">IF(B629="","",IFERROR(B629/INDEX($B$2:$B$800,MATCH(DATE(YEAR(A629)-1,12,1),$A$2:$A$800,0))-1,""))</f>
        <v/>
      </c>
      <c r="E629" s="122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4"/>
      <c r="B630" s="125"/>
      <c r="C630" s="122" t="str">
        <f aca="false">IF(OR(B630="",B629=""),"",B630/B629-1)</f>
        <v/>
      </c>
      <c r="D630" s="122" t="str">
        <f aca="false">IF(B630="","",IFERROR(B630/INDEX($B$2:$B$800,MATCH(DATE(YEAR(A630)-1,12,1),$A$2:$A$800,0))-1,""))</f>
        <v/>
      </c>
      <c r="E630" s="122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4"/>
      <c r="B631" s="125"/>
      <c r="C631" s="122" t="str">
        <f aca="false">IF(OR(B631="",B630=""),"",B631/B630-1)</f>
        <v/>
      </c>
      <c r="D631" s="122" t="str">
        <f aca="false">IF(B631="","",IFERROR(B631/INDEX($B$2:$B$800,MATCH(DATE(YEAR(A631)-1,12,1),$A$2:$A$800,0))-1,""))</f>
        <v/>
      </c>
      <c r="E631" s="122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4"/>
      <c r="B632" s="125"/>
      <c r="C632" s="122" t="str">
        <f aca="false">IF(OR(B632="",B631=""),"",B632/B631-1)</f>
        <v/>
      </c>
      <c r="D632" s="122" t="str">
        <f aca="false">IF(B632="","",IFERROR(B632/INDEX($B$2:$B$800,MATCH(DATE(YEAR(A632)-1,12,1),$A$2:$A$800,0))-1,""))</f>
        <v/>
      </c>
      <c r="E632" s="122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4"/>
      <c r="B633" s="125"/>
      <c r="C633" s="122" t="str">
        <f aca="false">IF(OR(B633="",B632=""),"",B633/B632-1)</f>
        <v/>
      </c>
      <c r="D633" s="122" t="str">
        <f aca="false">IF(B633="","",IFERROR(B633/INDEX($B$2:$B$800,MATCH(DATE(YEAR(A633)-1,12,1),$A$2:$A$800,0))-1,""))</f>
        <v/>
      </c>
      <c r="E633" s="122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4"/>
      <c r="B634" s="125"/>
      <c r="C634" s="122" t="str">
        <f aca="false">IF(OR(B634="",B633=""),"",B634/B633-1)</f>
        <v/>
      </c>
      <c r="D634" s="122" t="str">
        <f aca="false">IF(B634="","",IFERROR(B634/INDEX($B$2:$B$800,MATCH(DATE(YEAR(A634)-1,12,1),$A$2:$A$800,0))-1,""))</f>
        <v/>
      </c>
      <c r="E634" s="122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4"/>
      <c r="B635" s="125"/>
      <c r="C635" s="122" t="str">
        <f aca="false">IF(OR(B635="",B634=""),"",B635/B634-1)</f>
        <v/>
      </c>
      <c r="D635" s="122" t="str">
        <f aca="false">IF(B635="","",IFERROR(B635/INDEX($B$2:$B$800,MATCH(DATE(YEAR(A635)-1,12,1),$A$2:$A$800,0))-1,""))</f>
        <v/>
      </c>
      <c r="E635" s="122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4"/>
      <c r="B636" s="125"/>
      <c r="C636" s="122" t="str">
        <f aca="false">IF(OR(B636="",B635=""),"",B636/B635-1)</f>
        <v/>
      </c>
      <c r="D636" s="122" t="str">
        <f aca="false">IF(B636="","",IFERROR(B636/INDEX($B$2:$B$800,MATCH(DATE(YEAR(A636)-1,12,1),$A$2:$A$800,0))-1,""))</f>
        <v/>
      </c>
      <c r="E636" s="122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4"/>
      <c r="B637" s="125"/>
      <c r="C637" s="122" t="str">
        <f aca="false">IF(OR(B637="",B636=""),"",B637/B636-1)</f>
        <v/>
      </c>
      <c r="D637" s="122" t="str">
        <f aca="false">IF(B637="","",IFERROR(B637/INDEX($B$2:$B$800,MATCH(DATE(YEAR(A637)-1,12,1),$A$2:$A$800,0))-1,""))</f>
        <v/>
      </c>
      <c r="E637" s="122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4"/>
      <c r="B638" s="125"/>
      <c r="C638" s="122" t="str">
        <f aca="false">IF(OR(B638="",B637=""),"",B638/B637-1)</f>
        <v/>
      </c>
      <c r="D638" s="122" t="str">
        <f aca="false">IF(B638="","",IFERROR(B638/INDEX($B$2:$B$800,MATCH(DATE(YEAR(A638)-1,12,1),$A$2:$A$800,0))-1,""))</f>
        <v/>
      </c>
      <c r="E638" s="122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4"/>
      <c r="B639" s="125"/>
      <c r="C639" s="122" t="str">
        <f aca="false">IF(OR(B639="",B638=""),"",B639/B638-1)</f>
        <v/>
      </c>
      <c r="D639" s="122" t="str">
        <f aca="false">IF(B639="","",IFERROR(B639/INDEX($B$2:$B$800,MATCH(DATE(YEAR(A639)-1,12,1),$A$2:$A$800,0))-1,""))</f>
        <v/>
      </c>
      <c r="E639" s="122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4"/>
      <c r="B640" s="125"/>
      <c r="C640" s="122" t="str">
        <f aca="false">IF(OR(B640="",B639=""),"",B640/B639-1)</f>
        <v/>
      </c>
      <c r="D640" s="122" t="str">
        <f aca="false">IF(B640="","",IFERROR(B640/INDEX($B$2:$B$800,MATCH(DATE(YEAR(A640)-1,12,1),$A$2:$A$800,0))-1,""))</f>
        <v/>
      </c>
      <c r="E640" s="122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4"/>
      <c r="B641" s="125"/>
      <c r="C641" s="122" t="str">
        <f aca="false">IF(OR(B641="",B640=""),"",B641/B640-1)</f>
        <v/>
      </c>
      <c r="D641" s="122" t="str">
        <f aca="false">IF(B641="","",IFERROR(B641/INDEX($B$2:$B$800,MATCH(DATE(YEAR(A641)-1,12,1),$A$2:$A$800,0))-1,""))</f>
        <v/>
      </c>
      <c r="E641" s="122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4"/>
      <c r="B642" s="125"/>
      <c r="C642" s="122" t="str">
        <f aca="false">IF(OR(B642="",B641=""),"",B642/B641-1)</f>
        <v/>
      </c>
      <c r="D642" s="122" t="str">
        <f aca="false">IF(B642="","",IFERROR(B642/INDEX($B$2:$B$800,MATCH(DATE(YEAR(A642)-1,12,1),$A$2:$A$800,0))-1,""))</f>
        <v/>
      </c>
      <c r="E642" s="122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4"/>
      <c r="B643" s="125"/>
      <c r="C643" s="122" t="str">
        <f aca="false">IF(OR(B643="",B642=""),"",B643/B642-1)</f>
        <v/>
      </c>
      <c r="D643" s="122" t="str">
        <f aca="false">IF(B643="","",IFERROR(B643/INDEX($B$2:$B$800,MATCH(DATE(YEAR(A643)-1,12,1),$A$2:$A$800,0))-1,""))</f>
        <v/>
      </c>
      <c r="E643" s="122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4"/>
      <c r="B644" s="125"/>
      <c r="C644" s="122" t="str">
        <f aca="false">IF(OR(B644="",B643=""),"",B644/B643-1)</f>
        <v/>
      </c>
      <c r="D644" s="122" t="str">
        <f aca="false">IF(B644="","",IFERROR(B644/INDEX($B$2:$B$800,MATCH(DATE(YEAR(A644)-1,12,1),$A$2:$A$800,0))-1,""))</f>
        <v/>
      </c>
      <c r="E644" s="122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4"/>
      <c r="B645" s="125"/>
      <c r="C645" s="122" t="str">
        <f aca="false">IF(OR(B645="",B644=""),"",B645/B644-1)</f>
        <v/>
      </c>
      <c r="D645" s="122" t="str">
        <f aca="false">IF(B645="","",IFERROR(B645/INDEX($B$2:$B$800,MATCH(DATE(YEAR(A645)-1,12,1),$A$2:$A$800,0))-1,""))</f>
        <v/>
      </c>
      <c r="E645" s="122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4"/>
      <c r="B646" s="125"/>
      <c r="C646" s="122" t="str">
        <f aca="false">IF(OR(B646="",B645=""),"",B646/B645-1)</f>
        <v/>
      </c>
      <c r="D646" s="122" t="str">
        <f aca="false">IF(B646="","",IFERROR(B646/INDEX($B$2:$B$800,MATCH(DATE(YEAR(A646)-1,12,1),$A$2:$A$800,0))-1,""))</f>
        <v/>
      </c>
      <c r="E646" s="122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4"/>
      <c r="B647" s="125"/>
      <c r="C647" s="122" t="str">
        <f aca="false">IF(OR(B647="",B646=""),"",B647/B646-1)</f>
        <v/>
      </c>
      <c r="D647" s="122" t="str">
        <f aca="false">IF(B647="","",IFERROR(B647/INDEX($B$2:$B$800,MATCH(DATE(YEAR(A647)-1,12,1),$A$2:$A$800,0))-1,""))</f>
        <v/>
      </c>
      <c r="E647" s="122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4"/>
      <c r="B648" s="125"/>
      <c r="C648" s="122" t="str">
        <f aca="false">IF(OR(B648="",B647=""),"",B648/B647-1)</f>
        <v/>
      </c>
      <c r="D648" s="122" t="str">
        <f aca="false">IF(B648="","",IFERROR(B648/INDEX($B$2:$B$800,MATCH(DATE(YEAR(A648)-1,12,1),$A$2:$A$800,0))-1,""))</f>
        <v/>
      </c>
      <c r="E648" s="122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4"/>
      <c r="B649" s="125"/>
      <c r="C649" s="122" t="str">
        <f aca="false">IF(OR(B649="",B648=""),"",B649/B648-1)</f>
        <v/>
      </c>
      <c r="D649" s="122" t="str">
        <f aca="false">IF(B649="","",IFERROR(B649/INDEX($B$2:$B$800,MATCH(DATE(YEAR(A649)-1,12,1),$A$2:$A$800,0))-1,""))</f>
        <v/>
      </c>
      <c r="E649" s="122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4"/>
      <c r="B650" s="125"/>
      <c r="C650" s="122" t="str">
        <f aca="false">IF(OR(B650="",B649=""),"",B650/B649-1)</f>
        <v/>
      </c>
      <c r="D650" s="122" t="str">
        <f aca="false">IF(B650="","",IFERROR(B650/INDEX($B$2:$B$800,MATCH(DATE(YEAR(A650)-1,12,1),$A$2:$A$800,0))-1,""))</f>
        <v/>
      </c>
      <c r="E650" s="122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4"/>
      <c r="B651" s="125"/>
      <c r="C651" s="122" t="str">
        <f aca="false">IF(OR(B651="",B650=""),"",B651/B650-1)</f>
        <v/>
      </c>
      <c r="D651" s="122" t="str">
        <f aca="false">IF(B651="","",IFERROR(B651/INDEX($B$2:$B$800,MATCH(DATE(YEAR(A651)-1,12,1),$A$2:$A$800,0))-1,""))</f>
        <v/>
      </c>
      <c r="E651" s="122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4"/>
      <c r="B652" s="125"/>
      <c r="C652" s="122" t="str">
        <f aca="false">IF(OR(B652="",B651=""),"",B652/B651-1)</f>
        <v/>
      </c>
      <c r="D652" s="122" t="str">
        <f aca="false">IF(B652="","",IFERROR(B652/INDEX($B$2:$B$800,MATCH(DATE(YEAR(A652)-1,12,1),$A$2:$A$800,0))-1,""))</f>
        <v/>
      </c>
      <c r="E652" s="122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4"/>
      <c r="B653" s="125"/>
      <c r="C653" s="122" t="str">
        <f aca="false">IF(OR(B653="",B652=""),"",B653/B652-1)</f>
        <v/>
      </c>
      <c r="D653" s="122" t="str">
        <f aca="false">IF(B653="","",IFERROR(B653/INDEX($B$2:$B$800,MATCH(DATE(YEAR(A653)-1,12,1),$A$2:$A$800,0))-1,""))</f>
        <v/>
      </c>
      <c r="E653" s="122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4"/>
      <c r="B654" s="125"/>
      <c r="C654" s="122" t="str">
        <f aca="false">IF(OR(B654="",B653=""),"",B654/B653-1)</f>
        <v/>
      </c>
      <c r="D654" s="122" t="str">
        <f aca="false">IF(B654="","",IFERROR(B654/INDEX($B$2:$B$800,MATCH(DATE(YEAR(A654)-1,12,1),$A$2:$A$800,0))-1,""))</f>
        <v/>
      </c>
      <c r="E654" s="122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4"/>
      <c r="B655" s="125"/>
      <c r="C655" s="122" t="str">
        <f aca="false">IF(OR(B655="",B654=""),"",B655/B654-1)</f>
        <v/>
      </c>
      <c r="D655" s="122" t="str">
        <f aca="false">IF(B655="","",IFERROR(B655/INDEX($B$2:$B$800,MATCH(DATE(YEAR(A655)-1,12,1),$A$2:$A$800,0))-1,""))</f>
        <v/>
      </c>
      <c r="E655" s="122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4"/>
      <c r="B656" s="125"/>
      <c r="C656" s="122" t="str">
        <f aca="false">IF(OR(B656="",B655=""),"",B656/B655-1)</f>
        <v/>
      </c>
      <c r="D656" s="122" t="str">
        <f aca="false">IF(B656="","",IFERROR(B656/INDEX($B$2:$B$800,MATCH(DATE(YEAR(A656)-1,12,1),$A$2:$A$800,0))-1,""))</f>
        <v/>
      </c>
      <c r="E656" s="122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4"/>
      <c r="B657" s="125"/>
      <c r="C657" s="122" t="str">
        <f aca="false">IF(OR(B657="",B656=""),"",B657/B656-1)</f>
        <v/>
      </c>
      <c r="D657" s="122" t="str">
        <f aca="false">IF(B657="","",IFERROR(B657/INDEX($B$2:$B$800,MATCH(DATE(YEAR(A657)-1,12,1),$A$2:$A$800,0))-1,""))</f>
        <v/>
      </c>
      <c r="E657" s="122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4"/>
      <c r="B658" s="125"/>
      <c r="C658" s="122" t="str">
        <f aca="false">IF(OR(B658="",B657=""),"",B658/B657-1)</f>
        <v/>
      </c>
      <c r="D658" s="122" t="str">
        <f aca="false">IF(B658="","",IFERROR(B658/INDEX($B$2:$B$800,MATCH(DATE(YEAR(A658)-1,12,1),$A$2:$A$800,0))-1,""))</f>
        <v/>
      </c>
      <c r="E658" s="122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4"/>
      <c r="B659" s="125"/>
      <c r="C659" s="122" t="str">
        <f aca="false">IF(OR(B659="",B658=""),"",B659/B658-1)</f>
        <v/>
      </c>
      <c r="D659" s="122" t="str">
        <f aca="false">IF(B659="","",IFERROR(B659/INDEX($B$2:$B$800,MATCH(DATE(YEAR(A659)-1,12,1),$A$2:$A$800,0))-1,""))</f>
        <v/>
      </c>
      <c r="E659" s="122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4"/>
      <c r="B660" s="125"/>
      <c r="C660" s="122" t="str">
        <f aca="false">IF(OR(B660="",B659=""),"",B660/B659-1)</f>
        <v/>
      </c>
      <c r="D660" s="122" t="str">
        <f aca="false">IF(B660="","",IFERROR(B660/INDEX($B$2:$B$800,MATCH(DATE(YEAR(A660)-1,12,1),$A$2:$A$800,0))-1,""))</f>
        <v/>
      </c>
      <c r="E660" s="122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4"/>
      <c r="B661" s="125"/>
      <c r="C661" s="122" t="str">
        <f aca="false">IF(OR(B661="",B660=""),"",B661/B660-1)</f>
        <v/>
      </c>
      <c r="D661" s="122" t="str">
        <f aca="false">IF(B661="","",IFERROR(B661/INDEX($B$2:$B$800,MATCH(DATE(YEAR(A661)-1,12,1),$A$2:$A$800,0))-1,""))</f>
        <v/>
      </c>
      <c r="E661" s="122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4"/>
      <c r="B662" s="125"/>
      <c r="C662" s="122" t="str">
        <f aca="false">IF(OR(B662="",B661=""),"",B662/B661-1)</f>
        <v/>
      </c>
      <c r="D662" s="122" t="str">
        <f aca="false">IF(B662="","",IFERROR(B662/INDEX($B$2:$B$800,MATCH(DATE(YEAR(A662)-1,12,1),$A$2:$A$800,0))-1,""))</f>
        <v/>
      </c>
      <c r="E662" s="122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4"/>
      <c r="B663" s="125"/>
      <c r="C663" s="122" t="str">
        <f aca="false">IF(OR(B663="",B662=""),"",B663/B662-1)</f>
        <v/>
      </c>
      <c r="D663" s="122" t="str">
        <f aca="false">IF(B663="","",IFERROR(B663/INDEX($B$2:$B$800,MATCH(DATE(YEAR(A663)-1,12,1),$A$2:$A$800,0))-1,""))</f>
        <v/>
      </c>
      <c r="E663" s="122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4"/>
      <c r="B664" s="125"/>
      <c r="C664" s="122" t="str">
        <f aca="false">IF(OR(B664="",B663=""),"",B664/B663-1)</f>
        <v/>
      </c>
      <c r="D664" s="122" t="str">
        <f aca="false">IF(B664="","",IFERROR(B664/INDEX($B$2:$B$800,MATCH(DATE(YEAR(A664)-1,12,1),$A$2:$A$800,0))-1,""))</f>
        <v/>
      </c>
      <c r="E664" s="122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4"/>
      <c r="B665" s="125"/>
      <c r="C665" s="122" t="str">
        <f aca="false">IF(OR(B665="",B664=""),"",B665/B664-1)</f>
        <v/>
      </c>
      <c r="D665" s="122" t="str">
        <f aca="false">IF(B665="","",IFERROR(B665/INDEX($B$2:$B$800,MATCH(DATE(YEAR(A665)-1,12,1),$A$2:$A$800,0))-1,""))</f>
        <v/>
      </c>
      <c r="E665" s="122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4"/>
      <c r="B666" s="125"/>
      <c r="C666" s="122" t="str">
        <f aca="false">IF(OR(B666="",B665=""),"",B666/B665-1)</f>
        <v/>
      </c>
      <c r="D666" s="122" t="str">
        <f aca="false">IF(B666="","",IFERROR(B666/INDEX($B$2:$B$800,MATCH(DATE(YEAR(A666)-1,12,1),$A$2:$A$800,0))-1,""))</f>
        <v/>
      </c>
      <c r="E666" s="122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4"/>
      <c r="B667" s="125"/>
      <c r="C667" s="122" t="str">
        <f aca="false">IF(OR(B667="",B666=""),"",B667/B666-1)</f>
        <v/>
      </c>
      <c r="D667" s="122" t="str">
        <f aca="false">IF(B667="","",IFERROR(B667/INDEX($B$2:$B$800,MATCH(DATE(YEAR(A667)-1,12,1),$A$2:$A$800,0))-1,""))</f>
        <v/>
      </c>
      <c r="E667" s="122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4"/>
      <c r="B668" s="125"/>
      <c r="C668" s="122" t="str">
        <f aca="false">IF(OR(B668="",B667=""),"",B668/B667-1)</f>
        <v/>
      </c>
      <c r="D668" s="122" t="str">
        <f aca="false">IF(B668="","",IFERROR(B668/INDEX($B$2:$B$800,MATCH(DATE(YEAR(A668)-1,12,1),$A$2:$A$800,0))-1,""))</f>
        <v/>
      </c>
      <c r="E668" s="122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4"/>
      <c r="B669" s="125"/>
      <c r="C669" s="122" t="str">
        <f aca="false">IF(OR(B669="",B668=""),"",B669/B668-1)</f>
        <v/>
      </c>
      <c r="D669" s="122" t="str">
        <f aca="false">IF(B669="","",IFERROR(B669/INDEX($B$2:$B$800,MATCH(DATE(YEAR(A669)-1,12,1),$A$2:$A$800,0))-1,""))</f>
        <v/>
      </c>
      <c r="E669" s="122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4"/>
      <c r="B670" s="125"/>
      <c r="C670" s="122" t="str">
        <f aca="false">IF(OR(B670="",B669=""),"",B670/B669-1)</f>
        <v/>
      </c>
      <c r="D670" s="122" t="str">
        <f aca="false">IF(B670="","",IFERROR(B670/INDEX($B$2:$B$800,MATCH(DATE(YEAR(A670)-1,12,1),$A$2:$A$800,0))-1,""))</f>
        <v/>
      </c>
      <c r="E670" s="122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4"/>
      <c r="B671" s="125"/>
      <c r="C671" s="122" t="str">
        <f aca="false">IF(OR(B671="",B670=""),"",B671/B670-1)</f>
        <v/>
      </c>
      <c r="D671" s="122" t="str">
        <f aca="false">IF(B671="","",IFERROR(B671/INDEX($B$2:$B$800,MATCH(DATE(YEAR(A671)-1,12,1),$A$2:$A$800,0))-1,""))</f>
        <v/>
      </c>
      <c r="E671" s="122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4"/>
      <c r="B672" s="125"/>
      <c r="C672" s="122" t="str">
        <f aca="false">IF(OR(B672="",B671=""),"",B672/B671-1)</f>
        <v/>
      </c>
      <c r="D672" s="122" t="str">
        <f aca="false">IF(B672="","",IFERROR(B672/INDEX($B$2:$B$800,MATCH(DATE(YEAR(A672)-1,12,1),$A$2:$A$800,0))-1,""))</f>
        <v/>
      </c>
      <c r="E672" s="122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4"/>
      <c r="B673" s="125"/>
      <c r="C673" s="122" t="str">
        <f aca="false">IF(OR(B673="",B672=""),"",B673/B672-1)</f>
        <v/>
      </c>
      <c r="D673" s="122" t="str">
        <f aca="false">IF(B673="","",IFERROR(B673/INDEX($B$2:$B$800,MATCH(DATE(YEAR(A673)-1,12,1),$A$2:$A$800,0))-1,""))</f>
        <v/>
      </c>
      <c r="E673" s="122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4"/>
      <c r="B674" s="125"/>
      <c r="C674" s="122" t="str">
        <f aca="false">IF(OR(B674="",B673=""),"",B674/B673-1)</f>
        <v/>
      </c>
      <c r="D674" s="122" t="str">
        <f aca="false">IF(B674="","",IFERROR(B674/INDEX($B$2:$B$800,MATCH(DATE(YEAR(A674)-1,12,1),$A$2:$A$800,0))-1,""))</f>
        <v/>
      </c>
      <c r="E674" s="122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4"/>
      <c r="B675" s="125"/>
      <c r="C675" s="122" t="str">
        <f aca="false">IF(OR(B675="",B674=""),"",B675/B674-1)</f>
        <v/>
      </c>
      <c r="D675" s="122" t="str">
        <f aca="false">IF(B675="","",IFERROR(B675/INDEX($B$2:$B$800,MATCH(DATE(YEAR(A675)-1,12,1),$A$2:$A$800,0))-1,""))</f>
        <v/>
      </c>
      <c r="E675" s="122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4"/>
      <c r="B676" s="125"/>
      <c r="C676" s="122" t="str">
        <f aca="false">IF(OR(B676="",B675=""),"",B676/B675-1)</f>
        <v/>
      </c>
      <c r="D676" s="122" t="str">
        <f aca="false">IF(B676="","",IFERROR(B676/INDEX($B$2:$B$800,MATCH(DATE(YEAR(A676)-1,12,1),$A$2:$A$800,0))-1,""))</f>
        <v/>
      </c>
      <c r="E676" s="122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4"/>
      <c r="B677" s="125"/>
      <c r="C677" s="122" t="str">
        <f aca="false">IF(OR(B677="",B676=""),"",B677/B676-1)</f>
        <v/>
      </c>
      <c r="D677" s="122" t="str">
        <f aca="false">IF(B677="","",IFERROR(B677/INDEX($B$2:$B$800,MATCH(DATE(YEAR(A677)-1,12,1),$A$2:$A$800,0))-1,""))</f>
        <v/>
      </c>
      <c r="E677" s="122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4"/>
      <c r="B678" s="125"/>
      <c r="C678" s="122" t="str">
        <f aca="false">IF(OR(B678="",B677=""),"",B678/B677-1)</f>
        <v/>
      </c>
      <c r="D678" s="122" t="str">
        <f aca="false">IF(B678="","",IFERROR(B678/INDEX($B$2:$B$800,MATCH(DATE(YEAR(A678)-1,12,1),$A$2:$A$800,0))-1,""))</f>
        <v/>
      </c>
      <c r="E678" s="122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4"/>
      <c r="B679" s="125"/>
      <c r="C679" s="122" t="str">
        <f aca="false">IF(OR(B679="",B678=""),"",B679/B678-1)</f>
        <v/>
      </c>
      <c r="D679" s="122" t="str">
        <f aca="false">IF(B679="","",IFERROR(B679/INDEX($B$2:$B$800,MATCH(DATE(YEAR(A679)-1,12,1),$A$2:$A$800,0))-1,""))</f>
        <v/>
      </c>
      <c r="E679" s="122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4"/>
      <c r="B680" s="125"/>
      <c r="C680" s="122" t="str">
        <f aca="false">IF(OR(B680="",B679=""),"",B680/B679-1)</f>
        <v/>
      </c>
      <c r="D680" s="122" t="str">
        <f aca="false">IF(B680="","",IFERROR(B680/INDEX($B$2:$B$800,MATCH(DATE(YEAR(A680)-1,12,1),$A$2:$A$800,0))-1,""))</f>
        <v/>
      </c>
      <c r="E680" s="122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4"/>
      <c r="B681" s="125"/>
      <c r="C681" s="122" t="str">
        <f aca="false">IF(OR(B681="",B680=""),"",B681/B680-1)</f>
        <v/>
      </c>
      <c r="D681" s="122" t="str">
        <f aca="false">IF(B681="","",IFERROR(B681/INDEX($B$2:$B$800,MATCH(DATE(YEAR(A681)-1,12,1),$A$2:$A$800,0))-1,""))</f>
        <v/>
      </c>
      <c r="E681" s="122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4"/>
      <c r="B682" s="125"/>
      <c r="C682" s="122" t="str">
        <f aca="false">IF(OR(B682="",B681=""),"",B682/B681-1)</f>
        <v/>
      </c>
      <c r="D682" s="122" t="str">
        <f aca="false">IF(B682="","",IFERROR(B682/INDEX($B$2:$B$800,MATCH(DATE(YEAR(A682)-1,12,1),$A$2:$A$800,0))-1,""))</f>
        <v/>
      </c>
      <c r="E682" s="122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4"/>
      <c r="B683" s="125"/>
      <c r="C683" s="122" t="str">
        <f aca="false">IF(OR(B683="",B682=""),"",B683/B682-1)</f>
        <v/>
      </c>
      <c r="D683" s="122" t="str">
        <f aca="false">IF(B683="","",IFERROR(B683/INDEX($B$2:$B$800,MATCH(DATE(YEAR(A683)-1,12,1),$A$2:$A$800,0))-1,""))</f>
        <v/>
      </c>
      <c r="E683" s="122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4"/>
      <c r="B684" s="125"/>
      <c r="C684" s="122" t="str">
        <f aca="false">IF(OR(B684="",B683=""),"",B684/B683-1)</f>
        <v/>
      </c>
      <c r="D684" s="122" t="str">
        <f aca="false">IF(B684="","",IFERROR(B684/INDEX($B$2:$B$800,MATCH(DATE(YEAR(A684)-1,12,1),$A$2:$A$800,0))-1,""))</f>
        <v/>
      </c>
      <c r="E684" s="122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4"/>
      <c r="B685" s="125"/>
      <c r="C685" s="122" t="str">
        <f aca="false">IF(OR(B685="",B684=""),"",B685/B684-1)</f>
        <v/>
      </c>
      <c r="D685" s="122" t="str">
        <f aca="false">IF(B685="","",IFERROR(B685/INDEX($B$2:$B$800,MATCH(DATE(YEAR(A685)-1,12,1),$A$2:$A$800,0))-1,""))</f>
        <v/>
      </c>
      <c r="E685" s="122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4"/>
      <c r="B686" s="125"/>
      <c r="C686" s="122" t="str">
        <f aca="false">IF(OR(B686="",B685=""),"",B686/B685-1)</f>
        <v/>
      </c>
      <c r="D686" s="122" t="str">
        <f aca="false">IF(B686="","",IFERROR(B686/INDEX($B$2:$B$800,MATCH(DATE(YEAR(A686)-1,12,1),$A$2:$A$800,0))-1,""))</f>
        <v/>
      </c>
      <c r="E686" s="122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4"/>
      <c r="B687" s="125"/>
      <c r="C687" s="122" t="str">
        <f aca="false">IF(OR(B687="",B686=""),"",B687/B686-1)</f>
        <v/>
      </c>
      <c r="D687" s="122" t="str">
        <f aca="false">IF(B687="","",IFERROR(B687/INDEX($B$2:$B$800,MATCH(DATE(YEAR(A687)-1,12,1),$A$2:$A$800,0))-1,""))</f>
        <v/>
      </c>
      <c r="E687" s="122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4"/>
      <c r="B688" s="125"/>
      <c r="C688" s="122" t="str">
        <f aca="false">IF(OR(B688="",B687=""),"",B688/B687-1)</f>
        <v/>
      </c>
      <c r="D688" s="122" t="str">
        <f aca="false">IF(B688="","",IFERROR(B688/INDEX($B$2:$B$800,MATCH(DATE(YEAR(A688)-1,12,1),$A$2:$A$800,0))-1,""))</f>
        <v/>
      </c>
      <c r="E688" s="122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4"/>
      <c r="B689" s="125"/>
      <c r="C689" s="122" t="str">
        <f aca="false">IF(OR(B689="",B688=""),"",B689/B688-1)</f>
        <v/>
      </c>
      <c r="D689" s="122" t="str">
        <f aca="false">IF(B689="","",IFERROR(B689/INDEX($B$2:$B$800,MATCH(DATE(YEAR(A689)-1,12,1),$A$2:$A$800,0))-1,""))</f>
        <v/>
      </c>
      <c r="E689" s="122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4"/>
      <c r="B690" s="125"/>
      <c r="C690" s="122" t="str">
        <f aca="false">IF(OR(B690="",B689=""),"",B690/B689-1)</f>
        <v/>
      </c>
      <c r="D690" s="122" t="str">
        <f aca="false">IF(B690="","",IFERROR(B690/INDEX($B$2:$B$800,MATCH(DATE(YEAR(A690)-1,12,1),$A$2:$A$800,0))-1,""))</f>
        <v/>
      </c>
      <c r="E690" s="122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4"/>
      <c r="B691" s="125"/>
      <c r="C691" s="122" t="str">
        <f aca="false">IF(OR(B691="",B690=""),"",B691/B690-1)</f>
        <v/>
      </c>
      <c r="D691" s="122" t="str">
        <f aca="false">IF(B691="","",IFERROR(B691/INDEX($B$2:$B$800,MATCH(DATE(YEAR(A691)-1,12,1),$A$2:$A$800,0))-1,""))</f>
        <v/>
      </c>
      <c r="E691" s="122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4"/>
      <c r="B692" s="125"/>
      <c r="C692" s="122" t="str">
        <f aca="false">IF(OR(B692="",B691=""),"",B692/B691-1)</f>
        <v/>
      </c>
      <c r="D692" s="122" t="str">
        <f aca="false">IF(B692="","",IFERROR(B692/INDEX($B$2:$B$800,MATCH(DATE(YEAR(A692)-1,12,1),$A$2:$A$800,0))-1,""))</f>
        <v/>
      </c>
      <c r="E692" s="122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4"/>
      <c r="B693" s="125"/>
      <c r="C693" s="122" t="str">
        <f aca="false">IF(OR(B693="",B692=""),"",B693/B692-1)</f>
        <v/>
      </c>
      <c r="D693" s="122" t="str">
        <f aca="false">IF(B693="","",IFERROR(B693/INDEX($B$2:$B$800,MATCH(DATE(YEAR(A693)-1,12,1),$A$2:$A$800,0))-1,""))</f>
        <v/>
      </c>
      <c r="E693" s="122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4"/>
      <c r="B694" s="125"/>
      <c r="C694" s="122" t="str">
        <f aca="false">IF(OR(B694="",B693=""),"",B694/B693-1)</f>
        <v/>
      </c>
      <c r="D694" s="122" t="str">
        <f aca="false">IF(B694="","",IFERROR(B694/INDEX($B$2:$B$800,MATCH(DATE(YEAR(A694)-1,12,1),$A$2:$A$800,0))-1,""))</f>
        <v/>
      </c>
      <c r="E694" s="122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4"/>
      <c r="B695" s="125"/>
      <c r="C695" s="122" t="str">
        <f aca="false">IF(OR(B695="",B694=""),"",B695/B694-1)</f>
        <v/>
      </c>
      <c r="D695" s="122" t="str">
        <f aca="false">IF(B695="","",IFERROR(B695/INDEX($B$2:$B$800,MATCH(DATE(YEAR(A695)-1,12,1),$A$2:$A$800,0))-1,""))</f>
        <v/>
      </c>
      <c r="E695" s="122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4"/>
      <c r="B696" s="125"/>
      <c r="C696" s="122" t="str">
        <f aca="false">IF(OR(B696="",B695=""),"",B696/B695-1)</f>
        <v/>
      </c>
      <c r="D696" s="122" t="str">
        <f aca="false">IF(B696="","",IFERROR(B696/INDEX($B$2:$B$800,MATCH(DATE(YEAR(A696)-1,12,1),$A$2:$A$800,0))-1,""))</f>
        <v/>
      </c>
      <c r="E696" s="122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4"/>
      <c r="B697" s="125"/>
      <c r="C697" s="122" t="str">
        <f aca="false">IF(OR(B697="",B696=""),"",B697/B696-1)</f>
        <v/>
      </c>
      <c r="D697" s="122" t="str">
        <f aca="false">IF(B697="","",IFERROR(B697/INDEX($B$2:$B$800,MATCH(DATE(YEAR(A697)-1,12,1),$A$2:$A$800,0))-1,""))</f>
        <v/>
      </c>
      <c r="E697" s="122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4"/>
      <c r="B698" s="125"/>
      <c r="C698" s="122" t="str">
        <f aca="false">IF(OR(B698="",B697=""),"",B698/B697-1)</f>
        <v/>
      </c>
      <c r="D698" s="122" t="str">
        <f aca="false">IF(B698="","",IFERROR(B698/INDEX($B$2:$B$800,MATCH(DATE(YEAR(A698)-1,12,1),$A$2:$A$800,0))-1,""))</f>
        <v/>
      </c>
      <c r="E698" s="122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4"/>
      <c r="B699" s="125"/>
      <c r="C699" s="122" t="str">
        <f aca="false">IF(OR(B699="",B698=""),"",B699/B698-1)</f>
        <v/>
      </c>
      <c r="D699" s="122" t="str">
        <f aca="false">IF(B699="","",IFERROR(B699/INDEX($B$2:$B$800,MATCH(DATE(YEAR(A699)-1,12,1),$A$2:$A$800,0))-1,""))</f>
        <v/>
      </c>
      <c r="E699" s="122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4"/>
      <c r="B700" s="125"/>
      <c r="C700" s="122" t="str">
        <f aca="false">IF(OR(B700="",B699=""),"",B700/B699-1)</f>
        <v/>
      </c>
      <c r="D700" s="122" t="str">
        <f aca="false">IF(B700="","",IFERROR(B700/INDEX($B$2:$B$800,MATCH(DATE(YEAR(A700)-1,12,1),$A$2:$A$800,0))-1,""))</f>
        <v/>
      </c>
      <c r="E700" s="122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4"/>
      <c r="B701" s="125"/>
      <c r="C701" s="122" t="str">
        <f aca="false">IF(OR(B701="",B700=""),"",B701/B700-1)</f>
        <v/>
      </c>
      <c r="D701" s="122" t="str">
        <f aca="false">IF(B701="","",IFERROR(B701/INDEX($B$2:$B$800,MATCH(DATE(YEAR(A701)-1,12,1),$A$2:$A$800,0))-1,""))</f>
        <v/>
      </c>
      <c r="E701" s="122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4"/>
      <c r="B702" s="125"/>
      <c r="C702" s="122" t="str">
        <f aca="false">IF(OR(B702="",B701=""),"",B702/B701-1)</f>
        <v/>
      </c>
      <c r="D702" s="122" t="str">
        <f aca="false">IF(B702="","",IFERROR(B702/INDEX($B$2:$B$800,MATCH(DATE(YEAR(A702)-1,12,1),$A$2:$A$800,0))-1,""))</f>
        <v/>
      </c>
      <c r="E702" s="122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4"/>
      <c r="B703" s="125"/>
      <c r="C703" s="122" t="str">
        <f aca="false">IF(OR(B703="",B702=""),"",B703/B702-1)</f>
        <v/>
      </c>
      <c r="D703" s="122" t="str">
        <f aca="false">IF(B703="","",IFERROR(B703/INDEX($B$2:$B$800,MATCH(DATE(YEAR(A703)-1,12,1),$A$2:$A$800,0))-1,""))</f>
        <v/>
      </c>
      <c r="E703" s="122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4"/>
      <c r="B704" s="125"/>
      <c r="C704" s="122" t="str">
        <f aca="false">IF(OR(B704="",B703=""),"",B704/B703-1)</f>
        <v/>
      </c>
      <c r="D704" s="122" t="str">
        <f aca="false">IF(B704="","",IFERROR(B704/INDEX($B$2:$B$800,MATCH(DATE(YEAR(A704)-1,12,1),$A$2:$A$800,0))-1,""))</f>
        <v/>
      </c>
      <c r="E704" s="122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4"/>
      <c r="B705" s="125"/>
      <c r="C705" s="122" t="str">
        <f aca="false">IF(OR(B705="",B704=""),"",B705/B704-1)</f>
        <v/>
      </c>
      <c r="D705" s="122" t="str">
        <f aca="false">IF(B705="","",IFERROR(B705/INDEX($B$2:$B$800,MATCH(DATE(YEAR(A705)-1,12,1),$A$2:$A$800,0))-1,""))</f>
        <v/>
      </c>
      <c r="E705" s="122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4"/>
      <c r="B706" s="125"/>
      <c r="C706" s="122" t="str">
        <f aca="false">IF(OR(B706="",B705=""),"",B706/B705-1)</f>
        <v/>
      </c>
      <c r="D706" s="122" t="str">
        <f aca="false">IF(B706="","",IFERROR(B706/INDEX($B$2:$B$800,MATCH(DATE(YEAR(A706)-1,12,1),$A$2:$A$800,0))-1,""))</f>
        <v/>
      </c>
      <c r="E706" s="122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4"/>
      <c r="B707" s="125"/>
      <c r="C707" s="122" t="str">
        <f aca="false">IF(OR(B707="",B706=""),"",B707/B706-1)</f>
        <v/>
      </c>
      <c r="D707" s="122" t="str">
        <f aca="false">IF(B707="","",IFERROR(B707/INDEX($B$2:$B$800,MATCH(DATE(YEAR(A707)-1,12,1),$A$2:$A$800,0))-1,""))</f>
        <v/>
      </c>
      <c r="E707" s="122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4"/>
      <c r="B708" s="125"/>
      <c r="C708" s="122" t="str">
        <f aca="false">IF(OR(B708="",B707=""),"",B708/B707-1)</f>
        <v/>
      </c>
      <c r="D708" s="122" t="str">
        <f aca="false">IF(B708="","",IFERROR(B708/INDEX($B$2:$B$800,MATCH(DATE(YEAR(A708)-1,12,1),$A$2:$A$800,0))-1,""))</f>
        <v/>
      </c>
      <c r="E708" s="122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4"/>
      <c r="B709" s="125"/>
      <c r="C709" s="122" t="str">
        <f aca="false">IF(OR(B709="",B708=""),"",B709/B708-1)</f>
        <v/>
      </c>
      <c r="D709" s="122" t="str">
        <f aca="false">IF(B709="","",IFERROR(B709/INDEX($B$2:$B$800,MATCH(DATE(YEAR(A709)-1,12,1),$A$2:$A$800,0))-1,""))</f>
        <v/>
      </c>
      <c r="E709" s="122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4"/>
      <c r="B710" s="125"/>
      <c r="C710" s="122" t="str">
        <f aca="false">IF(OR(B710="",B709=""),"",B710/B709-1)</f>
        <v/>
      </c>
      <c r="D710" s="122" t="str">
        <f aca="false">IF(B710="","",IFERROR(B710/INDEX($B$2:$B$800,MATCH(DATE(YEAR(A710)-1,12,1),$A$2:$A$800,0))-1,""))</f>
        <v/>
      </c>
      <c r="E710" s="122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4"/>
      <c r="B711" s="125"/>
      <c r="C711" s="122" t="str">
        <f aca="false">IF(OR(B711="",B710=""),"",B711/B710-1)</f>
        <v/>
      </c>
      <c r="D711" s="122" t="str">
        <f aca="false">IF(B711="","",IFERROR(B711/INDEX($B$2:$B$800,MATCH(DATE(YEAR(A711)-1,12,1),$A$2:$A$800,0))-1,""))</f>
        <v/>
      </c>
      <c r="E711" s="122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4"/>
      <c r="B712" s="125"/>
      <c r="C712" s="122" t="str">
        <f aca="false">IF(OR(B712="",B711=""),"",B712/B711-1)</f>
        <v/>
      </c>
      <c r="D712" s="122" t="str">
        <f aca="false">IF(B712="","",IFERROR(B712/INDEX($B$2:$B$800,MATCH(DATE(YEAR(A712)-1,12,1),$A$2:$A$800,0))-1,""))</f>
        <v/>
      </c>
      <c r="E712" s="122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4"/>
      <c r="B713" s="125"/>
      <c r="C713" s="122" t="str">
        <f aca="false">IF(OR(B713="",B712=""),"",B713/B712-1)</f>
        <v/>
      </c>
      <c r="D713" s="122" t="str">
        <f aca="false">IF(B713="","",IFERROR(B713/INDEX($B$2:$B$800,MATCH(DATE(YEAR(A713)-1,12,1),$A$2:$A$800,0))-1,""))</f>
        <v/>
      </c>
      <c r="E713" s="122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4"/>
      <c r="B714" s="125"/>
      <c r="C714" s="122" t="str">
        <f aca="false">IF(OR(B714="",B713=""),"",B714/B713-1)</f>
        <v/>
      </c>
      <c r="D714" s="122" t="str">
        <f aca="false">IF(B714="","",IFERROR(B714/INDEX($B$2:$B$800,MATCH(DATE(YEAR(A714)-1,12,1),$A$2:$A$800,0))-1,""))</f>
        <v/>
      </c>
      <c r="E714" s="122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4"/>
      <c r="B715" s="125"/>
      <c r="C715" s="122" t="str">
        <f aca="false">IF(OR(B715="",B714=""),"",B715/B714-1)</f>
        <v/>
      </c>
      <c r="D715" s="122" t="str">
        <f aca="false">IF(B715="","",IFERROR(B715/INDEX($B$2:$B$800,MATCH(DATE(YEAR(A715)-1,12,1),$A$2:$A$800,0))-1,""))</f>
        <v/>
      </c>
      <c r="E715" s="122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4"/>
      <c r="B716" s="125"/>
      <c r="C716" s="122" t="str">
        <f aca="false">IF(OR(B716="",B715=""),"",B716/B715-1)</f>
        <v/>
      </c>
      <c r="D716" s="122" t="str">
        <f aca="false">IF(B716="","",IFERROR(B716/INDEX($B$2:$B$800,MATCH(DATE(YEAR(A716)-1,12,1),$A$2:$A$800,0))-1,""))</f>
        <v/>
      </c>
      <c r="E716" s="122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4"/>
      <c r="B717" s="125"/>
      <c r="C717" s="122" t="str">
        <f aca="false">IF(OR(B717="",B716=""),"",B717/B716-1)</f>
        <v/>
      </c>
      <c r="D717" s="122" t="str">
        <f aca="false">IF(B717="","",IFERROR(B717/INDEX($B$2:$B$800,MATCH(DATE(YEAR(A717)-1,12,1),$A$2:$A$800,0))-1,""))</f>
        <v/>
      </c>
      <c r="E717" s="122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4"/>
      <c r="B718" s="125"/>
      <c r="C718" s="122" t="str">
        <f aca="false">IF(OR(B718="",B717=""),"",B718/B717-1)</f>
        <v/>
      </c>
      <c r="D718" s="122" t="str">
        <f aca="false">IF(B718="","",IFERROR(B718/INDEX($B$2:$B$800,MATCH(DATE(YEAR(A718)-1,12,1),$A$2:$A$800,0))-1,""))</f>
        <v/>
      </c>
      <c r="E718" s="122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4"/>
      <c r="B719" s="125"/>
      <c r="C719" s="122" t="str">
        <f aca="false">IF(OR(B719="",B718=""),"",B719/B718-1)</f>
        <v/>
      </c>
      <c r="D719" s="122" t="str">
        <f aca="false">IF(B719="","",IFERROR(B719/INDEX($B$2:$B$800,MATCH(DATE(YEAR(A719)-1,12,1),$A$2:$A$800,0))-1,""))</f>
        <v/>
      </c>
      <c r="E719" s="122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4"/>
      <c r="B720" s="125"/>
      <c r="C720" s="122" t="str">
        <f aca="false">IF(OR(B720="",B719=""),"",B720/B719-1)</f>
        <v/>
      </c>
      <c r="D720" s="122" t="str">
        <f aca="false">IF(B720="","",IFERROR(B720/INDEX($B$2:$B$800,MATCH(DATE(YEAR(A720)-1,12,1),$A$2:$A$800,0))-1,""))</f>
        <v/>
      </c>
      <c r="E720" s="122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4"/>
      <c r="B721" s="125"/>
      <c r="C721" s="122" t="str">
        <f aca="false">IF(OR(B721="",B720=""),"",B721/B720-1)</f>
        <v/>
      </c>
      <c r="D721" s="122" t="str">
        <f aca="false">IF(B721="","",IFERROR(B721/INDEX($B$2:$B$800,MATCH(DATE(YEAR(A721)-1,12,1),$A$2:$A$800,0))-1,""))</f>
        <v/>
      </c>
      <c r="E721" s="122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4"/>
      <c r="B722" s="125"/>
      <c r="C722" s="122" t="str">
        <f aca="false">IF(OR(B722="",B721=""),"",B722/B721-1)</f>
        <v/>
      </c>
      <c r="D722" s="122" t="str">
        <f aca="false">IF(B722="","",IFERROR(B722/INDEX($B$2:$B$800,MATCH(DATE(YEAR(A722)-1,12,1),$A$2:$A$800,0))-1,""))</f>
        <v/>
      </c>
      <c r="E722" s="122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4"/>
      <c r="B723" s="125"/>
      <c r="C723" s="122" t="str">
        <f aca="false">IF(OR(B723="",B722=""),"",B723/B722-1)</f>
        <v/>
      </c>
      <c r="D723" s="122" t="str">
        <f aca="false">IF(B723="","",IFERROR(B723/INDEX($B$2:$B$800,MATCH(DATE(YEAR(A723)-1,12,1),$A$2:$A$800,0))-1,""))</f>
        <v/>
      </c>
      <c r="E723" s="122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4"/>
      <c r="B724" s="125"/>
      <c r="C724" s="122" t="str">
        <f aca="false">IF(OR(B724="",B723=""),"",B724/B723-1)</f>
        <v/>
      </c>
      <c r="D724" s="122" t="str">
        <f aca="false">IF(B724="","",IFERROR(B724/INDEX($B$2:$B$800,MATCH(DATE(YEAR(A724)-1,12,1),$A$2:$A$800,0))-1,""))</f>
        <v/>
      </c>
      <c r="E724" s="122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4"/>
      <c r="B725" s="125"/>
      <c r="C725" s="122" t="str">
        <f aca="false">IF(OR(B725="",B724=""),"",B725/B724-1)</f>
        <v/>
      </c>
      <c r="D725" s="122" t="str">
        <f aca="false">IF(B725="","",IFERROR(B725/INDEX($B$2:$B$800,MATCH(DATE(YEAR(A725)-1,12,1),$A$2:$A$800,0))-1,""))</f>
        <v/>
      </c>
      <c r="E725" s="122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4"/>
      <c r="B726" s="125"/>
      <c r="C726" s="122" t="str">
        <f aca="false">IF(OR(B726="",B725=""),"",B726/B725-1)</f>
        <v/>
      </c>
      <c r="D726" s="122" t="str">
        <f aca="false">IF(B726="","",IFERROR(B726/INDEX($B$2:$B$800,MATCH(DATE(YEAR(A726)-1,12,1),$A$2:$A$800,0))-1,""))</f>
        <v/>
      </c>
      <c r="E726" s="122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4"/>
      <c r="B727" s="125"/>
      <c r="C727" s="122" t="str">
        <f aca="false">IF(OR(B727="",B726=""),"",B727/B726-1)</f>
        <v/>
      </c>
      <c r="D727" s="122" t="str">
        <f aca="false">IF(B727="","",IFERROR(B727/INDEX($B$2:$B$800,MATCH(DATE(YEAR(A727)-1,12,1),$A$2:$A$800,0))-1,""))</f>
        <v/>
      </c>
      <c r="E727" s="122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4"/>
      <c r="B728" s="125"/>
      <c r="C728" s="122" t="str">
        <f aca="false">IF(OR(B728="",B727=""),"",B728/B727-1)</f>
        <v/>
      </c>
      <c r="D728" s="122" t="str">
        <f aca="false">IF(B728="","",IFERROR(B728/INDEX($B$2:$B$800,MATCH(DATE(YEAR(A728)-1,12,1),$A$2:$A$800,0))-1,""))</f>
        <v/>
      </c>
      <c r="E728" s="122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4"/>
      <c r="B729" s="125"/>
      <c r="C729" s="122" t="str">
        <f aca="false">IF(OR(B729="",B728=""),"",B729/B728-1)</f>
        <v/>
      </c>
      <c r="D729" s="122" t="str">
        <f aca="false">IF(B729="","",IFERROR(B729/INDEX($B$2:$B$800,MATCH(DATE(YEAR(A729)-1,12,1),$A$2:$A$800,0))-1,""))</f>
        <v/>
      </c>
      <c r="E729" s="122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4"/>
      <c r="B730" s="125"/>
      <c r="C730" s="122" t="str">
        <f aca="false">IF(OR(B730="",B729=""),"",B730/B729-1)</f>
        <v/>
      </c>
      <c r="D730" s="122" t="str">
        <f aca="false">IF(B730="","",IFERROR(B730/INDEX($B$2:$B$800,MATCH(DATE(YEAR(A730)-1,12,1),$A$2:$A$800,0))-1,""))</f>
        <v/>
      </c>
      <c r="E730" s="122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4"/>
      <c r="B731" s="125"/>
      <c r="C731" s="122" t="str">
        <f aca="false">IF(OR(B731="",B730=""),"",B731/B730-1)</f>
        <v/>
      </c>
      <c r="D731" s="122" t="str">
        <f aca="false">IF(B731="","",IFERROR(B731/INDEX($B$2:$B$800,MATCH(DATE(YEAR(A731)-1,12,1),$A$2:$A$800,0))-1,""))</f>
        <v/>
      </c>
      <c r="E731" s="122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4"/>
      <c r="B732" s="125"/>
      <c r="C732" s="122" t="str">
        <f aca="false">IF(OR(B732="",B731=""),"",B732/B731-1)</f>
        <v/>
      </c>
      <c r="D732" s="122" t="str">
        <f aca="false">IF(B732="","",IFERROR(B732/INDEX($B$2:$B$800,MATCH(DATE(YEAR(A732)-1,12,1),$A$2:$A$800,0))-1,""))</f>
        <v/>
      </c>
      <c r="E732" s="122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4"/>
      <c r="B733" s="125"/>
      <c r="C733" s="122" t="str">
        <f aca="false">IF(OR(B733="",B732=""),"",B733/B732-1)</f>
        <v/>
      </c>
      <c r="D733" s="122" t="str">
        <f aca="false">IF(B733="","",IFERROR(B733/INDEX($B$2:$B$800,MATCH(DATE(YEAR(A733)-1,12,1),$A$2:$A$800,0))-1,""))</f>
        <v/>
      </c>
      <c r="E733" s="122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4"/>
      <c r="B734" s="125"/>
      <c r="C734" s="122" t="str">
        <f aca="false">IF(OR(B734="",B733=""),"",B734/B733-1)</f>
        <v/>
      </c>
      <c r="D734" s="122" t="str">
        <f aca="false">IF(B734="","",IFERROR(B734/INDEX($B$2:$B$800,MATCH(DATE(YEAR(A734)-1,12,1),$A$2:$A$800,0))-1,""))</f>
        <v/>
      </c>
      <c r="E734" s="122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4"/>
      <c r="B735" s="125"/>
      <c r="C735" s="122" t="str">
        <f aca="false">IF(OR(B735="",B734=""),"",B735/B734-1)</f>
        <v/>
      </c>
      <c r="D735" s="122" t="str">
        <f aca="false">IF(B735="","",IFERROR(B735/INDEX($B$2:$B$800,MATCH(DATE(YEAR(A735)-1,12,1),$A$2:$A$800,0))-1,""))</f>
        <v/>
      </c>
      <c r="E735" s="122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4"/>
      <c r="B736" s="125"/>
      <c r="C736" s="122" t="str">
        <f aca="false">IF(OR(B736="",B735=""),"",B736/B735-1)</f>
        <v/>
      </c>
      <c r="D736" s="122" t="str">
        <f aca="false">IF(B736="","",IFERROR(B736/INDEX($B$2:$B$800,MATCH(DATE(YEAR(A736)-1,12,1),$A$2:$A$800,0))-1,""))</f>
        <v/>
      </c>
      <c r="E736" s="122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4"/>
      <c r="B737" s="125"/>
      <c r="C737" s="122" t="str">
        <f aca="false">IF(OR(B737="",B736=""),"",B737/B736-1)</f>
        <v/>
      </c>
      <c r="D737" s="122" t="str">
        <f aca="false">IF(B737="","",IFERROR(B737/INDEX($B$2:$B$800,MATCH(DATE(YEAR(A737)-1,12,1),$A$2:$A$800,0))-1,""))</f>
        <v/>
      </c>
      <c r="E737" s="122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4"/>
      <c r="B738" s="125"/>
      <c r="C738" s="122" t="str">
        <f aca="false">IF(OR(B738="",B737=""),"",B738/B737-1)</f>
        <v/>
      </c>
      <c r="D738" s="122" t="str">
        <f aca="false">IF(B738="","",IFERROR(B738/INDEX($B$2:$B$800,MATCH(DATE(YEAR(A738)-1,12,1),$A$2:$A$800,0))-1,""))</f>
        <v/>
      </c>
      <c r="E738" s="122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4"/>
      <c r="B739" s="125"/>
      <c r="C739" s="122" t="str">
        <f aca="false">IF(OR(B739="",B738=""),"",B739/B738-1)</f>
        <v/>
      </c>
      <c r="D739" s="122" t="str">
        <f aca="false">IF(B739="","",IFERROR(B739/INDEX($B$2:$B$800,MATCH(DATE(YEAR(A739)-1,12,1),$A$2:$A$800,0))-1,""))</f>
        <v/>
      </c>
      <c r="E739" s="122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4"/>
      <c r="B740" s="125"/>
      <c r="C740" s="122" t="str">
        <f aca="false">IF(OR(B740="",B739=""),"",B740/B739-1)</f>
        <v/>
      </c>
      <c r="D740" s="122" t="str">
        <f aca="false">IF(B740="","",IFERROR(B740/INDEX($B$2:$B$800,MATCH(DATE(YEAR(A740)-1,12,1),$A$2:$A$800,0))-1,""))</f>
        <v/>
      </c>
      <c r="E740" s="122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4"/>
      <c r="B741" s="125"/>
      <c r="C741" s="122" t="str">
        <f aca="false">IF(OR(B741="",B740=""),"",B741/B740-1)</f>
        <v/>
      </c>
      <c r="D741" s="122" t="str">
        <f aca="false">IF(B741="","",IFERROR(B741/INDEX($B$2:$B$800,MATCH(DATE(YEAR(A741)-1,12,1),$A$2:$A$800,0))-1,""))</f>
        <v/>
      </c>
      <c r="E741" s="122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4"/>
      <c r="B742" s="125"/>
      <c r="C742" s="122" t="str">
        <f aca="false">IF(OR(B742="",B741=""),"",B742/B741-1)</f>
        <v/>
      </c>
      <c r="D742" s="122" t="str">
        <f aca="false">IF(B742="","",IFERROR(B742/INDEX($B$2:$B$800,MATCH(DATE(YEAR(A742)-1,12,1),$A$2:$A$800,0))-1,""))</f>
        <v/>
      </c>
      <c r="E742" s="122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4"/>
      <c r="B743" s="125"/>
      <c r="C743" s="122" t="str">
        <f aca="false">IF(OR(B743="",B742=""),"",B743/B742-1)</f>
        <v/>
      </c>
      <c r="D743" s="122" t="str">
        <f aca="false">IF(B743="","",IFERROR(B743/INDEX($B$2:$B$800,MATCH(DATE(YEAR(A743)-1,12,1),$A$2:$A$800,0))-1,""))</f>
        <v/>
      </c>
      <c r="E743" s="122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4"/>
      <c r="B744" s="125"/>
      <c r="C744" s="122" t="str">
        <f aca="false">IF(OR(B744="",B743=""),"",B744/B743-1)</f>
        <v/>
      </c>
      <c r="D744" s="122" t="str">
        <f aca="false">IF(B744="","",IFERROR(B744/INDEX($B$2:$B$800,MATCH(DATE(YEAR(A744)-1,12,1),$A$2:$A$800,0))-1,""))</f>
        <v/>
      </c>
      <c r="E744" s="122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4"/>
      <c r="B745" s="125"/>
      <c r="C745" s="122" t="str">
        <f aca="false">IF(OR(B745="",B744=""),"",B745/B744-1)</f>
        <v/>
      </c>
      <c r="D745" s="122" t="str">
        <f aca="false">IF(B745="","",IFERROR(B745/INDEX($B$2:$B$800,MATCH(DATE(YEAR(A745)-1,12,1),$A$2:$A$800,0))-1,""))</f>
        <v/>
      </c>
      <c r="E745" s="122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4"/>
      <c r="B746" s="125"/>
      <c r="C746" s="122" t="str">
        <f aca="false">IF(OR(B746="",B745=""),"",B746/B745-1)</f>
        <v/>
      </c>
      <c r="D746" s="122" t="str">
        <f aca="false">IF(B746="","",IFERROR(B746/INDEX($B$2:$B$800,MATCH(DATE(YEAR(A746)-1,12,1),$A$2:$A$800,0))-1,""))</f>
        <v/>
      </c>
      <c r="E746" s="122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4"/>
      <c r="B747" s="125"/>
      <c r="C747" s="122" t="str">
        <f aca="false">IF(OR(B747="",B746=""),"",B747/B746-1)</f>
        <v/>
      </c>
      <c r="D747" s="122" t="str">
        <f aca="false">IF(B747="","",IFERROR(B747/INDEX($B$2:$B$800,MATCH(DATE(YEAR(A747)-1,12,1),$A$2:$A$800,0))-1,""))</f>
        <v/>
      </c>
      <c r="E747" s="122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4"/>
      <c r="B748" s="125"/>
      <c r="C748" s="122" t="str">
        <f aca="false">IF(OR(B748="",B747=""),"",B748/B747-1)</f>
        <v/>
      </c>
      <c r="D748" s="122" t="str">
        <f aca="false">IF(B748="","",IFERROR(B748/INDEX($B$2:$B$800,MATCH(DATE(YEAR(A748)-1,12,1),$A$2:$A$800,0))-1,""))</f>
        <v/>
      </c>
      <c r="E748" s="122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4"/>
      <c r="B749" s="125"/>
      <c r="C749" s="122" t="str">
        <f aca="false">IF(OR(B749="",B748=""),"",B749/B748-1)</f>
        <v/>
      </c>
      <c r="D749" s="122" t="str">
        <f aca="false">IF(B749="","",IFERROR(B749/INDEX($B$2:$B$800,MATCH(DATE(YEAR(A749)-1,12,1),$A$2:$A$800,0))-1,""))</f>
        <v/>
      </c>
      <c r="E749" s="122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4"/>
      <c r="B750" s="125"/>
      <c r="C750" s="122" t="str">
        <f aca="false">IF(OR(B750="",B749=""),"",B750/B749-1)</f>
        <v/>
      </c>
      <c r="D750" s="122" t="str">
        <f aca="false">IF(B750="","",IFERROR(B750/INDEX($B$2:$B$800,MATCH(DATE(YEAR(A750)-1,12,1),$A$2:$A$800,0))-1,""))</f>
        <v/>
      </c>
      <c r="E750" s="122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4"/>
      <c r="B751" s="125"/>
      <c r="C751" s="122" t="str">
        <f aca="false">IF(OR(B751="",B750=""),"",B751/B750-1)</f>
        <v/>
      </c>
      <c r="D751" s="122" t="str">
        <f aca="false">IF(B751="","",IFERROR(B751/INDEX($B$2:$B$800,MATCH(DATE(YEAR(A751)-1,12,1),$A$2:$A$800,0))-1,""))</f>
        <v/>
      </c>
      <c r="E751" s="122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4"/>
      <c r="B752" s="125"/>
      <c r="C752" s="122" t="str">
        <f aca="false">IF(OR(B752="",B751=""),"",B752/B751-1)</f>
        <v/>
      </c>
      <c r="D752" s="122" t="str">
        <f aca="false">IF(B752="","",IFERROR(B752/INDEX($B$2:$B$800,MATCH(DATE(YEAR(A752)-1,12,1),$A$2:$A$800,0))-1,""))</f>
        <v/>
      </c>
      <c r="E752" s="122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4"/>
      <c r="B753" s="125"/>
      <c r="C753" s="122" t="str">
        <f aca="false">IF(OR(B753="",B752=""),"",B753/B752-1)</f>
        <v/>
      </c>
      <c r="D753" s="122" t="str">
        <f aca="false">IF(B753="","",IFERROR(B753/INDEX($B$2:$B$800,MATCH(DATE(YEAR(A753)-1,12,1),$A$2:$A$800,0))-1,""))</f>
        <v/>
      </c>
      <c r="E753" s="122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4"/>
      <c r="B754" s="125"/>
      <c r="C754" s="122" t="str">
        <f aca="false">IF(OR(B754="",B753=""),"",B754/B753-1)</f>
        <v/>
      </c>
      <c r="D754" s="122" t="str">
        <f aca="false">IF(B754="","",IFERROR(B754/INDEX($B$2:$B$800,MATCH(DATE(YEAR(A754)-1,12,1),$A$2:$A$800,0))-1,""))</f>
        <v/>
      </c>
      <c r="E754" s="122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4"/>
      <c r="B755" s="125"/>
      <c r="C755" s="122" t="str">
        <f aca="false">IF(OR(B755="",B754=""),"",B755/B754-1)</f>
        <v/>
      </c>
      <c r="D755" s="122" t="str">
        <f aca="false">IF(B755="","",IFERROR(B755/INDEX($B$2:$B$800,MATCH(DATE(YEAR(A755)-1,12,1),$A$2:$A$800,0))-1,""))</f>
        <v/>
      </c>
      <c r="E755" s="122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4"/>
      <c r="B756" s="125"/>
      <c r="C756" s="122" t="str">
        <f aca="false">IF(OR(B756="",B755=""),"",B756/B755-1)</f>
        <v/>
      </c>
      <c r="D756" s="122" t="str">
        <f aca="false">IF(B756="","",IFERROR(B756/INDEX($B$2:$B$800,MATCH(DATE(YEAR(A756)-1,12,1),$A$2:$A$800,0))-1,""))</f>
        <v/>
      </c>
      <c r="E756" s="122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4"/>
      <c r="B757" s="125"/>
      <c r="C757" s="122" t="str">
        <f aca="false">IF(OR(B757="",B756=""),"",B757/B756-1)</f>
        <v/>
      </c>
      <c r="D757" s="122" t="str">
        <f aca="false">IF(B757="","",IFERROR(B757/INDEX($B$2:$B$800,MATCH(DATE(YEAR(A757)-1,12,1),$A$2:$A$800,0))-1,""))</f>
        <v/>
      </c>
      <c r="E757" s="122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4"/>
      <c r="B758" s="125"/>
      <c r="C758" s="122" t="str">
        <f aca="false">IF(OR(B758="",B757=""),"",B758/B757-1)</f>
        <v/>
      </c>
      <c r="D758" s="122" t="str">
        <f aca="false">IF(B758="","",IFERROR(B758/INDEX($B$2:$B$800,MATCH(DATE(YEAR(A758)-1,12,1),$A$2:$A$800,0))-1,""))</f>
        <v/>
      </c>
      <c r="E758" s="122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4"/>
      <c r="B759" s="125"/>
      <c r="C759" s="122" t="str">
        <f aca="false">IF(OR(B759="",B758=""),"",B759/B758-1)</f>
        <v/>
      </c>
      <c r="D759" s="122" t="str">
        <f aca="false">IF(B759="","",IFERROR(B759/INDEX($B$2:$B$800,MATCH(DATE(YEAR(A759)-1,12,1),$A$2:$A$800,0))-1,""))</f>
        <v/>
      </c>
      <c r="E759" s="122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4"/>
      <c r="B760" s="125"/>
      <c r="C760" s="122" t="str">
        <f aca="false">IF(OR(B760="",B759=""),"",B760/B759-1)</f>
        <v/>
      </c>
      <c r="D760" s="122" t="str">
        <f aca="false">IF(B760="","",IFERROR(B760/INDEX($B$2:$B$800,MATCH(DATE(YEAR(A760)-1,12,1),$A$2:$A$800,0))-1,""))</f>
        <v/>
      </c>
      <c r="E760" s="122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4"/>
      <c r="B761" s="125"/>
      <c r="C761" s="122" t="str">
        <f aca="false">IF(OR(B761="",B760=""),"",B761/B760-1)</f>
        <v/>
      </c>
      <c r="D761" s="122" t="str">
        <f aca="false">IF(B761="","",IFERROR(B761/INDEX($B$2:$B$800,MATCH(DATE(YEAR(A761)-1,12,1),$A$2:$A$800,0))-1,""))</f>
        <v/>
      </c>
      <c r="E761" s="122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4"/>
      <c r="B762" s="125"/>
      <c r="C762" s="122" t="str">
        <f aca="false">IF(OR(B762="",B761=""),"",B762/B761-1)</f>
        <v/>
      </c>
      <c r="D762" s="122" t="str">
        <f aca="false">IF(B762="","",IFERROR(B762/INDEX($B$2:$B$800,MATCH(DATE(YEAR(A762)-1,12,1),$A$2:$A$800,0))-1,""))</f>
        <v/>
      </c>
      <c r="E762" s="122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4"/>
      <c r="B763" s="125"/>
      <c r="C763" s="122" t="str">
        <f aca="false">IF(OR(B763="",B762=""),"",B763/B762-1)</f>
        <v/>
      </c>
      <c r="D763" s="122" t="str">
        <f aca="false">IF(B763="","",IFERROR(B763/INDEX($B$2:$B$800,MATCH(DATE(YEAR(A763)-1,12,1),$A$2:$A$800,0))-1,""))</f>
        <v/>
      </c>
      <c r="E763" s="122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4"/>
      <c r="B764" s="125"/>
      <c r="C764" s="122" t="str">
        <f aca="false">IF(OR(B764="",B763=""),"",B764/B763-1)</f>
        <v/>
      </c>
      <c r="D764" s="122" t="str">
        <f aca="false">IF(B764="","",IFERROR(B764/INDEX($B$2:$B$800,MATCH(DATE(YEAR(A764)-1,12,1),$A$2:$A$800,0))-1,""))</f>
        <v/>
      </c>
      <c r="E764" s="122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4"/>
      <c r="B765" s="125"/>
      <c r="C765" s="122" t="str">
        <f aca="false">IF(OR(B765="",B764=""),"",B765/B764-1)</f>
        <v/>
      </c>
      <c r="D765" s="122" t="str">
        <f aca="false">IF(B765="","",IFERROR(B765/INDEX($B$2:$B$800,MATCH(DATE(YEAR(A765)-1,12,1),$A$2:$A$800,0))-1,""))</f>
        <v/>
      </c>
      <c r="E765" s="122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4"/>
      <c r="B766" s="125"/>
      <c r="C766" s="122" t="str">
        <f aca="false">IF(OR(B766="",B765=""),"",B766/B765-1)</f>
        <v/>
      </c>
      <c r="D766" s="122" t="str">
        <f aca="false">IF(B766="","",IFERROR(B766/INDEX($B$2:$B$800,MATCH(DATE(YEAR(A766)-1,12,1),$A$2:$A$800,0))-1,""))</f>
        <v/>
      </c>
      <c r="E766" s="122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4"/>
      <c r="B767" s="125"/>
      <c r="C767" s="122" t="str">
        <f aca="false">IF(OR(B767="",B766=""),"",B767/B766-1)</f>
        <v/>
      </c>
      <c r="D767" s="122" t="str">
        <f aca="false">IF(B767="","",IFERROR(B767/INDEX($B$2:$B$800,MATCH(DATE(YEAR(A767)-1,12,1),$A$2:$A$800,0))-1,""))</f>
        <v/>
      </c>
      <c r="E767" s="122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4"/>
      <c r="B768" s="125"/>
      <c r="C768" s="122" t="str">
        <f aca="false">IF(OR(B768="",B767=""),"",B768/B767-1)</f>
        <v/>
      </c>
      <c r="D768" s="122" t="str">
        <f aca="false">IF(B768="","",IFERROR(B768/INDEX($B$2:$B$800,MATCH(DATE(YEAR(A768)-1,12,1),$A$2:$A$800,0))-1,""))</f>
        <v/>
      </c>
      <c r="E768" s="122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4"/>
      <c r="B769" s="125"/>
      <c r="C769" s="122" t="str">
        <f aca="false">IF(OR(B769="",B768=""),"",B769/B768-1)</f>
        <v/>
      </c>
      <c r="D769" s="122" t="str">
        <f aca="false">IF(B769="","",IFERROR(B769/INDEX($B$2:$B$800,MATCH(DATE(YEAR(A769)-1,12,1),$A$2:$A$800,0))-1,""))</f>
        <v/>
      </c>
      <c r="E769" s="122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4"/>
      <c r="B770" s="125"/>
      <c r="C770" s="122" t="str">
        <f aca="false">IF(OR(B770="",B769=""),"",B770/B769-1)</f>
        <v/>
      </c>
      <c r="D770" s="122" t="str">
        <f aca="false">IF(B770="","",IFERROR(B770/INDEX($B$2:$B$800,MATCH(DATE(YEAR(A770)-1,12,1),$A$2:$A$800,0))-1,""))</f>
        <v/>
      </c>
      <c r="E770" s="122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4"/>
      <c r="B771" s="125"/>
      <c r="C771" s="122" t="str">
        <f aca="false">IF(OR(B771="",B770=""),"",B771/B770-1)</f>
        <v/>
      </c>
      <c r="D771" s="122" t="str">
        <f aca="false">IF(B771="","",IFERROR(B771/INDEX($B$2:$B$800,MATCH(DATE(YEAR(A771)-1,12,1),$A$2:$A$800,0))-1,""))</f>
        <v/>
      </c>
      <c r="E771" s="122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4"/>
      <c r="B772" s="125"/>
      <c r="C772" s="122" t="str">
        <f aca="false">IF(OR(B772="",B771=""),"",B772/B771-1)</f>
        <v/>
      </c>
      <c r="D772" s="122" t="str">
        <f aca="false">IF(B772="","",IFERROR(B772/INDEX($B$2:$B$800,MATCH(DATE(YEAR(A772)-1,12,1),$A$2:$A$800,0))-1,""))</f>
        <v/>
      </c>
      <c r="E772" s="122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4"/>
      <c r="B773" s="125"/>
      <c r="C773" s="122" t="str">
        <f aca="false">IF(OR(B773="",B772=""),"",B773/B772-1)</f>
        <v/>
      </c>
      <c r="D773" s="122" t="str">
        <f aca="false">IF(B773="","",IFERROR(B773/INDEX($B$2:$B$800,MATCH(DATE(YEAR(A773)-1,12,1),$A$2:$A$800,0))-1,""))</f>
        <v/>
      </c>
      <c r="E773" s="122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4"/>
      <c r="B774" s="125"/>
      <c r="C774" s="122" t="str">
        <f aca="false">IF(OR(B774="",B773=""),"",B774/B773-1)</f>
        <v/>
      </c>
      <c r="D774" s="122" t="str">
        <f aca="false">IF(B774="","",IFERROR(B774/INDEX($B$2:$B$800,MATCH(DATE(YEAR(A774)-1,12,1),$A$2:$A$800,0))-1,""))</f>
        <v/>
      </c>
      <c r="E774" s="122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4"/>
      <c r="B775" s="125"/>
      <c r="C775" s="122" t="str">
        <f aca="false">IF(OR(B775="",B774=""),"",B775/B774-1)</f>
        <v/>
      </c>
      <c r="D775" s="122" t="str">
        <f aca="false">IF(B775="","",IFERROR(B775/INDEX($B$2:$B$800,MATCH(DATE(YEAR(A775)-1,12,1),$A$2:$A$800,0))-1,""))</f>
        <v/>
      </c>
      <c r="E775" s="122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4"/>
      <c r="B776" s="125"/>
      <c r="C776" s="122" t="str">
        <f aca="false">IF(OR(B776="",B775=""),"",B776/B775-1)</f>
        <v/>
      </c>
      <c r="D776" s="122" t="str">
        <f aca="false">IF(B776="","",IFERROR(B776/INDEX($B$2:$B$800,MATCH(DATE(YEAR(A776)-1,12,1),$A$2:$A$800,0))-1,""))</f>
        <v/>
      </c>
      <c r="E776" s="122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4"/>
      <c r="B777" s="125"/>
      <c r="C777" s="122" t="str">
        <f aca="false">IF(OR(B777="",B776=""),"",B777/B776-1)</f>
        <v/>
      </c>
      <c r="D777" s="122" t="str">
        <f aca="false">IF(B777="","",IFERROR(B777/INDEX($B$2:$B$800,MATCH(DATE(YEAR(A777)-1,12,1),$A$2:$A$800,0))-1,""))</f>
        <v/>
      </c>
      <c r="E777" s="122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4"/>
      <c r="B778" s="125"/>
      <c r="C778" s="122" t="str">
        <f aca="false">IF(OR(B778="",B777=""),"",B778/B777-1)</f>
        <v/>
      </c>
      <c r="D778" s="122" t="str">
        <f aca="false">IF(B778="","",IFERROR(B778/INDEX($B$2:$B$800,MATCH(DATE(YEAR(A778)-1,12,1),$A$2:$A$800,0))-1,""))</f>
        <v/>
      </c>
      <c r="E778" s="122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4"/>
      <c r="B779" s="125"/>
      <c r="C779" s="122" t="str">
        <f aca="false">IF(OR(B779="",B778=""),"",B779/B778-1)</f>
        <v/>
      </c>
      <c r="D779" s="122" t="str">
        <f aca="false">IF(B779="","",IFERROR(B779/INDEX($B$2:$B$800,MATCH(DATE(YEAR(A779)-1,12,1),$A$2:$A$800,0))-1,""))</f>
        <v/>
      </c>
      <c r="E779" s="122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4"/>
      <c r="B780" s="125"/>
      <c r="C780" s="122" t="str">
        <f aca="false">IF(OR(B780="",B779=""),"",B780/B779-1)</f>
        <v/>
      </c>
      <c r="D780" s="122" t="str">
        <f aca="false">IF(B780="","",IFERROR(B780/INDEX($B$2:$B$800,MATCH(DATE(YEAR(A780)-1,12,1),$A$2:$A$800,0))-1,""))</f>
        <v/>
      </c>
      <c r="E780" s="122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4"/>
      <c r="B781" s="125"/>
      <c r="C781" s="122" t="str">
        <f aca="false">IF(OR(B781="",B780=""),"",B781/B780-1)</f>
        <v/>
      </c>
      <c r="D781" s="122" t="str">
        <f aca="false">IF(B781="","",IFERROR(B781/INDEX($B$2:$B$800,MATCH(DATE(YEAR(A781)-1,12,1),$A$2:$A$800,0))-1,""))</f>
        <v/>
      </c>
      <c r="E781" s="122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4"/>
      <c r="B782" s="125"/>
      <c r="C782" s="122" t="str">
        <f aca="false">IF(OR(B782="",B781=""),"",B782/B781-1)</f>
        <v/>
      </c>
      <c r="D782" s="122" t="str">
        <f aca="false">IF(B782="","",IFERROR(B782/INDEX($B$2:$B$800,MATCH(DATE(YEAR(A782)-1,12,1),$A$2:$A$800,0))-1,""))</f>
        <v/>
      </c>
      <c r="E782" s="122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4"/>
      <c r="B783" s="125"/>
      <c r="C783" s="122" t="str">
        <f aca="false">IF(OR(B783="",B782=""),"",B783/B782-1)</f>
        <v/>
      </c>
      <c r="D783" s="122" t="str">
        <f aca="false">IF(B783="","",IFERROR(B783/INDEX($B$2:$B$800,MATCH(DATE(YEAR(A783)-1,12,1),$A$2:$A$800,0))-1,""))</f>
        <v/>
      </c>
      <c r="E783" s="122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4"/>
      <c r="B784" s="125"/>
      <c r="C784" s="122" t="str">
        <f aca="false">IF(OR(B784="",B783=""),"",B784/B783-1)</f>
        <v/>
      </c>
      <c r="D784" s="122" t="str">
        <f aca="false">IF(B784="","",IFERROR(B784/INDEX($B$2:$B$800,MATCH(DATE(YEAR(A784)-1,12,1),$A$2:$A$800,0))-1,""))</f>
        <v/>
      </c>
      <c r="E784" s="122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4"/>
      <c r="B785" s="125"/>
      <c r="C785" s="122" t="str">
        <f aca="false">IF(OR(B785="",B784=""),"",B785/B784-1)</f>
        <v/>
      </c>
      <c r="D785" s="122" t="str">
        <f aca="false">IF(B785="","",IFERROR(B785/INDEX($B$2:$B$800,MATCH(DATE(YEAR(A785)-1,12,1),$A$2:$A$800,0))-1,""))</f>
        <v/>
      </c>
      <c r="E785" s="122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4"/>
      <c r="B786" s="125"/>
      <c r="C786" s="122" t="str">
        <f aca="false">IF(OR(B786="",B785=""),"",B786/B785-1)</f>
        <v/>
      </c>
      <c r="D786" s="122" t="str">
        <f aca="false">IF(B786="","",IFERROR(B786/INDEX($B$2:$B$800,MATCH(DATE(YEAR(A786)-1,12,1),$A$2:$A$800,0))-1,""))</f>
        <v/>
      </c>
      <c r="E786" s="122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4"/>
      <c r="B787" s="125"/>
      <c r="C787" s="122" t="str">
        <f aca="false">IF(OR(B787="",B786=""),"",B787/B786-1)</f>
        <v/>
      </c>
      <c r="D787" s="122" t="str">
        <f aca="false">IF(B787="","",IFERROR(B787/INDEX($B$2:$B$800,MATCH(DATE(YEAR(A787)-1,12,1),$A$2:$A$800,0))-1,""))</f>
        <v/>
      </c>
      <c r="E787" s="122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4"/>
      <c r="B788" s="125"/>
      <c r="C788" s="122" t="str">
        <f aca="false">IF(OR(B788="",B787=""),"",B788/B787-1)</f>
        <v/>
      </c>
      <c r="D788" s="122" t="str">
        <f aca="false">IF(B788="","",IFERROR(B788/INDEX($B$2:$B$800,MATCH(DATE(YEAR(A788)-1,12,1),$A$2:$A$800,0))-1,""))</f>
        <v/>
      </c>
      <c r="E788" s="122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4"/>
      <c r="B789" s="125"/>
      <c r="C789" s="122" t="str">
        <f aca="false">IF(OR(B789="",B788=""),"",B789/B788-1)</f>
        <v/>
      </c>
      <c r="D789" s="122" t="str">
        <f aca="false">IF(B789="","",IFERROR(B789/INDEX($B$2:$B$800,MATCH(DATE(YEAR(A789)-1,12,1),$A$2:$A$800,0))-1,""))</f>
        <v/>
      </c>
      <c r="E789" s="122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4"/>
      <c r="B790" s="125"/>
      <c r="C790" s="122" t="str">
        <f aca="false">IF(OR(B790="",B789=""),"",B790/B789-1)</f>
        <v/>
      </c>
      <c r="D790" s="122" t="str">
        <f aca="false">IF(B790="","",IFERROR(B790/INDEX($B$2:$B$800,MATCH(DATE(YEAR(A790)-1,12,1),$A$2:$A$800,0))-1,""))</f>
        <v/>
      </c>
      <c r="E790" s="122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4"/>
      <c r="B791" s="125"/>
      <c r="C791" s="122" t="str">
        <f aca="false">IF(OR(B791="",B790=""),"",B791/B790-1)</f>
        <v/>
      </c>
      <c r="D791" s="122" t="str">
        <f aca="false">IF(B791="","",IFERROR(B791/INDEX($B$2:$B$800,MATCH(DATE(YEAR(A791)-1,12,1),$A$2:$A$800,0))-1,""))</f>
        <v/>
      </c>
      <c r="E791" s="122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4"/>
      <c r="B792" s="125"/>
      <c r="C792" s="122" t="str">
        <f aca="false">IF(OR(B792="",B791=""),"",B792/B791-1)</f>
        <v/>
      </c>
      <c r="D792" s="122" t="str">
        <f aca="false">IF(B792="","",IFERROR(B792/INDEX($B$2:$B$800,MATCH(DATE(YEAR(A792)-1,12,1),$A$2:$A$800,0))-1,""))</f>
        <v/>
      </c>
      <c r="E792" s="122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4"/>
      <c r="B793" s="125"/>
      <c r="C793" s="122" t="str">
        <f aca="false">IF(OR(B793="",B792=""),"",B793/B792-1)</f>
        <v/>
      </c>
      <c r="D793" s="122" t="str">
        <f aca="false">IF(B793="","",IFERROR(B793/INDEX($B$2:$B$800,MATCH(DATE(YEAR(A793)-1,12,1),$A$2:$A$800,0))-1,""))</f>
        <v/>
      </c>
      <c r="E793" s="122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4"/>
      <c r="B794" s="125"/>
      <c r="C794" s="122" t="str">
        <f aca="false">IF(OR(B794="",B793=""),"",B794/B793-1)</f>
        <v/>
      </c>
      <c r="D794" s="122" t="str">
        <f aca="false">IF(B794="","",IFERROR(B794/INDEX($B$2:$B$800,MATCH(DATE(YEAR(A794)-1,12,1),$A$2:$A$800,0))-1,""))</f>
        <v/>
      </c>
      <c r="E794" s="122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4"/>
      <c r="B795" s="125"/>
      <c r="C795" s="122" t="str">
        <f aca="false">IF(OR(B795="",B794=""),"",B795/B794-1)</f>
        <v/>
      </c>
      <c r="D795" s="122" t="str">
        <f aca="false">IF(B795="","",IFERROR(B795/INDEX($B$2:$B$800,MATCH(DATE(YEAR(A795)-1,12,1),$A$2:$A$800,0))-1,""))</f>
        <v/>
      </c>
      <c r="E795" s="122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4"/>
      <c r="B796" s="125"/>
      <c r="C796" s="122" t="str">
        <f aca="false">IF(OR(B796="",B795=""),"",B796/B795-1)</f>
        <v/>
      </c>
      <c r="D796" s="122" t="str">
        <f aca="false">IF(B796="","",IFERROR(B796/INDEX($B$2:$B$800,MATCH(DATE(YEAR(A796)-1,12,1),$A$2:$A$800,0))-1,""))</f>
        <v/>
      </c>
      <c r="E796" s="122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4"/>
      <c r="B797" s="125"/>
      <c r="C797" s="122" t="str">
        <f aca="false">IF(OR(B797="",B796=""),"",B797/B796-1)</f>
        <v/>
      </c>
      <c r="D797" s="122" t="str">
        <f aca="false">IF(B797="","",IFERROR(B797/INDEX($B$2:$B$800,MATCH(DATE(YEAR(A797)-1,12,1),$A$2:$A$800,0))-1,""))</f>
        <v/>
      </c>
      <c r="E797" s="122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4"/>
      <c r="B798" s="125"/>
      <c r="C798" s="122" t="str">
        <f aca="false">IF(OR(B798="",B797=""),"",B798/B797-1)</f>
        <v/>
      </c>
      <c r="D798" s="122" t="str">
        <f aca="false">IF(B798="","",IFERROR(B798/INDEX($B$2:$B$800,MATCH(DATE(YEAR(A798)-1,12,1),$A$2:$A$800,0))-1,""))</f>
        <v/>
      </c>
      <c r="E798" s="122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4"/>
      <c r="B799" s="125"/>
      <c r="C799" s="122" t="str">
        <f aca="false">IF(OR(B799="",B798=""),"",B799/B798-1)</f>
        <v/>
      </c>
      <c r="D799" s="122" t="str">
        <f aca="false">IF(B799="","",IFERROR(B799/INDEX($B$2:$B$800,MATCH(DATE(YEAR(A799)-1,12,1),$A$2:$A$800,0))-1,""))</f>
        <v/>
      </c>
      <c r="E799" s="122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4"/>
      <c r="B800" s="125"/>
      <c r="C800" s="122" t="str">
        <f aca="false">IF(OR(B800="",B799=""),"",B800/B799-1)</f>
        <v/>
      </c>
      <c r="D800" s="122" t="str">
        <f aca="false">IF(B800="","",IFERROR(B800/INDEX($B$2:$B$800,MATCH(DATE(YEAR(A800)-1,12,1),$A$2:$A$800,0))-1,""))</f>
        <v/>
      </c>
      <c r="E800" s="122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S9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404</v>
      </c>
    </row>
    <row r="2" customFormat="false" ht="15" hidden="false" customHeight="false" outlineLevel="0" collapsed="false">
      <c r="J2" s="2" t="s">
        <v>405</v>
      </c>
      <c r="M2" s="2" t="s">
        <v>406</v>
      </c>
      <c r="P2" s="2" t="s">
        <v>407</v>
      </c>
      <c r="S2" s="2" t="s">
        <v>408</v>
      </c>
      <c r="V2" s="2" t="s">
        <v>409</v>
      </c>
      <c r="Y2" s="2" t="s">
        <v>410</v>
      </c>
      <c r="AB2" s="2" t="s">
        <v>411</v>
      </c>
      <c r="AE2" s="2" t="s">
        <v>412</v>
      </c>
      <c r="AH2" s="2" t="s">
        <v>413</v>
      </c>
      <c r="AK2" s="2" t="s">
        <v>414</v>
      </c>
      <c r="AN2" s="2" t="s">
        <v>415</v>
      </c>
      <c r="AQ2" s="2" t="s">
        <v>416</v>
      </c>
      <c r="AT2" s="2" t="s">
        <v>417</v>
      </c>
      <c r="AW2" s="2" t="s">
        <v>418</v>
      </c>
      <c r="AZ2" s="2" t="s">
        <v>419</v>
      </c>
      <c r="BC2" s="2" t="s">
        <v>420</v>
      </c>
      <c r="BF2" s="2" t="s">
        <v>421</v>
      </c>
      <c r="BI2" s="2" t="s">
        <v>422</v>
      </c>
      <c r="BL2" s="2" t="s">
        <v>423</v>
      </c>
      <c r="BO2" s="2" t="s">
        <v>424</v>
      </c>
      <c r="BR2" s="2" t="s">
        <v>425</v>
      </c>
      <c r="BU2" s="2" t="s">
        <v>426</v>
      </c>
      <c r="BX2" s="2" t="s">
        <v>427</v>
      </c>
      <c r="CA2" s="2" t="s">
        <v>428</v>
      </c>
      <c r="CD2" s="2" t="s">
        <v>429</v>
      </c>
      <c r="CG2" s="2" t="s">
        <v>430</v>
      </c>
      <c r="CJ2" s="2" t="s">
        <v>431</v>
      </c>
      <c r="CM2" s="2" t="s">
        <v>432</v>
      </c>
      <c r="CP2" s="2" t="s">
        <v>433</v>
      </c>
      <c r="CS2" s="2" t="s">
        <v>434</v>
      </c>
      <c r="CV2" s="2" t="s">
        <v>435</v>
      </c>
      <c r="CY2" s="2" t="s">
        <v>436</v>
      </c>
      <c r="DB2" s="2" t="s">
        <v>437</v>
      </c>
      <c r="DE2" s="2" t="s">
        <v>438</v>
      </c>
      <c r="DH2" s="2" t="s">
        <v>439</v>
      </c>
      <c r="DK2" s="2" t="s">
        <v>440</v>
      </c>
      <c r="DN2" s="2" t="s">
        <v>441</v>
      </c>
      <c r="DQ2" s="2" t="s">
        <v>442</v>
      </c>
      <c r="DT2" s="2" t="s">
        <v>443</v>
      </c>
      <c r="DW2" s="2" t="s">
        <v>444</v>
      </c>
      <c r="DZ2" s="2" t="s">
        <v>445</v>
      </c>
      <c r="EC2" s="2" t="s">
        <v>446</v>
      </c>
      <c r="EF2" s="2" t="s">
        <v>447</v>
      </c>
      <c r="EI2" s="2" t="s">
        <v>448</v>
      </c>
      <c r="EL2" s="2" t="s">
        <v>449</v>
      </c>
      <c r="EO2" s="2" t="s">
        <v>450</v>
      </c>
      <c r="ER2" s="2" t="s">
        <v>451</v>
      </c>
    </row>
    <row r="3" customFormat="false" ht="15" hidden="false" customHeight="false" outlineLevel="0" collapsed="false">
      <c r="A3" s="2" t="s">
        <v>452</v>
      </c>
      <c r="B3" s="2" t="s">
        <v>453</v>
      </c>
      <c r="C3" s="2" t="s">
        <v>454</v>
      </c>
      <c r="D3" s="2" t="s">
        <v>455</v>
      </c>
      <c r="E3" s="2" t="s">
        <v>456</v>
      </c>
      <c r="F3" s="2" t="s">
        <v>457</v>
      </c>
      <c r="G3" s="2" t="s">
        <v>458</v>
      </c>
      <c r="H3" s="2" t="s">
        <v>459</v>
      </c>
      <c r="I3" s="2" t="s">
        <v>460</v>
      </c>
      <c r="J3" s="2" t="s">
        <v>461</v>
      </c>
      <c r="K3" s="2" t="s">
        <v>462</v>
      </c>
      <c r="L3" s="2" t="s">
        <v>460</v>
      </c>
      <c r="M3" s="2" t="s">
        <v>461</v>
      </c>
      <c r="N3" s="2" t="s">
        <v>462</v>
      </c>
      <c r="O3" s="2" t="s">
        <v>460</v>
      </c>
      <c r="P3" s="2" t="s">
        <v>461</v>
      </c>
      <c r="Q3" s="2" t="s">
        <v>462</v>
      </c>
      <c r="R3" s="2" t="s">
        <v>460</v>
      </c>
      <c r="S3" s="2" t="s">
        <v>461</v>
      </c>
      <c r="T3" s="2" t="s">
        <v>462</v>
      </c>
      <c r="U3" s="2" t="s">
        <v>460</v>
      </c>
      <c r="V3" s="2" t="s">
        <v>461</v>
      </c>
      <c r="W3" s="2" t="s">
        <v>462</v>
      </c>
      <c r="X3" s="2" t="s">
        <v>460</v>
      </c>
      <c r="Y3" s="2" t="s">
        <v>461</v>
      </c>
      <c r="Z3" s="2" t="s">
        <v>462</v>
      </c>
      <c r="AA3" s="2" t="s">
        <v>460</v>
      </c>
      <c r="AB3" s="2" t="s">
        <v>461</v>
      </c>
      <c r="AC3" s="2" t="s">
        <v>462</v>
      </c>
      <c r="AD3" s="2" t="s">
        <v>460</v>
      </c>
      <c r="AE3" s="2" t="s">
        <v>461</v>
      </c>
      <c r="AF3" s="2" t="s">
        <v>462</v>
      </c>
      <c r="AG3" s="2" t="s">
        <v>460</v>
      </c>
      <c r="AH3" s="2" t="s">
        <v>461</v>
      </c>
      <c r="AI3" s="2" t="s">
        <v>462</v>
      </c>
      <c r="AJ3" s="2" t="s">
        <v>460</v>
      </c>
      <c r="AK3" s="2" t="s">
        <v>461</v>
      </c>
      <c r="AL3" s="2" t="s">
        <v>462</v>
      </c>
      <c r="AM3" s="2" t="s">
        <v>460</v>
      </c>
      <c r="AN3" s="2" t="s">
        <v>461</v>
      </c>
      <c r="AO3" s="2" t="s">
        <v>462</v>
      </c>
      <c r="AP3" s="2" t="s">
        <v>460</v>
      </c>
      <c r="AQ3" s="2" t="s">
        <v>461</v>
      </c>
      <c r="AR3" s="2" t="s">
        <v>462</v>
      </c>
      <c r="AS3" s="2" t="s">
        <v>460</v>
      </c>
      <c r="AT3" s="2" t="s">
        <v>461</v>
      </c>
      <c r="AU3" s="2" t="s">
        <v>462</v>
      </c>
      <c r="AV3" s="2" t="s">
        <v>460</v>
      </c>
      <c r="AW3" s="2" t="s">
        <v>461</v>
      </c>
      <c r="AX3" s="2" t="s">
        <v>462</v>
      </c>
      <c r="AY3" s="2" t="s">
        <v>460</v>
      </c>
      <c r="AZ3" s="2" t="s">
        <v>461</v>
      </c>
      <c r="BA3" s="2" t="s">
        <v>462</v>
      </c>
      <c r="BB3" s="2" t="s">
        <v>460</v>
      </c>
      <c r="BC3" s="2" t="s">
        <v>461</v>
      </c>
      <c r="BD3" s="2" t="s">
        <v>462</v>
      </c>
      <c r="BE3" s="2" t="s">
        <v>460</v>
      </c>
      <c r="BF3" s="2" t="s">
        <v>461</v>
      </c>
      <c r="BG3" s="2" t="s">
        <v>462</v>
      </c>
      <c r="BH3" s="2" t="s">
        <v>460</v>
      </c>
      <c r="BI3" s="2" t="s">
        <v>461</v>
      </c>
      <c r="BJ3" s="2" t="s">
        <v>462</v>
      </c>
      <c r="BK3" s="2" t="s">
        <v>460</v>
      </c>
      <c r="BL3" s="2" t="s">
        <v>461</v>
      </c>
      <c r="BM3" s="2" t="s">
        <v>462</v>
      </c>
      <c r="BN3" s="2" t="s">
        <v>460</v>
      </c>
      <c r="BO3" s="2" t="s">
        <v>461</v>
      </c>
      <c r="BP3" s="2" t="s">
        <v>462</v>
      </c>
      <c r="BQ3" s="2" t="s">
        <v>460</v>
      </c>
      <c r="BR3" s="2" t="s">
        <v>461</v>
      </c>
      <c r="BS3" s="2" t="s">
        <v>462</v>
      </c>
      <c r="BT3" s="2" t="s">
        <v>460</v>
      </c>
      <c r="BU3" s="2" t="s">
        <v>461</v>
      </c>
      <c r="BV3" s="2" t="s">
        <v>462</v>
      </c>
      <c r="BW3" s="2" t="s">
        <v>460</v>
      </c>
      <c r="BX3" s="2" t="s">
        <v>461</v>
      </c>
      <c r="BY3" s="2" t="s">
        <v>462</v>
      </c>
      <c r="BZ3" s="2" t="s">
        <v>460</v>
      </c>
      <c r="CA3" s="2" t="s">
        <v>461</v>
      </c>
      <c r="CB3" s="2" t="s">
        <v>462</v>
      </c>
      <c r="CC3" s="2" t="s">
        <v>460</v>
      </c>
      <c r="CD3" s="2" t="s">
        <v>461</v>
      </c>
      <c r="CE3" s="2" t="s">
        <v>462</v>
      </c>
      <c r="CF3" s="2" t="s">
        <v>460</v>
      </c>
      <c r="CG3" s="2" t="s">
        <v>461</v>
      </c>
      <c r="CH3" s="2" t="s">
        <v>462</v>
      </c>
      <c r="CI3" s="2" t="s">
        <v>460</v>
      </c>
      <c r="CJ3" s="2" t="s">
        <v>461</v>
      </c>
      <c r="CK3" s="2" t="s">
        <v>462</v>
      </c>
      <c r="CL3" s="2" t="s">
        <v>460</v>
      </c>
      <c r="CM3" s="2" t="s">
        <v>461</v>
      </c>
      <c r="CN3" s="2" t="s">
        <v>462</v>
      </c>
      <c r="CO3" s="2" t="s">
        <v>460</v>
      </c>
      <c r="CP3" s="2" t="s">
        <v>461</v>
      </c>
      <c r="CQ3" s="2" t="s">
        <v>462</v>
      </c>
      <c r="CR3" s="2" t="s">
        <v>460</v>
      </c>
      <c r="CS3" s="2" t="s">
        <v>461</v>
      </c>
      <c r="CT3" s="2" t="s">
        <v>462</v>
      </c>
      <c r="CU3" s="2" t="s">
        <v>460</v>
      </c>
      <c r="CV3" s="2" t="s">
        <v>461</v>
      </c>
      <c r="CW3" s="2" t="s">
        <v>462</v>
      </c>
      <c r="CX3" s="2" t="s">
        <v>460</v>
      </c>
      <c r="CY3" s="2" t="s">
        <v>461</v>
      </c>
      <c r="CZ3" s="2" t="s">
        <v>462</v>
      </c>
      <c r="DA3" s="2" t="s">
        <v>460</v>
      </c>
      <c r="DB3" s="2" t="s">
        <v>461</v>
      </c>
      <c r="DC3" s="2" t="s">
        <v>462</v>
      </c>
      <c r="DD3" s="2" t="s">
        <v>460</v>
      </c>
      <c r="DE3" s="2" t="s">
        <v>461</v>
      </c>
      <c r="DF3" s="2" t="s">
        <v>462</v>
      </c>
      <c r="DG3" s="2" t="s">
        <v>460</v>
      </c>
      <c r="DH3" s="2" t="s">
        <v>461</v>
      </c>
      <c r="DI3" s="2" t="s">
        <v>462</v>
      </c>
      <c r="DJ3" s="2" t="s">
        <v>460</v>
      </c>
      <c r="DK3" s="2" t="s">
        <v>461</v>
      </c>
      <c r="DL3" s="2" t="s">
        <v>462</v>
      </c>
      <c r="DM3" s="2" t="s">
        <v>460</v>
      </c>
      <c r="DN3" s="2" t="s">
        <v>461</v>
      </c>
      <c r="DO3" s="2" t="s">
        <v>462</v>
      </c>
      <c r="DP3" s="2" t="s">
        <v>460</v>
      </c>
      <c r="DQ3" s="2" t="s">
        <v>461</v>
      </c>
      <c r="DR3" s="2" t="s">
        <v>462</v>
      </c>
      <c r="DS3" s="2" t="s">
        <v>460</v>
      </c>
      <c r="DT3" s="2" t="s">
        <v>461</v>
      </c>
      <c r="DU3" s="2" t="s">
        <v>462</v>
      </c>
      <c r="DV3" s="2" t="s">
        <v>460</v>
      </c>
      <c r="DW3" s="2" t="s">
        <v>461</v>
      </c>
      <c r="DX3" s="2" t="s">
        <v>462</v>
      </c>
      <c r="DY3" s="2" t="s">
        <v>460</v>
      </c>
      <c r="DZ3" s="2" t="s">
        <v>461</v>
      </c>
      <c r="EA3" s="2" t="s">
        <v>462</v>
      </c>
      <c r="EB3" s="2" t="s">
        <v>460</v>
      </c>
      <c r="EC3" s="2" t="s">
        <v>461</v>
      </c>
      <c r="ED3" s="2" t="s">
        <v>462</v>
      </c>
      <c r="EE3" s="2" t="s">
        <v>460</v>
      </c>
      <c r="EF3" s="2" t="s">
        <v>461</v>
      </c>
      <c r="EG3" s="2" t="s">
        <v>462</v>
      </c>
      <c r="EH3" s="2" t="s">
        <v>460</v>
      </c>
      <c r="EI3" s="2" t="s">
        <v>461</v>
      </c>
      <c r="EJ3" s="2" t="s">
        <v>462</v>
      </c>
      <c r="EK3" s="2" t="s">
        <v>460</v>
      </c>
      <c r="EL3" s="2" t="s">
        <v>461</v>
      </c>
      <c r="EM3" s="2" t="s">
        <v>462</v>
      </c>
      <c r="EN3" s="2" t="s">
        <v>460</v>
      </c>
      <c r="EO3" s="2" t="s">
        <v>461</v>
      </c>
      <c r="EP3" s="2" t="s">
        <v>462</v>
      </c>
      <c r="EQ3" s="2" t="s">
        <v>460</v>
      </c>
      <c r="ER3" s="2" t="s">
        <v>461</v>
      </c>
      <c r="ES3" s="2" t="s">
        <v>462</v>
      </c>
    </row>
    <row r="4" customFormat="false" ht="15" hidden="false" customHeight="false" outlineLevel="0" collapsed="false">
      <c r="A4" s="2" t="n">
        <v>1</v>
      </c>
      <c r="B4" s="2" t="s">
        <v>125</v>
      </c>
      <c r="C4" s="2" t="s">
        <v>63</v>
      </c>
      <c r="D4" s="2" t="s">
        <v>463</v>
      </c>
      <c r="E4" s="2" t="s">
        <v>463</v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 customFormat="false" ht="15" hidden="false" customHeight="false" outlineLevel="0" collapsed="false">
      <c r="A5" s="2" t="n">
        <v>2</v>
      </c>
      <c r="B5" s="2" t="s">
        <v>464</v>
      </c>
      <c r="C5" s="2" t="s">
        <v>465</v>
      </c>
      <c r="D5" s="2" t="s">
        <v>463</v>
      </c>
      <c r="E5" s="2" t="s">
        <v>463</v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 customFormat="false" ht="15" hidden="false" customHeight="false" outlineLevel="0" collapsed="false">
      <c r="A6" s="2" t="n">
        <v>1</v>
      </c>
      <c r="B6" s="2" t="s">
        <v>128</v>
      </c>
      <c r="C6" s="2" t="s">
        <v>466</v>
      </c>
      <c r="D6" s="2" t="s">
        <v>463</v>
      </c>
      <c r="E6" s="2" t="s">
        <v>463</v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 customFormat="false" ht="15" hidden="false" customHeight="false" outlineLevel="0" collapsed="false">
      <c r="A7" s="2" t="n">
        <v>2</v>
      </c>
      <c r="B7" s="2" t="s">
        <v>467</v>
      </c>
      <c r="C7" s="2" t="s">
        <v>468</v>
      </c>
      <c r="D7" s="2" t="s">
        <v>463</v>
      </c>
      <c r="E7" s="2" t="s">
        <v>463</v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 customFormat="false" ht="15" hidden="false" customHeight="false" outlineLevel="0" collapsed="false">
      <c r="A8" s="2" t="n">
        <v>1</v>
      </c>
      <c r="B8" s="2" t="s">
        <v>131</v>
      </c>
      <c r="C8" s="2" t="s">
        <v>66</v>
      </c>
      <c r="D8" s="2" t="s">
        <v>463</v>
      </c>
      <c r="E8" s="2" t="s">
        <v>463</v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 customFormat="false" ht="15" hidden="false" customHeight="false" outlineLevel="0" collapsed="false">
      <c r="A9" s="2" t="n">
        <v>2</v>
      </c>
      <c r="B9" s="2" t="s">
        <v>469</v>
      </c>
      <c r="C9" s="2" t="s">
        <v>470</v>
      </c>
      <c r="D9" s="2" t="s">
        <v>463</v>
      </c>
      <c r="E9" s="2" t="s">
        <v>463</v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 customFormat="false" ht="15" hidden="false" customHeight="false" outlineLevel="0" collapsed="false">
      <c r="A10" s="2" t="n">
        <v>2</v>
      </c>
      <c r="B10" s="2" t="s">
        <v>471</v>
      </c>
      <c r="C10" s="2" t="s">
        <v>472</v>
      </c>
      <c r="D10" s="2" t="s">
        <v>463</v>
      </c>
      <c r="E10" s="2" t="s">
        <v>463</v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 customFormat="false" ht="15" hidden="false" customHeight="false" outlineLevel="0" collapsed="false">
      <c r="A11" s="2" t="n">
        <v>1</v>
      </c>
      <c r="B11" s="2" t="s">
        <v>133</v>
      </c>
      <c r="C11" s="2" t="s">
        <v>67</v>
      </c>
      <c r="D11" s="2" t="s">
        <v>463</v>
      </c>
      <c r="E11" s="2" t="s">
        <v>463</v>
      </c>
      <c r="F11" s="2" t="n">
        <v>934513.130737505</v>
      </c>
      <c r="G11" s="2" t="n">
        <v>0</v>
      </c>
      <c r="H11" s="2" t="n">
        <v>934513.130737505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 customFormat="false" ht="15" hidden="false" customHeight="false" outlineLevel="0" collapsed="false">
      <c r="A12" s="2" t="n">
        <v>2</v>
      </c>
      <c r="B12" s="2" t="s">
        <v>473</v>
      </c>
      <c r="C12" s="2" t="s">
        <v>474</v>
      </c>
      <c r="D12" s="2" t="s">
        <v>463</v>
      </c>
      <c r="E12" s="2" t="s">
        <v>463</v>
      </c>
      <c r="F12" s="2" t="n">
        <v>261239.611</v>
      </c>
      <c r="G12" s="2" t="n">
        <v>0</v>
      </c>
      <c r="H12" s="2" t="n">
        <v>261239.611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 customFormat="false" ht="15" hidden="false" customHeight="false" outlineLevel="0" collapsed="false">
      <c r="A13" s="2" t="n">
        <v>3</v>
      </c>
      <c r="B13" s="2" t="s">
        <v>475</v>
      </c>
      <c r="C13" s="2" t="s">
        <v>476</v>
      </c>
      <c r="D13" s="2" t="s">
        <v>463</v>
      </c>
      <c r="E13" s="2" t="s">
        <v>463</v>
      </c>
      <c r="F13" s="2" t="n">
        <v>260739.611</v>
      </c>
      <c r="G13" s="2" t="n">
        <v>0</v>
      </c>
      <c r="H13" s="2" t="n">
        <v>260739.611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 customFormat="false" ht="15" hidden="false" customHeight="false" outlineLevel="0" collapsed="false">
      <c r="A14" s="2" t="n">
        <v>3</v>
      </c>
      <c r="B14" s="2" t="s">
        <v>477</v>
      </c>
      <c r="C14" s="2" t="s">
        <v>478</v>
      </c>
      <c r="D14" s="2" t="s">
        <v>463</v>
      </c>
      <c r="E14" s="2" t="s">
        <v>463</v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 customFormat="false" ht="15" hidden="false" customHeight="false" outlineLevel="0" collapsed="false">
      <c r="A15" s="2" t="n">
        <v>2</v>
      </c>
      <c r="B15" s="2" t="s">
        <v>479</v>
      </c>
      <c r="C15" s="2" t="s">
        <v>480</v>
      </c>
      <c r="D15" s="2" t="s">
        <v>463</v>
      </c>
      <c r="E15" s="2" t="s">
        <v>463</v>
      </c>
      <c r="F15" s="2" t="n">
        <v>252548.754426243</v>
      </c>
      <c r="G15" s="2" t="n">
        <v>0</v>
      </c>
      <c r="H15" s="2" t="n">
        <v>252548.754426243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 customFormat="false" ht="15" hidden="false" customHeight="false" outlineLevel="0" collapsed="false">
      <c r="A16" s="2" t="n">
        <v>3</v>
      </c>
      <c r="B16" s="2" t="s">
        <v>481</v>
      </c>
      <c r="C16" s="2" t="s">
        <v>482</v>
      </c>
      <c r="D16" s="2" t="s">
        <v>463</v>
      </c>
      <c r="E16" s="2" t="s">
        <v>463</v>
      </c>
      <c r="F16" s="2" t="n">
        <v>70540.4403084504</v>
      </c>
      <c r="G16" s="2" t="n">
        <v>0</v>
      </c>
      <c r="H16" s="2" t="n">
        <v>70540.4403084504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 customFormat="false" ht="15" hidden="false" customHeight="false" outlineLevel="0" collapsed="false">
      <c r="A17" s="2" t="n">
        <v>3</v>
      </c>
      <c r="B17" s="2" t="s">
        <v>483</v>
      </c>
      <c r="C17" s="2" t="s">
        <v>484</v>
      </c>
      <c r="D17" s="2" t="s">
        <v>463</v>
      </c>
      <c r="E17" s="2" t="s">
        <v>463</v>
      </c>
      <c r="F17" s="2" t="n">
        <v>63432.6187583272</v>
      </c>
      <c r="G17" s="2" t="n">
        <v>0</v>
      </c>
      <c r="H17" s="2" t="n">
        <v>63432.6187583272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 customFormat="false" ht="15" hidden="false" customHeight="false" outlineLevel="0" collapsed="false">
      <c r="A18" s="2" t="n">
        <v>3</v>
      </c>
      <c r="B18" s="2" t="s">
        <v>485</v>
      </c>
      <c r="C18" s="2" t="s">
        <v>486</v>
      </c>
      <c r="D18" s="2" t="s">
        <v>463</v>
      </c>
      <c r="E18" s="2" t="s">
        <v>463</v>
      </c>
      <c r="F18" s="2" t="n">
        <v>1718.48833854297</v>
      </c>
      <c r="G18" s="2" t="n">
        <v>0</v>
      </c>
      <c r="H18" s="2" t="n">
        <v>1718.48833854297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 customFormat="false" ht="15" hidden="false" customHeight="false" outlineLevel="0" collapsed="false">
      <c r="A19" s="2" t="n">
        <v>3</v>
      </c>
      <c r="B19" s="2" t="s">
        <v>487</v>
      </c>
      <c r="C19" s="2" t="s">
        <v>488</v>
      </c>
      <c r="D19" s="2" t="s">
        <v>463</v>
      </c>
      <c r="E19" s="2" t="s">
        <v>463</v>
      </c>
      <c r="F19" s="2" t="n">
        <v>51554.6501562892</v>
      </c>
      <c r="G19" s="2" t="n">
        <v>0</v>
      </c>
      <c r="H19" s="2" t="n">
        <v>51554.6501562892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 customFormat="false" ht="15" hidden="false" customHeight="false" outlineLevel="0" collapsed="false">
      <c r="A20" s="2" t="n">
        <v>3</v>
      </c>
      <c r="B20" s="2" t="s">
        <v>489</v>
      </c>
      <c r="C20" s="2" t="s">
        <v>490</v>
      </c>
      <c r="D20" s="2" t="s">
        <v>463</v>
      </c>
      <c r="E20" s="2" t="s">
        <v>463</v>
      </c>
      <c r="F20" s="2" t="n">
        <v>44680.6968021173</v>
      </c>
      <c r="G20" s="2" t="n">
        <v>0</v>
      </c>
      <c r="H20" s="2" t="n">
        <v>44680.6968021173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 customFormat="false" ht="15" hidden="false" customHeight="false" outlineLevel="0" collapsed="false">
      <c r="A21" s="2" t="n">
        <v>3</v>
      </c>
      <c r="B21" s="2" t="s">
        <v>491</v>
      </c>
      <c r="C21" s="2" t="s">
        <v>492</v>
      </c>
      <c r="D21" s="2" t="s">
        <v>463</v>
      </c>
      <c r="E21" s="2" t="s">
        <v>463</v>
      </c>
      <c r="F21" s="2" t="n">
        <v>20621.8600625157</v>
      </c>
      <c r="G21" s="2" t="n">
        <v>0</v>
      </c>
      <c r="H21" s="2" t="n">
        <v>20621.8600625157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 customFormat="false" ht="15" hidden="false" customHeight="false" outlineLevel="0" collapsed="false">
      <c r="A22" s="2" t="n">
        <v>2</v>
      </c>
      <c r="B22" s="2" t="s">
        <v>493</v>
      </c>
      <c r="C22" s="2" t="s">
        <v>494</v>
      </c>
      <c r="D22" s="2" t="s">
        <v>463</v>
      </c>
      <c r="E22" s="2" t="s">
        <v>463</v>
      </c>
      <c r="F22" s="2" t="n">
        <v>174114.811183567</v>
      </c>
      <c r="G22" s="2" t="n">
        <v>0</v>
      </c>
      <c r="H22" s="2" t="n">
        <v>174114.811183567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 customFormat="false" ht="15" hidden="false" customHeight="false" outlineLevel="0" collapsed="false">
      <c r="A23" s="2" t="n">
        <v>3</v>
      </c>
      <c r="B23" s="2" t="s">
        <v>495</v>
      </c>
      <c r="C23" s="2" t="s">
        <v>482</v>
      </c>
      <c r="D23" s="2" t="s">
        <v>463</v>
      </c>
      <c r="E23" s="2" t="s">
        <v>463</v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 customFormat="false" ht="15" hidden="false" customHeight="false" outlineLevel="0" collapsed="false">
      <c r="A24" s="2" t="n">
        <v>3</v>
      </c>
      <c r="B24" s="2" t="s">
        <v>496</v>
      </c>
      <c r="C24" s="2" t="s">
        <v>484</v>
      </c>
      <c r="D24" s="2" t="s">
        <v>463</v>
      </c>
      <c r="E24" s="2" t="s">
        <v>463</v>
      </c>
      <c r="F24" s="2" t="n">
        <v>45794.4120455003</v>
      </c>
      <c r="G24" s="2" t="n">
        <v>0</v>
      </c>
      <c r="H24" s="2" t="n">
        <v>45794.4120455003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 customFormat="false" ht="15" hidden="false" customHeight="false" outlineLevel="0" collapsed="false">
      <c r="A25" s="2" t="n">
        <v>3</v>
      </c>
      <c r="B25" s="2" t="s">
        <v>497</v>
      </c>
      <c r="C25" s="2" t="s">
        <v>488</v>
      </c>
      <c r="D25" s="2" t="s">
        <v>463</v>
      </c>
      <c r="E25" s="2" t="s">
        <v>463</v>
      </c>
      <c r="F25" s="2" t="n">
        <v>42235.9843705524</v>
      </c>
      <c r="G25" s="2" t="n">
        <v>0</v>
      </c>
      <c r="H25" s="2" t="n">
        <v>42235.9843705524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 customFormat="false" ht="15" hidden="false" customHeight="false" outlineLevel="0" collapsed="false">
      <c r="A26" s="2" t="n">
        <v>3</v>
      </c>
      <c r="B26" s="2" t="s">
        <v>498</v>
      </c>
      <c r="C26" s="2" t="s">
        <v>490</v>
      </c>
      <c r="D26" s="2" t="s">
        <v>463</v>
      </c>
      <c r="E26" s="2" t="s">
        <v>463</v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 customFormat="false" ht="15" hidden="false" customHeight="false" outlineLevel="0" collapsed="false">
      <c r="A27" s="2" t="n">
        <v>2</v>
      </c>
      <c r="B27" s="2" t="s">
        <v>499</v>
      </c>
      <c r="C27" s="2" t="s">
        <v>500</v>
      </c>
      <c r="D27" s="2" t="s">
        <v>463</v>
      </c>
      <c r="E27" s="2" t="s">
        <v>463</v>
      </c>
      <c r="F27" s="2" t="n">
        <v>25661.5906223315</v>
      </c>
      <c r="G27" s="2" t="n">
        <v>0</v>
      </c>
      <c r="H27" s="2" t="n">
        <v>25661.5906223315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 customFormat="false" ht="15" hidden="false" customHeight="false" outlineLevel="0" collapsed="false">
      <c r="A28" s="2" t="n">
        <v>3</v>
      </c>
      <c r="B28" s="2" t="s">
        <v>501</v>
      </c>
      <c r="C28" s="2" t="s">
        <v>502</v>
      </c>
      <c r="D28" s="2" t="s">
        <v>463</v>
      </c>
      <c r="E28" s="2" t="s">
        <v>463</v>
      </c>
      <c r="F28" s="2" t="n">
        <v>8447.19687411049</v>
      </c>
      <c r="G28" s="2" t="n">
        <v>0</v>
      </c>
      <c r="H28" s="2" t="n">
        <v>8447.19687411049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 customFormat="false" ht="15" hidden="false" customHeight="false" outlineLevel="0" collapsed="false">
      <c r="A29" s="2" t="n">
        <v>3</v>
      </c>
      <c r="B29" s="2" t="s">
        <v>503</v>
      </c>
      <c r="C29" s="2" t="s">
        <v>504</v>
      </c>
      <c r="D29" s="2" t="s">
        <v>463</v>
      </c>
      <c r="E29" s="2" t="s">
        <v>463</v>
      </c>
      <c r="F29" s="2" t="n">
        <v>8447.19687411049</v>
      </c>
      <c r="G29" s="2" t="n">
        <v>0</v>
      </c>
      <c r="H29" s="2" t="n">
        <v>8447.19687411049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 customFormat="false" ht="15" hidden="false" customHeight="false" outlineLevel="0" collapsed="false">
      <c r="A30" s="2" t="n">
        <v>3</v>
      </c>
      <c r="B30" s="2" t="s">
        <v>505</v>
      </c>
      <c r="C30" s="2" t="s">
        <v>506</v>
      </c>
      <c r="D30" s="2" t="s">
        <v>463</v>
      </c>
      <c r="E30" s="2" t="s">
        <v>463</v>
      </c>
      <c r="F30" s="2" t="n">
        <v>8447.19687411049</v>
      </c>
      <c r="G30" s="2" t="n">
        <v>0</v>
      </c>
      <c r="H30" s="2" t="n">
        <v>8447.19687411049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 customFormat="false" ht="15" hidden="false" customHeight="false" outlineLevel="0" collapsed="false">
      <c r="A31" s="2" t="n">
        <v>3</v>
      </c>
      <c r="B31" s="2" t="s">
        <v>507</v>
      </c>
      <c r="C31" s="2" t="s">
        <v>508</v>
      </c>
      <c r="D31" s="2" t="s">
        <v>463</v>
      </c>
      <c r="E31" s="2" t="s">
        <v>463</v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 customFormat="false" ht="15" hidden="false" customHeight="false" outlineLevel="0" collapsed="false">
      <c r="A32" s="2" t="n">
        <v>2</v>
      </c>
      <c r="B32" s="2" t="s">
        <v>509</v>
      </c>
      <c r="C32" s="2" t="s">
        <v>510</v>
      </c>
      <c r="D32" s="2" t="s">
        <v>463</v>
      </c>
      <c r="E32" s="2" t="s">
        <v>463</v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 customFormat="false" ht="15" hidden="false" customHeight="false" outlineLevel="0" collapsed="false">
      <c r="A33" s="2" t="n">
        <v>3</v>
      </c>
      <c r="B33" s="2" t="s">
        <v>511</v>
      </c>
      <c r="C33" s="2" t="s">
        <v>512</v>
      </c>
      <c r="D33" s="2" t="s">
        <v>463</v>
      </c>
      <c r="E33" s="2" t="s">
        <v>463</v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 customFormat="false" ht="15" hidden="false" customHeight="false" outlineLevel="0" collapsed="false">
      <c r="A34" s="2" t="n">
        <v>4</v>
      </c>
      <c r="B34" s="2" t="s">
        <v>513</v>
      </c>
      <c r="C34" s="2" t="s">
        <v>514</v>
      </c>
      <c r="D34" s="2" t="s">
        <v>463</v>
      </c>
      <c r="E34" s="2" t="s">
        <v>463</v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 customFormat="false" ht="15" hidden="false" customHeight="false" outlineLevel="0" collapsed="false">
      <c r="A35" s="2" t="n">
        <v>4</v>
      </c>
      <c r="B35" s="2" t="s">
        <v>515</v>
      </c>
      <c r="C35" s="2" t="s">
        <v>516</v>
      </c>
      <c r="D35" s="2" t="s">
        <v>463</v>
      </c>
      <c r="E35" s="2" t="s">
        <v>463</v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 customFormat="false" ht="15" hidden="false" customHeight="false" outlineLevel="0" collapsed="false">
      <c r="A36" s="2" t="n">
        <v>4</v>
      </c>
      <c r="B36" s="2" t="s">
        <v>517</v>
      </c>
      <c r="C36" s="2" t="s">
        <v>518</v>
      </c>
      <c r="D36" s="2" t="s">
        <v>463</v>
      </c>
      <c r="E36" s="2" t="s">
        <v>463</v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 customFormat="false" ht="15" hidden="false" customHeight="false" outlineLevel="0" collapsed="false">
      <c r="A37" s="2" t="n">
        <v>4</v>
      </c>
      <c r="B37" s="2" t="s">
        <v>519</v>
      </c>
      <c r="C37" s="2" t="s">
        <v>520</v>
      </c>
      <c r="D37" s="2" t="s">
        <v>463</v>
      </c>
      <c r="E37" s="2" t="s">
        <v>463</v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 customFormat="false" ht="15" hidden="false" customHeight="false" outlineLevel="0" collapsed="false">
      <c r="A38" s="2" t="n">
        <v>4</v>
      </c>
      <c r="B38" s="2" t="s">
        <v>521</v>
      </c>
      <c r="C38" s="2" t="s">
        <v>522</v>
      </c>
      <c r="D38" s="2" t="s">
        <v>463</v>
      </c>
      <c r="E38" s="2" t="s">
        <v>463</v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 customFormat="false" ht="15" hidden="false" customHeight="false" outlineLevel="0" collapsed="false">
      <c r="A39" s="2" t="n">
        <v>4</v>
      </c>
      <c r="B39" s="2" t="s">
        <v>523</v>
      </c>
      <c r="C39" s="2" t="s">
        <v>524</v>
      </c>
      <c r="D39" s="2" t="s">
        <v>463</v>
      </c>
      <c r="E39" s="2" t="s">
        <v>463</v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 customFormat="false" ht="15" hidden="false" customHeight="false" outlineLevel="0" collapsed="false">
      <c r="A40" s="2" t="n">
        <v>4</v>
      </c>
      <c r="B40" s="2" t="s">
        <v>525</v>
      </c>
      <c r="C40" s="2" t="s">
        <v>526</v>
      </c>
      <c r="D40" s="2" t="s">
        <v>463</v>
      </c>
      <c r="E40" s="2" t="s">
        <v>463</v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 customFormat="false" ht="15" hidden="false" customHeight="false" outlineLevel="0" collapsed="false">
      <c r="A41" s="2" t="n">
        <v>4</v>
      </c>
      <c r="B41" s="2" t="s">
        <v>527</v>
      </c>
      <c r="C41" s="2" t="s">
        <v>528</v>
      </c>
      <c r="D41" s="2" t="s">
        <v>463</v>
      </c>
      <c r="E41" s="2" t="s">
        <v>463</v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 customFormat="false" ht="15" hidden="false" customHeight="false" outlineLevel="0" collapsed="false">
      <c r="A42" s="2" t="n">
        <v>4</v>
      </c>
      <c r="B42" s="2" t="s">
        <v>529</v>
      </c>
      <c r="C42" s="2" t="s">
        <v>530</v>
      </c>
      <c r="D42" s="2" t="s">
        <v>463</v>
      </c>
      <c r="E42" s="2" t="s">
        <v>463</v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 customFormat="false" ht="15" hidden="false" customHeight="false" outlineLevel="0" collapsed="false">
      <c r="A43" s="2" t="n">
        <v>4</v>
      </c>
      <c r="B43" s="2" t="s">
        <v>531</v>
      </c>
      <c r="C43" s="2" t="s">
        <v>532</v>
      </c>
      <c r="D43" s="2" t="s">
        <v>463</v>
      </c>
      <c r="E43" s="2" t="s">
        <v>463</v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 customFormat="false" ht="15" hidden="false" customHeight="false" outlineLevel="0" collapsed="false">
      <c r="A44" s="2" t="n">
        <v>3</v>
      </c>
      <c r="B44" s="2" t="s">
        <v>533</v>
      </c>
      <c r="C44" s="2" t="s">
        <v>534</v>
      </c>
      <c r="D44" s="2" t="s">
        <v>463</v>
      </c>
      <c r="E44" s="2" t="s">
        <v>463</v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 customFormat="false" ht="15" hidden="false" customHeight="false" outlineLevel="0" collapsed="false">
      <c r="A45" s="2" t="n">
        <v>4</v>
      </c>
      <c r="B45" s="2" t="s">
        <v>535</v>
      </c>
      <c r="C45" s="2" t="s">
        <v>536</v>
      </c>
      <c r="D45" s="2" t="s">
        <v>463</v>
      </c>
      <c r="E45" s="2" t="s">
        <v>463</v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 customFormat="false" ht="15" hidden="false" customHeight="false" outlineLevel="0" collapsed="false">
      <c r="A46" s="2" t="n">
        <v>4</v>
      </c>
      <c r="B46" s="2" t="s">
        <v>537</v>
      </c>
      <c r="C46" s="2" t="s">
        <v>538</v>
      </c>
      <c r="D46" s="2" t="s">
        <v>463</v>
      </c>
      <c r="E46" s="2" t="s">
        <v>463</v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 customFormat="false" ht="15" hidden="false" customHeight="false" outlineLevel="0" collapsed="false">
      <c r="A47" s="2" t="n">
        <v>3</v>
      </c>
      <c r="B47" s="2" t="s">
        <v>539</v>
      </c>
      <c r="C47" s="2" t="s">
        <v>540</v>
      </c>
      <c r="D47" s="2" t="s">
        <v>463</v>
      </c>
      <c r="E47" s="2" t="s">
        <v>463</v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 customFormat="false" ht="15" hidden="false" customHeight="false" outlineLevel="0" collapsed="false">
      <c r="A48" s="2" t="n">
        <v>4</v>
      </c>
      <c r="B48" s="2" t="s">
        <v>541</v>
      </c>
      <c r="C48" s="2" t="s">
        <v>516</v>
      </c>
      <c r="D48" s="2" t="s">
        <v>463</v>
      </c>
      <c r="E48" s="2" t="s">
        <v>463</v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 customFormat="false" ht="15" hidden="false" customHeight="false" outlineLevel="0" collapsed="false">
      <c r="A49" s="2" t="n">
        <v>4</v>
      </c>
      <c r="B49" s="2" t="s">
        <v>542</v>
      </c>
      <c r="C49" s="2" t="s">
        <v>518</v>
      </c>
      <c r="D49" s="2" t="s">
        <v>463</v>
      </c>
      <c r="E49" s="2" t="s">
        <v>463</v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 customFormat="false" ht="15" hidden="false" customHeight="false" outlineLevel="0" collapsed="false">
      <c r="A50" s="2" t="n">
        <v>4</v>
      </c>
      <c r="B50" s="2" t="s">
        <v>543</v>
      </c>
      <c r="C50" s="2" t="s">
        <v>544</v>
      </c>
      <c r="D50" s="2" t="s">
        <v>463</v>
      </c>
      <c r="E50" s="2" t="s">
        <v>463</v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 customFormat="false" ht="15" hidden="false" customHeight="false" outlineLevel="0" collapsed="false">
      <c r="A51" s="2" t="n">
        <v>4</v>
      </c>
      <c r="B51" s="2" t="s">
        <v>545</v>
      </c>
      <c r="C51" s="2" t="s">
        <v>546</v>
      </c>
      <c r="D51" s="2" t="s">
        <v>463</v>
      </c>
      <c r="E51" s="2" t="s">
        <v>463</v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 customFormat="false" ht="15" hidden="false" customHeight="false" outlineLevel="0" collapsed="false">
      <c r="A52" s="2" t="n">
        <v>4</v>
      </c>
      <c r="B52" s="2" t="s">
        <v>547</v>
      </c>
      <c r="C52" s="2" t="s">
        <v>548</v>
      </c>
      <c r="D52" s="2" t="s">
        <v>463</v>
      </c>
      <c r="E52" s="2" t="s">
        <v>463</v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 customFormat="false" ht="15" hidden="false" customHeight="false" outlineLevel="0" collapsed="false">
      <c r="A53" s="2" t="n">
        <v>3</v>
      </c>
      <c r="B53" s="2" t="s">
        <v>549</v>
      </c>
      <c r="C53" s="2" t="s">
        <v>550</v>
      </c>
      <c r="D53" s="2" t="s">
        <v>463</v>
      </c>
      <c r="E53" s="2" t="s">
        <v>463</v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 customFormat="false" ht="15" hidden="false" customHeight="false" outlineLevel="0" collapsed="false">
      <c r="A54" s="2" t="n">
        <v>4</v>
      </c>
      <c r="B54" s="2" t="s">
        <v>551</v>
      </c>
      <c r="C54" s="2" t="s">
        <v>552</v>
      </c>
      <c r="D54" s="2" t="s">
        <v>463</v>
      </c>
      <c r="E54" s="2" t="s">
        <v>463</v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 customFormat="false" ht="15" hidden="false" customHeight="false" outlineLevel="0" collapsed="false">
      <c r="A55" s="2" t="n">
        <v>4</v>
      </c>
      <c r="B55" s="2" t="s">
        <v>553</v>
      </c>
      <c r="C55" s="2" t="s">
        <v>554</v>
      </c>
      <c r="D55" s="2" t="s">
        <v>463</v>
      </c>
      <c r="E55" s="2" t="s">
        <v>463</v>
      </c>
      <c r="F55" s="2" t="n">
        <v>7500</v>
      </c>
      <c r="G55" s="2" t="n">
        <v>0</v>
      </c>
      <c r="H55" s="2" t="n">
        <v>7500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 customFormat="false" ht="15" hidden="false" customHeight="false" outlineLevel="0" collapsed="false">
      <c r="A56" s="2" t="n">
        <v>4</v>
      </c>
      <c r="B56" s="2" t="s">
        <v>555</v>
      </c>
      <c r="C56" s="2" t="s">
        <v>556</v>
      </c>
      <c r="D56" s="2" t="s">
        <v>463</v>
      </c>
      <c r="E56" s="2" t="s">
        <v>463</v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 customFormat="false" ht="15" hidden="false" customHeight="false" outlineLevel="0" collapsed="false">
      <c r="A57" s="2" t="n">
        <v>4</v>
      </c>
      <c r="B57" s="2" t="s">
        <v>557</v>
      </c>
      <c r="C57" s="2" t="s">
        <v>558</v>
      </c>
      <c r="D57" s="2" t="s">
        <v>463</v>
      </c>
      <c r="E57" s="2" t="s">
        <v>463</v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 customFormat="false" ht="15" hidden="false" customHeight="false" outlineLevel="0" collapsed="false">
      <c r="A58" s="2" t="n">
        <v>4</v>
      </c>
      <c r="B58" s="2" t="s">
        <v>559</v>
      </c>
      <c r="C58" s="2" t="s">
        <v>560</v>
      </c>
      <c r="D58" s="2" t="s">
        <v>463</v>
      </c>
      <c r="E58" s="2" t="s">
        <v>463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 customFormat="false" ht="15" hidden="false" customHeight="false" outlineLevel="0" collapsed="false">
      <c r="A59" s="2" t="n">
        <v>4</v>
      </c>
      <c r="B59" s="2" t="s">
        <v>561</v>
      </c>
      <c r="C59" s="2" t="s">
        <v>562</v>
      </c>
      <c r="D59" s="2" t="s">
        <v>463</v>
      </c>
      <c r="E59" s="2" t="s">
        <v>463</v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 customFormat="false" ht="15" hidden="false" customHeight="false" outlineLevel="0" collapsed="false">
      <c r="A60" s="2" t="n">
        <v>3</v>
      </c>
      <c r="B60" s="2" t="s">
        <v>563</v>
      </c>
      <c r="C60" s="2" t="s">
        <v>564</v>
      </c>
      <c r="D60" s="2" t="s">
        <v>463</v>
      </c>
      <c r="E60" s="2" t="s">
        <v>463</v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 customFormat="false" ht="15" hidden="false" customHeight="false" outlineLevel="0" collapsed="false">
      <c r="A61" s="2" t="n">
        <v>4</v>
      </c>
      <c r="B61" s="2" t="s">
        <v>565</v>
      </c>
      <c r="C61" s="2" t="s">
        <v>514</v>
      </c>
      <c r="D61" s="2" t="s">
        <v>463</v>
      </c>
      <c r="E61" s="2" t="s">
        <v>463</v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 customFormat="false" ht="15" hidden="false" customHeight="false" outlineLevel="0" collapsed="false">
      <c r="A62" s="2" t="n">
        <v>4</v>
      </c>
      <c r="B62" s="2" t="s">
        <v>566</v>
      </c>
      <c r="C62" s="2" t="s">
        <v>516</v>
      </c>
      <c r="D62" s="2" t="s">
        <v>463</v>
      </c>
      <c r="E62" s="2" t="s">
        <v>463</v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 customFormat="false" ht="15" hidden="false" customHeight="false" outlineLevel="0" collapsed="false">
      <c r="A63" s="2" t="n">
        <v>4</v>
      </c>
      <c r="B63" s="2" t="s">
        <v>567</v>
      </c>
      <c r="C63" s="2" t="s">
        <v>518</v>
      </c>
      <c r="D63" s="2" t="s">
        <v>463</v>
      </c>
      <c r="E63" s="2" t="s">
        <v>463</v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 customFormat="false" ht="15" hidden="false" customHeight="false" outlineLevel="0" collapsed="false">
      <c r="A64" s="2" t="n">
        <v>4</v>
      </c>
      <c r="B64" s="2" t="s">
        <v>568</v>
      </c>
      <c r="C64" s="2" t="s">
        <v>522</v>
      </c>
      <c r="D64" s="2" t="s">
        <v>463</v>
      </c>
      <c r="E64" s="2" t="s">
        <v>463</v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 customFormat="false" ht="15" hidden="false" customHeight="false" outlineLevel="0" collapsed="false">
      <c r="A65" s="2" t="n">
        <v>4</v>
      </c>
      <c r="B65" s="2" t="s">
        <v>569</v>
      </c>
      <c r="C65" s="2" t="s">
        <v>524</v>
      </c>
      <c r="D65" s="2" t="s">
        <v>463</v>
      </c>
      <c r="E65" s="2" t="s">
        <v>463</v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 customFormat="false" ht="15" hidden="false" customHeight="false" outlineLevel="0" collapsed="false">
      <c r="A66" s="2" t="n">
        <v>2</v>
      </c>
      <c r="B66" s="2" t="s">
        <v>570</v>
      </c>
      <c r="C66" s="2" t="s">
        <v>571</v>
      </c>
      <c r="D66" s="2" t="s">
        <v>463</v>
      </c>
      <c r="E66" s="2" t="s">
        <v>463</v>
      </c>
      <c r="F66" s="2" t="n">
        <v>45283.8635053639</v>
      </c>
      <c r="G66" s="2" t="n">
        <v>0</v>
      </c>
      <c r="H66" s="2" t="n">
        <v>45283.8635053639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 customFormat="false" ht="15" hidden="false" customHeight="false" outlineLevel="0" collapsed="false">
      <c r="A67" s="2" t="n">
        <v>3</v>
      </c>
      <c r="B67" s="2" t="s">
        <v>572</v>
      </c>
      <c r="C67" s="2" t="s">
        <v>573</v>
      </c>
      <c r="D67" s="2" t="s">
        <v>463</v>
      </c>
      <c r="E67" s="2" t="s">
        <v>463</v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 customFormat="false" ht="15" hidden="false" customHeight="false" outlineLevel="0" collapsed="false">
      <c r="A68" s="2" t="n">
        <v>3</v>
      </c>
      <c r="B68" s="2" t="s">
        <v>574</v>
      </c>
      <c r="C68" s="2" t="s">
        <v>575</v>
      </c>
      <c r="D68" s="2" t="s">
        <v>463</v>
      </c>
      <c r="E68" s="2" t="s">
        <v>463</v>
      </c>
      <c r="F68" s="2" t="n">
        <v>30283.8635053639</v>
      </c>
      <c r="G68" s="2" t="n">
        <v>0</v>
      </c>
      <c r="H68" s="2" t="n">
        <v>30283.8635053639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 customFormat="false" ht="15" hidden="false" customHeight="false" outlineLevel="0" collapsed="false">
      <c r="A69" s="2" t="n">
        <v>1</v>
      </c>
      <c r="B69" s="2" t="s">
        <v>135</v>
      </c>
      <c r="C69" s="2" t="s">
        <v>137</v>
      </c>
      <c r="D69" s="2" t="s">
        <v>463</v>
      </c>
      <c r="E69" s="2" t="s">
        <v>463</v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 customFormat="false" ht="15" hidden="false" customHeight="false" outlineLevel="0" collapsed="false">
      <c r="A70" s="2" t="n">
        <v>2</v>
      </c>
      <c r="B70" s="2" t="s">
        <v>576</v>
      </c>
      <c r="C70" s="2" t="s">
        <v>577</v>
      </c>
      <c r="D70" s="2" t="s">
        <v>463</v>
      </c>
      <c r="E70" s="2" t="s">
        <v>463</v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 customFormat="false" ht="15" hidden="false" customHeight="false" outlineLevel="0" collapsed="false">
      <c r="A71" s="2" t="n">
        <v>2</v>
      </c>
      <c r="B71" s="2" t="s">
        <v>578</v>
      </c>
      <c r="C71" s="2" t="s">
        <v>579</v>
      </c>
      <c r="D71" s="2" t="s">
        <v>463</v>
      </c>
      <c r="E71" s="2" t="s">
        <v>463</v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 customFormat="false" ht="15" hidden="false" customHeight="false" outlineLevel="0" collapsed="false">
      <c r="A72" s="2" t="n">
        <v>2</v>
      </c>
      <c r="B72" s="2" t="s">
        <v>580</v>
      </c>
      <c r="C72" s="2" t="s">
        <v>581</v>
      </c>
      <c r="D72" s="2" t="s">
        <v>463</v>
      </c>
      <c r="E72" s="2" t="s">
        <v>463</v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 customFormat="false" ht="15" hidden="false" customHeight="false" outlineLevel="0" collapsed="false">
      <c r="A73" s="2" t="n">
        <v>1</v>
      </c>
      <c r="B73" s="2" t="s">
        <v>139</v>
      </c>
      <c r="C73" s="2" t="s">
        <v>140</v>
      </c>
      <c r="D73" s="2" t="s">
        <v>463</v>
      </c>
      <c r="E73" s="2" t="s">
        <v>463</v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 customFormat="false" ht="15" hidden="false" customHeight="false" outlineLevel="0" collapsed="false">
      <c r="A74" s="2" t="n">
        <v>2</v>
      </c>
      <c r="B74" s="2" t="s">
        <v>582</v>
      </c>
      <c r="C74" s="2" t="s">
        <v>583</v>
      </c>
      <c r="D74" s="2" t="s">
        <v>463</v>
      </c>
      <c r="E74" s="2" t="s">
        <v>463</v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 customFormat="false" ht="15" hidden="false" customHeight="false" outlineLevel="0" collapsed="false">
      <c r="A75" s="2" t="n">
        <v>2</v>
      </c>
      <c r="B75" s="2" t="s">
        <v>584</v>
      </c>
      <c r="C75" s="2" t="s">
        <v>585</v>
      </c>
      <c r="D75" s="2" t="s">
        <v>463</v>
      </c>
      <c r="E75" s="2" t="s">
        <v>463</v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 customFormat="false" ht="15" hidden="false" customHeight="false" outlineLevel="0" collapsed="false">
      <c r="A76" s="2" t="n">
        <v>2</v>
      </c>
      <c r="B76" s="2" t="s">
        <v>586</v>
      </c>
      <c r="C76" s="2" t="s">
        <v>587</v>
      </c>
      <c r="D76" s="2" t="s">
        <v>463</v>
      </c>
      <c r="E76" s="2" t="s">
        <v>463</v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 customFormat="false" ht="15" hidden="false" customHeight="false" outlineLevel="0" collapsed="false">
      <c r="A77" s="2" t="n">
        <v>2</v>
      </c>
      <c r="B77" s="2" t="s">
        <v>588</v>
      </c>
      <c r="C77" s="2" t="s">
        <v>589</v>
      </c>
      <c r="D77" s="2" t="s">
        <v>463</v>
      </c>
      <c r="E77" s="2" t="s">
        <v>463</v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 customFormat="false" ht="15" hidden="false" customHeight="false" outlineLevel="0" collapsed="false">
      <c r="A78" s="2" t="n">
        <v>1</v>
      </c>
      <c r="B78" s="2" t="s">
        <v>142</v>
      </c>
      <c r="C78" s="2" t="s">
        <v>83</v>
      </c>
      <c r="D78" s="2" t="s">
        <v>463</v>
      </c>
      <c r="E78" s="2" t="s">
        <v>463</v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 customFormat="false" ht="15" hidden="false" customHeight="false" outlineLevel="0" collapsed="false">
      <c r="A79" s="2" t="n">
        <v>2</v>
      </c>
      <c r="B79" s="2" t="s">
        <v>590</v>
      </c>
      <c r="C79" s="2" t="s">
        <v>591</v>
      </c>
      <c r="D79" s="2" t="s">
        <v>463</v>
      </c>
      <c r="E79" s="2" t="s">
        <v>463</v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 customFormat="false" ht="15" hidden="false" customHeight="false" outlineLevel="0" collapsed="false">
      <c r="A80" s="2" t="n">
        <v>2</v>
      </c>
      <c r="B80" s="2" t="s">
        <v>592</v>
      </c>
      <c r="C80" s="2" t="s">
        <v>593</v>
      </c>
      <c r="D80" s="2" t="s">
        <v>463</v>
      </c>
      <c r="E80" s="2" t="s">
        <v>463</v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 customFormat="false" ht="15" hidden="false" customHeight="false" outlineLevel="0" collapsed="false">
      <c r="A81" s="2" t="n">
        <v>2</v>
      </c>
      <c r="B81" s="2" t="s">
        <v>594</v>
      </c>
      <c r="C81" s="2" t="s">
        <v>595</v>
      </c>
      <c r="D81" s="2" t="s">
        <v>463</v>
      </c>
      <c r="E81" s="2" t="s">
        <v>463</v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 customFormat="false" ht="15" hidden="false" customHeight="false" outlineLevel="0" collapsed="false">
      <c r="A82" s="2" t="n">
        <v>2</v>
      </c>
      <c r="B82" s="2" t="s">
        <v>596</v>
      </c>
      <c r="C82" s="2" t="s">
        <v>597</v>
      </c>
      <c r="D82" s="2" t="s">
        <v>463</v>
      </c>
      <c r="E82" s="2" t="s">
        <v>463</v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 customFormat="false" ht="15" hidden="false" customHeight="false" outlineLevel="0" collapsed="false">
      <c r="A83" s="2" t="n">
        <v>2</v>
      </c>
      <c r="B83" s="2" t="s">
        <v>598</v>
      </c>
      <c r="C83" s="2" t="s">
        <v>599</v>
      </c>
      <c r="D83" s="2" t="s">
        <v>463</v>
      </c>
      <c r="E83" s="2" t="s">
        <v>463</v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 customFormat="false" ht="15" hidden="false" customHeight="false" outlineLevel="0" collapsed="false">
      <c r="A84" s="2" t="n">
        <v>1</v>
      </c>
      <c r="B84" s="2" t="s">
        <v>144</v>
      </c>
      <c r="C84" s="2" t="s">
        <v>145</v>
      </c>
      <c r="D84" s="2" t="s">
        <v>463</v>
      </c>
      <c r="E84" s="2" t="s">
        <v>463</v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 customFormat="false" ht="15" hidden="false" customHeight="false" outlineLevel="0" collapsed="false">
      <c r="A85" s="2" t="n">
        <v>2</v>
      </c>
      <c r="B85" s="2" t="s">
        <v>600</v>
      </c>
      <c r="C85" s="2" t="s">
        <v>601</v>
      </c>
      <c r="D85" s="2" t="s">
        <v>463</v>
      </c>
      <c r="E85" s="2" t="s">
        <v>463</v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 customFormat="false" ht="15" hidden="false" customHeight="false" outlineLevel="0" collapsed="false">
      <c r="A86" s="2" t="n">
        <v>2</v>
      </c>
      <c r="B86" s="2" t="s">
        <v>602</v>
      </c>
      <c r="C86" s="2" t="s">
        <v>603</v>
      </c>
      <c r="D86" s="2" t="s">
        <v>463</v>
      </c>
      <c r="E86" s="2" t="s">
        <v>463</v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 customFormat="false" ht="15" hidden="false" customHeight="false" outlineLevel="0" collapsed="false">
      <c r="A87" s="2" t="n">
        <v>2</v>
      </c>
      <c r="B87" s="2" t="s">
        <v>604</v>
      </c>
      <c r="C87" s="2" t="s">
        <v>605</v>
      </c>
      <c r="D87" s="2" t="s">
        <v>463</v>
      </c>
      <c r="E87" s="2" t="s">
        <v>463</v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 customFormat="false" ht="15" hidden="false" customHeight="false" outlineLevel="0" collapsed="false">
      <c r="A88" s="2" t="n">
        <v>2</v>
      </c>
      <c r="B88" s="2" t="s">
        <v>606</v>
      </c>
      <c r="C88" s="2" t="s">
        <v>607</v>
      </c>
      <c r="D88" s="2" t="s">
        <v>463</v>
      </c>
      <c r="E88" s="2" t="s">
        <v>463</v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 customFormat="false" ht="15" hidden="false" customHeight="false" outlineLevel="0" collapsed="false">
      <c r="A89" s="2" t="n">
        <v>1</v>
      </c>
      <c r="B89" s="2" t="s">
        <v>147</v>
      </c>
      <c r="C89" s="2" t="s">
        <v>69</v>
      </c>
      <c r="D89" s="2" t="s">
        <v>463</v>
      </c>
      <c r="E89" s="2" t="s">
        <v>463</v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 customFormat="false" ht="15" hidden="false" customHeight="false" outlineLevel="0" collapsed="false">
      <c r="A90" s="2" t="n">
        <v>2</v>
      </c>
      <c r="B90" s="2" t="s">
        <v>608</v>
      </c>
      <c r="C90" s="2" t="s">
        <v>609</v>
      </c>
      <c r="D90" s="2" t="s">
        <v>463</v>
      </c>
      <c r="E90" s="2" t="s">
        <v>463</v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 customFormat="false" ht="15" hidden="false" customHeight="false" outlineLevel="0" collapsed="false">
      <c r="A91" s="2" t="n">
        <v>3</v>
      </c>
      <c r="B91" s="2" t="s">
        <v>610</v>
      </c>
      <c r="C91" s="2" t="s">
        <v>611</v>
      </c>
      <c r="D91" s="2" t="s">
        <v>463</v>
      </c>
      <c r="E91" s="2" t="s">
        <v>463</v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 customFormat="false" ht="15" hidden="false" customHeight="false" outlineLevel="0" collapsed="false">
      <c r="A92" s="2" t="n">
        <v>3</v>
      </c>
      <c r="B92" s="2" t="s">
        <v>612</v>
      </c>
      <c r="C92" s="2" t="s">
        <v>613</v>
      </c>
      <c r="D92" s="2" t="s">
        <v>463</v>
      </c>
      <c r="E92" s="2" t="s">
        <v>463</v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 customFormat="false" ht="15" hidden="false" customHeight="false" outlineLevel="0" collapsed="false">
      <c r="A93" s="2" t="n">
        <v>2</v>
      </c>
      <c r="B93" s="2" t="s">
        <v>614</v>
      </c>
      <c r="C93" s="2" t="s">
        <v>615</v>
      </c>
      <c r="D93" s="2" t="s">
        <v>463</v>
      </c>
      <c r="E93" s="2" t="s">
        <v>463</v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 customFormat="false" ht="15" hidden="false" customHeight="false" outlineLevel="0" collapsed="false">
      <c r="A94" s="2" t="n">
        <v>3</v>
      </c>
      <c r="B94" s="2" t="s">
        <v>616</v>
      </c>
      <c r="C94" s="2" t="s">
        <v>617</v>
      </c>
      <c r="D94" s="2" t="s">
        <v>463</v>
      </c>
      <c r="E94" s="2" t="s">
        <v>463</v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 customFormat="false" ht="15" hidden="false" customHeight="false" outlineLevel="0" collapsed="false">
      <c r="A95" s="2" t="n">
        <v>3</v>
      </c>
      <c r="B95" s="2" t="s">
        <v>618</v>
      </c>
      <c r="C95" s="2" t="s">
        <v>619</v>
      </c>
      <c r="D95" s="2" t="s">
        <v>463</v>
      </c>
      <c r="E95" s="2" t="s">
        <v>463</v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 customFormat="false" ht="15" hidden="false" customHeight="false" outlineLevel="0" collapsed="false">
      <c r="A96" s="2" t="n">
        <v>3</v>
      </c>
      <c r="B96" s="2" t="s">
        <v>620</v>
      </c>
      <c r="C96" s="2" t="s">
        <v>621</v>
      </c>
      <c r="D96" s="2" t="s">
        <v>463</v>
      </c>
      <c r="E96" s="2" t="s">
        <v>463</v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 customFormat="false" ht="15" hidden="false" customHeight="false" outlineLevel="0" collapsed="false">
      <c r="A97" s="2" t="n">
        <v>3</v>
      </c>
      <c r="B97" s="2" t="s">
        <v>622</v>
      </c>
      <c r="C97" s="2" t="s">
        <v>623</v>
      </c>
      <c r="D97" s="2" t="s">
        <v>463</v>
      </c>
      <c r="E97" s="2" t="s">
        <v>463</v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 customFormat="false" ht="15" hidden="false" customHeight="false" outlineLevel="0" collapsed="false">
      <c r="A98" s="2" t="n">
        <v>3</v>
      </c>
      <c r="B98" s="2" t="s">
        <v>624</v>
      </c>
      <c r="C98" s="2" t="s">
        <v>625</v>
      </c>
      <c r="D98" s="2" t="s">
        <v>463</v>
      </c>
      <c r="E98" s="2" t="s">
        <v>463</v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 customFormat="false" ht="15" hidden="false" customHeight="false" outlineLevel="0" collapsed="false">
      <c r="A99" s="2" t="n">
        <v>3</v>
      </c>
      <c r="B99" s="2" t="s">
        <v>626</v>
      </c>
      <c r="C99" s="2" t="s">
        <v>627</v>
      </c>
      <c r="D99" s="2" t="s">
        <v>463</v>
      </c>
      <c r="E99" s="2" t="s">
        <v>463</v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 customFormat="false" ht="15" hidden="false" customHeight="false" outlineLevel="0" collapsed="false">
      <c r="A100" s="2" t="n">
        <v>3</v>
      </c>
      <c r="B100" s="2" t="s">
        <v>628</v>
      </c>
      <c r="C100" s="2" t="s">
        <v>629</v>
      </c>
      <c r="D100" s="2" t="s">
        <v>463</v>
      </c>
      <c r="E100" s="2" t="s">
        <v>463</v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 customFormat="false" ht="15" hidden="false" customHeight="false" outlineLevel="0" collapsed="false">
      <c r="A101" s="2" t="n">
        <v>2</v>
      </c>
      <c r="B101" s="2" t="s">
        <v>630</v>
      </c>
      <c r="C101" s="2" t="s">
        <v>631</v>
      </c>
      <c r="D101" s="2" t="s">
        <v>463</v>
      </c>
      <c r="E101" s="2" t="s">
        <v>463</v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 customFormat="false" ht="15" hidden="false" customHeight="false" outlineLevel="0" collapsed="false">
      <c r="A102" s="2" t="n">
        <v>3</v>
      </c>
      <c r="B102" s="2" t="s">
        <v>632</v>
      </c>
      <c r="C102" s="2" t="s">
        <v>633</v>
      </c>
      <c r="D102" s="2" t="s">
        <v>463</v>
      </c>
      <c r="E102" s="2" t="s">
        <v>463</v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 customFormat="false" ht="15" hidden="false" customHeight="false" outlineLevel="0" collapsed="false">
      <c r="A103" s="2" t="n">
        <v>3</v>
      </c>
      <c r="B103" s="2" t="s">
        <v>634</v>
      </c>
      <c r="C103" s="2" t="s">
        <v>635</v>
      </c>
      <c r="D103" s="2" t="s">
        <v>463</v>
      </c>
      <c r="E103" s="2" t="s">
        <v>463</v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 customFormat="false" ht="15" hidden="false" customHeight="false" outlineLevel="0" collapsed="false">
      <c r="A104" s="2" t="n">
        <v>3</v>
      </c>
      <c r="B104" s="2" t="s">
        <v>636</v>
      </c>
      <c r="C104" s="2" t="s">
        <v>637</v>
      </c>
      <c r="D104" s="2" t="s">
        <v>463</v>
      </c>
      <c r="E104" s="2" t="s">
        <v>463</v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 customFormat="false" ht="15" hidden="false" customHeight="false" outlineLevel="0" collapsed="false">
      <c r="A105" s="2" t="n">
        <v>1</v>
      </c>
      <c r="B105" s="2" t="s">
        <v>149</v>
      </c>
      <c r="C105" s="2" t="s">
        <v>82</v>
      </c>
      <c r="D105" s="2" t="s">
        <v>463</v>
      </c>
      <c r="E105" s="2" t="s">
        <v>463</v>
      </c>
      <c r="F105" s="2" t="n">
        <v>20188024.5525501</v>
      </c>
      <c r="G105" s="2" t="n">
        <v>0</v>
      </c>
      <c r="H105" s="2" t="n">
        <v>20188024.5525501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 customFormat="false" ht="15" hidden="false" customHeight="false" outlineLevel="0" collapsed="false">
      <c r="A106" s="2" t="n">
        <v>2</v>
      </c>
      <c r="B106" s="2" t="s">
        <v>638</v>
      </c>
      <c r="C106" s="2" t="s">
        <v>639</v>
      </c>
      <c r="D106" s="2" t="s">
        <v>463</v>
      </c>
      <c r="E106" s="2" t="s">
        <v>463</v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 customFormat="false" ht="15" hidden="false" customHeight="false" outlineLevel="0" collapsed="false">
      <c r="A107" s="2" t="n">
        <v>3</v>
      </c>
      <c r="B107" s="2" t="s">
        <v>640</v>
      </c>
      <c r="C107" s="2" t="s">
        <v>641</v>
      </c>
      <c r="D107" s="2" t="s">
        <v>463</v>
      </c>
      <c r="E107" s="2" t="s">
        <v>463</v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 customFormat="false" ht="15" hidden="false" customHeight="false" outlineLevel="0" collapsed="false">
      <c r="A108" s="2" t="n">
        <v>3</v>
      </c>
      <c r="B108" s="2" t="s">
        <v>642</v>
      </c>
      <c r="C108" s="2" t="s">
        <v>643</v>
      </c>
      <c r="D108" s="2" t="s">
        <v>463</v>
      </c>
      <c r="E108" s="2" t="s">
        <v>463</v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 customFormat="false" ht="15" hidden="false" customHeight="false" outlineLevel="0" collapsed="false">
      <c r="A109" s="2" t="n">
        <v>3</v>
      </c>
      <c r="B109" s="2" t="s">
        <v>644</v>
      </c>
      <c r="C109" s="2" t="s">
        <v>645</v>
      </c>
      <c r="D109" s="2" t="s">
        <v>463</v>
      </c>
      <c r="E109" s="2" t="s">
        <v>463</v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 customFormat="false" ht="15" hidden="false" customHeight="false" outlineLevel="0" collapsed="false">
      <c r="A110" s="2" t="n">
        <v>2</v>
      </c>
      <c r="B110" s="2" t="s">
        <v>646</v>
      </c>
      <c r="C110" s="2" t="s">
        <v>647</v>
      </c>
      <c r="D110" s="2" t="s">
        <v>463</v>
      </c>
      <c r="E110" s="2" t="s">
        <v>463</v>
      </c>
      <c r="F110" s="2" t="n">
        <v>7850880.91723005</v>
      </c>
      <c r="G110" s="2" t="n">
        <v>0</v>
      </c>
      <c r="H110" s="2" t="n">
        <v>7850880.91723005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 customFormat="false" ht="15" hidden="false" customHeight="false" outlineLevel="0" collapsed="false">
      <c r="A111" s="2" t="n">
        <v>3</v>
      </c>
      <c r="B111" s="2" t="s">
        <v>648</v>
      </c>
      <c r="C111" s="2" t="s">
        <v>649</v>
      </c>
      <c r="D111" s="2" t="s">
        <v>463</v>
      </c>
      <c r="E111" s="2" t="s">
        <v>463</v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 customFormat="false" ht="15" hidden="false" customHeight="false" outlineLevel="0" collapsed="false">
      <c r="A112" s="2" t="n">
        <v>3</v>
      </c>
      <c r="B112" s="2" t="s">
        <v>650</v>
      </c>
      <c r="C112" s="2" t="s">
        <v>651</v>
      </c>
      <c r="D112" s="2" t="s">
        <v>463</v>
      </c>
      <c r="E112" s="2" t="s">
        <v>463</v>
      </c>
      <c r="F112" s="2" t="n">
        <v>1246054.82671978</v>
      </c>
      <c r="G112" s="2" t="n">
        <v>0</v>
      </c>
      <c r="H112" s="2" t="n">
        <v>1246054.82671978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 customFormat="false" ht="15" hidden="false" customHeight="false" outlineLevel="0" collapsed="false">
      <c r="A113" s="2" t="n">
        <v>3</v>
      </c>
      <c r="B113" s="2" t="s">
        <v>652</v>
      </c>
      <c r="C113" s="2" t="s">
        <v>653</v>
      </c>
      <c r="D113" s="2" t="s">
        <v>463</v>
      </c>
      <c r="E113" s="2" t="s">
        <v>463</v>
      </c>
      <c r="F113" s="2" t="n">
        <v>439660.840208333</v>
      </c>
      <c r="G113" s="2" t="n">
        <v>0</v>
      </c>
      <c r="H113" s="2" t="n">
        <v>439660.840208333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 customFormat="false" ht="15" hidden="false" customHeight="false" outlineLevel="0" collapsed="false">
      <c r="A114" s="2" t="n">
        <v>3</v>
      </c>
      <c r="B114" s="2" t="s">
        <v>654</v>
      </c>
      <c r="C114" s="2" t="s">
        <v>655</v>
      </c>
      <c r="D114" s="2" t="s">
        <v>463</v>
      </c>
      <c r="E114" s="2" t="s">
        <v>463</v>
      </c>
      <c r="F114" s="2" t="n">
        <v>655575.577542745</v>
      </c>
      <c r="G114" s="2" t="n">
        <v>0</v>
      </c>
      <c r="H114" s="2" t="n">
        <v>655575.577542745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 customFormat="false" ht="15" hidden="false" customHeight="false" outlineLevel="0" collapsed="false">
      <c r="A115" s="2" t="n">
        <v>3</v>
      </c>
      <c r="B115" s="2" t="s">
        <v>656</v>
      </c>
      <c r="C115" s="2" t="s">
        <v>657</v>
      </c>
      <c r="D115" s="2" t="s">
        <v>463</v>
      </c>
      <c r="E115" s="2" t="s">
        <v>463</v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 customFormat="false" ht="15" hidden="false" customHeight="false" outlineLevel="0" collapsed="false">
      <c r="A116" s="2" t="n">
        <v>3</v>
      </c>
      <c r="B116" s="2" t="s">
        <v>658</v>
      </c>
      <c r="C116" s="2" t="s">
        <v>659</v>
      </c>
      <c r="D116" s="2" t="s">
        <v>463</v>
      </c>
      <c r="E116" s="2" t="s">
        <v>463</v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 customFormat="false" ht="15" hidden="false" customHeight="false" outlineLevel="0" collapsed="false">
      <c r="A117" s="2" t="n">
        <v>3</v>
      </c>
      <c r="B117" s="2" t="s">
        <v>660</v>
      </c>
      <c r="C117" s="2" t="s">
        <v>661</v>
      </c>
      <c r="D117" s="2" t="s">
        <v>463</v>
      </c>
      <c r="E117" s="2" t="s">
        <v>463</v>
      </c>
      <c r="F117" s="2" t="n">
        <v>278609.984842532</v>
      </c>
      <c r="G117" s="2" t="n">
        <v>0</v>
      </c>
      <c r="H117" s="2" t="n">
        <v>278609.984842532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 customFormat="false" ht="15" hidden="false" customHeight="false" outlineLevel="0" collapsed="false">
      <c r="A118" s="2" t="n">
        <v>3</v>
      </c>
      <c r="B118" s="2" t="s">
        <v>662</v>
      </c>
      <c r="C118" s="2" t="s">
        <v>663</v>
      </c>
      <c r="D118" s="2" t="s">
        <v>463</v>
      </c>
      <c r="E118" s="2" t="s">
        <v>463</v>
      </c>
      <c r="F118" s="2" t="n">
        <v>296723.687916667</v>
      </c>
      <c r="G118" s="2" t="n">
        <v>0</v>
      </c>
      <c r="H118" s="2" t="n">
        <v>296723.687916667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 customFormat="false" ht="15" hidden="false" customHeight="false" outlineLevel="0" collapsed="false">
      <c r="A119" s="2" t="n">
        <v>3</v>
      </c>
      <c r="B119" s="2" t="s">
        <v>664</v>
      </c>
      <c r="C119" s="2" t="s">
        <v>665</v>
      </c>
      <c r="D119" s="2" t="s">
        <v>463</v>
      </c>
      <c r="E119" s="2" t="s">
        <v>463</v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 customFormat="false" ht="15" hidden="false" customHeight="false" outlineLevel="0" collapsed="false">
      <c r="A120" s="2" t="n">
        <v>2</v>
      </c>
      <c r="B120" s="2" t="s">
        <v>666</v>
      </c>
      <c r="C120" s="2" t="s">
        <v>667</v>
      </c>
      <c r="D120" s="2" t="s">
        <v>463</v>
      </c>
      <c r="E120" s="2" t="s">
        <v>463</v>
      </c>
      <c r="F120" s="2" t="n">
        <v>1075308.62422711</v>
      </c>
      <c r="G120" s="2" t="n">
        <v>0</v>
      </c>
      <c r="H120" s="2" t="n">
        <v>1075308.62422711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 customFormat="false" ht="15" hidden="false" customHeight="false" outlineLevel="0" collapsed="false">
      <c r="A121" s="2" t="n">
        <v>3</v>
      </c>
      <c r="B121" s="2" t="s">
        <v>668</v>
      </c>
      <c r="C121" s="2" t="s">
        <v>669</v>
      </c>
      <c r="D121" s="2" t="s">
        <v>463</v>
      </c>
      <c r="E121" s="2" t="s">
        <v>463</v>
      </c>
      <c r="F121" s="2" t="n">
        <v>428010.491927362</v>
      </c>
      <c r="G121" s="2" t="n">
        <v>0</v>
      </c>
      <c r="H121" s="2" t="n">
        <v>428010.491927362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 customFormat="false" ht="15" hidden="false" customHeight="false" outlineLevel="0" collapsed="false">
      <c r="A122" s="2" t="n">
        <v>3</v>
      </c>
      <c r="B122" s="2" t="s">
        <v>670</v>
      </c>
      <c r="C122" s="2" t="s">
        <v>663</v>
      </c>
      <c r="D122" s="2" t="s">
        <v>463</v>
      </c>
      <c r="E122" s="2" t="s">
        <v>463</v>
      </c>
      <c r="F122" s="2" t="n">
        <v>70462.4238541667</v>
      </c>
      <c r="G122" s="2" t="n">
        <v>0</v>
      </c>
      <c r="H122" s="2" t="n">
        <v>70462.4238541667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 customFormat="false" ht="15" hidden="false" customHeight="false" outlineLevel="0" collapsed="false">
      <c r="A123" s="2" t="n">
        <v>3</v>
      </c>
      <c r="B123" s="2" t="s">
        <v>671</v>
      </c>
      <c r="C123" s="2" t="s">
        <v>672</v>
      </c>
      <c r="D123" s="2" t="s">
        <v>463</v>
      </c>
      <c r="E123" s="2" t="s">
        <v>463</v>
      </c>
      <c r="F123" s="2" t="n">
        <v>576835.708445585</v>
      </c>
      <c r="G123" s="2" t="n">
        <v>0</v>
      </c>
      <c r="H123" s="2" t="n">
        <v>576835.708445585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 customFormat="false" ht="15" hidden="false" customHeight="false" outlineLevel="0" collapsed="false">
      <c r="A124" s="2" t="n">
        <v>2</v>
      </c>
      <c r="B124" s="2" t="s">
        <v>673</v>
      </c>
      <c r="C124" s="2" t="s">
        <v>674</v>
      </c>
      <c r="D124" s="2" t="s">
        <v>463</v>
      </c>
      <c r="E124" s="2" t="s">
        <v>463</v>
      </c>
      <c r="F124" s="2" t="n">
        <v>1742630.06122156</v>
      </c>
      <c r="G124" s="2" t="n">
        <v>0</v>
      </c>
      <c r="H124" s="2" t="n">
        <v>1742630.06122156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 customFormat="false" ht="15" hidden="false" customHeight="false" outlineLevel="0" collapsed="false">
      <c r="A125" s="2" t="n">
        <v>3</v>
      </c>
      <c r="B125" s="2" t="s">
        <v>675</v>
      </c>
      <c r="C125" s="2" t="s">
        <v>676</v>
      </c>
      <c r="D125" s="2" t="s">
        <v>463</v>
      </c>
      <c r="E125" s="2" t="s">
        <v>463</v>
      </c>
      <c r="F125" s="2" t="n">
        <v>470876.068926383</v>
      </c>
      <c r="G125" s="2" t="n">
        <v>0</v>
      </c>
      <c r="H125" s="2" t="n">
        <v>470876.068926383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 customFormat="false" ht="15" hidden="false" customHeight="false" outlineLevel="0" collapsed="false">
      <c r="A126" s="2" t="n">
        <v>3</v>
      </c>
      <c r="B126" s="2" t="s">
        <v>677</v>
      </c>
      <c r="C126" s="2" t="s">
        <v>678</v>
      </c>
      <c r="D126" s="2" t="s">
        <v>463</v>
      </c>
      <c r="E126" s="2" t="s">
        <v>463</v>
      </c>
      <c r="F126" s="2" t="n">
        <v>238709.822771149</v>
      </c>
      <c r="G126" s="2" t="n">
        <v>0</v>
      </c>
      <c r="H126" s="2" t="n">
        <v>238709.822771149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 customFormat="false" ht="15" hidden="false" customHeight="false" outlineLevel="0" collapsed="false">
      <c r="A127" s="2" t="n">
        <v>3</v>
      </c>
      <c r="B127" s="2" t="s">
        <v>679</v>
      </c>
      <c r="C127" s="2" t="s">
        <v>680</v>
      </c>
      <c r="D127" s="2" t="s">
        <v>463</v>
      </c>
      <c r="E127" s="2" t="s">
        <v>463</v>
      </c>
      <c r="F127" s="2" t="n">
        <v>134216.259799948</v>
      </c>
      <c r="G127" s="2" t="n">
        <v>0</v>
      </c>
      <c r="H127" s="2" t="n">
        <v>134216.259799948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 customFormat="false" ht="15" hidden="false" customHeight="false" outlineLevel="0" collapsed="false">
      <c r="A128" s="2" t="n">
        <v>3</v>
      </c>
      <c r="B128" s="2" t="s">
        <v>681</v>
      </c>
      <c r="C128" s="2" t="s">
        <v>682</v>
      </c>
      <c r="D128" s="2" t="s">
        <v>463</v>
      </c>
      <c r="E128" s="2" t="s">
        <v>463</v>
      </c>
      <c r="F128" s="2" t="n">
        <v>240827.909724075</v>
      </c>
      <c r="G128" s="2" t="n">
        <v>0</v>
      </c>
      <c r="H128" s="2" t="n">
        <v>240827.909724075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 customFormat="false" ht="15" hidden="false" customHeight="false" outlineLevel="0" collapsed="false">
      <c r="A129" s="2" t="n">
        <v>3</v>
      </c>
      <c r="B129" s="2" t="s">
        <v>683</v>
      </c>
      <c r="C129" s="2" t="s">
        <v>684</v>
      </c>
      <c r="D129" s="2" t="s">
        <v>463</v>
      </c>
      <c r="E129" s="2" t="s">
        <v>463</v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 customFormat="false" ht="15" hidden="false" customHeight="false" outlineLevel="0" collapsed="false">
      <c r="A130" s="2" t="n">
        <v>2</v>
      </c>
      <c r="B130" s="2" t="s">
        <v>685</v>
      </c>
      <c r="C130" s="2" t="s">
        <v>686</v>
      </c>
      <c r="D130" s="2" t="s">
        <v>463</v>
      </c>
      <c r="E130" s="2" t="s">
        <v>463</v>
      </c>
      <c r="F130" s="2" t="n">
        <v>6902830.09116075</v>
      </c>
      <c r="G130" s="2" t="n">
        <v>0</v>
      </c>
      <c r="H130" s="2" t="n">
        <v>6902830.09116075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 customFormat="false" ht="15" hidden="false" customHeight="false" outlineLevel="0" collapsed="false">
      <c r="A131" s="2" t="n">
        <v>3</v>
      </c>
      <c r="B131" s="2" t="s">
        <v>687</v>
      </c>
      <c r="C131" s="2" t="s">
        <v>688</v>
      </c>
      <c r="D131" s="2" t="s">
        <v>463</v>
      </c>
      <c r="E131" s="2" t="s">
        <v>463</v>
      </c>
      <c r="F131" s="2" t="n">
        <v>930383.883009941</v>
      </c>
      <c r="G131" s="2" t="n">
        <v>0</v>
      </c>
      <c r="H131" s="2" t="n">
        <v>930383.883009941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 customFormat="false" ht="15" hidden="false" customHeight="false" outlineLevel="0" collapsed="false">
      <c r="A132" s="2" t="n">
        <v>3</v>
      </c>
      <c r="B132" s="2" t="s">
        <v>689</v>
      </c>
      <c r="C132" s="2" t="s">
        <v>690</v>
      </c>
      <c r="D132" s="2" t="s">
        <v>463</v>
      </c>
      <c r="E132" s="2" t="s">
        <v>463</v>
      </c>
      <c r="F132" s="2" t="n">
        <v>353504.311557109</v>
      </c>
      <c r="G132" s="2" t="n">
        <v>0</v>
      </c>
      <c r="H132" s="2" t="n">
        <v>353504.311557109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 customFormat="false" ht="15" hidden="false" customHeight="false" outlineLevel="0" collapsed="false">
      <c r="A133" s="2" t="n">
        <v>3</v>
      </c>
      <c r="B133" s="2" t="s">
        <v>691</v>
      </c>
      <c r="C133" s="2" t="s">
        <v>692</v>
      </c>
      <c r="D133" s="2" t="s">
        <v>463</v>
      </c>
      <c r="E133" s="2" t="s">
        <v>463</v>
      </c>
      <c r="F133" s="2" t="n">
        <v>244014.839181325</v>
      </c>
      <c r="G133" s="2" t="n">
        <v>0</v>
      </c>
      <c r="H133" s="2" t="n">
        <v>244014.839181325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 customFormat="false" ht="15" hidden="false" customHeight="false" outlineLevel="0" collapsed="false">
      <c r="A134" s="2" t="n">
        <v>3</v>
      </c>
      <c r="B134" s="2" t="s">
        <v>693</v>
      </c>
      <c r="C134" s="2" t="s">
        <v>694</v>
      </c>
      <c r="D134" s="2" t="s">
        <v>463</v>
      </c>
      <c r="E134" s="2" t="s">
        <v>463</v>
      </c>
      <c r="F134" s="2" t="n">
        <v>325353.118908433</v>
      </c>
      <c r="G134" s="2" t="n">
        <v>0</v>
      </c>
      <c r="H134" s="2" t="n">
        <v>325353.118908433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 customFormat="false" ht="15" hidden="false" customHeight="false" outlineLevel="0" collapsed="false">
      <c r="A135" s="2" t="n">
        <v>3</v>
      </c>
      <c r="B135" s="2" t="s">
        <v>695</v>
      </c>
      <c r="C135" s="2" t="s">
        <v>696</v>
      </c>
      <c r="D135" s="2" t="s">
        <v>463</v>
      </c>
      <c r="E135" s="2" t="s">
        <v>463</v>
      </c>
      <c r="F135" s="2" t="n">
        <v>376189.543737876</v>
      </c>
      <c r="G135" s="2" t="n">
        <v>0</v>
      </c>
      <c r="H135" s="2" t="n">
        <v>376189.543737876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 customFormat="false" ht="15" hidden="false" customHeight="false" outlineLevel="0" collapsed="false">
      <c r="A136" s="2" t="n">
        <v>3</v>
      </c>
      <c r="B136" s="2" t="s">
        <v>697</v>
      </c>
      <c r="C136" s="2" t="s">
        <v>698</v>
      </c>
      <c r="D136" s="2" t="s">
        <v>463</v>
      </c>
      <c r="E136" s="2" t="s">
        <v>463</v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 customFormat="false" ht="15" hidden="false" customHeight="false" outlineLevel="0" collapsed="false">
      <c r="A137" s="2" t="n">
        <v>3</v>
      </c>
      <c r="B137" s="2" t="s">
        <v>699</v>
      </c>
      <c r="C137" s="2" t="s">
        <v>700</v>
      </c>
      <c r="D137" s="2" t="s">
        <v>463</v>
      </c>
      <c r="E137" s="2" t="s">
        <v>463</v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 customFormat="false" ht="15" hidden="false" customHeight="false" outlineLevel="0" collapsed="false">
      <c r="A138" s="2" t="n">
        <v>3</v>
      </c>
      <c r="B138" s="2" t="s">
        <v>701</v>
      </c>
      <c r="C138" s="2" t="s">
        <v>702</v>
      </c>
      <c r="D138" s="2" t="s">
        <v>463</v>
      </c>
      <c r="E138" s="2" t="s">
        <v>463</v>
      </c>
      <c r="F138" s="2" t="n">
        <v>356478.59886122</v>
      </c>
      <c r="G138" s="2" t="n">
        <v>0</v>
      </c>
      <c r="H138" s="2" t="n">
        <v>356478.59886122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 customFormat="false" ht="15" hidden="false" customHeight="false" outlineLevel="0" collapsed="false">
      <c r="A139" s="2" t="n">
        <v>3</v>
      </c>
      <c r="B139" s="2" t="s">
        <v>703</v>
      </c>
      <c r="C139" s="2" t="s">
        <v>704</v>
      </c>
      <c r="D139" s="2" t="s">
        <v>463</v>
      </c>
      <c r="E139" s="2" t="s">
        <v>463</v>
      </c>
      <c r="F139" s="2" t="n">
        <v>971512.77211888</v>
      </c>
      <c r="G139" s="2" t="n">
        <v>0</v>
      </c>
      <c r="H139" s="2" t="n">
        <v>971512.77211888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 customFormat="false" ht="15" hidden="false" customHeight="false" outlineLevel="0" collapsed="false">
      <c r="A140" s="2" t="n">
        <v>3</v>
      </c>
      <c r="B140" s="2" t="s">
        <v>705</v>
      </c>
      <c r="C140" s="2" t="s">
        <v>706</v>
      </c>
      <c r="D140" s="2" t="s">
        <v>463</v>
      </c>
      <c r="E140" s="2" t="s">
        <v>463</v>
      </c>
      <c r="F140" s="2" t="n">
        <v>490370.575660786</v>
      </c>
      <c r="G140" s="2" t="n">
        <v>0</v>
      </c>
      <c r="H140" s="2" t="n">
        <v>490370.575660786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 customFormat="false" ht="15" hidden="false" customHeight="false" outlineLevel="0" collapsed="false">
      <c r="A141" s="2" t="n">
        <v>3</v>
      </c>
      <c r="B141" s="2" t="s">
        <v>707</v>
      </c>
      <c r="C141" s="2" t="s">
        <v>708</v>
      </c>
      <c r="D141" s="2" t="s">
        <v>463</v>
      </c>
      <c r="E141" s="2" t="s">
        <v>463</v>
      </c>
      <c r="F141" s="2" t="n">
        <v>623963.220648741</v>
      </c>
      <c r="G141" s="2" t="n">
        <v>0</v>
      </c>
      <c r="H141" s="2" t="n">
        <v>623963.220648741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 customFormat="false" ht="15" hidden="false" customHeight="false" outlineLevel="0" collapsed="false">
      <c r="A142" s="2" t="n">
        <v>3</v>
      </c>
      <c r="B142" s="2" t="s">
        <v>709</v>
      </c>
      <c r="C142" s="2" t="s">
        <v>710</v>
      </c>
      <c r="D142" s="2" t="s">
        <v>463</v>
      </c>
      <c r="E142" s="2" t="s">
        <v>463</v>
      </c>
      <c r="F142" s="2" t="n">
        <v>618489.859064103</v>
      </c>
      <c r="G142" s="2" t="n">
        <v>0</v>
      </c>
      <c r="H142" s="2" t="n">
        <v>618489.859064103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 customFormat="false" ht="15" hidden="false" customHeight="false" outlineLevel="0" collapsed="false">
      <c r="A143" s="2" t="n">
        <v>3</v>
      </c>
      <c r="B143" s="2" t="s">
        <v>711</v>
      </c>
      <c r="C143" s="2" t="s">
        <v>712</v>
      </c>
      <c r="D143" s="2" t="s">
        <v>463</v>
      </c>
      <c r="E143" s="2" t="s">
        <v>463</v>
      </c>
      <c r="F143" s="2" t="n">
        <v>1018045.25474268</v>
      </c>
      <c r="G143" s="2" t="n">
        <v>0</v>
      </c>
      <c r="H143" s="2" t="n">
        <v>1018045.25474268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 customFormat="false" ht="15" hidden="false" customHeight="false" outlineLevel="0" collapsed="false">
      <c r="A144" s="2" t="n">
        <v>2</v>
      </c>
      <c r="B144" s="2" t="s">
        <v>713</v>
      </c>
      <c r="C144" s="2" t="s">
        <v>714</v>
      </c>
      <c r="D144" s="2" t="s">
        <v>463</v>
      </c>
      <c r="E144" s="2" t="s">
        <v>463</v>
      </c>
      <c r="F144" s="2" t="n">
        <v>1088419.6793247</v>
      </c>
      <c r="G144" s="2" t="n">
        <v>0</v>
      </c>
      <c r="H144" s="2" t="n">
        <v>1088419.6793247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 customFormat="false" ht="15" hidden="false" customHeight="false" outlineLevel="0" collapsed="false">
      <c r="A145" s="2" t="n">
        <v>3</v>
      </c>
      <c r="B145" s="2" t="s">
        <v>715</v>
      </c>
      <c r="C145" s="2" t="s">
        <v>716</v>
      </c>
      <c r="D145" s="2" t="s">
        <v>463</v>
      </c>
      <c r="E145" s="2" t="s">
        <v>463</v>
      </c>
      <c r="F145" s="2" t="n">
        <v>250468.136561899</v>
      </c>
      <c r="G145" s="2" t="n">
        <v>0</v>
      </c>
      <c r="H145" s="2" t="n">
        <v>250468.136561899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 customFormat="false" ht="15" hidden="false" customHeight="false" outlineLevel="0" collapsed="false">
      <c r="A146" s="2" t="n">
        <v>3</v>
      </c>
      <c r="B146" s="2" t="s">
        <v>717</v>
      </c>
      <c r="C146" s="2" t="s">
        <v>718</v>
      </c>
      <c r="D146" s="2" t="s">
        <v>463</v>
      </c>
      <c r="E146" s="2" t="s">
        <v>463</v>
      </c>
      <c r="F146" s="2" t="n">
        <v>131360.678031314</v>
      </c>
      <c r="G146" s="2" t="n">
        <v>0</v>
      </c>
      <c r="H146" s="2" t="n">
        <v>131360.678031314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 customFormat="false" ht="15" hidden="false" customHeight="false" outlineLevel="0" collapsed="false">
      <c r="A147" s="2" t="n">
        <v>3</v>
      </c>
      <c r="B147" s="2" t="s">
        <v>719</v>
      </c>
      <c r="C147" s="2" t="s">
        <v>720</v>
      </c>
      <c r="D147" s="2" t="s">
        <v>463</v>
      </c>
      <c r="E147" s="2" t="s">
        <v>463</v>
      </c>
      <c r="F147" s="2" t="n">
        <v>440216.724866367</v>
      </c>
      <c r="G147" s="2" t="n">
        <v>0</v>
      </c>
      <c r="H147" s="2" t="n">
        <v>440216.724866367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 customFormat="false" ht="15" hidden="false" customHeight="false" outlineLevel="0" collapsed="false">
      <c r="A148" s="2" t="n">
        <v>3</v>
      </c>
      <c r="B148" s="2" t="s">
        <v>721</v>
      </c>
      <c r="C148" s="2" t="s">
        <v>722</v>
      </c>
      <c r="D148" s="2" t="s">
        <v>463</v>
      </c>
      <c r="E148" s="2" t="s">
        <v>463</v>
      </c>
      <c r="F148" s="2" t="n">
        <v>266374.139865118</v>
      </c>
      <c r="G148" s="2" t="n">
        <v>0</v>
      </c>
      <c r="H148" s="2" t="n">
        <v>266374.139865118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 customFormat="false" ht="15" hidden="false" customHeight="false" outlineLevel="0" collapsed="false">
      <c r="A149" s="2" t="n">
        <v>2</v>
      </c>
      <c r="B149" s="2" t="s">
        <v>723</v>
      </c>
      <c r="C149" s="2" t="s">
        <v>724</v>
      </c>
      <c r="D149" s="2" t="s">
        <v>463</v>
      </c>
      <c r="E149" s="2" t="s">
        <v>463</v>
      </c>
      <c r="F149" s="2" t="n">
        <v>1447955.1793859</v>
      </c>
      <c r="G149" s="2" t="n">
        <v>0</v>
      </c>
      <c r="H149" s="2" t="n">
        <v>1447955.1793859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 customFormat="false" ht="15" hidden="false" customHeight="false" outlineLevel="0" collapsed="false">
      <c r="A150" s="2" t="n">
        <v>3</v>
      </c>
      <c r="B150" s="2" t="s">
        <v>725</v>
      </c>
      <c r="C150" s="2" t="s">
        <v>726</v>
      </c>
      <c r="D150" s="2" t="s">
        <v>463</v>
      </c>
      <c r="E150" s="2" t="s">
        <v>463</v>
      </c>
      <c r="F150" s="2" t="n">
        <v>1447955.1793859</v>
      </c>
      <c r="G150" s="2" t="n">
        <v>0</v>
      </c>
      <c r="H150" s="2" t="n">
        <v>1447955.1793859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 customFormat="false" ht="15" hidden="false" customHeight="false" outlineLevel="0" collapsed="false">
      <c r="A151" s="2" t="n">
        <v>1</v>
      </c>
      <c r="B151" s="2" t="s">
        <v>151</v>
      </c>
      <c r="C151" s="2" t="s">
        <v>78</v>
      </c>
      <c r="D151" s="2" t="s">
        <v>463</v>
      </c>
      <c r="E151" s="2" t="s">
        <v>463</v>
      </c>
      <c r="F151" s="2" t="n">
        <v>6467911.66305041</v>
      </c>
      <c r="G151" s="2" t="n">
        <v>0</v>
      </c>
      <c r="H151" s="2" t="n">
        <v>6467911.66305041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 customFormat="false" ht="15" hidden="false" customHeight="false" outlineLevel="0" collapsed="false">
      <c r="A152" s="2" t="n">
        <v>2</v>
      </c>
      <c r="B152" s="2" t="s">
        <v>727</v>
      </c>
      <c r="C152" s="2" t="s">
        <v>728</v>
      </c>
      <c r="D152" s="2" t="s">
        <v>463</v>
      </c>
      <c r="E152" s="2" t="s">
        <v>463</v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 customFormat="false" ht="15" hidden="false" customHeight="false" outlineLevel="0" collapsed="false">
      <c r="A153" s="2" t="n">
        <v>3</v>
      </c>
      <c r="B153" s="2" t="s">
        <v>729</v>
      </c>
      <c r="C153" s="2" t="s">
        <v>730</v>
      </c>
      <c r="D153" s="2" t="s">
        <v>463</v>
      </c>
      <c r="E153" s="2" t="s">
        <v>463</v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 customFormat="false" ht="15" hidden="false" customHeight="false" outlineLevel="0" collapsed="false">
      <c r="A154" s="2" t="n">
        <v>2</v>
      </c>
      <c r="B154" s="2" t="s">
        <v>731</v>
      </c>
      <c r="C154" s="2" t="s">
        <v>732</v>
      </c>
      <c r="D154" s="2" t="s">
        <v>463</v>
      </c>
      <c r="E154" s="2" t="s">
        <v>463</v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 customFormat="false" ht="15" hidden="false" customHeight="false" outlineLevel="0" collapsed="false">
      <c r="A155" s="2" t="n">
        <v>3</v>
      </c>
      <c r="B155" s="2" t="s">
        <v>733</v>
      </c>
      <c r="C155" s="2" t="s">
        <v>734</v>
      </c>
      <c r="D155" s="2" t="s">
        <v>463</v>
      </c>
      <c r="E155" s="2" t="s">
        <v>463</v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 customFormat="false" ht="15" hidden="false" customHeight="false" outlineLevel="0" collapsed="false">
      <c r="A156" s="2" t="n">
        <v>3</v>
      </c>
      <c r="B156" s="2" t="s">
        <v>735</v>
      </c>
      <c r="C156" s="2" t="s">
        <v>736</v>
      </c>
      <c r="D156" s="2" t="s">
        <v>463</v>
      </c>
      <c r="E156" s="2" t="s">
        <v>463</v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 customFormat="false" ht="15" hidden="false" customHeight="false" outlineLevel="0" collapsed="false">
      <c r="A157" s="2" t="n">
        <v>3</v>
      </c>
      <c r="B157" s="2" t="s">
        <v>737</v>
      </c>
      <c r="C157" s="2" t="s">
        <v>738</v>
      </c>
      <c r="D157" s="2" t="s">
        <v>463</v>
      </c>
      <c r="E157" s="2" t="s">
        <v>463</v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 customFormat="false" ht="15" hidden="false" customHeight="false" outlineLevel="0" collapsed="false">
      <c r="A158" s="2" t="n">
        <v>3</v>
      </c>
      <c r="B158" s="2" t="s">
        <v>739</v>
      </c>
      <c r="C158" s="2" t="s">
        <v>740</v>
      </c>
      <c r="D158" s="2" t="s">
        <v>463</v>
      </c>
      <c r="E158" s="2" t="s">
        <v>463</v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 customFormat="false" ht="15" hidden="false" customHeight="false" outlineLevel="0" collapsed="false">
      <c r="A159" s="2" t="n">
        <v>3</v>
      </c>
      <c r="B159" s="2" t="s">
        <v>741</v>
      </c>
      <c r="C159" s="2" t="s">
        <v>742</v>
      </c>
      <c r="D159" s="2" t="s">
        <v>463</v>
      </c>
      <c r="E159" s="2" t="s">
        <v>463</v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 customFormat="false" ht="15" hidden="false" customHeight="false" outlineLevel="0" collapsed="false">
      <c r="A160" s="2" t="n">
        <v>3</v>
      </c>
      <c r="B160" s="2" t="s">
        <v>743</v>
      </c>
      <c r="C160" s="2" t="s">
        <v>744</v>
      </c>
      <c r="D160" s="2" t="s">
        <v>463</v>
      </c>
      <c r="E160" s="2" t="s">
        <v>463</v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 customFormat="false" ht="15" hidden="false" customHeight="false" outlineLevel="0" collapsed="false">
      <c r="A161" s="2" t="n">
        <v>2</v>
      </c>
      <c r="B161" s="2" t="s">
        <v>745</v>
      </c>
      <c r="C161" s="2" t="s">
        <v>746</v>
      </c>
      <c r="D161" s="2" t="s">
        <v>463</v>
      </c>
      <c r="E161" s="2" t="s">
        <v>463</v>
      </c>
      <c r="F161" s="2" t="n">
        <v>1337503.26467588</v>
      </c>
      <c r="G161" s="2" t="n">
        <v>0</v>
      </c>
      <c r="H161" s="2" t="n">
        <v>1337503.26467588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 customFormat="false" ht="15" hidden="false" customHeight="false" outlineLevel="0" collapsed="false">
      <c r="A162" s="2" t="n">
        <v>3</v>
      </c>
      <c r="B162" s="2" t="s">
        <v>747</v>
      </c>
      <c r="C162" s="2" t="s">
        <v>748</v>
      </c>
      <c r="D162" s="2" t="s">
        <v>463</v>
      </c>
      <c r="E162" s="2" t="s">
        <v>463</v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 customFormat="false" ht="15" hidden="false" customHeight="false" outlineLevel="0" collapsed="false">
      <c r="A163" s="2" t="n">
        <v>4</v>
      </c>
      <c r="B163" s="2" t="s">
        <v>749</v>
      </c>
      <c r="C163" s="2" t="s">
        <v>750</v>
      </c>
      <c r="D163" s="2" t="s">
        <v>463</v>
      </c>
      <c r="E163" s="2" t="s">
        <v>463</v>
      </c>
      <c r="F163" s="2" t="n">
        <v>44064</v>
      </c>
      <c r="G163" s="2" t="n">
        <v>0</v>
      </c>
      <c r="H163" s="2" t="n">
        <v>44064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 customFormat="false" ht="15" hidden="false" customHeight="false" outlineLevel="0" collapsed="false">
      <c r="A164" s="2" t="n">
        <v>4</v>
      </c>
      <c r="B164" s="2" t="s">
        <v>751</v>
      </c>
      <c r="C164" s="2" t="s">
        <v>752</v>
      </c>
      <c r="D164" s="2" t="s">
        <v>463</v>
      </c>
      <c r="E164" s="2" t="s">
        <v>463</v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 customFormat="false" ht="15" hidden="false" customHeight="false" outlineLevel="0" collapsed="false">
      <c r="A165" s="2" t="n">
        <v>4</v>
      </c>
      <c r="B165" s="2" t="s">
        <v>753</v>
      </c>
      <c r="C165" s="2" t="s">
        <v>754</v>
      </c>
      <c r="D165" s="2" t="s">
        <v>463</v>
      </c>
      <c r="E165" s="2" t="s">
        <v>463</v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 customFormat="false" ht="15" hidden="false" customHeight="false" outlineLevel="0" collapsed="false">
      <c r="A166" s="2" t="n">
        <v>4</v>
      </c>
      <c r="B166" s="2" t="s">
        <v>755</v>
      </c>
      <c r="C166" s="2" t="s">
        <v>756</v>
      </c>
      <c r="D166" s="2" t="s">
        <v>463</v>
      </c>
      <c r="E166" s="2" t="s">
        <v>463</v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 customFormat="false" ht="15" hidden="false" customHeight="false" outlineLevel="0" collapsed="false">
      <c r="A167" s="2" t="n">
        <v>4</v>
      </c>
      <c r="B167" s="2" t="s">
        <v>757</v>
      </c>
      <c r="C167" s="2" t="s">
        <v>758</v>
      </c>
      <c r="D167" s="2" t="s">
        <v>463</v>
      </c>
      <c r="E167" s="2" t="s">
        <v>463</v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 customFormat="false" ht="15" hidden="false" customHeight="false" outlineLevel="0" collapsed="false">
      <c r="A168" s="2" t="n">
        <v>3</v>
      </c>
      <c r="B168" s="2" t="s">
        <v>759</v>
      </c>
      <c r="C168" s="2" t="s">
        <v>760</v>
      </c>
      <c r="D168" s="2" t="s">
        <v>463</v>
      </c>
      <c r="E168" s="2" t="s">
        <v>463</v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 customFormat="false" ht="15" hidden="false" customHeight="false" outlineLevel="0" collapsed="false">
      <c r="A169" s="2" t="n">
        <v>4</v>
      </c>
      <c r="B169" s="2" t="s">
        <v>761</v>
      </c>
      <c r="C169" s="2" t="s">
        <v>762</v>
      </c>
      <c r="D169" s="2" t="s">
        <v>463</v>
      </c>
      <c r="E169" s="2" t="s">
        <v>463</v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 customFormat="false" ht="15" hidden="false" customHeight="false" outlineLevel="0" collapsed="false">
      <c r="A170" s="2" t="n">
        <v>4</v>
      </c>
      <c r="B170" s="2" t="s">
        <v>763</v>
      </c>
      <c r="C170" s="2" t="s">
        <v>764</v>
      </c>
      <c r="D170" s="2" t="s">
        <v>463</v>
      </c>
      <c r="E170" s="2" t="s">
        <v>463</v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 customFormat="false" ht="15" hidden="false" customHeight="false" outlineLevel="0" collapsed="false">
      <c r="A171" s="2" t="n">
        <v>3</v>
      </c>
      <c r="B171" s="2" t="s">
        <v>765</v>
      </c>
      <c r="C171" s="2" t="s">
        <v>766</v>
      </c>
      <c r="D171" s="2" t="s">
        <v>463</v>
      </c>
      <c r="E171" s="2" t="s">
        <v>463</v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 customFormat="false" ht="15" hidden="false" customHeight="false" outlineLevel="0" collapsed="false">
      <c r="A172" s="2" t="n">
        <v>4</v>
      </c>
      <c r="B172" s="2" t="s">
        <v>767</v>
      </c>
      <c r="C172" s="2" t="s">
        <v>768</v>
      </c>
      <c r="D172" s="2" t="s">
        <v>463</v>
      </c>
      <c r="E172" s="2" t="s">
        <v>463</v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 customFormat="false" ht="15" hidden="false" customHeight="false" outlineLevel="0" collapsed="false">
      <c r="A173" s="2" t="n">
        <v>4</v>
      </c>
      <c r="B173" s="2" t="s">
        <v>769</v>
      </c>
      <c r="C173" s="2" t="s">
        <v>770</v>
      </c>
      <c r="D173" s="2" t="s">
        <v>463</v>
      </c>
      <c r="E173" s="2" t="s">
        <v>463</v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 customFormat="false" ht="15" hidden="false" customHeight="false" outlineLevel="0" collapsed="false">
      <c r="A174" s="2" t="n">
        <v>4</v>
      </c>
      <c r="B174" s="2" t="s">
        <v>771</v>
      </c>
      <c r="C174" s="2" t="s">
        <v>772</v>
      </c>
      <c r="D174" s="2" t="s">
        <v>463</v>
      </c>
      <c r="E174" s="2" t="s">
        <v>463</v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 customFormat="false" ht="15" hidden="false" customHeight="false" outlineLevel="0" collapsed="false">
      <c r="A175" s="2" t="n">
        <v>4</v>
      </c>
      <c r="B175" s="2" t="s">
        <v>773</v>
      </c>
      <c r="C175" s="2" t="s">
        <v>774</v>
      </c>
      <c r="D175" s="2" t="s">
        <v>463</v>
      </c>
      <c r="E175" s="2" t="s">
        <v>463</v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 customFormat="false" ht="15" hidden="false" customHeight="false" outlineLevel="0" collapsed="false">
      <c r="A176" s="2" t="n">
        <v>4</v>
      </c>
      <c r="B176" s="2" t="s">
        <v>775</v>
      </c>
      <c r="C176" s="2" t="s">
        <v>776</v>
      </c>
      <c r="D176" s="2" t="s">
        <v>463</v>
      </c>
      <c r="E176" s="2" t="s">
        <v>463</v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 customFormat="false" ht="15" hidden="false" customHeight="false" outlineLevel="0" collapsed="false">
      <c r="A177" s="2" t="n">
        <v>3</v>
      </c>
      <c r="B177" s="2" t="s">
        <v>777</v>
      </c>
      <c r="C177" s="2" t="s">
        <v>778</v>
      </c>
      <c r="D177" s="2" t="s">
        <v>463</v>
      </c>
      <c r="E177" s="2" t="s">
        <v>463</v>
      </c>
      <c r="F177" s="2" t="n">
        <v>343247.372220524</v>
      </c>
      <c r="G177" s="2" t="n">
        <v>0</v>
      </c>
      <c r="H177" s="2" t="n">
        <v>343247.372220524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 customFormat="false" ht="15" hidden="false" customHeight="false" outlineLevel="0" collapsed="false">
      <c r="A178" s="2" t="n">
        <v>4</v>
      </c>
      <c r="B178" s="2" t="s">
        <v>779</v>
      </c>
      <c r="C178" s="2" t="s">
        <v>780</v>
      </c>
      <c r="D178" s="2" t="s">
        <v>463</v>
      </c>
      <c r="E178" s="2" t="s">
        <v>463</v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 customFormat="false" ht="15" hidden="false" customHeight="false" outlineLevel="0" collapsed="false">
      <c r="A179" s="2" t="n">
        <v>4</v>
      </c>
      <c r="B179" s="2" t="s">
        <v>781</v>
      </c>
      <c r="C179" s="2" t="s">
        <v>782</v>
      </c>
      <c r="D179" s="2" t="s">
        <v>463</v>
      </c>
      <c r="E179" s="2" t="s">
        <v>463</v>
      </c>
      <c r="F179" s="2" t="n">
        <v>33664.328610262</v>
      </c>
      <c r="G179" s="2" t="n">
        <v>0</v>
      </c>
      <c r="H179" s="2" t="n">
        <v>33664.328610262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 customFormat="false" ht="15" hidden="false" customHeight="false" outlineLevel="0" collapsed="false">
      <c r="A180" s="2" t="n">
        <v>4</v>
      </c>
      <c r="B180" s="2" t="s">
        <v>783</v>
      </c>
      <c r="C180" s="2" t="s">
        <v>784</v>
      </c>
      <c r="D180" s="2" t="s">
        <v>463</v>
      </c>
      <c r="E180" s="2" t="s">
        <v>463</v>
      </c>
      <c r="F180" s="2" t="n">
        <v>33664.328610262</v>
      </c>
      <c r="G180" s="2" t="n">
        <v>0</v>
      </c>
      <c r="H180" s="2" t="n">
        <v>33664.328610262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 customFormat="false" ht="15" hidden="false" customHeight="false" outlineLevel="0" collapsed="false">
      <c r="A181" s="2" t="n">
        <v>4</v>
      </c>
      <c r="B181" s="2" t="s">
        <v>785</v>
      </c>
      <c r="C181" s="2" t="s">
        <v>786</v>
      </c>
      <c r="D181" s="2" t="s">
        <v>463</v>
      </c>
      <c r="E181" s="2" t="s">
        <v>463</v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 customFormat="false" ht="15" hidden="false" customHeight="false" outlineLevel="0" collapsed="false">
      <c r="A182" s="2" t="n">
        <v>3</v>
      </c>
      <c r="B182" s="2" t="s">
        <v>787</v>
      </c>
      <c r="C182" s="2" t="s">
        <v>788</v>
      </c>
      <c r="D182" s="2" t="s">
        <v>463</v>
      </c>
      <c r="E182" s="2" t="s">
        <v>463</v>
      </c>
      <c r="F182" s="2" t="n">
        <v>174875.892455355</v>
      </c>
      <c r="G182" s="2" t="n">
        <v>0</v>
      </c>
      <c r="H182" s="2" t="n">
        <v>174875.892455355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 customFormat="false" ht="15" hidden="false" customHeight="false" outlineLevel="0" collapsed="false">
      <c r="A183" s="2" t="n">
        <v>4</v>
      </c>
      <c r="B183" s="2" t="s">
        <v>789</v>
      </c>
      <c r="C183" s="2" t="s">
        <v>790</v>
      </c>
      <c r="D183" s="2" t="s">
        <v>463</v>
      </c>
      <c r="E183" s="2" t="s">
        <v>463</v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 customFormat="false" ht="15" hidden="false" customHeight="false" outlineLevel="0" collapsed="false">
      <c r="A184" s="2" t="n">
        <v>4</v>
      </c>
      <c r="B184" s="2" t="s">
        <v>791</v>
      </c>
      <c r="C184" s="2" t="s">
        <v>782</v>
      </c>
      <c r="D184" s="2" t="s">
        <v>463</v>
      </c>
      <c r="E184" s="2" t="s">
        <v>463</v>
      </c>
      <c r="F184" s="2" t="n">
        <v>29258.7860290471</v>
      </c>
      <c r="G184" s="2" t="n">
        <v>0</v>
      </c>
      <c r="H184" s="2" t="n">
        <v>29258.7860290471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 customFormat="false" ht="15" hidden="false" customHeight="false" outlineLevel="0" collapsed="false">
      <c r="A185" s="2" t="n">
        <v>4</v>
      </c>
      <c r="B185" s="2" t="s">
        <v>792</v>
      </c>
      <c r="C185" s="2" t="s">
        <v>784</v>
      </c>
      <c r="D185" s="2" t="s">
        <v>463</v>
      </c>
      <c r="E185" s="2" t="s">
        <v>463</v>
      </c>
      <c r="F185" s="2" t="n">
        <v>29258.7860290471</v>
      </c>
      <c r="G185" s="2" t="n">
        <v>0</v>
      </c>
      <c r="H185" s="2" t="n">
        <v>29258.7860290471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 customFormat="false" ht="15" hidden="false" customHeight="false" outlineLevel="0" collapsed="false">
      <c r="A186" s="2" t="n">
        <v>4</v>
      </c>
      <c r="B186" s="2" t="s">
        <v>793</v>
      </c>
      <c r="C186" s="2" t="s">
        <v>786</v>
      </c>
      <c r="D186" s="2" t="s">
        <v>463</v>
      </c>
      <c r="E186" s="2" t="s">
        <v>463</v>
      </c>
      <c r="F186" s="2" t="n">
        <v>68208.320397261</v>
      </c>
      <c r="G186" s="2" t="n">
        <v>0</v>
      </c>
      <c r="H186" s="2" t="n">
        <v>68208.320397261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 customFormat="false" ht="15" hidden="false" customHeight="false" outlineLevel="0" collapsed="false">
      <c r="A187" s="2" t="n">
        <v>3</v>
      </c>
      <c r="B187" s="2" t="s">
        <v>794</v>
      </c>
      <c r="C187" s="2" t="s">
        <v>795</v>
      </c>
      <c r="D187" s="2" t="s">
        <v>463</v>
      </c>
      <c r="E187" s="2" t="s">
        <v>463</v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 customFormat="false" ht="15" hidden="false" customHeight="false" outlineLevel="0" collapsed="false">
      <c r="A188" s="2" t="n">
        <v>4</v>
      </c>
      <c r="B188" s="2" t="s">
        <v>796</v>
      </c>
      <c r="C188" s="2" t="s">
        <v>797</v>
      </c>
      <c r="D188" s="2" t="s">
        <v>463</v>
      </c>
      <c r="E188" s="2" t="s">
        <v>463</v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 customFormat="false" ht="15" hidden="false" customHeight="false" outlineLevel="0" collapsed="false">
      <c r="A189" s="2" t="n">
        <v>2</v>
      </c>
      <c r="B189" s="2" t="s">
        <v>798</v>
      </c>
      <c r="C189" s="2" t="s">
        <v>799</v>
      </c>
      <c r="D189" s="2" t="s">
        <v>463</v>
      </c>
      <c r="E189" s="2" t="s">
        <v>463</v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 customFormat="false" ht="15" hidden="false" customHeight="false" outlineLevel="0" collapsed="false">
      <c r="A190" s="2" t="n">
        <v>3</v>
      </c>
      <c r="B190" s="2" t="s">
        <v>800</v>
      </c>
      <c r="C190" s="2" t="s">
        <v>801</v>
      </c>
      <c r="D190" s="2" t="s">
        <v>463</v>
      </c>
      <c r="E190" s="2" t="s">
        <v>463</v>
      </c>
      <c r="F190" s="2" t="n">
        <v>854725.0387053</v>
      </c>
      <c r="G190" s="2" t="n">
        <v>0</v>
      </c>
      <c r="H190" s="2" t="n">
        <v>854725.0387053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 customFormat="false" ht="15" hidden="false" customHeight="false" outlineLevel="0" collapsed="false">
      <c r="A191" s="2" t="n">
        <v>4</v>
      </c>
      <c r="B191" s="2" t="s">
        <v>802</v>
      </c>
      <c r="C191" s="2" t="s">
        <v>803</v>
      </c>
      <c r="D191" s="2" t="s">
        <v>463</v>
      </c>
      <c r="E191" s="2" t="s">
        <v>463</v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 customFormat="false" ht="15" hidden="false" customHeight="false" outlineLevel="0" collapsed="false">
      <c r="A192" s="2" t="n">
        <v>4</v>
      </c>
      <c r="B192" s="2" t="s">
        <v>804</v>
      </c>
      <c r="C192" s="2" t="s">
        <v>805</v>
      </c>
      <c r="D192" s="2" t="s">
        <v>463</v>
      </c>
      <c r="E192" s="2" t="s">
        <v>463</v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 customFormat="false" ht="15" hidden="false" customHeight="false" outlineLevel="0" collapsed="false">
      <c r="A193" s="2" t="n">
        <v>4</v>
      </c>
      <c r="B193" s="2" t="s">
        <v>806</v>
      </c>
      <c r="C193" s="2" t="s">
        <v>782</v>
      </c>
      <c r="D193" s="2" t="s">
        <v>463</v>
      </c>
      <c r="E193" s="2" t="s">
        <v>463</v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 customFormat="false" ht="15" hidden="false" customHeight="false" outlineLevel="0" collapsed="false">
      <c r="A194" s="2" t="n">
        <v>4</v>
      </c>
      <c r="B194" s="2" t="s">
        <v>807</v>
      </c>
      <c r="C194" s="2" t="s">
        <v>784</v>
      </c>
      <c r="D194" s="2" t="s">
        <v>463</v>
      </c>
      <c r="E194" s="2" t="s">
        <v>463</v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 customFormat="false" ht="15" hidden="false" customHeight="false" outlineLevel="0" collapsed="false">
      <c r="A195" s="2" t="n">
        <v>4</v>
      </c>
      <c r="B195" s="2" t="s">
        <v>808</v>
      </c>
      <c r="C195" s="2" t="s">
        <v>809</v>
      </c>
      <c r="D195" s="2" t="s">
        <v>463</v>
      </c>
      <c r="E195" s="2" t="s">
        <v>463</v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 customFormat="false" ht="15" hidden="false" customHeight="false" outlineLevel="0" collapsed="false">
      <c r="A196" s="2" t="n">
        <v>4</v>
      </c>
      <c r="B196" s="2" t="s">
        <v>810</v>
      </c>
      <c r="C196" s="2" t="s">
        <v>811</v>
      </c>
      <c r="D196" s="2" t="s">
        <v>463</v>
      </c>
      <c r="E196" s="2" t="s">
        <v>463</v>
      </c>
      <c r="F196" s="2" t="n">
        <v>4825.03870530018</v>
      </c>
      <c r="G196" s="2" t="n">
        <v>0</v>
      </c>
      <c r="H196" s="2" t="n">
        <v>4825.03870530018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 customFormat="false" ht="15" hidden="false" customHeight="false" outlineLevel="0" collapsed="false">
      <c r="A197" s="2" t="n">
        <v>4</v>
      </c>
      <c r="B197" s="2" t="s">
        <v>812</v>
      </c>
      <c r="C197" s="2" t="s">
        <v>813</v>
      </c>
      <c r="D197" s="2" t="s">
        <v>463</v>
      </c>
      <c r="E197" s="2" t="s">
        <v>463</v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 customFormat="false" ht="15" hidden="false" customHeight="false" outlineLevel="0" collapsed="false">
      <c r="A198" s="2" t="n">
        <v>4</v>
      </c>
      <c r="B198" s="2" t="s">
        <v>814</v>
      </c>
      <c r="C198" s="2" t="s">
        <v>815</v>
      </c>
      <c r="D198" s="2" t="s">
        <v>463</v>
      </c>
      <c r="E198" s="2" t="s">
        <v>463</v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 customFormat="false" ht="15" hidden="false" customHeight="false" outlineLevel="0" collapsed="false">
      <c r="A199" s="2" t="n">
        <v>3</v>
      </c>
      <c r="B199" s="2" t="s">
        <v>816</v>
      </c>
      <c r="C199" s="2" t="s">
        <v>817</v>
      </c>
      <c r="D199" s="2" t="s">
        <v>463</v>
      </c>
      <c r="E199" s="2" t="s">
        <v>463</v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 customFormat="false" ht="15" hidden="false" customHeight="false" outlineLevel="0" collapsed="false">
      <c r="A200" s="2" t="n">
        <v>4</v>
      </c>
      <c r="B200" s="2" t="s">
        <v>818</v>
      </c>
      <c r="C200" s="2" t="s">
        <v>819</v>
      </c>
      <c r="D200" s="2" t="s">
        <v>463</v>
      </c>
      <c r="E200" s="2" t="s">
        <v>463</v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 customFormat="false" ht="15" hidden="false" customHeight="false" outlineLevel="0" collapsed="false">
      <c r="A201" s="2" t="n">
        <v>4</v>
      </c>
      <c r="B201" s="2" t="s">
        <v>820</v>
      </c>
      <c r="C201" s="2" t="s">
        <v>821</v>
      </c>
      <c r="D201" s="2" t="s">
        <v>463</v>
      </c>
      <c r="E201" s="2" t="s">
        <v>463</v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 customFormat="false" ht="15" hidden="false" customHeight="false" outlineLevel="0" collapsed="false">
      <c r="A202" s="2" t="n">
        <v>4</v>
      </c>
      <c r="B202" s="2" t="s">
        <v>822</v>
      </c>
      <c r="C202" s="2" t="s">
        <v>823</v>
      </c>
      <c r="D202" s="2" t="s">
        <v>463</v>
      </c>
      <c r="E202" s="2" t="s">
        <v>463</v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 customFormat="false" ht="15" hidden="false" customHeight="false" outlineLevel="0" collapsed="false">
      <c r="A203" s="2" t="n">
        <v>4</v>
      </c>
      <c r="B203" s="2" t="s">
        <v>824</v>
      </c>
      <c r="C203" s="2" t="s">
        <v>825</v>
      </c>
      <c r="D203" s="2" t="s">
        <v>463</v>
      </c>
      <c r="E203" s="2" t="s">
        <v>463</v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 customFormat="false" ht="15" hidden="false" customHeight="false" outlineLevel="0" collapsed="false">
      <c r="A204" s="2" t="n">
        <v>4</v>
      </c>
      <c r="B204" s="2" t="s">
        <v>826</v>
      </c>
      <c r="C204" s="2" t="s">
        <v>827</v>
      </c>
      <c r="D204" s="2" t="s">
        <v>463</v>
      </c>
      <c r="E204" s="2" t="s">
        <v>463</v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 customFormat="false" ht="15" hidden="false" customHeight="false" outlineLevel="0" collapsed="false">
      <c r="A205" s="2" t="n">
        <v>4</v>
      </c>
      <c r="B205" s="2" t="s">
        <v>828</v>
      </c>
      <c r="C205" s="2" t="s">
        <v>829</v>
      </c>
      <c r="D205" s="2" t="s">
        <v>463</v>
      </c>
      <c r="E205" s="2" t="s">
        <v>463</v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 customFormat="false" ht="15" hidden="false" customHeight="false" outlineLevel="0" collapsed="false">
      <c r="A206" s="2" t="n">
        <v>4</v>
      </c>
      <c r="B206" s="2" t="s">
        <v>830</v>
      </c>
      <c r="C206" s="2" t="s">
        <v>831</v>
      </c>
      <c r="D206" s="2" t="s">
        <v>463</v>
      </c>
      <c r="E206" s="2" t="s">
        <v>463</v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 customFormat="false" ht="15" hidden="false" customHeight="false" outlineLevel="0" collapsed="false">
      <c r="A207" s="2" t="n">
        <v>4</v>
      </c>
      <c r="B207" s="2" t="s">
        <v>832</v>
      </c>
      <c r="C207" s="2" t="s">
        <v>833</v>
      </c>
      <c r="D207" s="2" t="s">
        <v>463</v>
      </c>
      <c r="E207" s="2" t="s">
        <v>463</v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 customFormat="false" ht="15" hidden="false" customHeight="false" outlineLevel="0" collapsed="false">
      <c r="A208" s="2" t="n">
        <v>4</v>
      </c>
      <c r="B208" s="2" t="s">
        <v>834</v>
      </c>
      <c r="C208" s="2" t="s">
        <v>835</v>
      </c>
      <c r="D208" s="2" t="s">
        <v>463</v>
      </c>
      <c r="E208" s="2" t="s">
        <v>463</v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 customFormat="false" ht="15" hidden="false" customHeight="false" outlineLevel="0" collapsed="false">
      <c r="A209" s="2" t="n">
        <v>4</v>
      </c>
      <c r="B209" s="2" t="s">
        <v>836</v>
      </c>
      <c r="C209" s="2" t="s">
        <v>837</v>
      </c>
      <c r="D209" s="2" t="s">
        <v>463</v>
      </c>
      <c r="E209" s="2" t="s">
        <v>463</v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 customFormat="false" ht="15" hidden="false" customHeight="false" outlineLevel="0" collapsed="false">
      <c r="A210" s="2" t="n">
        <v>4</v>
      </c>
      <c r="B210" s="2" t="s">
        <v>838</v>
      </c>
      <c r="C210" s="2" t="s">
        <v>839</v>
      </c>
      <c r="D210" s="2" t="s">
        <v>463</v>
      </c>
      <c r="E210" s="2" t="s">
        <v>463</v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 customFormat="false" ht="15" hidden="false" customHeight="false" outlineLevel="0" collapsed="false">
      <c r="A211" s="2" t="n">
        <v>4</v>
      </c>
      <c r="B211" s="2" t="s">
        <v>840</v>
      </c>
      <c r="C211" s="2" t="s">
        <v>841</v>
      </c>
      <c r="D211" s="2" t="s">
        <v>463</v>
      </c>
      <c r="E211" s="2" t="s">
        <v>463</v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 customFormat="false" ht="15" hidden="false" customHeight="false" outlineLevel="0" collapsed="false">
      <c r="A212" s="2" t="n">
        <v>4</v>
      </c>
      <c r="B212" s="2" t="s">
        <v>842</v>
      </c>
      <c r="C212" s="2" t="s">
        <v>843</v>
      </c>
      <c r="D212" s="2" t="s">
        <v>463</v>
      </c>
      <c r="E212" s="2" t="s">
        <v>463</v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 customFormat="false" ht="15" hidden="false" customHeight="false" outlineLevel="0" collapsed="false">
      <c r="A213" s="2" t="n">
        <v>4</v>
      </c>
      <c r="B213" s="2" t="s">
        <v>844</v>
      </c>
      <c r="C213" s="2" t="s">
        <v>845</v>
      </c>
      <c r="D213" s="2" t="s">
        <v>463</v>
      </c>
      <c r="E213" s="2" t="s">
        <v>463</v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 customFormat="false" ht="15" hidden="false" customHeight="false" outlineLevel="0" collapsed="false">
      <c r="A214" s="2" t="n">
        <v>4</v>
      </c>
      <c r="B214" s="2" t="s">
        <v>846</v>
      </c>
      <c r="C214" s="2" t="s">
        <v>847</v>
      </c>
      <c r="D214" s="2" t="s">
        <v>463</v>
      </c>
      <c r="E214" s="2" t="s">
        <v>463</v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 customFormat="false" ht="15" hidden="false" customHeight="false" outlineLevel="0" collapsed="false">
      <c r="A215" s="2" t="n">
        <v>4</v>
      </c>
      <c r="B215" s="2" t="s">
        <v>848</v>
      </c>
      <c r="C215" s="2" t="s">
        <v>849</v>
      </c>
      <c r="D215" s="2" t="s">
        <v>463</v>
      </c>
      <c r="E215" s="2" t="s">
        <v>463</v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 customFormat="false" ht="15" hidden="false" customHeight="false" outlineLevel="0" collapsed="false">
      <c r="A216" s="2" t="n">
        <v>4</v>
      </c>
      <c r="B216" s="2" t="s">
        <v>850</v>
      </c>
      <c r="C216" s="2" t="s">
        <v>851</v>
      </c>
      <c r="D216" s="2" t="s">
        <v>463</v>
      </c>
      <c r="E216" s="2" t="s">
        <v>463</v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 customFormat="false" ht="15" hidden="false" customHeight="false" outlineLevel="0" collapsed="false">
      <c r="A217" s="2" t="n">
        <v>4</v>
      </c>
      <c r="B217" s="2" t="s">
        <v>852</v>
      </c>
      <c r="C217" s="2" t="s">
        <v>853</v>
      </c>
      <c r="D217" s="2" t="s">
        <v>463</v>
      </c>
      <c r="E217" s="2" t="s">
        <v>463</v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 customFormat="false" ht="15" hidden="false" customHeight="false" outlineLevel="0" collapsed="false">
      <c r="A218" s="2" t="n">
        <v>4</v>
      </c>
      <c r="B218" s="2" t="s">
        <v>854</v>
      </c>
      <c r="C218" s="2" t="s">
        <v>855</v>
      </c>
      <c r="D218" s="2" t="s">
        <v>463</v>
      </c>
      <c r="E218" s="2" t="s">
        <v>463</v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 customFormat="false" ht="15" hidden="false" customHeight="false" outlineLevel="0" collapsed="false">
      <c r="A219" s="2" t="n">
        <v>4</v>
      </c>
      <c r="B219" s="2" t="s">
        <v>856</v>
      </c>
      <c r="C219" s="2" t="s">
        <v>857</v>
      </c>
      <c r="D219" s="2" t="s">
        <v>463</v>
      </c>
      <c r="E219" s="2" t="s">
        <v>463</v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 customFormat="false" ht="15" hidden="false" customHeight="false" outlineLevel="0" collapsed="false">
      <c r="A220" s="2" t="n">
        <v>2</v>
      </c>
      <c r="B220" s="2" t="s">
        <v>858</v>
      </c>
      <c r="C220" s="2" t="s">
        <v>859</v>
      </c>
      <c r="D220" s="2" t="s">
        <v>463</v>
      </c>
      <c r="E220" s="2" t="s">
        <v>463</v>
      </c>
      <c r="F220" s="2" t="n">
        <v>1622743.32351238</v>
      </c>
      <c r="G220" s="2" t="n">
        <v>0</v>
      </c>
      <c r="H220" s="2" t="n">
        <v>1622743.32351238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 customFormat="false" ht="15" hidden="false" customHeight="false" outlineLevel="0" collapsed="false">
      <c r="A221" s="2" t="n">
        <v>3</v>
      </c>
      <c r="B221" s="2" t="s">
        <v>860</v>
      </c>
      <c r="C221" s="2" t="s">
        <v>861</v>
      </c>
      <c r="D221" s="2" t="s">
        <v>463</v>
      </c>
      <c r="E221" s="2" t="s">
        <v>463</v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 customFormat="false" ht="15" hidden="false" customHeight="false" outlineLevel="0" collapsed="false">
      <c r="A222" s="2" t="n">
        <v>4</v>
      </c>
      <c r="B222" s="2" t="s">
        <v>862</v>
      </c>
      <c r="C222" s="2" t="s">
        <v>863</v>
      </c>
      <c r="D222" s="2" t="s">
        <v>463</v>
      </c>
      <c r="E222" s="2" t="s">
        <v>463</v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 customFormat="false" ht="15" hidden="false" customHeight="false" outlineLevel="0" collapsed="false">
      <c r="A223" s="2" t="n">
        <v>4</v>
      </c>
      <c r="B223" s="2" t="s">
        <v>864</v>
      </c>
      <c r="C223" s="2" t="s">
        <v>865</v>
      </c>
      <c r="D223" s="2" t="s">
        <v>463</v>
      </c>
      <c r="E223" s="2" t="s">
        <v>463</v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 customFormat="false" ht="15" hidden="false" customHeight="false" outlineLevel="0" collapsed="false">
      <c r="A224" s="2" t="n">
        <v>3</v>
      </c>
      <c r="B224" s="2" t="s">
        <v>866</v>
      </c>
      <c r="C224" s="2" t="s">
        <v>867</v>
      </c>
      <c r="D224" s="2" t="s">
        <v>463</v>
      </c>
      <c r="E224" s="2" t="s">
        <v>463</v>
      </c>
      <c r="F224" s="2" t="n">
        <v>614691.875079298</v>
      </c>
      <c r="G224" s="2" t="n">
        <v>0</v>
      </c>
      <c r="H224" s="2" t="n">
        <v>614691.875079298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 customFormat="false" ht="15" hidden="false" customHeight="false" outlineLevel="0" collapsed="false">
      <c r="A225" s="2" t="n">
        <v>4</v>
      </c>
      <c r="B225" s="2" t="s">
        <v>868</v>
      </c>
      <c r="C225" s="2" t="s">
        <v>869</v>
      </c>
      <c r="D225" s="2" t="s">
        <v>463</v>
      </c>
      <c r="E225" s="2" t="s">
        <v>463</v>
      </c>
      <c r="F225" s="2" t="n">
        <v>513497.512178159</v>
      </c>
      <c r="G225" s="2" t="n">
        <v>0</v>
      </c>
      <c r="H225" s="2" t="n">
        <v>513497.512178159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 customFormat="false" ht="15" hidden="false" customHeight="false" outlineLevel="0" collapsed="false">
      <c r="A226" s="2" t="n">
        <v>4</v>
      </c>
      <c r="B226" s="2" t="s">
        <v>870</v>
      </c>
      <c r="C226" s="2" t="s">
        <v>871</v>
      </c>
      <c r="D226" s="2" t="s">
        <v>463</v>
      </c>
      <c r="E226" s="2" t="s">
        <v>463</v>
      </c>
      <c r="F226" s="2" t="n">
        <v>50597.1814505697</v>
      </c>
      <c r="G226" s="2" t="n">
        <v>0</v>
      </c>
      <c r="H226" s="2" t="n">
        <v>50597.1814505697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 customFormat="false" ht="15" hidden="false" customHeight="false" outlineLevel="0" collapsed="false">
      <c r="A227" s="2" t="n">
        <v>4</v>
      </c>
      <c r="B227" s="2" t="s">
        <v>872</v>
      </c>
      <c r="C227" s="2" t="s">
        <v>873</v>
      </c>
      <c r="D227" s="2" t="s">
        <v>463</v>
      </c>
      <c r="E227" s="2" t="s">
        <v>463</v>
      </c>
      <c r="F227" s="2" t="n">
        <v>50597.1814505697</v>
      </c>
      <c r="G227" s="2" t="n">
        <v>0</v>
      </c>
      <c r="H227" s="2" t="n">
        <v>50597.1814505697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 customFormat="false" ht="15" hidden="false" customHeight="false" outlineLevel="0" collapsed="false">
      <c r="A228" s="2" t="n">
        <v>3</v>
      </c>
      <c r="B228" s="2" t="s">
        <v>874</v>
      </c>
      <c r="C228" s="2" t="s">
        <v>875</v>
      </c>
      <c r="D228" s="2" t="s">
        <v>463</v>
      </c>
      <c r="E228" s="2" t="s">
        <v>463</v>
      </c>
      <c r="F228" s="2" t="n">
        <v>422841.279444721</v>
      </c>
      <c r="G228" s="2" t="n">
        <v>0</v>
      </c>
      <c r="H228" s="2" t="n">
        <v>422841.279444721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 customFormat="false" ht="15" hidden="false" customHeight="false" outlineLevel="0" collapsed="false">
      <c r="A229" s="2" t="n">
        <v>4</v>
      </c>
      <c r="B229" s="2" t="s">
        <v>876</v>
      </c>
      <c r="C229" s="2" t="s">
        <v>877</v>
      </c>
      <c r="D229" s="2" t="s">
        <v>463</v>
      </c>
      <c r="E229" s="2" t="s">
        <v>463</v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 customFormat="false" ht="15" hidden="false" customHeight="false" outlineLevel="0" collapsed="false">
      <c r="A230" s="2" t="n">
        <v>4</v>
      </c>
      <c r="B230" s="2" t="s">
        <v>878</v>
      </c>
      <c r="C230" s="2" t="s">
        <v>782</v>
      </c>
      <c r="D230" s="2" t="s">
        <v>463</v>
      </c>
      <c r="E230" s="2" t="s">
        <v>463</v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 customFormat="false" ht="15" hidden="false" customHeight="false" outlineLevel="0" collapsed="false">
      <c r="A231" s="2" t="n">
        <v>4</v>
      </c>
      <c r="B231" s="2" t="s">
        <v>879</v>
      </c>
      <c r="C231" s="2" t="s">
        <v>784</v>
      </c>
      <c r="D231" s="2" t="s">
        <v>463</v>
      </c>
      <c r="E231" s="2" t="s">
        <v>463</v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 customFormat="false" ht="15" hidden="false" customHeight="false" outlineLevel="0" collapsed="false">
      <c r="A232" s="2" t="n">
        <v>4</v>
      </c>
      <c r="B232" s="2" t="s">
        <v>880</v>
      </c>
      <c r="C232" s="2" t="s">
        <v>881</v>
      </c>
      <c r="D232" s="2" t="s">
        <v>463</v>
      </c>
      <c r="E232" s="2" t="s">
        <v>463</v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 customFormat="false" ht="15" hidden="false" customHeight="false" outlineLevel="0" collapsed="false">
      <c r="A233" s="2" t="n">
        <v>2</v>
      </c>
      <c r="B233" s="2" t="s">
        <v>882</v>
      </c>
      <c r="C233" s="2" t="s">
        <v>883</v>
      </c>
      <c r="D233" s="2" t="s">
        <v>463</v>
      </c>
      <c r="E233" s="2" t="s">
        <v>463</v>
      </c>
      <c r="F233" s="2" t="n">
        <v>308613.436156845</v>
      </c>
      <c r="G233" s="2" t="n">
        <v>0</v>
      </c>
      <c r="H233" s="2" t="n">
        <v>308613.436156845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 customFormat="false" ht="15" hidden="false" customHeight="false" outlineLevel="0" collapsed="false">
      <c r="A234" s="2" t="n">
        <v>3</v>
      </c>
      <c r="B234" s="2" t="s">
        <v>884</v>
      </c>
      <c r="C234" s="2" t="s">
        <v>885</v>
      </c>
      <c r="D234" s="2" t="s">
        <v>463</v>
      </c>
      <c r="E234" s="2" t="s">
        <v>463</v>
      </c>
      <c r="F234" s="2" t="n">
        <v>111518.986666667</v>
      </c>
      <c r="G234" s="2" t="n">
        <v>0</v>
      </c>
      <c r="H234" s="2" t="n">
        <v>111518.986666667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 customFormat="false" ht="15" hidden="false" customHeight="false" outlineLevel="0" collapsed="false">
      <c r="A235" s="2" t="n">
        <v>3</v>
      </c>
      <c r="B235" s="2" t="s">
        <v>886</v>
      </c>
      <c r="C235" s="2" t="s">
        <v>887</v>
      </c>
      <c r="D235" s="2" t="s">
        <v>463</v>
      </c>
      <c r="E235" s="2" t="s">
        <v>463</v>
      </c>
      <c r="F235" s="2" t="n">
        <v>31626.6133333333</v>
      </c>
      <c r="G235" s="2" t="n">
        <v>0</v>
      </c>
      <c r="H235" s="2" t="n">
        <v>31626.6133333333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 customFormat="false" ht="15" hidden="false" customHeight="false" outlineLevel="0" collapsed="false">
      <c r="A236" s="2" t="n">
        <v>3</v>
      </c>
      <c r="B236" s="2" t="s">
        <v>888</v>
      </c>
      <c r="C236" s="2" t="s">
        <v>889</v>
      </c>
      <c r="D236" s="2" t="s">
        <v>463</v>
      </c>
      <c r="E236" s="2" t="s">
        <v>463</v>
      </c>
      <c r="F236" s="2" t="n">
        <v>93019.8361568453</v>
      </c>
      <c r="G236" s="2" t="n">
        <v>0</v>
      </c>
      <c r="H236" s="2" t="n">
        <v>93019.8361568453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 customFormat="false" ht="15" hidden="false" customHeight="false" outlineLevel="0" collapsed="false">
      <c r="A237" s="2" t="n">
        <v>3</v>
      </c>
      <c r="B237" s="2" t="s">
        <v>890</v>
      </c>
      <c r="C237" s="2" t="s">
        <v>891</v>
      </c>
      <c r="D237" s="2" t="s">
        <v>463</v>
      </c>
      <c r="E237" s="2" t="s">
        <v>463</v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 customFormat="false" ht="15" hidden="false" customHeight="false" outlineLevel="0" collapsed="false">
      <c r="A238" s="2" t="n">
        <v>3</v>
      </c>
      <c r="B238" s="2" t="s">
        <v>892</v>
      </c>
      <c r="C238" s="2" t="s">
        <v>893</v>
      </c>
      <c r="D238" s="2" t="s">
        <v>463</v>
      </c>
      <c r="E238" s="2" t="s">
        <v>463</v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 customFormat="false" ht="15" hidden="false" customHeight="false" outlineLevel="0" collapsed="false">
      <c r="A239" s="2" t="n">
        <v>3</v>
      </c>
      <c r="B239" s="2" t="s">
        <v>894</v>
      </c>
      <c r="C239" s="2" t="s">
        <v>895</v>
      </c>
      <c r="D239" s="2" t="s">
        <v>463</v>
      </c>
      <c r="E239" s="2" t="s">
        <v>463</v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896</v>
      </c>
      <c r="E240" s="2" t="s">
        <v>897</v>
      </c>
      <c r="F240" s="2" t="n">
        <v>175350.928662556</v>
      </c>
      <c r="G240" s="2" t="n">
        <v>0</v>
      </c>
      <c r="H240" s="2" t="n">
        <v>175350.928662556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 customFormat="false" ht="15" hidden="false" customHeight="false" outlineLevel="0" collapsed="false">
      <c r="A241" s="2" t="n">
        <v>2</v>
      </c>
      <c r="B241" s="2" t="s">
        <v>898</v>
      </c>
      <c r="C241" s="2" t="s">
        <v>899</v>
      </c>
      <c r="D241" s="2" t="s">
        <v>896</v>
      </c>
      <c r="E241" s="2" t="s">
        <v>900</v>
      </c>
      <c r="F241" s="2" t="n">
        <v>44750.9286625556</v>
      </c>
      <c r="G241" s="2" t="n">
        <v>0</v>
      </c>
      <c r="H241" s="2" t="n">
        <v>44750.9286625556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 customFormat="false" ht="15" hidden="false" customHeight="false" outlineLevel="0" collapsed="false">
      <c r="A242" s="2" t="n">
        <v>3</v>
      </c>
      <c r="B242" s="2" t="s">
        <v>901</v>
      </c>
      <c r="C242" s="2" t="s">
        <v>899</v>
      </c>
      <c r="D242" s="2" t="s">
        <v>896</v>
      </c>
      <c r="E242" s="2" t="s">
        <v>900</v>
      </c>
      <c r="F242" s="2" t="n">
        <v>44750.9286625556</v>
      </c>
      <c r="G242" s="2" t="n">
        <v>0</v>
      </c>
      <c r="H242" s="2" t="n">
        <v>44750.9286625556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 customFormat="false" ht="15" hidden="false" customHeight="false" outlineLevel="0" collapsed="false">
      <c r="A243" s="2" t="n">
        <v>2</v>
      </c>
      <c r="B243" s="2" t="s">
        <v>902</v>
      </c>
      <c r="C243" s="2" t="s">
        <v>760</v>
      </c>
      <c r="D243" s="2" t="s">
        <v>903</v>
      </c>
      <c r="E243" s="2" t="s">
        <v>897</v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 customFormat="false" ht="15" hidden="false" customHeight="false" outlineLevel="0" collapsed="false">
      <c r="A244" s="2" t="n">
        <v>3</v>
      </c>
      <c r="B244" s="2" t="s">
        <v>904</v>
      </c>
      <c r="C244" s="2" t="s">
        <v>905</v>
      </c>
      <c r="D244" s="2" t="s">
        <v>903</v>
      </c>
      <c r="E244" s="2" t="s">
        <v>897</v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 customFormat="false" ht="15" hidden="false" customHeight="false" outlineLevel="0" collapsed="false">
      <c r="A245" s="2" t="n">
        <v>3</v>
      </c>
      <c r="B245" s="2" t="s">
        <v>906</v>
      </c>
      <c r="C245" s="2" t="s">
        <v>907</v>
      </c>
      <c r="D245" s="2" t="s">
        <v>903</v>
      </c>
      <c r="E245" s="2" t="s">
        <v>897</v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908</v>
      </c>
      <c r="D246" s="2" t="s">
        <v>909</v>
      </c>
      <c r="E246" s="2" t="s">
        <v>910</v>
      </c>
      <c r="F246" s="2" t="n">
        <v>1644553.51886987</v>
      </c>
      <c r="G246" s="2" t="n">
        <v>0</v>
      </c>
      <c r="H246" s="2" t="n">
        <v>1644553.51886987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77.57</v>
      </c>
      <c r="BC246" s="2" t="n">
        <v>77.3</v>
      </c>
      <c r="BD246" s="2" t="n">
        <v>75.23</v>
      </c>
      <c r="BE246" s="2" t="n">
        <v>82.18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97.07</v>
      </c>
      <c r="BL246" s="2" t="n">
        <v>97.07</v>
      </c>
      <c r="BM246" s="2" t="n">
        <v>75.23</v>
      </c>
      <c r="BN246" s="2" t="n">
        <v>97.07</v>
      </c>
      <c r="BO246" s="2" t="n">
        <v>97.07</v>
      </c>
      <c r="BP246" s="2" t="n">
        <v>75.23</v>
      </c>
      <c r="BQ246" s="2" t="n">
        <v>97.07</v>
      </c>
      <c r="BR246" s="2" t="n">
        <v>97.07</v>
      </c>
      <c r="BS246" s="2" t="n">
        <v>75.23</v>
      </c>
      <c r="BT246" s="2" t="n">
        <v>97.07</v>
      </c>
      <c r="BU246" s="2" t="n">
        <v>97.07</v>
      </c>
      <c r="BV246" s="2" t="n">
        <v>75.23</v>
      </c>
      <c r="BW246" s="2" t="n">
        <v>99.07</v>
      </c>
      <c r="BX246" s="2" t="n">
        <v>99.07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 customFormat="false" ht="15" hidden="false" customHeight="false" outlineLevel="0" collapsed="false">
      <c r="A247" s="2" t="n">
        <v>2</v>
      </c>
      <c r="B247" s="2" t="s">
        <v>911</v>
      </c>
      <c r="C247" s="2" t="s">
        <v>912</v>
      </c>
      <c r="D247" s="2" t="s">
        <v>909</v>
      </c>
      <c r="E247" s="2" t="s">
        <v>913</v>
      </c>
      <c r="F247" s="2" t="n">
        <v>1131182.26874639</v>
      </c>
      <c r="G247" s="2" t="n">
        <v>0</v>
      </c>
      <c r="H247" s="2" t="n">
        <v>1131182.26874639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 customFormat="false" ht="15" hidden="false" customHeight="false" outlineLevel="0" collapsed="false">
      <c r="A248" s="2" t="n">
        <v>3</v>
      </c>
      <c r="B248" s="2" t="s">
        <v>914</v>
      </c>
      <c r="C248" s="2" t="s">
        <v>915</v>
      </c>
      <c r="D248" s="2" t="s">
        <v>909</v>
      </c>
      <c r="E248" s="2" t="s">
        <v>913</v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 customFormat="false" ht="15" hidden="false" customHeight="false" outlineLevel="0" collapsed="false">
      <c r="A249" s="2" t="n">
        <v>3</v>
      </c>
      <c r="B249" s="2" t="s">
        <v>916</v>
      </c>
      <c r="C249" s="2" t="s">
        <v>917</v>
      </c>
      <c r="D249" s="2" t="s">
        <v>909</v>
      </c>
      <c r="E249" s="2" t="s">
        <v>913</v>
      </c>
      <c r="F249" s="2" t="n">
        <v>74998.4</v>
      </c>
      <c r="G249" s="2" t="n">
        <v>0</v>
      </c>
      <c r="H249" s="2" t="n">
        <v>74998.4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 customFormat="false" ht="15" hidden="false" customHeight="false" outlineLevel="0" collapsed="false">
      <c r="A250" s="2" t="n">
        <v>3</v>
      </c>
      <c r="B250" s="2" t="s">
        <v>918</v>
      </c>
      <c r="C250" s="2" t="s">
        <v>919</v>
      </c>
      <c r="D250" s="2" t="s">
        <v>909</v>
      </c>
      <c r="E250" s="2" t="s">
        <v>913</v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 customFormat="false" ht="15" hidden="false" customHeight="false" outlineLevel="0" collapsed="false">
      <c r="A251" s="2" t="n">
        <v>3</v>
      </c>
      <c r="B251" s="2" t="s">
        <v>920</v>
      </c>
      <c r="C251" s="2" t="s">
        <v>921</v>
      </c>
      <c r="D251" s="2" t="s">
        <v>909</v>
      </c>
      <c r="E251" s="2" t="s">
        <v>913</v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 customFormat="false" ht="15" hidden="false" customHeight="false" outlineLevel="0" collapsed="false">
      <c r="A252" s="2" t="n">
        <v>3</v>
      </c>
      <c r="B252" s="2" t="s">
        <v>922</v>
      </c>
      <c r="C252" s="2" t="s">
        <v>923</v>
      </c>
      <c r="D252" s="2" t="s">
        <v>909</v>
      </c>
      <c r="E252" s="2" t="s">
        <v>913</v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 customFormat="false" ht="15" hidden="false" customHeight="false" outlineLevel="0" collapsed="false">
      <c r="A253" s="2" t="n">
        <v>3</v>
      </c>
      <c r="B253" s="2" t="s">
        <v>924</v>
      </c>
      <c r="C253" s="2" t="s">
        <v>925</v>
      </c>
      <c r="D253" s="2" t="s">
        <v>909</v>
      </c>
      <c r="E253" s="2" t="s">
        <v>913</v>
      </c>
      <c r="F253" s="2" t="n">
        <v>5209.40674638821</v>
      </c>
      <c r="G253" s="2" t="n">
        <v>0</v>
      </c>
      <c r="H253" s="2" t="n">
        <v>5209.40674638821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 customFormat="false" ht="15" hidden="false" customHeight="false" outlineLevel="0" collapsed="false">
      <c r="A254" s="2" t="n">
        <v>3</v>
      </c>
      <c r="B254" s="2" t="s">
        <v>926</v>
      </c>
      <c r="C254" s="2" t="s">
        <v>927</v>
      </c>
      <c r="D254" s="2" t="s">
        <v>909</v>
      </c>
      <c r="E254" s="2" t="s">
        <v>913</v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 customFormat="false" ht="15" hidden="false" customHeight="false" outlineLevel="0" collapsed="false">
      <c r="A255" s="2" t="n">
        <v>3</v>
      </c>
      <c r="B255" s="2" t="s">
        <v>928</v>
      </c>
      <c r="C255" s="2" t="s">
        <v>929</v>
      </c>
      <c r="D255" s="2" t="s">
        <v>909</v>
      </c>
      <c r="E255" s="2" t="s">
        <v>913</v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 customFormat="false" ht="15" hidden="false" customHeight="false" outlineLevel="0" collapsed="false">
      <c r="A256" s="2" t="n">
        <v>3</v>
      </c>
      <c r="B256" s="2" t="s">
        <v>930</v>
      </c>
      <c r="C256" s="2" t="s">
        <v>931</v>
      </c>
      <c r="D256" s="2" t="s">
        <v>909</v>
      </c>
      <c r="E256" s="2" t="s">
        <v>913</v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 customFormat="false" ht="15" hidden="false" customHeight="false" outlineLevel="0" collapsed="false">
      <c r="A257" s="2" t="n">
        <v>3</v>
      </c>
      <c r="B257" s="2" t="s">
        <v>932</v>
      </c>
      <c r="C257" s="2" t="s">
        <v>933</v>
      </c>
      <c r="D257" s="2" t="s">
        <v>909</v>
      </c>
      <c r="E257" s="2" t="s">
        <v>913</v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 customFormat="false" ht="15" hidden="false" customHeight="false" outlineLevel="0" collapsed="false">
      <c r="A258" s="2" t="n">
        <v>3</v>
      </c>
      <c r="B258" s="2" t="s">
        <v>934</v>
      </c>
      <c r="C258" s="2" t="s">
        <v>935</v>
      </c>
      <c r="D258" s="2" t="s">
        <v>909</v>
      </c>
      <c r="E258" s="2" t="s">
        <v>913</v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 customFormat="false" ht="15" hidden="false" customHeight="false" outlineLevel="0" collapsed="false">
      <c r="A259" s="2" t="n">
        <v>3</v>
      </c>
      <c r="B259" s="2" t="s">
        <v>936</v>
      </c>
      <c r="C259" s="2" t="s">
        <v>937</v>
      </c>
      <c r="D259" s="2" t="s">
        <v>909</v>
      </c>
      <c r="E259" s="2" t="s">
        <v>913</v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 customFormat="false" ht="15" hidden="false" customHeight="false" outlineLevel="0" collapsed="false">
      <c r="A260" s="2" t="n">
        <v>2</v>
      </c>
      <c r="B260" s="2" t="s">
        <v>938</v>
      </c>
      <c r="C260" s="2" t="s">
        <v>939</v>
      </c>
      <c r="D260" s="2" t="s">
        <v>940</v>
      </c>
      <c r="E260" s="2" t="s">
        <v>941</v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 customFormat="false" ht="15" hidden="false" customHeight="false" outlineLevel="0" collapsed="false">
      <c r="A261" s="2" t="n">
        <v>3</v>
      </c>
      <c r="B261" s="2" t="s">
        <v>942</v>
      </c>
      <c r="C261" s="2" t="s">
        <v>943</v>
      </c>
      <c r="D261" s="2" t="s">
        <v>940</v>
      </c>
      <c r="E261" s="2" t="s">
        <v>941</v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 customFormat="false" ht="15" hidden="false" customHeight="false" outlineLevel="0" collapsed="false">
      <c r="A262" s="2" t="n">
        <v>3</v>
      </c>
      <c r="B262" s="2" t="s">
        <v>944</v>
      </c>
      <c r="C262" s="2" t="s">
        <v>927</v>
      </c>
      <c r="D262" s="2" t="s">
        <v>940</v>
      </c>
      <c r="E262" s="2" t="s">
        <v>941</v>
      </c>
      <c r="F262" s="2" t="n">
        <v>65498.4692557226</v>
      </c>
      <c r="G262" s="2" t="n">
        <v>0</v>
      </c>
      <c r="H262" s="2" t="n">
        <v>65498.4692557226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 customFormat="false" ht="15" hidden="false" customHeight="false" outlineLevel="0" collapsed="false">
      <c r="A263" s="2" t="n">
        <v>3</v>
      </c>
      <c r="B263" s="2" t="s">
        <v>945</v>
      </c>
      <c r="C263" s="2" t="s">
        <v>946</v>
      </c>
      <c r="D263" s="2" t="s">
        <v>940</v>
      </c>
      <c r="E263" s="2" t="s">
        <v>941</v>
      </c>
      <c r="F263" s="2" t="n">
        <v>35320.5776594194</v>
      </c>
      <c r="G263" s="2" t="n">
        <v>0</v>
      </c>
      <c r="H263" s="2" t="n">
        <v>35320.5776594194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 customFormat="false" ht="15" hidden="false" customHeight="false" outlineLevel="0" collapsed="false">
      <c r="A264" s="2" t="n">
        <v>2</v>
      </c>
      <c r="B264" s="2" t="s">
        <v>947</v>
      </c>
      <c r="C264" s="2" t="s">
        <v>948</v>
      </c>
      <c r="D264" s="2" t="s">
        <v>949</v>
      </c>
      <c r="E264" s="2" t="s">
        <v>422</v>
      </c>
      <c r="F264" s="2" t="n">
        <v>291934.966982763</v>
      </c>
      <c r="G264" s="2" t="n">
        <v>0</v>
      </c>
      <c r="H264" s="2" t="n">
        <v>291934.966982763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86.21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 customFormat="false" ht="15" hidden="false" customHeight="false" outlineLevel="0" collapsed="false">
      <c r="A265" s="2" t="n">
        <v>3</v>
      </c>
      <c r="B265" s="2" t="s">
        <v>950</v>
      </c>
      <c r="C265" s="2" t="s">
        <v>951</v>
      </c>
      <c r="D265" s="2" t="s">
        <v>949</v>
      </c>
      <c r="E265" s="2" t="s">
        <v>422</v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86.21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 customFormat="false" ht="15" hidden="false" customHeight="false" outlineLevel="0" collapsed="false">
      <c r="A266" s="2" t="n">
        <v>3</v>
      </c>
      <c r="B266" s="2" t="s">
        <v>952</v>
      </c>
      <c r="C266" s="2" t="s">
        <v>927</v>
      </c>
      <c r="D266" s="2" t="s">
        <v>949</v>
      </c>
      <c r="E266" s="2" t="s">
        <v>422</v>
      </c>
      <c r="F266" s="2" t="n">
        <v>127765.983713759</v>
      </c>
      <c r="G266" s="2" t="n">
        <v>0</v>
      </c>
      <c r="H266" s="2" t="n">
        <v>127765.983713759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86.21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 customFormat="false" ht="15" hidden="false" customHeight="false" outlineLevel="0" collapsed="false">
      <c r="A267" s="2" t="n">
        <v>3</v>
      </c>
      <c r="B267" s="2" t="s">
        <v>953</v>
      </c>
      <c r="C267" s="2" t="s">
        <v>946</v>
      </c>
      <c r="D267" s="2" t="s">
        <v>949</v>
      </c>
      <c r="E267" s="2" t="s">
        <v>422</v>
      </c>
      <c r="F267" s="2" t="n">
        <v>68900.3382690034</v>
      </c>
      <c r="G267" s="2" t="n">
        <v>0</v>
      </c>
      <c r="H267" s="2" t="n">
        <v>68900.3382690034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86.21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 customFormat="false" ht="15" hidden="false" customHeight="false" outlineLevel="0" collapsed="false">
      <c r="A268" s="2" t="n">
        <v>2</v>
      </c>
      <c r="B268" s="2" t="s">
        <v>954</v>
      </c>
      <c r="C268" s="2" t="s">
        <v>955</v>
      </c>
      <c r="D268" s="2" t="s">
        <v>956</v>
      </c>
      <c r="E268" s="2" t="s">
        <v>957</v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 customFormat="false" ht="15" hidden="false" customHeight="false" outlineLevel="0" collapsed="false">
      <c r="A269" s="2" t="n">
        <v>3</v>
      </c>
      <c r="B269" s="2" t="s">
        <v>958</v>
      </c>
      <c r="C269" s="2" t="s">
        <v>959</v>
      </c>
      <c r="D269" s="2" t="s">
        <v>956</v>
      </c>
      <c r="E269" s="2" t="s">
        <v>957</v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 customFormat="false" ht="15" hidden="false" customHeight="false" outlineLevel="0" collapsed="false">
      <c r="A270" s="2" t="n">
        <v>3</v>
      </c>
      <c r="B270" s="2" t="s">
        <v>960</v>
      </c>
      <c r="C270" s="2" t="s">
        <v>961</v>
      </c>
      <c r="D270" s="2" t="s">
        <v>956</v>
      </c>
      <c r="E270" s="2" t="s">
        <v>957</v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 customFormat="false" ht="15" hidden="false" customHeight="false" outlineLevel="0" collapsed="false">
      <c r="A271" s="2" t="n">
        <v>2</v>
      </c>
      <c r="B271" s="2" t="s">
        <v>962</v>
      </c>
      <c r="C271" s="2" t="s">
        <v>963</v>
      </c>
      <c r="D271" s="2" t="s">
        <v>964</v>
      </c>
      <c r="E271" s="2" t="s">
        <v>910</v>
      </c>
      <c r="F271" s="2" t="n">
        <v>48182.5140255721</v>
      </c>
      <c r="G271" s="2" t="n">
        <v>0</v>
      </c>
      <c r="H271" s="2" t="n">
        <v>48182.5140255721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</v>
      </c>
      <c r="BX271" s="2" t="n">
        <v>68.18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 customFormat="false" ht="15" hidden="false" customHeight="false" outlineLevel="0" collapsed="false">
      <c r="A272" s="2" t="n">
        <v>3</v>
      </c>
      <c r="B272" s="2" t="s">
        <v>965</v>
      </c>
      <c r="C272" s="2" t="s">
        <v>966</v>
      </c>
      <c r="D272" s="2" t="s">
        <v>964</v>
      </c>
      <c r="E272" s="2" t="s">
        <v>910</v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</v>
      </c>
      <c r="BX272" s="2" t="n">
        <v>68.18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 customFormat="false" ht="15" hidden="false" customHeight="false" outlineLevel="0" collapsed="false">
      <c r="A273" s="2" t="n">
        <v>3</v>
      </c>
      <c r="B273" s="2" t="s">
        <v>967</v>
      </c>
      <c r="C273" s="2" t="s">
        <v>968</v>
      </c>
      <c r="D273" s="2" t="s">
        <v>964</v>
      </c>
      <c r="E273" s="2" t="s">
        <v>910</v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</v>
      </c>
      <c r="BX273" s="2" t="n">
        <v>68.18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 customFormat="false" ht="15" hidden="false" customHeight="false" outlineLevel="0" collapsed="false">
      <c r="A274" s="2" t="n">
        <v>3</v>
      </c>
      <c r="B274" s="2" t="s">
        <v>969</v>
      </c>
      <c r="C274" s="2" t="s">
        <v>970</v>
      </c>
      <c r="D274" s="2" t="s">
        <v>964</v>
      </c>
      <c r="E274" s="2" t="s">
        <v>910</v>
      </c>
      <c r="F274" s="2" t="n">
        <v>979.09133761208</v>
      </c>
      <c r="G274" s="2" t="n">
        <v>0</v>
      </c>
      <c r="H274" s="2" t="n">
        <v>979.09133761208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</v>
      </c>
      <c r="BX274" s="2" t="n">
        <v>68.18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 customFormat="false" ht="15" hidden="false" customHeight="false" outlineLevel="0" collapsed="false">
      <c r="A275" s="2" t="n">
        <v>1</v>
      </c>
      <c r="B275" s="2" t="s">
        <v>159</v>
      </c>
      <c r="C275" s="2" t="s">
        <v>71</v>
      </c>
      <c r="D275" s="2" t="s">
        <v>971</v>
      </c>
      <c r="E275" s="2" t="s">
        <v>972</v>
      </c>
      <c r="F275" s="2" t="n">
        <v>1259784.46379652</v>
      </c>
      <c r="G275" s="2" t="n">
        <v>0</v>
      </c>
      <c r="H275" s="2" t="n">
        <v>1259784.46379652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 customFormat="false" ht="15" hidden="false" customHeight="false" outlineLevel="0" collapsed="false">
      <c r="A276" s="2" t="n">
        <v>2</v>
      </c>
      <c r="B276" s="2" t="s">
        <v>973</v>
      </c>
      <c r="C276" s="2" t="s">
        <v>974</v>
      </c>
      <c r="D276" s="2" t="s">
        <v>971</v>
      </c>
      <c r="E276" s="2" t="s">
        <v>972</v>
      </c>
      <c r="F276" s="2" t="n">
        <v>1059392.29979652</v>
      </c>
      <c r="G276" s="2" t="n">
        <v>0</v>
      </c>
      <c r="H276" s="2" t="n">
        <v>1059392.29979652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 customFormat="false" ht="15" hidden="false" customHeight="false" outlineLevel="0" collapsed="false">
      <c r="A277" s="2" t="n">
        <v>3</v>
      </c>
      <c r="B277" s="2" t="s">
        <v>975</v>
      </c>
      <c r="C277" s="2" t="s">
        <v>976</v>
      </c>
      <c r="D277" s="2" t="s">
        <v>971</v>
      </c>
      <c r="E277" s="2" t="s">
        <v>972</v>
      </c>
      <c r="F277" s="2" t="n">
        <v>915923.6535</v>
      </c>
      <c r="G277" s="2" t="n">
        <v>0</v>
      </c>
      <c r="H277" s="2" t="n">
        <v>915923.6535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 customFormat="false" ht="15" hidden="false" customHeight="false" outlineLevel="0" collapsed="false">
      <c r="A278" s="2" t="n">
        <v>3</v>
      </c>
      <c r="B278" s="2" t="s">
        <v>977</v>
      </c>
      <c r="C278" s="2" t="s">
        <v>978</v>
      </c>
      <c r="D278" s="2" t="s">
        <v>971</v>
      </c>
      <c r="E278" s="2" t="s">
        <v>972</v>
      </c>
      <c r="F278" s="2" t="n">
        <v>14368.6462965228</v>
      </c>
      <c r="G278" s="2" t="n">
        <v>0</v>
      </c>
      <c r="H278" s="2" t="n">
        <v>14368.6462965228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 customFormat="false" ht="15" hidden="false" customHeight="false" outlineLevel="0" collapsed="false">
      <c r="A279" s="2" t="n">
        <v>3</v>
      </c>
      <c r="B279" s="2" t="s">
        <v>979</v>
      </c>
      <c r="C279" s="2" t="s">
        <v>980</v>
      </c>
      <c r="D279" s="2" t="s">
        <v>971</v>
      </c>
      <c r="E279" s="2" t="s">
        <v>972</v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 customFormat="false" ht="15" hidden="false" customHeight="false" outlineLevel="0" collapsed="false">
      <c r="A280" s="2" t="n">
        <v>3</v>
      </c>
      <c r="B280" s="2" t="s">
        <v>981</v>
      </c>
      <c r="C280" s="2" t="s">
        <v>740</v>
      </c>
      <c r="D280" s="2" t="s">
        <v>971</v>
      </c>
      <c r="E280" s="2" t="s">
        <v>972</v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 customFormat="false" ht="15" hidden="false" customHeight="false" outlineLevel="0" collapsed="false">
      <c r="A281" s="2" t="n">
        <v>2</v>
      </c>
      <c r="B281" s="2" t="s">
        <v>982</v>
      </c>
      <c r="C281" s="2" t="s">
        <v>983</v>
      </c>
      <c r="D281" s="2" t="s">
        <v>971</v>
      </c>
      <c r="E281" s="2" t="s">
        <v>972</v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 customFormat="false" ht="15" hidden="false" customHeight="false" outlineLevel="0" collapsed="false">
      <c r="A282" s="2" t="n">
        <v>3</v>
      </c>
      <c r="B282" s="2" t="s">
        <v>984</v>
      </c>
      <c r="C282" s="2" t="s">
        <v>985</v>
      </c>
      <c r="D282" s="2" t="s">
        <v>971</v>
      </c>
      <c r="E282" s="2" t="s">
        <v>972</v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 customFormat="false" ht="15" hidden="false" customHeight="false" outlineLevel="0" collapsed="false">
      <c r="A283" s="2" t="n">
        <v>3</v>
      </c>
      <c r="B283" s="2" t="s">
        <v>986</v>
      </c>
      <c r="C283" s="2" t="s">
        <v>987</v>
      </c>
      <c r="D283" s="2" t="s">
        <v>971</v>
      </c>
      <c r="E283" s="2" t="s">
        <v>972</v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 customFormat="false" ht="15" hidden="false" customHeight="false" outlineLevel="0" collapsed="false">
      <c r="A284" s="2" t="n">
        <v>3</v>
      </c>
      <c r="B284" s="2" t="s">
        <v>988</v>
      </c>
      <c r="C284" s="2" t="s">
        <v>989</v>
      </c>
      <c r="D284" s="2" t="s">
        <v>971</v>
      </c>
      <c r="E284" s="2" t="s">
        <v>972</v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 customFormat="false" ht="15" hidden="false" customHeight="false" outlineLevel="0" collapsed="false">
      <c r="A285" s="2" t="n">
        <v>3</v>
      </c>
      <c r="B285" s="2" t="s">
        <v>990</v>
      </c>
      <c r="C285" s="2" t="s">
        <v>991</v>
      </c>
      <c r="D285" s="2" t="s">
        <v>971</v>
      </c>
      <c r="E285" s="2" t="s">
        <v>972</v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 customFormat="false" ht="15" hidden="false" customHeight="false" outlineLevel="0" collapsed="false">
      <c r="A286" s="2" t="n">
        <v>1</v>
      </c>
      <c r="B286" s="2" t="s">
        <v>161</v>
      </c>
      <c r="C286" s="2" t="s">
        <v>73</v>
      </c>
      <c r="D286" s="2" t="s">
        <v>992</v>
      </c>
      <c r="E286" s="2" t="s">
        <v>971</v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79.07</v>
      </c>
      <c r="AE286" s="2" t="n">
        <v>79.07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 customFormat="false" ht="15" hidden="false" customHeight="false" outlineLevel="0" collapsed="false">
      <c r="A287" s="2" t="n">
        <v>2</v>
      </c>
      <c r="B287" s="2" t="s">
        <v>993</v>
      </c>
      <c r="C287" s="2" t="s">
        <v>994</v>
      </c>
      <c r="D287" s="2" t="s">
        <v>992</v>
      </c>
      <c r="E287" s="2" t="s">
        <v>971</v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79.07</v>
      </c>
      <c r="AE287" s="2" t="n">
        <v>79.07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 customFormat="false" ht="15" hidden="false" customHeight="false" outlineLevel="0" collapsed="false">
      <c r="A288" s="2" t="n">
        <v>3</v>
      </c>
      <c r="B288" s="2" t="s">
        <v>995</v>
      </c>
      <c r="C288" s="2" t="s">
        <v>996</v>
      </c>
      <c r="D288" s="2" t="s">
        <v>992</v>
      </c>
      <c r="E288" s="2" t="s">
        <v>971</v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79.07</v>
      </c>
      <c r="AE288" s="2" t="n">
        <v>79.07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 customFormat="false" ht="15" hidden="false" customHeight="false" outlineLevel="0" collapsed="false">
      <c r="A289" s="2" t="n">
        <v>2</v>
      </c>
      <c r="B289" s="2" t="s">
        <v>997</v>
      </c>
      <c r="C289" s="2" t="s">
        <v>998</v>
      </c>
      <c r="D289" s="2" t="s">
        <v>992</v>
      </c>
      <c r="E289" s="2" t="s">
        <v>971</v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79.07</v>
      </c>
      <c r="AE289" s="2" t="n">
        <v>79.07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 customFormat="false" ht="15" hidden="false" customHeight="false" outlineLevel="0" collapsed="false">
      <c r="A290" s="2" t="n">
        <v>3</v>
      </c>
      <c r="B290" s="2" t="s">
        <v>999</v>
      </c>
      <c r="C290" s="2" t="s">
        <v>1000</v>
      </c>
      <c r="D290" s="2" t="s">
        <v>992</v>
      </c>
      <c r="E290" s="2" t="s">
        <v>971</v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79.07</v>
      </c>
      <c r="AE290" s="2" t="n">
        <v>79.07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 customFormat="false" ht="15" hidden="false" customHeight="false" outlineLevel="0" collapsed="false">
      <c r="A291" s="2" t="n">
        <v>3</v>
      </c>
      <c r="B291" s="2" t="s">
        <v>1001</v>
      </c>
      <c r="C291" s="2" t="s">
        <v>1002</v>
      </c>
      <c r="D291" s="2" t="s">
        <v>992</v>
      </c>
      <c r="E291" s="2" t="s">
        <v>971</v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79.07</v>
      </c>
      <c r="AE291" s="2" t="n">
        <v>79.07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 customFormat="false" ht="15" hidden="false" customHeight="false" outlineLevel="0" collapsed="false">
      <c r="A292" s="2" t="n">
        <v>3</v>
      </c>
      <c r="B292" s="2" t="s">
        <v>1003</v>
      </c>
      <c r="C292" s="2" t="s">
        <v>1004</v>
      </c>
      <c r="D292" s="2" t="s">
        <v>992</v>
      </c>
      <c r="E292" s="2" t="s">
        <v>971</v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79.07</v>
      </c>
      <c r="AE292" s="2" t="n">
        <v>79.07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 customFormat="false" ht="15" hidden="false" customHeight="false" outlineLevel="0" collapsed="false">
      <c r="A293" s="2" t="n">
        <v>3</v>
      </c>
      <c r="B293" s="2" t="s">
        <v>1005</v>
      </c>
      <c r="C293" s="2" t="s">
        <v>1006</v>
      </c>
      <c r="D293" s="2" t="s">
        <v>992</v>
      </c>
      <c r="E293" s="2" t="s">
        <v>971</v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79.07</v>
      </c>
      <c r="AE293" s="2" t="n">
        <v>79.07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 customFormat="false" ht="15" hidden="false" customHeight="false" outlineLevel="0" collapsed="false">
      <c r="A294" s="2" t="n">
        <v>3</v>
      </c>
      <c r="B294" s="2" t="s">
        <v>1007</v>
      </c>
      <c r="C294" s="2" t="s">
        <v>1008</v>
      </c>
      <c r="D294" s="2" t="s">
        <v>992</v>
      </c>
      <c r="E294" s="2" t="s">
        <v>971</v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79.07</v>
      </c>
      <c r="AE294" s="2" t="n">
        <v>79.07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 customFormat="false" ht="15" hidden="false" customHeight="false" outlineLevel="0" collapsed="false">
      <c r="A295" s="2" t="n">
        <v>3</v>
      </c>
      <c r="B295" s="2" t="s">
        <v>1009</v>
      </c>
      <c r="C295" s="2" t="s">
        <v>1010</v>
      </c>
      <c r="D295" s="2" t="s">
        <v>992</v>
      </c>
      <c r="E295" s="2" t="s">
        <v>971</v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79.07</v>
      </c>
      <c r="AE295" s="2" t="n">
        <v>79.07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 customFormat="false" ht="15" hidden="false" customHeight="false" outlineLevel="0" collapsed="false">
      <c r="A296" s="2" t="n">
        <v>3</v>
      </c>
      <c r="B296" s="2" t="s">
        <v>1011</v>
      </c>
      <c r="C296" s="2" t="s">
        <v>1012</v>
      </c>
      <c r="D296" s="2" t="s">
        <v>992</v>
      </c>
      <c r="E296" s="2" t="s">
        <v>971</v>
      </c>
      <c r="F296" s="2" t="n">
        <v>84734.4</v>
      </c>
      <c r="G296" s="2" t="n">
        <v>0</v>
      </c>
      <c r="H296" s="2" t="n">
        <v>84734.4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79.07</v>
      </c>
      <c r="AE296" s="2" t="n">
        <v>79.07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 customFormat="false" ht="15" hidden="false" customHeight="false" outlineLevel="0" collapsed="false">
      <c r="A297" s="2" t="n">
        <v>2</v>
      </c>
      <c r="B297" s="2" t="s">
        <v>1013</v>
      </c>
      <c r="C297" s="2" t="s">
        <v>1014</v>
      </c>
      <c r="D297" s="2" t="s">
        <v>992</v>
      </c>
      <c r="E297" s="2" t="s">
        <v>971</v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79.07</v>
      </c>
      <c r="AE297" s="2" t="n">
        <v>79.07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 customFormat="false" ht="15" hidden="false" customHeight="false" outlineLevel="0" collapsed="false">
      <c r="A298" s="2" t="n">
        <v>3</v>
      </c>
      <c r="B298" s="2" t="s">
        <v>1015</v>
      </c>
      <c r="C298" s="2" t="s">
        <v>1000</v>
      </c>
      <c r="D298" s="2" t="s">
        <v>992</v>
      </c>
      <c r="E298" s="2" t="s">
        <v>971</v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79.07</v>
      </c>
      <c r="AE298" s="2" t="n">
        <v>79.07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 customFormat="false" ht="15" hidden="false" customHeight="false" outlineLevel="0" collapsed="false">
      <c r="A299" s="2" t="n">
        <v>3</v>
      </c>
      <c r="B299" s="2" t="s">
        <v>1016</v>
      </c>
      <c r="C299" s="2" t="s">
        <v>1002</v>
      </c>
      <c r="D299" s="2" t="s">
        <v>992</v>
      </c>
      <c r="E299" s="2" t="s">
        <v>971</v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79.07</v>
      </c>
      <c r="AE299" s="2" t="n">
        <v>79.07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 customFormat="false" ht="15" hidden="false" customHeight="false" outlineLevel="0" collapsed="false">
      <c r="A300" s="2" t="n">
        <v>3</v>
      </c>
      <c r="B300" s="2" t="s">
        <v>1017</v>
      </c>
      <c r="C300" s="2" t="s">
        <v>1004</v>
      </c>
      <c r="D300" s="2" t="s">
        <v>992</v>
      </c>
      <c r="E300" s="2" t="s">
        <v>971</v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79.07</v>
      </c>
      <c r="AE300" s="2" t="n">
        <v>79.07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 customFormat="false" ht="15" hidden="false" customHeight="false" outlineLevel="0" collapsed="false">
      <c r="A301" s="2" t="n">
        <v>3</v>
      </c>
      <c r="B301" s="2" t="s">
        <v>1018</v>
      </c>
      <c r="C301" s="2" t="s">
        <v>1006</v>
      </c>
      <c r="D301" s="2" t="s">
        <v>992</v>
      </c>
      <c r="E301" s="2" t="s">
        <v>971</v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79.07</v>
      </c>
      <c r="AE301" s="2" t="n">
        <v>79.07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 customFormat="false" ht="15" hidden="false" customHeight="false" outlineLevel="0" collapsed="false">
      <c r="A302" s="2" t="n">
        <v>3</v>
      </c>
      <c r="B302" s="2" t="s">
        <v>1019</v>
      </c>
      <c r="C302" s="2" t="s">
        <v>1008</v>
      </c>
      <c r="D302" s="2" t="s">
        <v>992</v>
      </c>
      <c r="E302" s="2" t="s">
        <v>971</v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79.07</v>
      </c>
      <c r="AE302" s="2" t="n">
        <v>79.07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 customFormat="false" ht="15" hidden="false" customHeight="false" outlineLevel="0" collapsed="false">
      <c r="A303" s="2" t="n">
        <v>3</v>
      </c>
      <c r="B303" s="2" t="s">
        <v>1020</v>
      </c>
      <c r="C303" s="2" t="s">
        <v>1010</v>
      </c>
      <c r="D303" s="2" t="s">
        <v>992</v>
      </c>
      <c r="E303" s="2" t="s">
        <v>971</v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79.07</v>
      </c>
      <c r="AE303" s="2" t="n">
        <v>79.07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 customFormat="false" ht="15" hidden="false" customHeight="false" outlineLevel="0" collapsed="false">
      <c r="A304" s="2" t="n">
        <v>3</v>
      </c>
      <c r="B304" s="2" t="s">
        <v>1021</v>
      </c>
      <c r="C304" s="2" t="s">
        <v>1012</v>
      </c>
      <c r="D304" s="2" t="s">
        <v>992</v>
      </c>
      <c r="E304" s="2" t="s">
        <v>971</v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79.07</v>
      </c>
      <c r="AE304" s="2" t="n">
        <v>79.07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 customFormat="false" ht="15" hidden="false" customHeight="false" outlineLevel="0" collapsed="false">
      <c r="A305" s="2" t="n">
        <v>2</v>
      </c>
      <c r="B305" s="2" t="s">
        <v>1022</v>
      </c>
      <c r="C305" s="2" t="s">
        <v>1023</v>
      </c>
      <c r="D305" s="2" t="s">
        <v>992</v>
      </c>
      <c r="E305" s="2" t="s">
        <v>971</v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79.07</v>
      </c>
      <c r="AE305" s="2" t="n">
        <v>79.07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 customFormat="false" ht="15" hidden="false" customHeight="false" outlineLevel="0" collapsed="false">
      <c r="A306" s="2" t="n">
        <v>3</v>
      </c>
      <c r="B306" s="2" t="s">
        <v>1024</v>
      </c>
      <c r="C306" s="2" t="s">
        <v>1025</v>
      </c>
      <c r="D306" s="2" t="s">
        <v>992</v>
      </c>
      <c r="E306" s="2" t="s">
        <v>971</v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79.07</v>
      </c>
      <c r="AE306" s="2" t="n">
        <v>79.07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 customFormat="false" ht="15" hidden="false" customHeight="false" outlineLevel="0" collapsed="false">
      <c r="A307" s="2" t="n">
        <v>3</v>
      </c>
      <c r="B307" s="2" t="s">
        <v>1026</v>
      </c>
      <c r="C307" s="2" t="s">
        <v>1027</v>
      </c>
      <c r="D307" s="2" t="s">
        <v>992</v>
      </c>
      <c r="E307" s="2" t="s">
        <v>971</v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79.07</v>
      </c>
      <c r="AE307" s="2" t="n">
        <v>79.07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 customFormat="false" ht="15" hidden="false" customHeight="false" outlineLevel="0" collapsed="false">
      <c r="A308" s="2" t="n">
        <v>3</v>
      </c>
      <c r="B308" s="2" t="s">
        <v>1028</v>
      </c>
      <c r="C308" s="2" t="s">
        <v>1029</v>
      </c>
      <c r="D308" s="2" t="s">
        <v>992</v>
      </c>
      <c r="E308" s="2" t="s">
        <v>971</v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79.07</v>
      </c>
      <c r="AE308" s="2" t="n">
        <v>79.07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 customFormat="false" ht="15" hidden="false" customHeight="false" outlineLevel="0" collapsed="false">
      <c r="A309" s="2" t="n">
        <v>3</v>
      </c>
      <c r="B309" s="2" t="s">
        <v>1030</v>
      </c>
      <c r="C309" s="2" t="s">
        <v>923</v>
      </c>
      <c r="D309" s="2" t="s">
        <v>992</v>
      </c>
      <c r="E309" s="2" t="s">
        <v>971</v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79.07</v>
      </c>
      <c r="AE309" s="2" t="n">
        <v>79.07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 customFormat="false" ht="15" hidden="false" customHeight="false" outlineLevel="0" collapsed="false">
      <c r="A310" s="2" t="n">
        <v>3</v>
      </c>
      <c r="B310" s="2" t="s">
        <v>1031</v>
      </c>
      <c r="C310" s="2" t="s">
        <v>925</v>
      </c>
      <c r="D310" s="2" t="s">
        <v>992</v>
      </c>
      <c r="E310" s="2" t="s">
        <v>971</v>
      </c>
      <c r="F310" s="2" t="n">
        <v>5209.40674638821</v>
      </c>
      <c r="G310" s="2" t="n">
        <v>0</v>
      </c>
      <c r="H310" s="2" t="n">
        <v>5209.40674638821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79.07</v>
      </c>
      <c r="AE310" s="2" t="n">
        <v>79.07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 customFormat="false" ht="15" hidden="false" customHeight="false" outlineLevel="0" collapsed="false">
      <c r="A311" s="2" t="n">
        <v>3</v>
      </c>
      <c r="B311" s="2" t="s">
        <v>1032</v>
      </c>
      <c r="C311" s="2" t="s">
        <v>1033</v>
      </c>
      <c r="D311" s="2" t="s">
        <v>992</v>
      </c>
      <c r="E311" s="2" t="s">
        <v>971</v>
      </c>
      <c r="F311" s="2" t="n">
        <v>869895.479883492</v>
      </c>
      <c r="G311" s="2" t="n">
        <v>0</v>
      </c>
      <c r="H311" s="2" t="n">
        <v>869895.479883492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79.07</v>
      </c>
      <c r="AE311" s="2" t="n">
        <v>79.07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 customFormat="false" ht="15" hidden="false" customHeight="false" outlineLevel="0" collapsed="false">
      <c r="A312" s="2" t="n">
        <v>3</v>
      </c>
      <c r="B312" s="2" t="s">
        <v>1034</v>
      </c>
      <c r="C312" s="2" t="s">
        <v>929</v>
      </c>
      <c r="D312" s="2" t="s">
        <v>992</v>
      </c>
      <c r="E312" s="2" t="s">
        <v>971</v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79.07</v>
      </c>
      <c r="AE312" s="2" t="n">
        <v>79.07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 customFormat="false" ht="15" hidden="false" customHeight="false" outlineLevel="0" collapsed="false">
      <c r="A313" s="2" t="n">
        <v>3</v>
      </c>
      <c r="B313" s="2" t="s">
        <v>1035</v>
      </c>
      <c r="C313" s="2" t="s">
        <v>933</v>
      </c>
      <c r="D313" s="2" t="s">
        <v>992</v>
      </c>
      <c r="E313" s="2" t="s">
        <v>971</v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79.07</v>
      </c>
      <c r="AE313" s="2" t="n">
        <v>79.07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 customFormat="false" ht="15" hidden="false" customHeight="false" outlineLevel="0" collapsed="false">
      <c r="A314" s="2" t="n">
        <v>3</v>
      </c>
      <c r="B314" s="2" t="s">
        <v>1036</v>
      </c>
      <c r="C314" s="2" t="s">
        <v>1037</v>
      </c>
      <c r="D314" s="2" t="s">
        <v>992</v>
      </c>
      <c r="E314" s="2" t="s">
        <v>971</v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79.07</v>
      </c>
      <c r="AE314" s="2" t="n">
        <v>79.07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 customFormat="false" ht="15" hidden="false" customHeight="false" outlineLevel="0" collapsed="false">
      <c r="A315" s="2" t="n">
        <v>3</v>
      </c>
      <c r="B315" s="2" t="s">
        <v>1038</v>
      </c>
      <c r="C315" s="2" t="s">
        <v>1039</v>
      </c>
      <c r="D315" s="2" t="s">
        <v>992</v>
      </c>
      <c r="E315" s="2" t="s">
        <v>971</v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79.07</v>
      </c>
      <c r="AE315" s="2" t="n">
        <v>79.07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 customFormat="false" ht="15" hidden="false" customHeight="false" outlineLevel="0" collapsed="false">
      <c r="A316" s="2" t="n">
        <v>3</v>
      </c>
      <c r="B316" s="2" t="s">
        <v>1040</v>
      </c>
      <c r="C316" s="2" t="s">
        <v>1041</v>
      </c>
      <c r="D316" s="2" t="s">
        <v>992</v>
      </c>
      <c r="E316" s="2" t="s">
        <v>971</v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79.07</v>
      </c>
      <c r="AE316" s="2" t="n">
        <v>79.07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 customFormat="false" ht="15" hidden="false" customHeight="false" outlineLevel="0" collapsed="false">
      <c r="A317" s="2" t="n">
        <v>1</v>
      </c>
      <c r="B317" s="2" t="s">
        <v>163</v>
      </c>
      <c r="C317" s="2" t="s">
        <v>74</v>
      </c>
      <c r="D317" s="2" t="s">
        <v>1042</v>
      </c>
      <c r="E317" s="2" t="s">
        <v>1043</v>
      </c>
      <c r="F317" s="2" t="n">
        <v>4057797.91114302</v>
      </c>
      <c r="G317" s="2" t="n">
        <v>0</v>
      </c>
      <c r="H317" s="2" t="n">
        <v>4057797.91114302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</v>
      </c>
      <c r="AN317" s="2" t="n">
        <v>12.28</v>
      </c>
      <c r="AO317" s="2" t="n">
        <v>9.03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</v>
      </c>
      <c r="AV317" s="2" t="n">
        <v>72.53</v>
      </c>
      <c r="AW317" s="2" t="n">
        <v>72.71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</v>
      </c>
      <c r="BR317" s="2" t="n">
        <v>86.22</v>
      </c>
      <c r="BS317" s="2" t="n">
        <v>76.66</v>
      </c>
      <c r="BT317" s="2" t="n">
        <v>90.32</v>
      </c>
      <c r="BU317" s="2" t="n">
        <v>91.37</v>
      </c>
      <c r="BV317" s="2" t="n">
        <v>76.66</v>
      </c>
      <c r="BW317" s="2" t="n">
        <v>90.32</v>
      </c>
      <c r="BX317" s="2" t="n">
        <v>93.84</v>
      </c>
      <c r="BY317" s="2" t="n">
        <v>76.66</v>
      </c>
      <c r="BZ317" s="2" t="n">
        <v>90.32</v>
      </c>
      <c r="CA317" s="2" t="n">
        <v>93.84</v>
      </c>
      <c r="CB317" s="2" t="n">
        <v>76.66</v>
      </c>
      <c r="CC317" s="2" t="n">
        <v>90.32</v>
      </c>
      <c r="CD317" s="2" t="n">
        <v>93.84</v>
      </c>
      <c r="CE317" s="2" t="n">
        <v>76.66</v>
      </c>
      <c r="CF317" s="2" t="n">
        <v>90.32</v>
      </c>
      <c r="CG317" s="2" t="n">
        <v>93.84</v>
      </c>
      <c r="CH317" s="2" t="n">
        <v>76.66</v>
      </c>
      <c r="CI317" s="2" t="n">
        <v>90.32</v>
      </c>
      <c r="CJ317" s="2" t="n">
        <v>93.84</v>
      </c>
      <c r="CK317" s="2" t="n">
        <v>76.66</v>
      </c>
      <c r="CL317" s="2" t="n">
        <v>90.32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 customFormat="false" ht="15" hidden="false" customHeight="false" outlineLevel="0" collapsed="false">
      <c r="A318" s="2" t="n">
        <v>2</v>
      </c>
      <c r="B318" s="2" t="s">
        <v>1044</v>
      </c>
      <c r="C318" s="2" t="s">
        <v>1045</v>
      </c>
      <c r="D318" s="2" t="s">
        <v>1042</v>
      </c>
      <c r="E318" s="2" t="s">
        <v>964</v>
      </c>
      <c r="F318" s="2" t="n">
        <v>3285089.33110771</v>
      </c>
      <c r="G318" s="2" t="n">
        <v>0</v>
      </c>
      <c r="H318" s="2" t="n">
        <v>3285089.33110771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89.6</v>
      </c>
      <c r="AW318" s="2" t="n">
        <v>89.82</v>
      </c>
      <c r="AX318" s="2" t="n">
        <v>94.69</v>
      </c>
      <c r="AY318" s="2" t="n">
        <v>95.65</v>
      </c>
      <c r="AZ318" s="2" t="n">
        <v>95.65</v>
      </c>
      <c r="BA318" s="2" t="n">
        <v>94.69</v>
      </c>
      <c r="BB318" s="2" t="n">
        <v>95.65</v>
      </c>
      <c r="BC318" s="2" t="n">
        <v>95.65</v>
      </c>
      <c r="BD318" s="2" t="n">
        <v>94.69</v>
      </c>
      <c r="BE318" s="2" t="n">
        <v>95.65</v>
      </c>
      <c r="BF318" s="2" t="n">
        <v>95.65</v>
      </c>
      <c r="BG318" s="2" t="n">
        <v>94.69</v>
      </c>
      <c r="BH318" s="2" t="n">
        <v>95.65</v>
      </c>
      <c r="BI318" s="2" t="n">
        <v>95.65</v>
      </c>
      <c r="BJ318" s="2" t="n">
        <v>94.69</v>
      </c>
      <c r="BK318" s="2" t="n">
        <v>95.65</v>
      </c>
      <c r="BL318" s="2" t="n">
        <v>95.65</v>
      </c>
      <c r="BM318" s="2" t="n">
        <v>94.69</v>
      </c>
      <c r="BN318" s="2" t="n">
        <v>95.65</v>
      </c>
      <c r="BO318" s="2" t="n">
        <v>95.65</v>
      </c>
      <c r="BP318" s="2" t="n">
        <v>94.69</v>
      </c>
      <c r="BQ318" s="2" t="n">
        <v>95.65</v>
      </c>
      <c r="BR318" s="2" t="n">
        <v>95.65</v>
      </c>
      <c r="BS318" s="2" t="n">
        <v>94.69</v>
      </c>
      <c r="BT318" s="2" t="n">
        <v>95.65</v>
      </c>
      <c r="BU318" s="2" t="n">
        <v>96.96</v>
      </c>
      <c r="BV318" s="2" t="n">
        <v>94.69</v>
      </c>
      <c r="BW318" s="2" t="n">
        <v>95.65</v>
      </c>
      <c r="BX318" s="2" t="n">
        <v>100</v>
      </c>
      <c r="BY318" s="2" t="n">
        <v>94.69</v>
      </c>
      <c r="BZ318" s="2" t="n">
        <v>95.65</v>
      </c>
      <c r="CA318" s="2" t="n">
        <v>100</v>
      </c>
      <c r="CB318" s="2" t="n">
        <v>94.69</v>
      </c>
      <c r="CC318" s="2" t="n">
        <v>95.65</v>
      </c>
      <c r="CD318" s="2" t="n">
        <v>100</v>
      </c>
      <c r="CE318" s="2" t="n">
        <v>94.69</v>
      </c>
      <c r="CF318" s="2" t="n">
        <v>95.65</v>
      </c>
      <c r="CG318" s="2" t="n">
        <v>100</v>
      </c>
      <c r="CH318" s="2" t="n">
        <v>94.69</v>
      </c>
      <c r="CI318" s="2" t="n">
        <v>95.65</v>
      </c>
      <c r="CJ318" s="2" t="n">
        <v>100</v>
      </c>
      <c r="CK318" s="2" t="n">
        <v>94.69</v>
      </c>
      <c r="CL318" s="2" t="n">
        <v>95.65</v>
      </c>
      <c r="CM318" s="2" t="n">
        <v>100</v>
      </c>
      <c r="CN318" s="2" t="n">
        <v>94.69</v>
      </c>
      <c r="CO318" s="2" t="n">
        <v>95.65</v>
      </c>
      <c r="CP318" s="2" t="n">
        <v>100</v>
      </c>
      <c r="CQ318" s="2" t="n">
        <v>94.69</v>
      </c>
      <c r="CR318" s="2" t="n">
        <v>95.65</v>
      </c>
      <c r="CS318" s="2" t="n">
        <v>100</v>
      </c>
      <c r="CT318" s="2" t="n">
        <v>94.69</v>
      </c>
      <c r="CU318" s="2" t="n">
        <v>95.65</v>
      </c>
      <c r="CV318" s="2" t="n">
        <v>100</v>
      </c>
      <c r="CW318" s="2" t="n">
        <v>94.69</v>
      </c>
      <c r="CX318" s="2" t="n">
        <v>95.65</v>
      </c>
      <c r="CY318" s="2" t="n">
        <v>100</v>
      </c>
      <c r="CZ318" s="2" t="n">
        <v>94.69</v>
      </c>
      <c r="DA318" s="2" t="n">
        <v>95.65</v>
      </c>
      <c r="DB318" s="2" t="n">
        <v>100</v>
      </c>
      <c r="DC318" s="2" t="n">
        <v>94.69</v>
      </c>
      <c r="DD318" s="2" t="n">
        <v>95.65</v>
      </c>
      <c r="DE318" s="2" t="n">
        <v>100</v>
      </c>
      <c r="DF318" s="2" t="n">
        <v>94.69</v>
      </c>
      <c r="DG318" s="2" t="n">
        <v>95.65</v>
      </c>
      <c r="DH318" s="2" t="n">
        <v>100</v>
      </c>
      <c r="DI318" s="2" t="n">
        <v>94.69</v>
      </c>
      <c r="DJ318" s="2" t="n">
        <v>95.65</v>
      </c>
      <c r="DK318" s="2" t="n">
        <v>100</v>
      </c>
      <c r="DL318" s="2" t="n">
        <v>94.69</v>
      </c>
      <c r="DM318" s="2" t="n">
        <v>95.65</v>
      </c>
      <c r="DN318" s="2" t="n">
        <v>100</v>
      </c>
      <c r="DO318" s="2" t="n">
        <v>94.69</v>
      </c>
      <c r="DP318" s="2" t="n">
        <v>95.65</v>
      </c>
      <c r="DQ318" s="2" t="n">
        <v>100</v>
      </c>
      <c r="DR318" s="2" t="n">
        <v>94.69</v>
      </c>
      <c r="DS318" s="2" t="n">
        <v>95.65</v>
      </c>
      <c r="DT318" s="2" t="n">
        <v>100</v>
      </c>
      <c r="DU318" s="2" t="n">
        <v>94.69</v>
      </c>
      <c r="DV318" s="2" t="n">
        <v>95.65</v>
      </c>
      <c r="DW318" s="2" t="n">
        <v>100</v>
      </c>
      <c r="DX318" s="2" t="n">
        <v>94.69</v>
      </c>
      <c r="DY318" s="2" t="n">
        <v>95.65</v>
      </c>
      <c r="DZ318" s="2" t="n">
        <v>100</v>
      </c>
      <c r="EA318" s="2" t="n">
        <v>94.69</v>
      </c>
      <c r="EB318" s="2" t="n">
        <v>95.65</v>
      </c>
      <c r="EC318" s="2" t="n">
        <v>100</v>
      </c>
      <c r="ED318" s="2" t="n">
        <v>94.69</v>
      </c>
      <c r="EE318" s="2" t="n">
        <v>95.65</v>
      </c>
      <c r="EF318" s="2" t="n">
        <v>100</v>
      </c>
      <c r="EG318" s="2" t="n">
        <v>94.69</v>
      </c>
      <c r="EH318" s="2" t="n">
        <v>95.65</v>
      </c>
      <c r="EI318" s="2" t="n">
        <v>100</v>
      </c>
      <c r="EJ318" s="2" t="n">
        <v>94.69</v>
      </c>
      <c r="EK318" s="2" t="n">
        <v>95.65</v>
      </c>
      <c r="EL318" s="2" t="n">
        <v>100</v>
      </c>
      <c r="EM318" s="2" t="n">
        <v>94.69</v>
      </c>
      <c r="EN318" s="2" t="n">
        <v>95.65</v>
      </c>
      <c r="EO318" s="2" t="n">
        <v>100</v>
      </c>
      <c r="EP318" s="2" t="n">
        <v>94.69</v>
      </c>
      <c r="EQ318" s="2" t="n">
        <v>95.65</v>
      </c>
      <c r="ER318" s="2" t="n">
        <v>100</v>
      </c>
      <c r="ES318" s="2" t="n">
        <v>94.69</v>
      </c>
    </row>
    <row r="319" customFormat="false" ht="15" hidden="false" customHeight="false" outlineLevel="0" collapsed="false">
      <c r="A319" s="2" t="n">
        <v>3</v>
      </c>
      <c r="B319" s="2" t="s">
        <v>1046</v>
      </c>
      <c r="C319" s="2" t="s">
        <v>1047</v>
      </c>
      <c r="D319" s="2" t="s">
        <v>1042</v>
      </c>
      <c r="E319" s="2" t="s">
        <v>964</v>
      </c>
      <c r="F319" s="2" t="n">
        <v>400968.492449721</v>
      </c>
      <c r="G319" s="2" t="n">
        <v>0</v>
      </c>
      <c r="H319" s="2" t="n">
        <v>400968.492449721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89.6</v>
      </c>
      <c r="AW319" s="2" t="n">
        <v>89.82</v>
      </c>
      <c r="AX319" s="2" t="n">
        <v>94.69</v>
      </c>
      <c r="AY319" s="2" t="n">
        <v>95.65</v>
      </c>
      <c r="AZ319" s="2" t="n">
        <v>95.65</v>
      </c>
      <c r="BA319" s="2" t="n">
        <v>94.69</v>
      </c>
      <c r="BB319" s="2" t="n">
        <v>95.65</v>
      </c>
      <c r="BC319" s="2" t="n">
        <v>95.65</v>
      </c>
      <c r="BD319" s="2" t="n">
        <v>94.69</v>
      </c>
      <c r="BE319" s="2" t="n">
        <v>95.65</v>
      </c>
      <c r="BF319" s="2" t="n">
        <v>95.65</v>
      </c>
      <c r="BG319" s="2" t="n">
        <v>94.69</v>
      </c>
      <c r="BH319" s="2" t="n">
        <v>95.65</v>
      </c>
      <c r="BI319" s="2" t="n">
        <v>95.65</v>
      </c>
      <c r="BJ319" s="2" t="n">
        <v>94.69</v>
      </c>
      <c r="BK319" s="2" t="n">
        <v>95.65</v>
      </c>
      <c r="BL319" s="2" t="n">
        <v>95.65</v>
      </c>
      <c r="BM319" s="2" t="n">
        <v>94.69</v>
      </c>
      <c r="BN319" s="2" t="n">
        <v>95.65</v>
      </c>
      <c r="BO319" s="2" t="n">
        <v>95.65</v>
      </c>
      <c r="BP319" s="2" t="n">
        <v>94.69</v>
      </c>
      <c r="BQ319" s="2" t="n">
        <v>95.65</v>
      </c>
      <c r="BR319" s="2" t="n">
        <v>95.65</v>
      </c>
      <c r="BS319" s="2" t="n">
        <v>94.69</v>
      </c>
      <c r="BT319" s="2" t="n">
        <v>95.65</v>
      </c>
      <c r="BU319" s="2" t="n">
        <v>96.96</v>
      </c>
      <c r="BV319" s="2" t="n">
        <v>94.69</v>
      </c>
      <c r="BW319" s="2" t="n">
        <v>95.65</v>
      </c>
      <c r="BX319" s="2" t="n">
        <v>100</v>
      </c>
      <c r="BY319" s="2" t="n">
        <v>94.69</v>
      </c>
      <c r="BZ319" s="2" t="n">
        <v>95.65</v>
      </c>
      <c r="CA319" s="2" t="n">
        <v>100</v>
      </c>
      <c r="CB319" s="2" t="n">
        <v>94.69</v>
      </c>
      <c r="CC319" s="2" t="n">
        <v>95.65</v>
      </c>
      <c r="CD319" s="2" t="n">
        <v>100</v>
      </c>
      <c r="CE319" s="2" t="n">
        <v>94.69</v>
      </c>
      <c r="CF319" s="2" t="n">
        <v>95.65</v>
      </c>
      <c r="CG319" s="2" t="n">
        <v>100</v>
      </c>
      <c r="CH319" s="2" t="n">
        <v>94.69</v>
      </c>
      <c r="CI319" s="2" t="n">
        <v>95.65</v>
      </c>
      <c r="CJ319" s="2" t="n">
        <v>100</v>
      </c>
      <c r="CK319" s="2" t="n">
        <v>94.69</v>
      </c>
      <c r="CL319" s="2" t="n">
        <v>95.65</v>
      </c>
      <c r="CM319" s="2" t="n">
        <v>100</v>
      </c>
      <c r="CN319" s="2" t="n">
        <v>94.69</v>
      </c>
      <c r="CO319" s="2" t="n">
        <v>95.65</v>
      </c>
      <c r="CP319" s="2" t="n">
        <v>100</v>
      </c>
      <c r="CQ319" s="2" t="n">
        <v>94.69</v>
      </c>
      <c r="CR319" s="2" t="n">
        <v>95.65</v>
      </c>
      <c r="CS319" s="2" t="n">
        <v>100</v>
      </c>
      <c r="CT319" s="2" t="n">
        <v>94.69</v>
      </c>
      <c r="CU319" s="2" t="n">
        <v>95.65</v>
      </c>
      <c r="CV319" s="2" t="n">
        <v>100</v>
      </c>
      <c r="CW319" s="2" t="n">
        <v>94.69</v>
      </c>
      <c r="CX319" s="2" t="n">
        <v>95.65</v>
      </c>
      <c r="CY319" s="2" t="n">
        <v>100</v>
      </c>
      <c r="CZ319" s="2" t="n">
        <v>94.69</v>
      </c>
      <c r="DA319" s="2" t="n">
        <v>95.65</v>
      </c>
      <c r="DB319" s="2" t="n">
        <v>100</v>
      </c>
      <c r="DC319" s="2" t="n">
        <v>94.69</v>
      </c>
      <c r="DD319" s="2" t="n">
        <v>95.65</v>
      </c>
      <c r="DE319" s="2" t="n">
        <v>100</v>
      </c>
      <c r="DF319" s="2" t="n">
        <v>94.69</v>
      </c>
      <c r="DG319" s="2" t="n">
        <v>95.65</v>
      </c>
      <c r="DH319" s="2" t="n">
        <v>100</v>
      </c>
      <c r="DI319" s="2" t="n">
        <v>94.69</v>
      </c>
      <c r="DJ319" s="2" t="n">
        <v>95.65</v>
      </c>
      <c r="DK319" s="2" t="n">
        <v>100</v>
      </c>
      <c r="DL319" s="2" t="n">
        <v>94.69</v>
      </c>
      <c r="DM319" s="2" t="n">
        <v>95.65</v>
      </c>
      <c r="DN319" s="2" t="n">
        <v>100</v>
      </c>
      <c r="DO319" s="2" t="n">
        <v>94.69</v>
      </c>
      <c r="DP319" s="2" t="n">
        <v>95.65</v>
      </c>
      <c r="DQ319" s="2" t="n">
        <v>100</v>
      </c>
      <c r="DR319" s="2" t="n">
        <v>94.69</v>
      </c>
      <c r="DS319" s="2" t="n">
        <v>95.65</v>
      </c>
      <c r="DT319" s="2" t="n">
        <v>100</v>
      </c>
      <c r="DU319" s="2" t="n">
        <v>94.69</v>
      </c>
      <c r="DV319" s="2" t="n">
        <v>95.65</v>
      </c>
      <c r="DW319" s="2" t="n">
        <v>100</v>
      </c>
      <c r="DX319" s="2" t="n">
        <v>94.69</v>
      </c>
      <c r="DY319" s="2" t="n">
        <v>95.65</v>
      </c>
      <c r="DZ319" s="2" t="n">
        <v>100</v>
      </c>
      <c r="EA319" s="2" t="n">
        <v>94.69</v>
      </c>
      <c r="EB319" s="2" t="n">
        <v>95.65</v>
      </c>
      <c r="EC319" s="2" t="n">
        <v>100</v>
      </c>
      <c r="ED319" s="2" t="n">
        <v>94.69</v>
      </c>
      <c r="EE319" s="2" t="n">
        <v>95.65</v>
      </c>
      <c r="EF319" s="2" t="n">
        <v>100</v>
      </c>
      <c r="EG319" s="2" t="n">
        <v>94.69</v>
      </c>
      <c r="EH319" s="2" t="n">
        <v>95.65</v>
      </c>
      <c r="EI319" s="2" t="n">
        <v>100</v>
      </c>
      <c r="EJ319" s="2" t="n">
        <v>94.69</v>
      </c>
      <c r="EK319" s="2" t="n">
        <v>95.65</v>
      </c>
      <c r="EL319" s="2" t="n">
        <v>100</v>
      </c>
      <c r="EM319" s="2" t="n">
        <v>94.69</v>
      </c>
      <c r="EN319" s="2" t="n">
        <v>95.65</v>
      </c>
      <c r="EO319" s="2" t="n">
        <v>100</v>
      </c>
      <c r="EP319" s="2" t="n">
        <v>94.69</v>
      </c>
      <c r="EQ319" s="2" t="n">
        <v>95.65</v>
      </c>
      <c r="ER319" s="2" t="n">
        <v>100</v>
      </c>
      <c r="ES319" s="2" t="n">
        <v>94.69</v>
      </c>
    </row>
    <row r="320" customFormat="false" ht="15" hidden="false" customHeight="false" outlineLevel="0" collapsed="false">
      <c r="A320" s="2" t="n">
        <v>3</v>
      </c>
      <c r="B320" s="2" t="s">
        <v>1048</v>
      </c>
      <c r="C320" s="2" t="s">
        <v>1049</v>
      </c>
      <c r="D320" s="2" t="s">
        <v>1042</v>
      </c>
      <c r="E320" s="2" t="s">
        <v>964</v>
      </c>
      <c r="F320" s="2" t="n">
        <v>9062.33433978392</v>
      </c>
      <c r="G320" s="2" t="n">
        <v>0</v>
      </c>
      <c r="H320" s="2" t="n">
        <v>9062.33433978392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89.6</v>
      </c>
      <c r="AW320" s="2" t="n">
        <v>89.82</v>
      </c>
      <c r="AX320" s="2" t="n">
        <v>94.69</v>
      </c>
      <c r="AY320" s="2" t="n">
        <v>95.65</v>
      </c>
      <c r="AZ320" s="2" t="n">
        <v>95.65</v>
      </c>
      <c r="BA320" s="2" t="n">
        <v>94.69</v>
      </c>
      <c r="BB320" s="2" t="n">
        <v>95.65</v>
      </c>
      <c r="BC320" s="2" t="n">
        <v>95.65</v>
      </c>
      <c r="BD320" s="2" t="n">
        <v>94.69</v>
      </c>
      <c r="BE320" s="2" t="n">
        <v>95.65</v>
      </c>
      <c r="BF320" s="2" t="n">
        <v>95.65</v>
      </c>
      <c r="BG320" s="2" t="n">
        <v>94.69</v>
      </c>
      <c r="BH320" s="2" t="n">
        <v>95.65</v>
      </c>
      <c r="BI320" s="2" t="n">
        <v>95.65</v>
      </c>
      <c r="BJ320" s="2" t="n">
        <v>94.69</v>
      </c>
      <c r="BK320" s="2" t="n">
        <v>95.65</v>
      </c>
      <c r="BL320" s="2" t="n">
        <v>95.65</v>
      </c>
      <c r="BM320" s="2" t="n">
        <v>94.69</v>
      </c>
      <c r="BN320" s="2" t="n">
        <v>95.65</v>
      </c>
      <c r="BO320" s="2" t="n">
        <v>95.65</v>
      </c>
      <c r="BP320" s="2" t="n">
        <v>94.69</v>
      </c>
      <c r="BQ320" s="2" t="n">
        <v>95.65</v>
      </c>
      <c r="BR320" s="2" t="n">
        <v>95.65</v>
      </c>
      <c r="BS320" s="2" t="n">
        <v>94.69</v>
      </c>
      <c r="BT320" s="2" t="n">
        <v>95.65</v>
      </c>
      <c r="BU320" s="2" t="n">
        <v>96.96</v>
      </c>
      <c r="BV320" s="2" t="n">
        <v>94.69</v>
      </c>
      <c r="BW320" s="2" t="n">
        <v>95.65</v>
      </c>
      <c r="BX320" s="2" t="n">
        <v>100</v>
      </c>
      <c r="BY320" s="2" t="n">
        <v>94.69</v>
      </c>
      <c r="BZ320" s="2" t="n">
        <v>95.65</v>
      </c>
      <c r="CA320" s="2" t="n">
        <v>100</v>
      </c>
      <c r="CB320" s="2" t="n">
        <v>94.69</v>
      </c>
      <c r="CC320" s="2" t="n">
        <v>95.65</v>
      </c>
      <c r="CD320" s="2" t="n">
        <v>100</v>
      </c>
      <c r="CE320" s="2" t="n">
        <v>94.69</v>
      </c>
      <c r="CF320" s="2" t="n">
        <v>95.65</v>
      </c>
      <c r="CG320" s="2" t="n">
        <v>100</v>
      </c>
      <c r="CH320" s="2" t="n">
        <v>94.69</v>
      </c>
      <c r="CI320" s="2" t="n">
        <v>95.65</v>
      </c>
      <c r="CJ320" s="2" t="n">
        <v>100</v>
      </c>
      <c r="CK320" s="2" t="n">
        <v>94.69</v>
      </c>
      <c r="CL320" s="2" t="n">
        <v>95.65</v>
      </c>
      <c r="CM320" s="2" t="n">
        <v>100</v>
      </c>
      <c r="CN320" s="2" t="n">
        <v>94.69</v>
      </c>
      <c r="CO320" s="2" t="n">
        <v>95.65</v>
      </c>
      <c r="CP320" s="2" t="n">
        <v>100</v>
      </c>
      <c r="CQ320" s="2" t="n">
        <v>94.69</v>
      </c>
      <c r="CR320" s="2" t="n">
        <v>95.65</v>
      </c>
      <c r="CS320" s="2" t="n">
        <v>100</v>
      </c>
      <c r="CT320" s="2" t="n">
        <v>94.69</v>
      </c>
      <c r="CU320" s="2" t="n">
        <v>95.65</v>
      </c>
      <c r="CV320" s="2" t="n">
        <v>100</v>
      </c>
      <c r="CW320" s="2" t="n">
        <v>94.69</v>
      </c>
      <c r="CX320" s="2" t="n">
        <v>95.65</v>
      </c>
      <c r="CY320" s="2" t="n">
        <v>100</v>
      </c>
      <c r="CZ320" s="2" t="n">
        <v>94.69</v>
      </c>
      <c r="DA320" s="2" t="n">
        <v>95.65</v>
      </c>
      <c r="DB320" s="2" t="n">
        <v>100</v>
      </c>
      <c r="DC320" s="2" t="n">
        <v>94.69</v>
      </c>
      <c r="DD320" s="2" t="n">
        <v>95.65</v>
      </c>
      <c r="DE320" s="2" t="n">
        <v>100</v>
      </c>
      <c r="DF320" s="2" t="n">
        <v>94.69</v>
      </c>
      <c r="DG320" s="2" t="n">
        <v>95.65</v>
      </c>
      <c r="DH320" s="2" t="n">
        <v>100</v>
      </c>
      <c r="DI320" s="2" t="n">
        <v>94.69</v>
      </c>
      <c r="DJ320" s="2" t="n">
        <v>95.65</v>
      </c>
      <c r="DK320" s="2" t="n">
        <v>100</v>
      </c>
      <c r="DL320" s="2" t="n">
        <v>94.69</v>
      </c>
      <c r="DM320" s="2" t="n">
        <v>95.65</v>
      </c>
      <c r="DN320" s="2" t="n">
        <v>100</v>
      </c>
      <c r="DO320" s="2" t="n">
        <v>94.69</v>
      </c>
      <c r="DP320" s="2" t="n">
        <v>95.65</v>
      </c>
      <c r="DQ320" s="2" t="n">
        <v>100</v>
      </c>
      <c r="DR320" s="2" t="n">
        <v>94.69</v>
      </c>
      <c r="DS320" s="2" t="n">
        <v>95.65</v>
      </c>
      <c r="DT320" s="2" t="n">
        <v>100</v>
      </c>
      <c r="DU320" s="2" t="n">
        <v>94.69</v>
      </c>
      <c r="DV320" s="2" t="n">
        <v>95.65</v>
      </c>
      <c r="DW320" s="2" t="n">
        <v>100</v>
      </c>
      <c r="DX320" s="2" t="n">
        <v>94.69</v>
      </c>
      <c r="DY320" s="2" t="n">
        <v>95.65</v>
      </c>
      <c r="DZ320" s="2" t="n">
        <v>100</v>
      </c>
      <c r="EA320" s="2" t="n">
        <v>94.69</v>
      </c>
      <c r="EB320" s="2" t="n">
        <v>95.65</v>
      </c>
      <c r="EC320" s="2" t="n">
        <v>100</v>
      </c>
      <c r="ED320" s="2" t="n">
        <v>94.69</v>
      </c>
      <c r="EE320" s="2" t="n">
        <v>95.65</v>
      </c>
      <c r="EF320" s="2" t="n">
        <v>100</v>
      </c>
      <c r="EG320" s="2" t="n">
        <v>94.69</v>
      </c>
      <c r="EH320" s="2" t="n">
        <v>95.65</v>
      </c>
      <c r="EI320" s="2" t="n">
        <v>100</v>
      </c>
      <c r="EJ320" s="2" t="n">
        <v>94.69</v>
      </c>
      <c r="EK320" s="2" t="n">
        <v>95.65</v>
      </c>
      <c r="EL320" s="2" t="n">
        <v>100</v>
      </c>
      <c r="EM320" s="2" t="n">
        <v>94.69</v>
      </c>
      <c r="EN320" s="2" t="n">
        <v>95.65</v>
      </c>
      <c r="EO320" s="2" t="n">
        <v>100</v>
      </c>
      <c r="EP320" s="2" t="n">
        <v>94.69</v>
      </c>
      <c r="EQ320" s="2" t="n">
        <v>95.65</v>
      </c>
      <c r="ER320" s="2" t="n">
        <v>100</v>
      </c>
      <c r="ES320" s="2" t="n">
        <v>94.69</v>
      </c>
    </row>
    <row r="321" customFormat="false" ht="15" hidden="false" customHeight="false" outlineLevel="0" collapsed="false">
      <c r="A321" s="2" t="n">
        <v>3</v>
      </c>
      <c r="B321" s="2" t="s">
        <v>1050</v>
      </c>
      <c r="C321" s="2" t="s">
        <v>1051</v>
      </c>
      <c r="D321" s="2" t="s">
        <v>1042</v>
      </c>
      <c r="E321" s="2" t="s">
        <v>964</v>
      </c>
      <c r="F321" s="2" t="n">
        <v>309181.746426438</v>
      </c>
      <c r="G321" s="2" t="n">
        <v>0</v>
      </c>
      <c r="H321" s="2" t="n">
        <v>309181.746426438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89.6</v>
      </c>
      <c r="AW321" s="2" t="n">
        <v>89.82</v>
      </c>
      <c r="AX321" s="2" t="n">
        <v>94.69</v>
      </c>
      <c r="AY321" s="2" t="n">
        <v>95.65</v>
      </c>
      <c r="AZ321" s="2" t="n">
        <v>95.65</v>
      </c>
      <c r="BA321" s="2" t="n">
        <v>94.69</v>
      </c>
      <c r="BB321" s="2" t="n">
        <v>95.65</v>
      </c>
      <c r="BC321" s="2" t="n">
        <v>95.65</v>
      </c>
      <c r="BD321" s="2" t="n">
        <v>94.69</v>
      </c>
      <c r="BE321" s="2" t="n">
        <v>95.65</v>
      </c>
      <c r="BF321" s="2" t="n">
        <v>95.65</v>
      </c>
      <c r="BG321" s="2" t="n">
        <v>94.69</v>
      </c>
      <c r="BH321" s="2" t="n">
        <v>95.65</v>
      </c>
      <c r="BI321" s="2" t="n">
        <v>95.65</v>
      </c>
      <c r="BJ321" s="2" t="n">
        <v>94.69</v>
      </c>
      <c r="BK321" s="2" t="n">
        <v>95.65</v>
      </c>
      <c r="BL321" s="2" t="n">
        <v>95.65</v>
      </c>
      <c r="BM321" s="2" t="n">
        <v>94.69</v>
      </c>
      <c r="BN321" s="2" t="n">
        <v>95.65</v>
      </c>
      <c r="BO321" s="2" t="n">
        <v>95.65</v>
      </c>
      <c r="BP321" s="2" t="n">
        <v>94.69</v>
      </c>
      <c r="BQ321" s="2" t="n">
        <v>95.65</v>
      </c>
      <c r="BR321" s="2" t="n">
        <v>95.65</v>
      </c>
      <c r="BS321" s="2" t="n">
        <v>94.69</v>
      </c>
      <c r="BT321" s="2" t="n">
        <v>95.65</v>
      </c>
      <c r="BU321" s="2" t="n">
        <v>96.96</v>
      </c>
      <c r="BV321" s="2" t="n">
        <v>94.69</v>
      </c>
      <c r="BW321" s="2" t="n">
        <v>95.65</v>
      </c>
      <c r="BX321" s="2" t="n">
        <v>100</v>
      </c>
      <c r="BY321" s="2" t="n">
        <v>94.69</v>
      </c>
      <c r="BZ321" s="2" t="n">
        <v>95.65</v>
      </c>
      <c r="CA321" s="2" t="n">
        <v>100</v>
      </c>
      <c r="CB321" s="2" t="n">
        <v>94.69</v>
      </c>
      <c r="CC321" s="2" t="n">
        <v>95.65</v>
      </c>
      <c r="CD321" s="2" t="n">
        <v>100</v>
      </c>
      <c r="CE321" s="2" t="n">
        <v>94.69</v>
      </c>
      <c r="CF321" s="2" t="n">
        <v>95.65</v>
      </c>
      <c r="CG321" s="2" t="n">
        <v>100</v>
      </c>
      <c r="CH321" s="2" t="n">
        <v>94.69</v>
      </c>
      <c r="CI321" s="2" t="n">
        <v>95.65</v>
      </c>
      <c r="CJ321" s="2" t="n">
        <v>100</v>
      </c>
      <c r="CK321" s="2" t="n">
        <v>94.69</v>
      </c>
      <c r="CL321" s="2" t="n">
        <v>95.65</v>
      </c>
      <c r="CM321" s="2" t="n">
        <v>100</v>
      </c>
      <c r="CN321" s="2" t="n">
        <v>94.69</v>
      </c>
      <c r="CO321" s="2" t="n">
        <v>95.65</v>
      </c>
      <c r="CP321" s="2" t="n">
        <v>100</v>
      </c>
      <c r="CQ321" s="2" t="n">
        <v>94.69</v>
      </c>
      <c r="CR321" s="2" t="n">
        <v>95.65</v>
      </c>
      <c r="CS321" s="2" t="n">
        <v>100</v>
      </c>
      <c r="CT321" s="2" t="n">
        <v>94.69</v>
      </c>
      <c r="CU321" s="2" t="n">
        <v>95.65</v>
      </c>
      <c r="CV321" s="2" t="n">
        <v>100</v>
      </c>
      <c r="CW321" s="2" t="n">
        <v>94.69</v>
      </c>
      <c r="CX321" s="2" t="n">
        <v>95.65</v>
      </c>
      <c r="CY321" s="2" t="n">
        <v>100</v>
      </c>
      <c r="CZ321" s="2" t="n">
        <v>94.69</v>
      </c>
      <c r="DA321" s="2" t="n">
        <v>95.65</v>
      </c>
      <c r="DB321" s="2" t="n">
        <v>100</v>
      </c>
      <c r="DC321" s="2" t="n">
        <v>94.69</v>
      </c>
      <c r="DD321" s="2" t="n">
        <v>95.65</v>
      </c>
      <c r="DE321" s="2" t="n">
        <v>100</v>
      </c>
      <c r="DF321" s="2" t="n">
        <v>94.69</v>
      </c>
      <c r="DG321" s="2" t="n">
        <v>95.65</v>
      </c>
      <c r="DH321" s="2" t="n">
        <v>100</v>
      </c>
      <c r="DI321" s="2" t="n">
        <v>94.69</v>
      </c>
      <c r="DJ321" s="2" t="n">
        <v>95.65</v>
      </c>
      <c r="DK321" s="2" t="n">
        <v>100</v>
      </c>
      <c r="DL321" s="2" t="n">
        <v>94.69</v>
      </c>
      <c r="DM321" s="2" t="n">
        <v>95.65</v>
      </c>
      <c r="DN321" s="2" t="n">
        <v>100</v>
      </c>
      <c r="DO321" s="2" t="n">
        <v>94.69</v>
      </c>
      <c r="DP321" s="2" t="n">
        <v>95.65</v>
      </c>
      <c r="DQ321" s="2" t="n">
        <v>100</v>
      </c>
      <c r="DR321" s="2" t="n">
        <v>94.69</v>
      </c>
      <c r="DS321" s="2" t="n">
        <v>95.65</v>
      </c>
      <c r="DT321" s="2" t="n">
        <v>100</v>
      </c>
      <c r="DU321" s="2" t="n">
        <v>94.69</v>
      </c>
      <c r="DV321" s="2" t="n">
        <v>95.65</v>
      </c>
      <c r="DW321" s="2" t="n">
        <v>100</v>
      </c>
      <c r="DX321" s="2" t="n">
        <v>94.69</v>
      </c>
      <c r="DY321" s="2" t="n">
        <v>95.65</v>
      </c>
      <c r="DZ321" s="2" t="n">
        <v>100</v>
      </c>
      <c r="EA321" s="2" t="n">
        <v>94.69</v>
      </c>
      <c r="EB321" s="2" t="n">
        <v>95.65</v>
      </c>
      <c r="EC321" s="2" t="n">
        <v>100</v>
      </c>
      <c r="ED321" s="2" t="n">
        <v>94.69</v>
      </c>
      <c r="EE321" s="2" t="n">
        <v>95.65</v>
      </c>
      <c r="EF321" s="2" t="n">
        <v>100</v>
      </c>
      <c r="EG321" s="2" t="n">
        <v>94.69</v>
      </c>
      <c r="EH321" s="2" t="n">
        <v>95.65</v>
      </c>
      <c r="EI321" s="2" t="n">
        <v>100</v>
      </c>
      <c r="EJ321" s="2" t="n">
        <v>94.69</v>
      </c>
      <c r="EK321" s="2" t="n">
        <v>95.65</v>
      </c>
      <c r="EL321" s="2" t="n">
        <v>100</v>
      </c>
      <c r="EM321" s="2" t="n">
        <v>94.69</v>
      </c>
      <c r="EN321" s="2" t="n">
        <v>95.65</v>
      </c>
      <c r="EO321" s="2" t="n">
        <v>100</v>
      </c>
      <c r="EP321" s="2" t="n">
        <v>94.69</v>
      </c>
      <c r="EQ321" s="2" t="n">
        <v>95.65</v>
      </c>
      <c r="ER321" s="2" t="n">
        <v>100</v>
      </c>
      <c r="ES321" s="2" t="n">
        <v>94.69</v>
      </c>
    </row>
    <row r="322" customFormat="false" ht="15" hidden="false" customHeight="false" outlineLevel="0" collapsed="false">
      <c r="A322" s="2" t="n">
        <v>3</v>
      </c>
      <c r="B322" s="2" t="s">
        <v>1052</v>
      </c>
      <c r="C322" s="2" t="s">
        <v>927</v>
      </c>
      <c r="D322" s="2" t="s">
        <v>1042</v>
      </c>
      <c r="E322" s="2" t="s">
        <v>964</v>
      </c>
      <c r="F322" s="2" t="n">
        <v>1261409.05562094</v>
      </c>
      <c r="G322" s="2" t="n">
        <v>0</v>
      </c>
      <c r="H322" s="2" t="n">
        <v>1261409.05562094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89.6</v>
      </c>
      <c r="AW322" s="2" t="n">
        <v>89.82</v>
      </c>
      <c r="AX322" s="2" t="n">
        <v>94.69</v>
      </c>
      <c r="AY322" s="2" t="n">
        <v>95.65</v>
      </c>
      <c r="AZ322" s="2" t="n">
        <v>95.65</v>
      </c>
      <c r="BA322" s="2" t="n">
        <v>94.69</v>
      </c>
      <c r="BB322" s="2" t="n">
        <v>95.65</v>
      </c>
      <c r="BC322" s="2" t="n">
        <v>95.65</v>
      </c>
      <c r="BD322" s="2" t="n">
        <v>94.69</v>
      </c>
      <c r="BE322" s="2" t="n">
        <v>95.65</v>
      </c>
      <c r="BF322" s="2" t="n">
        <v>95.65</v>
      </c>
      <c r="BG322" s="2" t="n">
        <v>94.69</v>
      </c>
      <c r="BH322" s="2" t="n">
        <v>95.65</v>
      </c>
      <c r="BI322" s="2" t="n">
        <v>95.65</v>
      </c>
      <c r="BJ322" s="2" t="n">
        <v>94.69</v>
      </c>
      <c r="BK322" s="2" t="n">
        <v>95.65</v>
      </c>
      <c r="BL322" s="2" t="n">
        <v>95.65</v>
      </c>
      <c r="BM322" s="2" t="n">
        <v>94.69</v>
      </c>
      <c r="BN322" s="2" t="n">
        <v>95.65</v>
      </c>
      <c r="BO322" s="2" t="n">
        <v>95.65</v>
      </c>
      <c r="BP322" s="2" t="n">
        <v>94.69</v>
      </c>
      <c r="BQ322" s="2" t="n">
        <v>95.65</v>
      </c>
      <c r="BR322" s="2" t="n">
        <v>95.65</v>
      </c>
      <c r="BS322" s="2" t="n">
        <v>94.69</v>
      </c>
      <c r="BT322" s="2" t="n">
        <v>95.65</v>
      </c>
      <c r="BU322" s="2" t="n">
        <v>96.96</v>
      </c>
      <c r="BV322" s="2" t="n">
        <v>94.69</v>
      </c>
      <c r="BW322" s="2" t="n">
        <v>95.65</v>
      </c>
      <c r="BX322" s="2" t="n">
        <v>100</v>
      </c>
      <c r="BY322" s="2" t="n">
        <v>94.69</v>
      </c>
      <c r="BZ322" s="2" t="n">
        <v>95.65</v>
      </c>
      <c r="CA322" s="2" t="n">
        <v>100</v>
      </c>
      <c r="CB322" s="2" t="n">
        <v>94.69</v>
      </c>
      <c r="CC322" s="2" t="n">
        <v>95.65</v>
      </c>
      <c r="CD322" s="2" t="n">
        <v>100</v>
      </c>
      <c r="CE322" s="2" t="n">
        <v>94.69</v>
      </c>
      <c r="CF322" s="2" t="n">
        <v>95.65</v>
      </c>
      <c r="CG322" s="2" t="n">
        <v>100</v>
      </c>
      <c r="CH322" s="2" t="n">
        <v>94.69</v>
      </c>
      <c r="CI322" s="2" t="n">
        <v>95.65</v>
      </c>
      <c r="CJ322" s="2" t="n">
        <v>100</v>
      </c>
      <c r="CK322" s="2" t="n">
        <v>94.69</v>
      </c>
      <c r="CL322" s="2" t="n">
        <v>95.65</v>
      </c>
      <c r="CM322" s="2" t="n">
        <v>100</v>
      </c>
      <c r="CN322" s="2" t="n">
        <v>94.69</v>
      </c>
      <c r="CO322" s="2" t="n">
        <v>95.65</v>
      </c>
      <c r="CP322" s="2" t="n">
        <v>100</v>
      </c>
      <c r="CQ322" s="2" t="n">
        <v>94.69</v>
      </c>
      <c r="CR322" s="2" t="n">
        <v>95.65</v>
      </c>
      <c r="CS322" s="2" t="n">
        <v>100</v>
      </c>
      <c r="CT322" s="2" t="n">
        <v>94.69</v>
      </c>
      <c r="CU322" s="2" t="n">
        <v>95.65</v>
      </c>
      <c r="CV322" s="2" t="n">
        <v>100</v>
      </c>
      <c r="CW322" s="2" t="n">
        <v>94.69</v>
      </c>
      <c r="CX322" s="2" t="n">
        <v>95.65</v>
      </c>
      <c r="CY322" s="2" t="n">
        <v>100</v>
      </c>
      <c r="CZ322" s="2" t="n">
        <v>94.69</v>
      </c>
      <c r="DA322" s="2" t="n">
        <v>95.65</v>
      </c>
      <c r="DB322" s="2" t="n">
        <v>100</v>
      </c>
      <c r="DC322" s="2" t="n">
        <v>94.69</v>
      </c>
      <c r="DD322" s="2" t="n">
        <v>95.65</v>
      </c>
      <c r="DE322" s="2" t="n">
        <v>100</v>
      </c>
      <c r="DF322" s="2" t="n">
        <v>94.69</v>
      </c>
      <c r="DG322" s="2" t="n">
        <v>95.65</v>
      </c>
      <c r="DH322" s="2" t="n">
        <v>100</v>
      </c>
      <c r="DI322" s="2" t="n">
        <v>94.69</v>
      </c>
      <c r="DJ322" s="2" t="n">
        <v>95.65</v>
      </c>
      <c r="DK322" s="2" t="n">
        <v>100</v>
      </c>
      <c r="DL322" s="2" t="n">
        <v>94.69</v>
      </c>
      <c r="DM322" s="2" t="n">
        <v>95.65</v>
      </c>
      <c r="DN322" s="2" t="n">
        <v>100</v>
      </c>
      <c r="DO322" s="2" t="n">
        <v>94.69</v>
      </c>
      <c r="DP322" s="2" t="n">
        <v>95.65</v>
      </c>
      <c r="DQ322" s="2" t="n">
        <v>100</v>
      </c>
      <c r="DR322" s="2" t="n">
        <v>94.69</v>
      </c>
      <c r="DS322" s="2" t="n">
        <v>95.65</v>
      </c>
      <c r="DT322" s="2" t="n">
        <v>100</v>
      </c>
      <c r="DU322" s="2" t="n">
        <v>94.69</v>
      </c>
      <c r="DV322" s="2" t="n">
        <v>95.65</v>
      </c>
      <c r="DW322" s="2" t="n">
        <v>100</v>
      </c>
      <c r="DX322" s="2" t="n">
        <v>94.69</v>
      </c>
      <c r="DY322" s="2" t="n">
        <v>95.65</v>
      </c>
      <c r="DZ322" s="2" t="n">
        <v>100</v>
      </c>
      <c r="EA322" s="2" t="n">
        <v>94.69</v>
      </c>
      <c r="EB322" s="2" t="n">
        <v>95.65</v>
      </c>
      <c r="EC322" s="2" t="n">
        <v>100</v>
      </c>
      <c r="ED322" s="2" t="n">
        <v>94.69</v>
      </c>
      <c r="EE322" s="2" t="n">
        <v>95.65</v>
      </c>
      <c r="EF322" s="2" t="n">
        <v>100</v>
      </c>
      <c r="EG322" s="2" t="n">
        <v>94.69</v>
      </c>
      <c r="EH322" s="2" t="n">
        <v>95.65</v>
      </c>
      <c r="EI322" s="2" t="n">
        <v>100</v>
      </c>
      <c r="EJ322" s="2" t="n">
        <v>94.69</v>
      </c>
      <c r="EK322" s="2" t="n">
        <v>95.65</v>
      </c>
      <c r="EL322" s="2" t="n">
        <v>100</v>
      </c>
      <c r="EM322" s="2" t="n">
        <v>94.69</v>
      </c>
      <c r="EN322" s="2" t="n">
        <v>95.65</v>
      </c>
      <c r="EO322" s="2" t="n">
        <v>100</v>
      </c>
      <c r="EP322" s="2" t="n">
        <v>94.69</v>
      </c>
      <c r="EQ322" s="2" t="n">
        <v>95.65</v>
      </c>
      <c r="ER322" s="2" t="n">
        <v>100</v>
      </c>
      <c r="ES322" s="2" t="n">
        <v>94.69</v>
      </c>
    </row>
    <row r="323" customFormat="false" ht="15" hidden="false" customHeight="false" outlineLevel="0" collapsed="false">
      <c r="A323" s="2" t="n">
        <v>3</v>
      </c>
      <c r="B323" s="2" t="s">
        <v>1053</v>
      </c>
      <c r="C323" s="2" t="s">
        <v>1054</v>
      </c>
      <c r="D323" s="2" t="s">
        <v>1042</v>
      </c>
      <c r="E323" s="2" t="s">
        <v>964</v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89.6</v>
      </c>
      <c r="AW323" s="2" t="n">
        <v>89.82</v>
      </c>
      <c r="AX323" s="2" t="n">
        <v>94.69</v>
      </c>
      <c r="AY323" s="2" t="n">
        <v>95.65</v>
      </c>
      <c r="AZ323" s="2" t="n">
        <v>95.65</v>
      </c>
      <c r="BA323" s="2" t="n">
        <v>94.69</v>
      </c>
      <c r="BB323" s="2" t="n">
        <v>95.65</v>
      </c>
      <c r="BC323" s="2" t="n">
        <v>95.65</v>
      </c>
      <c r="BD323" s="2" t="n">
        <v>94.69</v>
      </c>
      <c r="BE323" s="2" t="n">
        <v>95.65</v>
      </c>
      <c r="BF323" s="2" t="n">
        <v>95.65</v>
      </c>
      <c r="BG323" s="2" t="n">
        <v>94.69</v>
      </c>
      <c r="BH323" s="2" t="n">
        <v>95.65</v>
      </c>
      <c r="BI323" s="2" t="n">
        <v>95.65</v>
      </c>
      <c r="BJ323" s="2" t="n">
        <v>94.69</v>
      </c>
      <c r="BK323" s="2" t="n">
        <v>95.65</v>
      </c>
      <c r="BL323" s="2" t="n">
        <v>95.65</v>
      </c>
      <c r="BM323" s="2" t="n">
        <v>94.69</v>
      </c>
      <c r="BN323" s="2" t="n">
        <v>95.65</v>
      </c>
      <c r="BO323" s="2" t="n">
        <v>95.65</v>
      </c>
      <c r="BP323" s="2" t="n">
        <v>94.69</v>
      </c>
      <c r="BQ323" s="2" t="n">
        <v>95.65</v>
      </c>
      <c r="BR323" s="2" t="n">
        <v>95.65</v>
      </c>
      <c r="BS323" s="2" t="n">
        <v>94.69</v>
      </c>
      <c r="BT323" s="2" t="n">
        <v>95.65</v>
      </c>
      <c r="BU323" s="2" t="n">
        <v>96.96</v>
      </c>
      <c r="BV323" s="2" t="n">
        <v>94.69</v>
      </c>
      <c r="BW323" s="2" t="n">
        <v>95.65</v>
      </c>
      <c r="BX323" s="2" t="n">
        <v>100</v>
      </c>
      <c r="BY323" s="2" t="n">
        <v>94.69</v>
      </c>
      <c r="BZ323" s="2" t="n">
        <v>95.65</v>
      </c>
      <c r="CA323" s="2" t="n">
        <v>100</v>
      </c>
      <c r="CB323" s="2" t="n">
        <v>94.69</v>
      </c>
      <c r="CC323" s="2" t="n">
        <v>95.65</v>
      </c>
      <c r="CD323" s="2" t="n">
        <v>100</v>
      </c>
      <c r="CE323" s="2" t="n">
        <v>94.69</v>
      </c>
      <c r="CF323" s="2" t="n">
        <v>95.65</v>
      </c>
      <c r="CG323" s="2" t="n">
        <v>100</v>
      </c>
      <c r="CH323" s="2" t="n">
        <v>94.69</v>
      </c>
      <c r="CI323" s="2" t="n">
        <v>95.65</v>
      </c>
      <c r="CJ323" s="2" t="n">
        <v>100</v>
      </c>
      <c r="CK323" s="2" t="n">
        <v>94.69</v>
      </c>
      <c r="CL323" s="2" t="n">
        <v>95.65</v>
      </c>
      <c r="CM323" s="2" t="n">
        <v>100</v>
      </c>
      <c r="CN323" s="2" t="n">
        <v>94.69</v>
      </c>
      <c r="CO323" s="2" t="n">
        <v>95.65</v>
      </c>
      <c r="CP323" s="2" t="n">
        <v>100</v>
      </c>
      <c r="CQ323" s="2" t="n">
        <v>94.69</v>
      </c>
      <c r="CR323" s="2" t="n">
        <v>95.65</v>
      </c>
      <c r="CS323" s="2" t="n">
        <v>100</v>
      </c>
      <c r="CT323" s="2" t="n">
        <v>94.69</v>
      </c>
      <c r="CU323" s="2" t="n">
        <v>95.65</v>
      </c>
      <c r="CV323" s="2" t="n">
        <v>100</v>
      </c>
      <c r="CW323" s="2" t="n">
        <v>94.69</v>
      </c>
      <c r="CX323" s="2" t="n">
        <v>95.65</v>
      </c>
      <c r="CY323" s="2" t="n">
        <v>100</v>
      </c>
      <c r="CZ323" s="2" t="n">
        <v>94.69</v>
      </c>
      <c r="DA323" s="2" t="n">
        <v>95.65</v>
      </c>
      <c r="DB323" s="2" t="n">
        <v>100</v>
      </c>
      <c r="DC323" s="2" t="n">
        <v>94.69</v>
      </c>
      <c r="DD323" s="2" t="n">
        <v>95.65</v>
      </c>
      <c r="DE323" s="2" t="n">
        <v>100</v>
      </c>
      <c r="DF323" s="2" t="n">
        <v>94.69</v>
      </c>
      <c r="DG323" s="2" t="n">
        <v>95.65</v>
      </c>
      <c r="DH323" s="2" t="n">
        <v>100</v>
      </c>
      <c r="DI323" s="2" t="n">
        <v>94.69</v>
      </c>
      <c r="DJ323" s="2" t="n">
        <v>95.65</v>
      </c>
      <c r="DK323" s="2" t="n">
        <v>100</v>
      </c>
      <c r="DL323" s="2" t="n">
        <v>94.69</v>
      </c>
      <c r="DM323" s="2" t="n">
        <v>95.65</v>
      </c>
      <c r="DN323" s="2" t="n">
        <v>100</v>
      </c>
      <c r="DO323" s="2" t="n">
        <v>94.69</v>
      </c>
      <c r="DP323" s="2" t="n">
        <v>95.65</v>
      </c>
      <c r="DQ323" s="2" t="n">
        <v>100</v>
      </c>
      <c r="DR323" s="2" t="n">
        <v>94.69</v>
      </c>
      <c r="DS323" s="2" t="n">
        <v>95.65</v>
      </c>
      <c r="DT323" s="2" t="n">
        <v>100</v>
      </c>
      <c r="DU323" s="2" t="n">
        <v>94.69</v>
      </c>
      <c r="DV323" s="2" t="n">
        <v>95.65</v>
      </c>
      <c r="DW323" s="2" t="n">
        <v>100</v>
      </c>
      <c r="DX323" s="2" t="n">
        <v>94.69</v>
      </c>
      <c r="DY323" s="2" t="n">
        <v>95.65</v>
      </c>
      <c r="DZ323" s="2" t="n">
        <v>100</v>
      </c>
      <c r="EA323" s="2" t="n">
        <v>94.69</v>
      </c>
      <c r="EB323" s="2" t="n">
        <v>95.65</v>
      </c>
      <c r="EC323" s="2" t="n">
        <v>100</v>
      </c>
      <c r="ED323" s="2" t="n">
        <v>94.69</v>
      </c>
      <c r="EE323" s="2" t="n">
        <v>95.65</v>
      </c>
      <c r="EF323" s="2" t="n">
        <v>100</v>
      </c>
      <c r="EG323" s="2" t="n">
        <v>94.69</v>
      </c>
      <c r="EH323" s="2" t="n">
        <v>95.65</v>
      </c>
      <c r="EI323" s="2" t="n">
        <v>100</v>
      </c>
      <c r="EJ323" s="2" t="n">
        <v>94.69</v>
      </c>
      <c r="EK323" s="2" t="n">
        <v>95.65</v>
      </c>
      <c r="EL323" s="2" t="n">
        <v>100</v>
      </c>
      <c r="EM323" s="2" t="n">
        <v>94.69</v>
      </c>
      <c r="EN323" s="2" t="n">
        <v>95.65</v>
      </c>
      <c r="EO323" s="2" t="n">
        <v>100</v>
      </c>
      <c r="EP323" s="2" t="n">
        <v>94.69</v>
      </c>
      <c r="EQ323" s="2" t="n">
        <v>95.65</v>
      </c>
      <c r="ER323" s="2" t="n">
        <v>100</v>
      </c>
      <c r="ES323" s="2" t="n">
        <v>94.69</v>
      </c>
    </row>
    <row r="324" customFormat="false" ht="15" hidden="false" customHeight="false" outlineLevel="0" collapsed="false">
      <c r="A324" s="2" t="n">
        <v>3</v>
      </c>
      <c r="B324" s="2" t="s">
        <v>1055</v>
      </c>
      <c r="C324" s="2" t="s">
        <v>1056</v>
      </c>
      <c r="D324" s="2" t="s">
        <v>1042</v>
      </c>
      <c r="E324" s="2" t="s">
        <v>964</v>
      </c>
      <c r="F324" s="2" t="n">
        <v>17625.8806270277</v>
      </c>
      <c r="G324" s="2" t="n">
        <v>0</v>
      </c>
      <c r="H324" s="2" t="n">
        <v>17625.8806270277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89.6</v>
      </c>
      <c r="AW324" s="2" t="n">
        <v>89.82</v>
      </c>
      <c r="AX324" s="2" t="n">
        <v>94.69</v>
      </c>
      <c r="AY324" s="2" t="n">
        <v>95.65</v>
      </c>
      <c r="AZ324" s="2" t="n">
        <v>95.65</v>
      </c>
      <c r="BA324" s="2" t="n">
        <v>94.69</v>
      </c>
      <c r="BB324" s="2" t="n">
        <v>95.65</v>
      </c>
      <c r="BC324" s="2" t="n">
        <v>95.65</v>
      </c>
      <c r="BD324" s="2" t="n">
        <v>94.69</v>
      </c>
      <c r="BE324" s="2" t="n">
        <v>95.65</v>
      </c>
      <c r="BF324" s="2" t="n">
        <v>95.65</v>
      </c>
      <c r="BG324" s="2" t="n">
        <v>94.69</v>
      </c>
      <c r="BH324" s="2" t="n">
        <v>95.65</v>
      </c>
      <c r="BI324" s="2" t="n">
        <v>95.65</v>
      </c>
      <c r="BJ324" s="2" t="n">
        <v>94.69</v>
      </c>
      <c r="BK324" s="2" t="n">
        <v>95.65</v>
      </c>
      <c r="BL324" s="2" t="n">
        <v>95.65</v>
      </c>
      <c r="BM324" s="2" t="n">
        <v>94.69</v>
      </c>
      <c r="BN324" s="2" t="n">
        <v>95.65</v>
      </c>
      <c r="BO324" s="2" t="n">
        <v>95.65</v>
      </c>
      <c r="BP324" s="2" t="n">
        <v>94.69</v>
      </c>
      <c r="BQ324" s="2" t="n">
        <v>95.65</v>
      </c>
      <c r="BR324" s="2" t="n">
        <v>95.65</v>
      </c>
      <c r="BS324" s="2" t="n">
        <v>94.69</v>
      </c>
      <c r="BT324" s="2" t="n">
        <v>95.65</v>
      </c>
      <c r="BU324" s="2" t="n">
        <v>96.96</v>
      </c>
      <c r="BV324" s="2" t="n">
        <v>94.69</v>
      </c>
      <c r="BW324" s="2" t="n">
        <v>95.65</v>
      </c>
      <c r="BX324" s="2" t="n">
        <v>100</v>
      </c>
      <c r="BY324" s="2" t="n">
        <v>94.69</v>
      </c>
      <c r="BZ324" s="2" t="n">
        <v>95.65</v>
      </c>
      <c r="CA324" s="2" t="n">
        <v>100</v>
      </c>
      <c r="CB324" s="2" t="n">
        <v>94.69</v>
      </c>
      <c r="CC324" s="2" t="n">
        <v>95.65</v>
      </c>
      <c r="CD324" s="2" t="n">
        <v>100</v>
      </c>
      <c r="CE324" s="2" t="n">
        <v>94.69</v>
      </c>
      <c r="CF324" s="2" t="n">
        <v>95.65</v>
      </c>
      <c r="CG324" s="2" t="n">
        <v>100</v>
      </c>
      <c r="CH324" s="2" t="n">
        <v>94.69</v>
      </c>
      <c r="CI324" s="2" t="n">
        <v>95.65</v>
      </c>
      <c r="CJ324" s="2" t="n">
        <v>100</v>
      </c>
      <c r="CK324" s="2" t="n">
        <v>94.69</v>
      </c>
      <c r="CL324" s="2" t="n">
        <v>95.65</v>
      </c>
      <c r="CM324" s="2" t="n">
        <v>100</v>
      </c>
      <c r="CN324" s="2" t="n">
        <v>94.69</v>
      </c>
      <c r="CO324" s="2" t="n">
        <v>95.65</v>
      </c>
      <c r="CP324" s="2" t="n">
        <v>100</v>
      </c>
      <c r="CQ324" s="2" t="n">
        <v>94.69</v>
      </c>
      <c r="CR324" s="2" t="n">
        <v>95.65</v>
      </c>
      <c r="CS324" s="2" t="n">
        <v>100</v>
      </c>
      <c r="CT324" s="2" t="n">
        <v>94.69</v>
      </c>
      <c r="CU324" s="2" t="n">
        <v>95.65</v>
      </c>
      <c r="CV324" s="2" t="n">
        <v>100</v>
      </c>
      <c r="CW324" s="2" t="n">
        <v>94.69</v>
      </c>
      <c r="CX324" s="2" t="n">
        <v>95.65</v>
      </c>
      <c r="CY324" s="2" t="n">
        <v>100</v>
      </c>
      <c r="CZ324" s="2" t="n">
        <v>94.69</v>
      </c>
      <c r="DA324" s="2" t="n">
        <v>95.65</v>
      </c>
      <c r="DB324" s="2" t="n">
        <v>100</v>
      </c>
      <c r="DC324" s="2" t="n">
        <v>94.69</v>
      </c>
      <c r="DD324" s="2" t="n">
        <v>95.65</v>
      </c>
      <c r="DE324" s="2" t="n">
        <v>100</v>
      </c>
      <c r="DF324" s="2" t="n">
        <v>94.69</v>
      </c>
      <c r="DG324" s="2" t="n">
        <v>95.65</v>
      </c>
      <c r="DH324" s="2" t="n">
        <v>100</v>
      </c>
      <c r="DI324" s="2" t="n">
        <v>94.69</v>
      </c>
      <c r="DJ324" s="2" t="n">
        <v>95.65</v>
      </c>
      <c r="DK324" s="2" t="n">
        <v>100</v>
      </c>
      <c r="DL324" s="2" t="n">
        <v>94.69</v>
      </c>
      <c r="DM324" s="2" t="n">
        <v>95.65</v>
      </c>
      <c r="DN324" s="2" t="n">
        <v>100</v>
      </c>
      <c r="DO324" s="2" t="n">
        <v>94.69</v>
      </c>
      <c r="DP324" s="2" t="n">
        <v>95.65</v>
      </c>
      <c r="DQ324" s="2" t="n">
        <v>100</v>
      </c>
      <c r="DR324" s="2" t="n">
        <v>94.69</v>
      </c>
      <c r="DS324" s="2" t="n">
        <v>95.65</v>
      </c>
      <c r="DT324" s="2" t="n">
        <v>100</v>
      </c>
      <c r="DU324" s="2" t="n">
        <v>94.69</v>
      </c>
      <c r="DV324" s="2" t="n">
        <v>95.65</v>
      </c>
      <c r="DW324" s="2" t="n">
        <v>100</v>
      </c>
      <c r="DX324" s="2" t="n">
        <v>94.69</v>
      </c>
      <c r="DY324" s="2" t="n">
        <v>95.65</v>
      </c>
      <c r="DZ324" s="2" t="n">
        <v>100</v>
      </c>
      <c r="EA324" s="2" t="n">
        <v>94.69</v>
      </c>
      <c r="EB324" s="2" t="n">
        <v>95.65</v>
      </c>
      <c r="EC324" s="2" t="n">
        <v>100</v>
      </c>
      <c r="ED324" s="2" t="n">
        <v>94.69</v>
      </c>
      <c r="EE324" s="2" t="n">
        <v>95.65</v>
      </c>
      <c r="EF324" s="2" t="n">
        <v>100</v>
      </c>
      <c r="EG324" s="2" t="n">
        <v>94.69</v>
      </c>
      <c r="EH324" s="2" t="n">
        <v>95.65</v>
      </c>
      <c r="EI324" s="2" t="n">
        <v>100</v>
      </c>
      <c r="EJ324" s="2" t="n">
        <v>94.69</v>
      </c>
      <c r="EK324" s="2" t="n">
        <v>95.65</v>
      </c>
      <c r="EL324" s="2" t="n">
        <v>100</v>
      </c>
      <c r="EM324" s="2" t="n">
        <v>94.69</v>
      </c>
      <c r="EN324" s="2" t="n">
        <v>95.65</v>
      </c>
      <c r="EO324" s="2" t="n">
        <v>100</v>
      </c>
      <c r="EP324" s="2" t="n">
        <v>94.69</v>
      </c>
      <c r="EQ324" s="2" t="n">
        <v>95.65</v>
      </c>
      <c r="ER324" s="2" t="n">
        <v>100</v>
      </c>
      <c r="ES324" s="2" t="n">
        <v>94.69</v>
      </c>
    </row>
    <row r="325" customFormat="false" ht="15" hidden="false" customHeight="false" outlineLevel="0" collapsed="false">
      <c r="A325" s="2" t="n">
        <v>3</v>
      </c>
      <c r="B325" s="2" t="s">
        <v>1057</v>
      </c>
      <c r="C325" s="2" t="s">
        <v>1058</v>
      </c>
      <c r="D325" s="2" t="s">
        <v>1042</v>
      </c>
      <c r="E325" s="2" t="s">
        <v>964</v>
      </c>
      <c r="F325" s="2" t="n">
        <v>990678.12</v>
      </c>
      <c r="G325" s="2" t="n">
        <v>0</v>
      </c>
      <c r="H325" s="2" t="n">
        <v>990678.12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89.6</v>
      </c>
      <c r="AW325" s="2" t="n">
        <v>89.82</v>
      </c>
      <c r="AX325" s="2" t="n">
        <v>94.69</v>
      </c>
      <c r="AY325" s="2" t="n">
        <v>95.65</v>
      </c>
      <c r="AZ325" s="2" t="n">
        <v>95.65</v>
      </c>
      <c r="BA325" s="2" t="n">
        <v>94.69</v>
      </c>
      <c r="BB325" s="2" t="n">
        <v>95.65</v>
      </c>
      <c r="BC325" s="2" t="n">
        <v>95.65</v>
      </c>
      <c r="BD325" s="2" t="n">
        <v>94.69</v>
      </c>
      <c r="BE325" s="2" t="n">
        <v>95.65</v>
      </c>
      <c r="BF325" s="2" t="n">
        <v>95.65</v>
      </c>
      <c r="BG325" s="2" t="n">
        <v>94.69</v>
      </c>
      <c r="BH325" s="2" t="n">
        <v>95.65</v>
      </c>
      <c r="BI325" s="2" t="n">
        <v>95.65</v>
      </c>
      <c r="BJ325" s="2" t="n">
        <v>94.69</v>
      </c>
      <c r="BK325" s="2" t="n">
        <v>95.65</v>
      </c>
      <c r="BL325" s="2" t="n">
        <v>95.65</v>
      </c>
      <c r="BM325" s="2" t="n">
        <v>94.69</v>
      </c>
      <c r="BN325" s="2" t="n">
        <v>95.65</v>
      </c>
      <c r="BO325" s="2" t="n">
        <v>95.65</v>
      </c>
      <c r="BP325" s="2" t="n">
        <v>94.69</v>
      </c>
      <c r="BQ325" s="2" t="n">
        <v>95.65</v>
      </c>
      <c r="BR325" s="2" t="n">
        <v>95.65</v>
      </c>
      <c r="BS325" s="2" t="n">
        <v>94.69</v>
      </c>
      <c r="BT325" s="2" t="n">
        <v>95.65</v>
      </c>
      <c r="BU325" s="2" t="n">
        <v>96.96</v>
      </c>
      <c r="BV325" s="2" t="n">
        <v>94.69</v>
      </c>
      <c r="BW325" s="2" t="n">
        <v>95.65</v>
      </c>
      <c r="BX325" s="2" t="n">
        <v>100</v>
      </c>
      <c r="BY325" s="2" t="n">
        <v>94.69</v>
      </c>
      <c r="BZ325" s="2" t="n">
        <v>95.65</v>
      </c>
      <c r="CA325" s="2" t="n">
        <v>100</v>
      </c>
      <c r="CB325" s="2" t="n">
        <v>94.69</v>
      </c>
      <c r="CC325" s="2" t="n">
        <v>95.65</v>
      </c>
      <c r="CD325" s="2" t="n">
        <v>100</v>
      </c>
      <c r="CE325" s="2" t="n">
        <v>94.69</v>
      </c>
      <c r="CF325" s="2" t="n">
        <v>95.65</v>
      </c>
      <c r="CG325" s="2" t="n">
        <v>100</v>
      </c>
      <c r="CH325" s="2" t="n">
        <v>94.69</v>
      </c>
      <c r="CI325" s="2" t="n">
        <v>95.65</v>
      </c>
      <c r="CJ325" s="2" t="n">
        <v>100</v>
      </c>
      <c r="CK325" s="2" t="n">
        <v>94.69</v>
      </c>
      <c r="CL325" s="2" t="n">
        <v>95.65</v>
      </c>
      <c r="CM325" s="2" t="n">
        <v>100</v>
      </c>
      <c r="CN325" s="2" t="n">
        <v>94.69</v>
      </c>
      <c r="CO325" s="2" t="n">
        <v>95.65</v>
      </c>
      <c r="CP325" s="2" t="n">
        <v>100</v>
      </c>
      <c r="CQ325" s="2" t="n">
        <v>94.69</v>
      </c>
      <c r="CR325" s="2" t="n">
        <v>95.65</v>
      </c>
      <c r="CS325" s="2" t="n">
        <v>100</v>
      </c>
      <c r="CT325" s="2" t="n">
        <v>94.69</v>
      </c>
      <c r="CU325" s="2" t="n">
        <v>95.65</v>
      </c>
      <c r="CV325" s="2" t="n">
        <v>100</v>
      </c>
      <c r="CW325" s="2" t="n">
        <v>94.69</v>
      </c>
      <c r="CX325" s="2" t="n">
        <v>95.65</v>
      </c>
      <c r="CY325" s="2" t="n">
        <v>100</v>
      </c>
      <c r="CZ325" s="2" t="n">
        <v>94.69</v>
      </c>
      <c r="DA325" s="2" t="n">
        <v>95.65</v>
      </c>
      <c r="DB325" s="2" t="n">
        <v>100</v>
      </c>
      <c r="DC325" s="2" t="n">
        <v>94.69</v>
      </c>
      <c r="DD325" s="2" t="n">
        <v>95.65</v>
      </c>
      <c r="DE325" s="2" t="n">
        <v>100</v>
      </c>
      <c r="DF325" s="2" t="n">
        <v>94.69</v>
      </c>
      <c r="DG325" s="2" t="n">
        <v>95.65</v>
      </c>
      <c r="DH325" s="2" t="n">
        <v>100</v>
      </c>
      <c r="DI325" s="2" t="n">
        <v>94.69</v>
      </c>
      <c r="DJ325" s="2" t="n">
        <v>95.65</v>
      </c>
      <c r="DK325" s="2" t="n">
        <v>100</v>
      </c>
      <c r="DL325" s="2" t="n">
        <v>94.69</v>
      </c>
      <c r="DM325" s="2" t="n">
        <v>95.65</v>
      </c>
      <c r="DN325" s="2" t="n">
        <v>100</v>
      </c>
      <c r="DO325" s="2" t="n">
        <v>94.69</v>
      </c>
      <c r="DP325" s="2" t="n">
        <v>95.65</v>
      </c>
      <c r="DQ325" s="2" t="n">
        <v>100</v>
      </c>
      <c r="DR325" s="2" t="n">
        <v>94.69</v>
      </c>
      <c r="DS325" s="2" t="n">
        <v>95.65</v>
      </c>
      <c r="DT325" s="2" t="n">
        <v>100</v>
      </c>
      <c r="DU325" s="2" t="n">
        <v>94.69</v>
      </c>
      <c r="DV325" s="2" t="n">
        <v>95.65</v>
      </c>
      <c r="DW325" s="2" t="n">
        <v>100</v>
      </c>
      <c r="DX325" s="2" t="n">
        <v>94.69</v>
      </c>
      <c r="DY325" s="2" t="n">
        <v>95.65</v>
      </c>
      <c r="DZ325" s="2" t="n">
        <v>100</v>
      </c>
      <c r="EA325" s="2" t="n">
        <v>94.69</v>
      </c>
      <c r="EB325" s="2" t="n">
        <v>95.65</v>
      </c>
      <c r="EC325" s="2" t="n">
        <v>100</v>
      </c>
      <c r="ED325" s="2" t="n">
        <v>94.69</v>
      </c>
      <c r="EE325" s="2" t="n">
        <v>95.65</v>
      </c>
      <c r="EF325" s="2" t="n">
        <v>100</v>
      </c>
      <c r="EG325" s="2" t="n">
        <v>94.69</v>
      </c>
      <c r="EH325" s="2" t="n">
        <v>95.65</v>
      </c>
      <c r="EI325" s="2" t="n">
        <v>100</v>
      </c>
      <c r="EJ325" s="2" t="n">
        <v>94.69</v>
      </c>
      <c r="EK325" s="2" t="n">
        <v>95.65</v>
      </c>
      <c r="EL325" s="2" t="n">
        <v>100</v>
      </c>
      <c r="EM325" s="2" t="n">
        <v>94.69</v>
      </c>
      <c r="EN325" s="2" t="n">
        <v>95.65</v>
      </c>
      <c r="EO325" s="2" t="n">
        <v>100</v>
      </c>
      <c r="EP325" s="2" t="n">
        <v>94.69</v>
      </c>
      <c r="EQ325" s="2" t="n">
        <v>95.65</v>
      </c>
      <c r="ER325" s="2" t="n">
        <v>100</v>
      </c>
      <c r="ES325" s="2" t="n">
        <v>94.69</v>
      </c>
    </row>
    <row r="326" customFormat="false" ht="15" hidden="false" customHeight="false" outlineLevel="0" collapsed="false">
      <c r="A326" s="2" t="n">
        <v>3</v>
      </c>
      <c r="B326" s="2" t="s">
        <v>1059</v>
      </c>
      <c r="C326" s="2" t="s">
        <v>1060</v>
      </c>
      <c r="D326" s="2" t="s">
        <v>1042</v>
      </c>
      <c r="E326" s="2" t="s">
        <v>964</v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89.6</v>
      </c>
      <c r="AW326" s="2" t="n">
        <v>89.82</v>
      </c>
      <c r="AX326" s="2" t="n">
        <v>94.69</v>
      </c>
      <c r="AY326" s="2" t="n">
        <v>95.65</v>
      </c>
      <c r="AZ326" s="2" t="n">
        <v>95.65</v>
      </c>
      <c r="BA326" s="2" t="n">
        <v>94.69</v>
      </c>
      <c r="BB326" s="2" t="n">
        <v>95.65</v>
      </c>
      <c r="BC326" s="2" t="n">
        <v>95.65</v>
      </c>
      <c r="BD326" s="2" t="n">
        <v>94.69</v>
      </c>
      <c r="BE326" s="2" t="n">
        <v>95.65</v>
      </c>
      <c r="BF326" s="2" t="n">
        <v>95.65</v>
      </c>
      <c r="BG326" s="2" t="n">
        <v>94.69</v>
      </c>
      <c r="BH326" s="2" t="n">
        <v>95.65</v>
      </c>
      <c r="BI326" s="2" t="n">
        <v>95.65</v>
      </c>
      <c r="BJ326" s="2" t="n">
        <v>94.69</v>
      </c>
      <c r="BK326" s="2" t="n">
        <v>95.65</v>
      </c>
      <c r="BL326" s="2" t="n">
        <v>95.65</v>
      </c>
      <c r="BM326" s="2" t="n">
        <v>94.69</v>
      </c>
      <c r="BN326" s="2" t="n">
        <v>95.65</v>
      </c>
      <c r="BO326" s="2" t="n">
        <v>95.65</v>
      </c>
      <c r="BP326" s="2" t="n">
        <v>94.69</v>
      </c>
      <c r="BQ326" s="2" t="n">
        <v>95.65</v>
      </c>
      <c r="BR326" s="2" t="n">
        <v>95.65</v>
      </c>
      <c r="BS326" s="2" t="n">
        <v>94.69</v>
      </c>
      <c r="BT326" s="2" t="n">
        <v>95.65</v>
      </c>
      <c r="BU326" s="2" t="n">
        <v>96.96</v>
      </c>
      <c r="BV326" s="2" t="n">
        <v>94.69</v>
      </c>
      <c r="BW326" s="2" t="n">
        <v>95.65</v>
      </c>
      <c r="BX326" s="2" t="n">
        <v>100</v>
      </c>
      <c r="BY326" s="2" t="n">
        <v>94.69</v>
      </c>
      <c r="BZ326" s="2" t="n">
        <v>95.65</v>
      </c>
      <c r="CA326" s="2" t="n">
        <v>100</v>
      </c>
      <c r="CB326" s="2" t="n">
        <v>94.69</v>
      </c>
      <c r="CC326" s="2" t="n">
        <v>95.65</v>
      </c>
      <c r="CD326" s="2" t="n">
        <v>100</v>
      </c>
      <c r="CE326" s="2" t="n">
        <v>94.69</v>
      </c>
      <c r="CF326" s="2" t="n">
        <v>95.65</v>
      </c>
      <c r="CG326" s="2" t="n">
        <v>100</v>
      </c>
      <c r="CH326" s="2" t="n">
        <v>94.69</v>
      </c>
      <c r="CI326" s="2" t="n">
        <v>95.65</v>
      </c>
      <c r="CJ326" s="2" t="n">
        <v>100</v>
      </c>
      <c r="CK326" s="2" t="n">
        <v>94.69</v>
      </c>
      <c r="CL326" s="2" t="n">
        <v>95.65</v>
      </c>
      <c r="CM326" s="2" t="n">
        <v>100</v>
      </c>
      <c r="CN326" s="2" t="n">
        <v>94.69</v>
      </c>
      <c r="CO326" s="2" t="n">
        <v>95.65</v>
      </c>
      <c r="CP326" s="2" t="n">
        <v>100</v>
      </c>
      <c r="CQ326" s="2" t="n">
        <v>94.69</v>
      </c>
      <c r="CR326" s="2" t="n">
        <v>95.65</v>
      </c>
      <c r="CS326" s="2" t="n">
        <v>100</v>
      </c>
      <c r="CT326" s="2" t="n">
        <v>94.69</v>
      </c>
      <c r="CU326" s="2" t="n">
        <v>95.65</v>
      </c>
      <c r="CV326" s="2" t="n">
        <v>100</v>
      </c>
      <c r="CW326" s="2" t="n">
        <v>94.69</v>
      </c>
      <c r="CX326" s="2" t="n">
        <v>95.65</v>
      </c>
      <c r="CY326" s="2" t="n">
        <v>100</v>
      </c>
      <c r="CZ326" s="2" t="n">
        <v>94.69</v>
      </c>
      <c r="DA326" s="2" t="n">
        <v>95.65</v>
      </c>
      <c r="DB326" s="2" t="n">
        <v>100</v>
      </c>
      <c r="DC326" s="2" t="n">
        <v>94.69</v>
      </c>
      <c r="DD326" s="2" t="n">
        <v>95.65</v>
      </c>
      <c r="DE326" s="2" t="n">
        <v>100</v>
      </c>
      <c r="DF326" s="2" t="n">
        <v>94.69</v>
      </c>
      <c r="DG326" s="2" t="n">
        <v>95.65</v>
      </c>
      <c r="DH326" s="2" t="n">
        <v>100</v>
      </c>
      <c r="DI326" s="2" t="n">
        <v>94.69</v>
      </c>
      <c r="DJ326" s="2" t="n">
        <v>95.65</v>
      </c>
      <c r="DK326" s="2" t="n">
        <v>100</v>
      </c>
      <c r="DL326" s="2" t="n">
        <v>94.69</v>
      </c>
      <c r="DM326" s="2" t="n">
        <v>95.65</v>
      </c>
      <c r="DN326" s="2" t="n">
        <v>100</v>
      </c>
      <c r="DO326" s="2" t="n">
        <v>94.69</v>
      </c>
      <c r="DP326" s="2" t="n">
        <v>95.65</v>
      </c>
      <c r="DQ326" s="2" t="n">
        <v>100</v>
      </c>
      <c r="DR326" s="2" t="n">
        <v>94.69</v>
      </c>
      <c r="DS326" s="2" t="n">
        <v>95.65</v>
      </c>
      <c r="DT326" s="2" t="n">
        <v>100</v>
      </c>
      <c r="DU326" s="2" t="n">
        <v>94.69</v>
      </c>
      <c r="DV326" s="2" t="n">
        <v>95.65</v>
      </c>
      <c r="DW326" s="2" t="n">
        <v>100</v>
      </c>
      <c r="DX326" s="2" t="n">
        <v>94.69</v>
      </c>
      <c r="DY326" s="2" t="n">
        <v>95.65</v>
      </c>
      <c r="DZ326" s="2" t="n">
        <v>100</v>
      </c>
      <c r="EA326" s="2" t="n">
        <v>94.69</v>
      </c>
      <c r="EB326" s="2" t="n">
        <v>95.65</v>
      </c>
      <c r="EC326" s="2" t="n">
        <v>100</v>
      </c>
      <c r="ED326" s="2" t="n">
        <v>94.69</v>
      </c>
      <c r="EE326" s="2" t="n">
        <v>95.65</v>
      </c>
      <c r="EF326" s="2" t="n">
        <v>100</v>
      </c>
      <c r="EG326" s="2" t="n">
        <v>94.69</v>
      </c>
      <c r="EH326" s="2" t="n">
        <v>95.65</v>
      </c>
      <c r="EI326" s="2" t="n">
        <v>100</v>
      </c>
      <c r="EJ326" s="2" t="n">
        <v>94.69</v>
      </c>
      <c r="EK326" s="2" t="n">
        <v>95.65</v>
      </c>
      <c r="EL326" s="2" t="n">
        <v>100</v>
      </c>
      <c r="EM326" s="2" t="n">
        <v>94.69</v>
      </c>
      <c r="EN326" s="2" t="n">
        <v>95.65</v>
      </c>
      <c r="EO326" s="2" t="n">
        <v>100</v>
      </c>
      <c r="EP326" s="2" t="n">
        <v>94.69</v>
      </c>
      <c r="EQ326" s="2" t="n">
        <v>95.65</v>
      </c>
      <c r="ER326" s="2" t="n">
        <v>100</v>
      </c>
      <c r="ES326" s="2" t="n">
        <v>94.69</v>
      </c>
    </row>
    <row r="327" customFormat="false" ht="15" hidden="false" customHeight="false" outlineLevel="0" collapsed="false">
      <c r="A327" s="2" t="n">
        <v>3</v>
      </c>
      <c r="B327" s="2" t="s">
        <v>1061</v>
      </c>
      <c r="C327" s="2" t="s">
        <v>1062</v>
      </c>
      <c r="D327" s="2" t="s">
        <v>1042</v>
      </c>
      <c r="E327" s="2" t="s">
        <v>964</v>
      </c>
      <c r="F327" s="2" t="n">
        <v>57321.0231409369</v>
      </c>
      <c r="G327" s="2" t="n">
        <v>0</v>
      </c>
      <c r="H327" s="2" t="n">
        <v>57321.0231409369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89.6</v>
      </c>
      <c r="AW327" s="2" t="n">
        <v>89.82</v>
      </c>
      <c r="AX327" s="2" t="n">
        <v>94.69</v>
      </c>
      <c r="AY327" s="2" t="n">
        <v>95.65</v>
      </c>
      <c r="AZ327" s="2" t="n">
        <v>95.65</v>
      </c>
      <c r="BA327" s="2" t="n">
        <v>94.69</v>
      </c>
      <c r="BB327" s="2" t="n">
        <v>95.65</v>
      </c>
      <c r="BC327" s="2" t="n">
        <v>95.65</v>
      </c>
      <c r="BD327" s="2" t="n">
        <v>94.69</v>
      </c>
      <c r="BE327" s="2" t="n">
        <v>95.65</v>
      </c>
      <c r="BF327" s="2" t="n">
        <v>95.65</v>
      </c>
      <c r="BG327" s="2" t="n">
        <v>94.69</v>
      </c>
      <c r="BH327" s="2" t="n">
        <v>95.65</v>
      </c>
      <c r="BI327" s="2" t="n">
        <v>95.65</v>
      </c>
      <c r="BJ327" s="2" t="n">
        <v>94.69</v>
      </c>
      <c r="BK327" s="2" t="n">
        <v>95.65</v>
      </c>
      <c r="BL327" s="2" t="n">
        <v>95.65</v>
      </c>
      <c r="BM327" s="2" t="n">
        <v>94.69</v>
      </c>
      <c r="BN327" s="2" t="n">
        <v>95.65</v>
      </c>
      <c r="BO327" s="2" t="n">
        <v>95.65</v>
      </c>
      <c r="BP327" s="2" t="n">
        <v>94.69</v>
      </c>
      <c r="BQ327" s="2" t="n">
        <v>95.65</v>
      </c>
      <c r="BR327" s="2" t="n">
        <v>95.65</v>
      </c>
      <c r="BS327" s="2" t="n">
        <v>94.69</v>
      </c>
      <c r="BT327" s="2" t="n">
        <v>95.65</v>
      </c>
      <c r="BU327" s="2" t="n">
        <v>96.96</v>
      </c>
      <c r="BV327" s="2" t="n">
        <v>94.69</v>
      </c>
      <c r="BW327" s="2" t="n">
        <v>95.65</v>
      </c>
      <c r="BX327" s="2" t="n">
        <v>100</v>
      </c>
      <c r="BY327" s="2" t="n">
        <v>94.69</v>
      </c>
      <c r="BZ327" s="2" t="n">
        <v>95.65</v>
      </c>
      <c r="CA327" s="2" t="n">
        <v>100</v>
      </c>
      <c r="CB327" s="2" t="n">
        <v>94.69</v>
      </c>
      <c r="CC327" s="2" t="n">
        <v>95.65</v>
      </c>
      <c r="CD327" s="2" t="n">
        <v>100</v>
      </c>
      <c r="CE327" s="2" t="n">
        <v>94.69</v>
      </c>
      <c r="CF327" s="2" t="n">
        <v>95.65</v>
      </c>
      <c r="CG327" s="2" t="n">
        <v>100</v>
      </c>
      <c r="CH327" s="2" t="n">
        <v>94.69</v>
      </c>
      <c r="CI327" s="2" t="n">
        <v>95.65</v>
      </c>
      <c r="CJ327" s="2" t="n">
        <v>100</v>
      </c>
      <c r="CK327" s="2" t="n">
        <v>94.69</v>
      </c>
      <c r="CL327" s="2" t="n">
        <v>95.65</v>
      </c>
      <c r="CM327" s="2" t="n">
        <v>100</v>
      </c>
      <c r="CN327" s="2" t="n">
        <v>94.69</v>
      </c>
      <c r="CO327" s="2" t="n">
        <v>95.65</v>
      </c>
      <c r="CP327" s="2" t="n">
        <v>100</v>
      </c>
      <c r="CQ327" s="2" t="n">
        <v>94.69</v>
      </c>
      <c r="CR327" s="2" t="n">
        <v>95.65</v>
      </c>
      <c r="CS327" s="2" t="n">
        <v>100</v>
      </c>
      <c r="CT327" s="2" t="n">
        <v>94.69</v>
      </c>
      <c r="CU327" s="2" t="n">
        <v>95.65</v>
      </c>
      <c r="CV327" s="2" t="n">
        <v>100</v>
      </c>
      <c r="CW327" s="2" t="n">
        <v>94.69</v>
      </c>
      <c r="CX327" s="2" t="n">
        <v>95.65</v>
      </c>
      <c r="CY327" s="2" t="n">
        <v>100</v>
      </c>
      <c r="CZ327" s="2" t="n">
        <v>94.69</v>
      </c>
      <c r="DA327" s="2" t="n">
        <v>95.65</v>
      </c>
      <c r="DB327" s="2" t="n">
        <v>100</v>
      </c>
      <c r="DC327" s="2" t="n">
        <v>94.69</v>
      </c>
      <c r="DD327" s="2" t="n">
        <v>95.65</v>
      </c>
      <c r="DE327" s="2" t="n">
        <v>100</v>
      </c>
      <c r="DF327" s="2" t="n">
        <v>94.69</v>
      </c>
      <c r="DG327" s="2" t="n">
        <v>95.65</v>
      </c>
      <c r="DH327" s="2" t="n">
        <v>100</v>
      </c>
      <c r="DI327" s="2" t="n">
        <v>94.69</v>
      </c>
      <c r="DJ327" s="2" t="n">
        <v>95.65</v>
      </c>
      <c r="DK327" s="2" t="n">
        <v>100</v>
      </c>
      <c r="DL327" s="2" t="n">
        <v>94.69</v>
      </c>
      <c r="DM327" s="2" t="n">
        <v>95.65</v>
      </c>
      <c r="DN327" s="2" t="n">
        <v>100</v>
      </c>
      <c r="DO327" s="2" t="n">
        <v>94.69</v>
      </c>
      <c r="DP327" s="2" t="n">
        <v>95.65</v>
      </c>
      <c r="DQ327" s="2" t="n">
        <v>100</v>
      </c>
      <c r="DR327" s="2" t="n">
        <v>94.69</v>
      </c>
      <c r="DS327" s="2" t="n">
        <v>95.65</v>
      </c>
      <c r="DT327" s="2" t="n">
        <v>100</v>
      </c>
      <c r="DU327" s="2" t="n">
        <v>94.69</v>
      </c>
      <c r="DV327" s="2" t="n">
        <v>95.65</v>
      </c>
      <c r="DW327" s="2" t="n">
        <v>100</v>
      </c>
      <c r="DX327" s="2" t="n">
        <v>94.69</v>
      </c>
      <c r="DY327" s="2" t="n">
        <v>95.65</v>
      </c>
      <c r="DZ327" s="2" t="n">
        <v>100</v>
      </c>
      <c r="EA327" s="2" t="n">
        <v>94.69</v>
      </c>
      <c r="EB327" s="2" t="n">
        <v>95.65</v>
      </c>
      <c r="EC327" s="2" t="n">
        <v>100</v>
      </c>
      <c r="ED327" s="2" t="n">
        <v>94.69</v>
      </c>
      <c r="EE327" s="2" t="n">
        <v>95.65</v>
      </c>
      <c r="EF327" s="2" t="n">
        <v>100</v>
      </c>
      <c r="EG327" s="2" t="n">
        <v>94.69</v>
      </c>
      <c r="EH327" s="2" t="n">
        <v>95.65</v>
      </c>
      <c r="EI327" s="2" t="n">
        <v>100</v>
      </c>
      <c r="EJ327" s="2" t="n">
        <v>94.69</v>
      </c>
      <c r="EK327" s="2" t="n">
        <v>95.65</v>
      </c>
      <c r="EL327" s="2" t="n">
        <v>100</v>
      </c>
      <c r="EM327" s="2" t="n">
        <v>94.69</v>
      </c>
      <c r="EN327" s="2" t="n">
        <v>95.65</v>
      </c>
      <c r="EO327" s="2" t="n">
        <v>100</v>
      </c>
      <c r="EP327" s="2" t="n">
        <v>94.69</v>
      </c>
      <c r="EQ327" s="2" t="n">
        <v>95.65</v>
      </c>
      <c r="ER327" s="2" t="n">
        <v>100</v>
      </c>
      <c r="ES327" s="2" t="n">
        <v>94.69</v>
      </c>
    </row>
    <row r="328" customFormat="false" ht="15" hidden="false" customHeight="false" outlineLevel="0" collapsed="false">
      <c r="A328" s="2" t="n">
        <v>3</v>
      </c>
      <c r="B328" s="2" t="s">
        <v>1063</v>
      </c>
      <c r="C328" s="2" t="s">
        <v>931</v>
      </c>
      <c r="D328" s="2" t="s">
        <v>1042</v>
      </c>
      <c r="E328" s="2" t="s">
        <v>964</v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89.6</v>
      </c>
      <c r="AW328" s="2" t="n">
        <v>89.82</v>
      </c>
      <c r="AX328" s="2" t="n">
        <v>94.69</v>
      </c>
      <c r="AY328" s="2" t="n">
        <v>95.65</v>
      </c>
      <c r="AZ328" s="2" t="n">
        <v>95.65</v>
      </c>
      <c r="BA328" s="2" t="n">
        <v>94.69</v>
      </c>
      <c r="BB328" s="2" t="n">
        <v>95.65</v>
      </c>
      <c r="BC328" s="2" t="n">
        <v>95.65</v>
      </c>
      <c r="BD328" s="2" t="n">
        <v>94.69</v>
      </c>
      <c r="BE328" s="2" t="n">
        <v>95.65</v>
      </c>
      <c r="BF328" s="2" t="n">
        <v>95.65</v>
      </c>
      <c r="BG328" s="2" t="n">
        <v>94.69</v>
      </c>
      <c r="BH328" s="2" t="n">
        <v>95.65</v>
      </c>
      <c r="BI328" s="2" t="n">
        <v>95.65</v>
      </c>
      <c r="BJ328" s="2" t="n">
        <v>94.69</v>
      </c>
      <c r="BK328" s="2" t="n">
        <v>95.65</v>
      </c>
      <c r="BL328" s="2" t="n">
        <v>95.65</v>
      </c>
      <c r="BM328" s="2" t="n">
        <v>94.69</v>
      </c>
      <c r="BN328" s="2" t="n">
        <v>95.65</v>
      </c>
      <c r="BO328" s="2" t="n">
        <v>95.65</v>
      </c>
      <c r="BP328" s="2" t="n">
        <v>94.69</v>
      </c>
      <c r="BQ328" s="2" t="n">
        <v>95.65</v>
      </c>
      <c r="BR328" s="2" t="n">
        <v>95.65</v>
      </c>
      <c r="BS328" s="2" t="n">
        <v>94.69</v>
      </c>
      <c r="BT328" s="2" t="n">
        <v>95.65</v>
      </c>
      <c r="BU328" s="2" t="n">
        <v>96.96</v>
      </c>
      <c r="BV328" s="2" t="n">
        <v>94.69</v>
      </c>
      <c r="BW328" s="2" t="n">
        <v>95.65</v>
      </c>
      <c r="BX328" s="2" t="n">
        <v>100</v>
      </c>
      <c r="BY328" s="2" t="n">
        <v>94.69</v>
      </c>
      <c r="BZ328" s="2" t="n">
        <v>95.65</v>
      </c>
      <c r="CA328" s="2" t="n">
        <v>100</v>
      </c>
      <c r="CB328" s="2" t="n">
        <v>94.69</v>
      </c>
      <c r="CC328" s="2" t="n">
        <v>95.65</v>
      </c>
      <c r="CD328" s="2" t="n">
        <v>100</v>
      </c>
      <c r="CE328" s="2" t="n">
        <v>94.69</v>
      </c>
      <c r="CF328" s="2" t="n">
        <v>95.65</v>
      </c>
      <c r="CG328" s="2" t="n">
        <v>100</v>
      </c>
      <c r="CH328" s="2" t="n">
        <v>94.69</v>
      </c>
      <c r="CI328" s="2" t="n">
        <v>95.65</v>
      </c>
      <c r="CJ328" s="2" t="n">
        <v>100</v>
      </c>
      <c r="CK328" s="2" t="n">
        <v>94.69</v>
      </c>
      <c r="CL328" s="2" t="n">
        <v>95.65</v>
      </c>
      <c r="CM328" s="2" t="n">
        <v>100</v>
      </c>
      <c r="CN328" s="2" t="n">
        <v>94.69</v>
      </c>
      <c r="CO328" s="2" t="n">
        <v>95.65</v>
      </c>
      <c r="CP328" s="2" t="n">
        <v>100</v>
      </c>
      <c r="CQ328" s="2" t="n">
        <v>94.69</v>
      </c>
      <c r="CR328" s="2" t="n">
        <v>95.65</v>
      </c>
      <c r="CS328" s="2" t="n">
        <v>100</v>
      </c>
      <c r="CT328" s="2" t="n">
        <v>94.69</v>
      </c>
      <c r="CU328" s="2" t="n">
        <v>95.65</v>
      </c>
      <c r="CV328" s="2" t="n">
        <v>100</v>
      </c>
      <c r="CW328" s="2" t="n">
        <v>94.69</v>
      </c>
      <c r="CX328" s="2" t="n">
        <v>95.65</v>
      </c>
      <c r="CY328" s="2" t="n">
        <v>100</v>
      </c>
      <c r="CZ328" s="2" t="n">
        <v>94.69</v>
      </c>
      <c r="DA328" s="2" t="n">
        <v>95.65</v>
      </c>
      <c r="DB328" s="2" t="n">
        <v>100</v>
      </c>
      <c r="DC328" s="2" t="n">
        <v>94.69</v>
      </c>
      <c r="DD328" s="2" t="n">
        <v>95.65</v>
      </c>
      <c r="DE328" s="2" t="n">
        <v>100</v>
      </c>
      <c r="DF328" s="2" t="n">
        <v>94.69</v>
      </c>
      <c r="DG328" s="2" t="n">
        <v>95.65</v>
      </c>
      <c r="DH328" s="2" t="n">
        <v>100</v>
      </c>
      <c r="DI328" s="2" t="n">
        <v>94.69</v>
      </c>
      <c r="DJ328" s="2" t="n">
        <v>95.65</v>
      </c>
      <c r="DK328" s="2" t="n">
        <v>100</v>
      </c>
      <c r="DL328" s="2" t="n">
        <v>94.69</v>
      </c>
      <c r="DM328" s="2" t="n">
        <v>95.65</v>
      </c>
      <c r="DN328" s="2" t="n">
        <v>100</v>
      </c>
      <c r="DO328" s="2" t="n">
        <v>94.69</v>
      </c>
      <c r="DP328" s="2" t="n">
        <v>95.65</v>
      </c>
      <c r="DQ328" s="2" t="n">
        <v>100</v>
      </c>
      <c r="DR328" s="2" t="n">
        <v>94.69</v>
      </c>
      <c r="DS328" s="2" t="n">
        <v>95.65</v>
      </c>
      <c r="DT328" s="2" t="n">
        <v>100</v>
      </c>
      <c r="DU328" s="2" t="n">
        <v>94.69</v>
      </c>
      <c r="DV328" s="2" t="n">
        <v>95.65</v>
      </c>
      <c r="DW328" s="2" t="n">
        <v>100</v>
      </c>
      <c r="DX328" s="2" t="n">
        <v>94.69</v>
      </c>
      <c r="DY328" s="2" t="n">
        <v>95.65</v>
      </c>
      <c r="DZ328" s="2" t="n">
        <v>100</v>
      </c>
      <c r="EA328" s="2" t="n">
        <v>94.69</v>
      </c>
      <c r="EB328" s="2" t="n">
        <v>95.65</v>
      </c>
      <c r="EC328" s="2" t="n">
        <v>100</v>
      </c>
      <c r="ED328" s="2" t="n">
        <v>94.69</v>
      </c>
      <c r="EE328" s="2" t="n">
        <v>95.65</v>
      </c>
      <c r="EF328" s="2" t="n">
        <v>100</v>
      </c>
      <c r="EG328" s="2" t="n">
        <v>94.69</v>
      </c>
      <c r="EH328" s="2" t="n">
        <v>95.65</v>
      </c>
      <c r="EI328" s="2" t="n">
        <v>100</v>
      </c>
      <c r="EJ328" s="2" t="n">
        <v>94.69</v>
      </c>
      <c r="EK328" s="2" t="n">
        <v>95.65</v>
      </c>
      <c r="EL328" s="2" t="n">
        <v>100</v>
      </c>
      <c r="EM328" s="2" t="n">
        <v>94.69</v>
      </c>
      <c r="EN328" s="2" t="n">
        <v>95.65</v>
      </c>
      <c r="EO328" s="2" t="n">
        <v>100</v>
      </c>
      <c r="EP328" s="2" t="n">
        <v>94.69</v>
      </c>
      <c r="EQ328" s="2" t="n">
        <v>95.65</v>
      </c>
      <c r="ER328" s="2" t="n">
        <v>100</v>
      </c>
      <c r="ES328" s="2" t="n">
        <v>94.69</v>
      </c>
    </row>
    <row r="329" customFormat="false" ht="15" hidden="false" customHeight="false" outlineLevel="0" collapsed="false">
      <c r="A329" s="2" t="n">
        <v>3</v>
      </c>
      <c r="B329" s="2" t="s">
        <v>1064</v>
      </c>
      <c r="C329" s="2" t="s">
        <v>1065</v>
      </c>
      <c r="D329" s="2" t="s">
        <v>1042</v>
      </c>
      <c r="E329" s="2" t="s">
        <v>964</v>
      </c>
      <c r="F329" s="2" t="n">
        <v>50620.7294218027</v>
      </c>
      <c r="G329" s="2" t="n">
        <v>0</v>
      </c>
      <c r="H329" s="2" t="n">
        <v>50620.7294218027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89.6</v>
      </c>
      <c r="AW329" s="2" t="n">
        <v>89.82</v>
      </c>
      <c r="AX329" s="2" t="n">
        <v>94.69</v>
      </c>
      <c r="AY329" s="2" t="n">
        <v>95.65</v>
      </c>
      <c r="AZ329" s="2" t="n">
        <v>95.65</v>
      </c>
      <c r="BA329" s="2" t="n">
        <v>94.69</v>
      </c>
      <c r="BB329" s="2" t="n">
        <v>95.65</v>
      </c>
      <c r="BC329" s="2" t="n">
        <v>95.65</v>
      </c>
      <c r="BD329" s="2" t="n">
        <v>94.69</v>
      </c>
      <c r="BE329" s="2" t="n">
        <v>95.65</v>
      </c>
      <c r="BF329" s="2" t="n">
        <v>95.65</v>
      </c>
      <c r="BG329" s="2" t="n">
        <v>94.69</v>
      </c>
      <c r="BH329" s="2" t="n">
        <v>95.65</v>
      </c>
      <c r="BI329" s="2" t="n">
        <v>95.65</v>
      </c>
      <c r="BJ329" s="2" t="n">
        <v>94.69</v>
      </c>
      <c r="BK329" s="2" t="n">
        <v>95.65</v>
      </c>
      <c r="BL329" s="2" t="n">
        <v>95.65</v>
      </c>
      <c r="BM329" s="2" t="n">
        <v>94.69</v>
      </c>
      <c r="BN329" s="2" t="n">
        <v>95.65</v>
      </c>
      <c r="BO329" s="2" t="n">
        <v>95.65</v>
      </c>
      <c r="BP329" s="2" t="n">
        <v>94.69</v>
      </c>
      <c r="BQ329" s="2" t="n">
        <v>95.65</v>
      </c>
      <c r="BR329" s="2" t="n">
        <v>95.65</v>
      </c>
      <c r="BS329" s="2" t="n">
        <v>94.69</v>
      </c>
      <c r="BT329" s="2" t="n">
        <v>95.65</v>
      </c>
      <c r="BU329" s="2" t="n">
        <v>96.96</v>
      </c>
      <c r="BV329" s="2" t="n">
        <v>94.69</v>
      </c>
      <c r="BW329" s="2" t="n">
        <v>95.65</v>
      </c>
      <c r="BX329" s="2" t="n">
        <v>100</v>
      </c>
      <c r="BY329" s="2" t="n">
        <v>94.69</v>
      </c>
      <c r="BZ329" s="2" t="n">
        <v>95.65</v>
      </c>
      <c r="CA329" s="2" t="n">
        <v>100</v>
      </c>
      <c r="CB329" s="2" t="n">
        <v>94.69</v>
      </c>
      <c r="CC329" s="2" t="n">
        <v>95.65</v>
      </c>
      <c r="CD329" s="2" t="n">
        <v>100</v>
      </c>
      <c r="CE329" s="2" t="n">
        <v>94.69</v>
      </c>
      <c r="CF329" s="2" t="n">
        <v>95.65</v>
      </c>
      <c r="CG329" s="2" t="n">
        <v>100</v>
      </c>
      <c r="CH329" s="2" t="n">
        <v>94.69</v>
      </c>
      <c r="CI329" s="2" t="n">
        <v>95.65</v>
      </c>
      <c r="CJ329" s="2" t="n">
        <v>100</v>
      </c>
      <c r="CK329" s="2" t="n">
        <v>94.69</v>
      </c>
      <c r="CL329" s="2" t="n">
        <v>95.65</v>
      </c>
      <c r="CM329" s="2" t="n">
        <v>100</v>
      </c>
      <c r="CN329" s="2" t="n">
        <v>94.69</v>
      </c>
      <c r="CO329" s="2" t="n">
        <v>95.65</v>
      </c>
      <c r="CP329" s="2" t="n">
        <v>100</v>
      </c>
      <c r="CQ329" s="2" t="n">
        <v>94.69</v>
      </c>
      <c r="CR329" s="2" t="n">
        <v>95.65</v>
      </c>
      <c r="CS329" s="2" t="n">
        <v>100</v>
      </c>
      <c r="CT329" s="2" t="n">
        <v>94.69</v>
      </c>
      <c r="CU329" s="2" t="n">
        <v>95.65</v>
      </c>
      <c r="CV329" s="2" t="n">
        <v>100</v>
      </c>
      <c r="CW329" s="2" t="n">
        <v>94.69</v>
      </c>
      <c r="CX329" s="2" t="n">
        <v>95.65</v>
      </c>
      <c r="CY329" s="2" t="n">
        <v>100</v>
      </c>
      <c r="CZ329" s="2" t="n">
        <v>94.69</v>
      </c>
      <c r="DA329" s="2" t="n">
        <v>95.65</v>
      </c>
      <c r="DB329" s="2" t="n">
        <v>100</v>
      </c>
      <c r="DC329" s="2" t="n">
        <v>94.69</v>
      </c>
      <c r="DD329" s="2" t="n">
        <v>95.65</v>
      </c>
      <c r="DE329" s="2" t="n">
        <v>100</v>
      </c>
      <c r="DF329" s="2" t="n">
        <v>94.69</v>
      </c>
      <c r="DG329" s="2" t="n">
        <v>95.65</v>
      </c>
      <c r="DH329" s="2" t="n">
        <v>100</v>
      </c>
      <c r="DI329" s="2" t="n">
        <v>94.69</v>
      </c>
      <c r="DJ329" s="2" t="n">
        <v>95.65</v>
      </c>
      <c r="DK329" s="2" t="n">
        <v>100</v>
      </c>
      <c r="DL329" s="2" t="n">
        <v>94.69</v>
      </c>
      <c r="DM329" s="2" t="n">
        <v>95.65</v>
      </c>
      <c r="DN329" s="2" t="n">
        <v>100</v>
      </c>
      <c r="DO329" s="2" t="n">
        <v>94.69</v>
      </c>
      <c r="DP329" s="2" t="n">
        <v>95.65</v>
      </c>
      <c r="DQ329" s="2" t="n">
        <v>100</v>
      </c>
      <c r="DR329" s="2" t="n">
        <v>94.69</v>
      </c>
      <c r="DS329" s="2" t="n">
        <v>95.65</v>
      </c>
      <c r="DT329" s="2" t="n">
        <v>100</v>
      </c>
      <c r="DU329" s="2" t="n">
        <v>94.69</v>
      </c>
      <c r="DV329" s="2" t="n">
        <v>95.65</v>
      </c>
      <c r="DW329" s="2" t="n">
        <v>100</v>
      </c>
      <c r="DX329" s="2" t="n">
        <v>94.69</v>
      </c>
      <c r="DY329" s="2" t="n">
        <v>95.65</v>
      </c>
      <c r="DZ329" s="2" t="n">
        <v>100</v>
      </c>
      <c r="EA329" s="2" t="n">
        <v>94.69</v>
      </c>
      <c r="EB329" s="2" t="n">
        <v>95.65</v>
      </c>
      <c r="EC329" s="2" t="n">
        <v>100</v>
      </c>
      <c r="ED329" s="2" t="n">
        <v>94.69</v>
      </c>
      <c r="EE329" s="2" t="n">
        <v>95.65</v>
      </c>
      <c r="EF329" s="2" t="n">
        <v>100</v>
      </c>
      <c r="EG329" s="2" t="n">
        <v>94.69</v>
      </c>
      <c r="EH329" s="2" t="n">
        <v>95.65</v>
      </c>
      <c r="EI329" s="2" t="n">
        <v>100</v>
      </c>
      <c r="EJ329" s="2" t="n">
        <v>94.69</v>
      </c>
      <c r="EK329" s="2" t="n">
        <v>95.65</v>
      </c>
      <c r="EL329" s="2" t="n">
        <v>100</v>
      </c>
      <c r="EM329" s="2" t="n">
        <v>94.69</v>
      </c>
      <c r="EN329" s="2" t="n">
        <v>95.65</v>
      </c>
      <c r="EO329" s="2" t="n">
        <v>100</v>
      </c>
      <c r="EP329" s="2" t="n">
        <v>94.69</v>
      </c>
      <c r="EQ329" s="2" t="n">
        <v>95.65</v>
      </c>
      <c r="ER329" s="2" t="n">
        <v>100</v>
      </c>
      <c r="ES329" s="2" t="n">
        <v>94.69</v>
      </c>
    </row>
    <row r="330" customFormat="false" ht="15" hidden="false" customHeight="false" outlineLevel="0" collapsed="false">
      <c r="A330" s="2" t="n">
        <v>2</v>
      </c>
      <c r="B330" s="2" t="s">
        <v>1066</v>
      </c>
      <c r="C330" s="2" t="s">
        <v>1067</v>
      </c>
      <c r="D330" s="2" t="s">
        <v>1068</v>
      </c>
      <c r="E330" s="2" t="s">
        <v>1069</v>
      </c>
      <c r="F330" s="2" t="n">
        <v>522708.580035311</v>
      </c>
      <c r="G330" s="2" t="n">
        <v>0</v>
      </c>
      <c r="H330" s="2" t="n">
        <v>522708.580035311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 customFormat="false" ht="15" hidden="false" customHeight="false" outlineLevel="0" collapsed="false">
      <c r="A331" s="2" t="n">
        <v>3</v>
      </c>
      <c r="B331" s="2" t="s">
        <v>1070</v>
      </c>
      <c r="C331" s="2" t="s">
        <v>1049</v>
      </c>
      <c r="D331" s="2" t="s">
        <v>1068</v>
      </c>
      <c r="E331" s="2" t="s">
        <v>1069</v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 customFormat="false" ht="15" hidden="false" customHeight="false" outlineLevel="0" collapsed="false">
      <c r="A332" s="2" t="n">
        <v>3</v>
      </c>
      <c r="B332" s="2" t="s">
        <v>1071</v>
      </c>
      <c r="C332" s="2" t="s">
        <v>1072</v>
      </c>
      <c r="D332" s="2" t="s">
        <v>1068</v>
      </c>
      <c r="E332" s="2" t="s">
        <v>1069</v>
      </c>
      <c r="F332" s="2" t="n">
        <v>187023.013206407</v>
      </c>
      <c r="G332" s="2" t="n">
        <v>0</v>
      </c>
      <c r="H332" s="2" t="n">
        <v>187023.013206407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 customFormat="false" ht="15" hidden="false" customHeight="false" outlineLevel="0" collapsed="false">
      <c r="A333" s="2" t="n">
        <v>3</v>
      </c>
      <c r="B333" s="2" t="s">
        <v>1073</v>
      </c>
      <c r="C333" s="2" t="s">
        <v>1074</v>
      </c>
      <c r="D333" s="2" t="s">
        <v>1068</v>
      </c>
      <c r="E333" s="2" t="s">
        <v>1069</v>
      </c>
      <c r="F333" s="2" t="n">
        <v>80928.5329794961</v>
      </c>
      <c r="G333" s="2" t="n">
        <v>0</v>
      </c>
      <c r="H333" s="2" t="n">
        <v>80928.5329794961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 customFormat="false" ht="15" hidden="false" customHeight="false" outlineLevel="0" collapsed="false">
      <c r="A334" s="2" t="n">
        <v>3</v>
      </c>
      <c r="B334" s="2" t="s">
        <v>1075</v>
      </c>
      <c r="C334" s="2" t="s">
        <v>1076</v>
      </c>
      <c r="D334" s="2" t="s">
        <v>1068</v>
      </c>
      <c r="E334" s="2" t="s">
        <v>1069</v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 customFormat="false" ht="15" hidden="false" customHeight="false" outlineLevel="0" collapsed="false">
      <c r="A335" s="2" t="n">
        <v>3</v>
      </c>
      <c r="B335" s="2" t="s">
        <v>1077</v>
      </c>
      <c r="C335" s="2" t="s">
        <v>1078</v>
      </c>
      <c r="D335" s="2" t="s">
        <v>1068</v>
      </c>
      <c r="E335" s="2" t="s">
        <v>1069</v>
      </c>
      <c r="F335" s="2" t="n">
        <v>190527.046379526</v>
      </c>
      <c r="G335" s="2" t="n">
        <v>0</v>
      </c>
      <c r="H335" s="2" t="n">
        <v>190527.046379526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 customFormat="false" ht="15" hidden="false" customHeight="false" outlineLevel="0" collapsed="false">
      <c r="A336" s="2" t="n">
        <v>3</v>
      </c>
      <c r="B336" s="2" t="s">
        <v>1079</v>
      </c>
      <c r="C336" s="2" t="s">
        <v>1080</v>
      </c>
      <c r="D336" s="2" t="s">
        <v>1068</v>
      </c>
      <c r="E336" s="2" t="s">
        <v>1069</v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 customFormat="false" ht="15" hidden="false" customHeight="false" outlineLevel="0" collapsed="false">
      <c r="A337" s="2" t="n">
        <v>2</v>
      </c>
      <c r="B337" s="2" t="s">
        <v>1081</v>
      </c>
      <c r="C337" s="2" t="s">
        <v>1082</v>
      </c>
      <c r="D337" s="2" t="s">
        <v>1083</v>
      </c>
      <c r="E337" s="2" t="s">
        <v>1043</v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84.85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 customFormat="false" ht="15" hidden="false" customHeight="false" outlineLevel="0" collapsed="false">
      <c r="A338" s="2" t="n">
        <v>3</v>
      </c>
      <c r="B338" s="2" t="s">
        <v>1084</v>
      </c>
      <c r="C338" s="2" t="s">
        <v>1085</v>
      </c>
      <c r="D338" s="2" t="s">
        <v>1083</v>
      </c>
      <c r="E338" s="2" t="s">
        <v>1043</v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84.85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 customFormat="false" ht="15" hidden="false" customHeight="false" outlineLevel="0" collapsed="false">
      <c r="A339" s="2" t="n">
        <v>1</v>
      </c>
      <c r="B339" s="2" t="s">
        <v>165</v>
      </c>
      <c r="C339" s="2" t="s">
        <v>76</v>
      </c>
      <c r="D339" s="2" t="s">
        <v>1086</v>
      </c>
      <c r="E339" s="2" t="s">
        <v>1087</v>
      </c>
      <c r="F339" s="2" t="n">
        <v>25651081.5926883</v>
      </c>
      <c r="G339" s="2" t="n">
        <v>0</v>
      </c>
      <c r="H339" s="2" t="n">
        <v>25651081.5926883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 customFormat="false" ht="15" hidden="false" customHeight="false" outlineLevel="0" collapsed="false">
      <c r="A340" s="2" t="n">
        <v>2</v>
      </c>
      <c r="B340" s="2" t="s">
        <v>1088</v>
      </c>
      <c r="C340" s="2" t="s">
        <v>1089</v>
      </c>
      <c r="D340" s="2" t="s">
        <v>1086</v>
      </c>
      <c r="E340" s="2" t="s">
        <v>1087</v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 customFormat="false" ht="15" hidden="false" customHeight="false" outlineLevel="0" collapsed="false">
      <c r="A341" s="2" t="n">
        <v>3</v>
      </c>
      <c r="B341" s="2" t="s">
        <v>1090</v>
      </c>
      <c r="C341" s="2" t="s">
        <v>1091</v>
      </c>
      <c r="D341" s="2" t="s">
        <v>1086</v>
      </c>
      <c r="E341" s="2" t="s">
        <v>1087</v>
      </c>
      <c r="F341" s="2" t="n">
        <v>5558925.91507501</v>
      </c>
      <c r="G341" s="2" t="n">
        <v>0</v>
      </c>
      <c r="H341" s="2" t="n">
        <v>5558925.91507501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 customFormat="false" ht="15" hidden="false" customHeight="false" outlineLevel="0" collapsed="false">
      <c r="A342" s="2" t="n">
        <v>3</v>
      </c>
      <c r="B342" s="2" t="s">
        <v>1092</v>
      </c>
      <c r="C342" s="2" t="s">
        <v>1093</v>
      </c>
      <c r="D342" s="2" t="s">
        <v>1086</v>
      </c>
      <c r="E342" s="2" t="s">
        <v>1087</v>
      </c>
      <c r="F342" s="2" t="n">
        <v>740242.3644</v>
      </c>
      <c r="G342" s="2" t="n">
        <v>0</v>
      </c>
      <c r="H342" s="2" t="n">
        <v>740242.3644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 customFormat="false" ht="15" hidden="false" customHeight="false" outlineLevel="0" collapsed="false">
      <c r="A343" s="2" t="n">
        <v>3</v>
      </c>
      <c r="B343" s="2" t="s">
        <v>1094</v>
      </c>
      <c r="C343" s="2" t="s">
        <v>1095</v>
      </c>
      <c r="D343" s="2" t="s">
        <v>1086</v>
      </c>
      <c r="E343" s="2" t="s">
        <v>1087</v>
      </c>
      <c r="F343" s="2" t="n">
        <v>769248.393</v>
      </c>
      <c r="G343" s="2" t="n">
        <v>0</v>
      </c>
      <c r="H343" s="2" t="n">
        <v>769248.393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 customFormat="false" ht="15" hidden="false" customHeight="false" outlineLevel="0" collapsed="false">
      <c r="A344" s="2" t="n">
        <v>3</v>
      </c>
      <c r="B344" s="2" t="s">
        <v>1096</v>
      </c>
      <c r="C344" s="2" t="s">
        <v>1097</v>
      </c>
      <c r="D344" s="2" t="s">
        <v>1086</v>
      </c>
      <c r="E344" s="2" t="s">
        <v>1087</v>
      </c>
      <c r="F344" s="2" t="n">
        <v>714869.7559</v>
      </c>
      <c r="G344" s="2" t="n">
        <v>0</v>
      </c>
      <c r="H344" s="2" t="n">
        <v>714869.7559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 customFormat="false" ht="15" hidden="false" customHeight="false" outlineLevel="0" collapsed="false">
      <c r="A345" s="2" t="n">
        <v>3</v>
      </c>
      <c r="B345" s="2" t="s">
        <v>1098</v>
      </c>
      <c r="C345" s="2" t="s">
        <v>1099</v>
      </c>
      <c r="D345" s="2" t="s">
        <v>1086</v>
      </c>
      <c r="E345" s="2" t="s">
        <v>1087</v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 customFormat="false" ht="15" hidden="false" customHeight="false" outlineLevel="0" collapsed="false">
      <c r="A346" s="2" t="n">
        <v>3</v>
      </c>
      <c r="B346" s="2" t="s">
        <v>1100</v>
      </c>
      <c r="C346" s="2" t="s">
        <v>1054</v>
      </c>
      <c r="D346" s="2" t="s">
        <v>1086</v>
      </c>
      <c r="E346" s="2" t="s">
        <v>1087</v>
      </c>
      <c r="F346" s="2" t="n">
        <v>490823.373094225</v>
      </c>
      <c r="G346" s="2" t="n">
        <v>0</v>
      </c>
      <c r="H346" s="2" t="n">
        <v>490823.373094225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 customFormat="false" ht="15" hidden="false" customHeight="false" outlineLevel="0" collapsed="false">
      <c r="A347" s="2" t="n">
        <v>3</v>
      </c>
      <c r="B347" s="2" t="s">
        <v>1101</v>
      </c>
      <c r="C347" s="2" t="s">
        <v>1102</v>
      </c>
      <c r="D347" s="2" t="s">
        <v>1086</v>
      </c>
      <c r="E347" s="2" t="s">
        <v>1087</v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 customFormat="false" ht="15" hidden="false" customHeight="false" outlineLevel="0" collapsed="false">
      <c r="A348" s="2" t="n">
        <v>3</v>
      </c>
      <c r="B348" s="2" t="s">
        <v>1103</v>
      </c>
      <c r="C348" s="2" t="s">
        <v>1104</v>
      </c>
      <c r="D348" s="2" t="s">
        <v>1086</v>
      </c>
      <c r="E348" s="2" t="s">
        <v>1087</v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 customFormat="false" ht="15" hidden="false" customHeight="false" outlineLevel="0" collapsed="false">
      <c r="A349" s="2" t="n">
        <v>3</v>
      </c>
      <c r="B349" s="2" t="s">
        <v>1105</v>
      </c>
      <c r="C349" s="2" t="s">
        <v>1058</v>
      </c>
      <c r="D349" s="2" t="s">
        <v>1086</v>
      </c>
      <c r="E349" s="2" t="s">
        <v>1087</v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 customFormat="false" ht="15" hidden="false" customHeight="false" outlineLevel="0" collapsed="false">
      <c r="A350" s="2" t="n">
        <v>3</v>
      </c>
      <c r="B350" s="2" t="s">
        <v>1106</v>
      </c>
      <c r="C350" s="2" t="s">
        <v>1107</v>
      </c>
      <c r="D350" s="2" t="s">
        <v>1086</v>
      </c>
      <c r="E350" s="2" t="s">
        <v>1087</v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 customFormat="false" ht="15" hidden="false" customHeight="false" outlineLevel="0" collapsed="false">
      <c r="A351" s="2" t="n">
        <v>3</v>
      </c>
      <c r="B351" s="2" t="s">
        <v>1108</v>
      </c>
      <c r="C351" s="2" t="s">
        <v>1109</v>
      </c>
      <c r="D351" s="2" t="s">
        <v>1086</v>
      </c>
      <c r="E351" s="2" t="s">
        <v>1087</v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 customFormat="false" ht="15" hidden="false" customHeight="false" outlineLevel="0" collapsed="false">
      <c r="A352" s="2" t="n">
        <v>3</v>
      </c>
      <c r="B352" s="2" t="s">
        <v>1110</v>
      </c>
      <c r="C352" s="2" t="s">
        <v>1080</v>
      </c>
      <c r="D352" s="2" t="s">
        <v>1086</v>
      </c>
      <c r="E352" s="2" t="s">
        <v>1087</v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 customFormat="false" ht="15" hidden="false" customHeight="false" outlineLevel="0" collapsed="false">
      <c r="A353" s="2" t="n">
        <v>2</v>
      </c>
      <c r="B353" s="2" t="s">
        <v>1111</v>
      </c>
      <c r="C353" s="2" t="s">
        <v>1112</v>
      </c>
      <c r="D353" s="2" t="s">
        <v>1086</v>
      </c>
      <c r="E353" s="2" t="s">
        <v>1087</v>
      </c>
      <c r="F353" s="2" t="n">
        <v>129564.799540407</v>
      </c>
      <c r="G353" s="2" t="n">
        <v>0</v>
      </c>
      <c r="H353" s="2" t="n">
        <v>129564.799540407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 customFormat="false" ht="15" hidden="false" customHeight="false" outlineLevel="0" collapsed="false">
      <c r="A354" s="2" t="n">
        <v>3</v>
      </c>
      <c r="B354" s="2" t="s">
        <v>1113</v>
      </c>
      <c r="C354" s="2" t="s">
        <v>1114</v>
      </c>
      <c r="D354" s="2" t="s">
        <v>1086</v>
      </c>
      <c r="E354" s="2" t="s">
        <v>1087</v>
      </c>
      <c r="F354" s="2" t="n">
        <v>11848.1800602965</v>
      </c>
      <c r="G354" s="2" t="n">
        <v>0</v>
      </c>
      <c r="H354" s="2" t="n">
        <v>11848.1800602965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 customFormat="false" ht="15" hidden="false" customHeight="false" outlineLevel="0" collapsed="false">
      <c r="A355" s="2" t="n">
        <v>3</v>
      </c>
      <c r="B355" s="2" t="s">
        <v>1115</v>
      </c>
      <c r="C355" s="2" t="s">
        <v>1116</v>
      </c>
      <c r="D355" s="2" t="s">
        <v>1086</v>
      </c>
      <c r="E355" s="2" t="s">
        <v>1087</v>
      </c>
      <c r="F355" s="2" t="n">
        <v>67716.6194801106</v>
      </c>
      <c r="G355" s="2" t="n">
        <v>0</v>
      </c>
      <c r="H355" s="2" t="n">
        <v>67716.6194801106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 customFormat="false" ht="15" hidden="false" customHeight="false" outlineLevel="0" collapsed="false">
      <c r="A356" s="2" t="n">
        <v>3</v>
      </c>
      <c r="B356" s="2" t="s">
        <v>1117</v>
      </c>
      <c r="C356" s="2" t="s">
        <v>1118</v>
      </c>
      <c r="D356" s="2" t="s">
        <v>1086</v>
      </c>
      <c r="E356" s="2" t="s">
        <v>1087</v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 customFormat="false" ht="15" hidden="false" customHeight="false" outlineLevel="0" collapsed="false">
      <c r="A357" s="2" t="n">
        <v>1</v>
      </c>
      <c r="B357" s="2" t="s">
        <v>167</v>
      </c>
      <c r="C357" s="2" t="s">
        <v>168</v>
      </c>
      <c r="D357" s="2" t="s">
        <v>1119</v>
      </c>
      <c r="E357" s="2" t="s">
        <v>1120</v>
      </c>
      <c r="F357" s="2" t="n">
        <v>5927475.66727174</v>
      </c>
      <c r="G357" s="2" t="n">
        <v>0</v>
      </c>
      <c r="H357" s="2" t="n">
        <v>5927475.66727174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</v>
      </c>
      <c r="DL357" s="2" t="n">
        <v>0</v>
      </c>
      <c r="DM357" s="2" t="n">
        <v>97.96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 customFormat="false" ht="15" hidden="false" customHeight="false" outlineLevel="0" collapsed="false">
      <c r="A358" s="2" t="n">
        <v>2</v>
      </c>
      <c r="B358" s="2" t="s">
        <v>1121</v>
      </c>
      <c r="C358" s="2" t="s">
        <v>1122</v>
      </c>
      <c r="D358" s="2" t="s">
        <v>1119</v>
      </c>
      <c r="E358" s="2" t="s">
        <v>1123</v>
      </c>
      <c r="F358" s="2" t="n">
        <v>1638445.20014406</v>
      </c>
      <c r="G358" s="2" t="n">
        <v>0</v>
      </c>
      <c r="H358" s="2" t="n">
        <v>1638445.20014406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</v>
      </c>
      <c r="CN358" s="2" t="n">
        <v>0</v>
      </c>
      <c r="CO358" s="2" t="n">
        <v>69.9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 customFormat="false" ht="15" hidden="false" customHeight="false" outlineLevel="0" collapsed="false">
      <c r="A359" s="2" t="n">
        <v>3</v>
      </c>
      <c r="B359" s="2" t="s">
        <v>1124</v>
      </c>
      <c r="C359" s="2" t="s">
        <v>1125</v>
      </c>
      <c r="D359" s="2" t="s">
        <v>1119</v>
      </c>
      <c r="E359" s="2" t="s">
        <v>1123</v>
      </c>
      <c r="F359" s="2" t="n">
        <v>77189.4629407766</v>
      </c>
      <c r="G359" s="2" t="n">
        <v>0</v>
      </c>
      <c r="H359" s="2" t="n">
        <v>77189.4629407766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</v>
      </c>
      <c r="CN359" s="2" t="n">
        <v>0</v>
      </c>
      <c r="CO359" s="2" t="n">
        <v>69.9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 customFormat="false" ht="15" hidden="false" customHeight="false" outlineLevel="0" collapsed="false">
      <c r="A360" s="2" t="n">
        <v>4</v>
      </c>
      <c r="B360" s="2" t="s">
        <v>1126</v>
      </c>
      <c r="C360" s="2" t="s">
        <v>966</v>
      </c>
      <c r="D360" s="2" t="s">
        <v>1119</v>
      </c>
      <c r="E360" s="2" t="s">
        <v>1123</v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</v>
      </c>
      <c r="CN360" s="2" t="n">
        <v>0</v>
      </c>
      <c r="CO360" s="2" t="n">
        <v>69.9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 customFormat="false" ht="15" hidden="false" customHeight="false" outlineLevel="0" collapsed="false">
      <c r="A361" s="2" t="n">
        <v>4</v>
      </c>
      <c r="B361" s="2" t="s">
        <v>1127</v>
      </c>
      <c r="C361" s="2" t="s">
        <v>968</v>
      </c>
      <c r="D361" s="2" t="s">
        <v>1119</v>
      </c>
      <c r="E361" s="2" t="s">
        <v>1123</v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</v>
      </c>
      <c r="CN361" s="2" t="n">
        <v>0</v>
      </c>
      <c r="CO361" s="2" t="n">
        <v>69.9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 customFormat="false" ht="15" hidden="false" customHeight="false" outlineLevel="0" collapsed="false">
      <c r="A362" s="2" t="n">
        <v>4</v>
      </c>
      <c r="B362" s="2" t="s">
        <v>1128</v>
      </c>
      <c r="C362" s="2" t="s">
        <v>970</v>
      </c>
      <c r="D362" s="2" t="s">
        <v>1119</v>
      </c>
      <c r="E362" s="2" t="s">
        <v>1123</v>
      </c>
      <c r="F362" s="2" t="n">
        <v>1525.32124175356</v>
      </c>
      <c r="G362" s="2" t="n">
        <v>0</v>
      </c>
      <c r="H362" s="2" t="n">
        <v>1525.32124175356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</v>
      </c>
      <c r="CN362" s="2" t="n">
        <v>0</v>
      </c>
      <c r="CO362" s="2" t="n">
        <v>69.9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 customFormat="false" ht="15" hidden="false" customHeight="false" outlineLevel="0" collapsed="false">
      <c r="A363" s="2" t="n">
        <v>4</v>
      </c>
      <c r="B363" s="2" t="s">
        <v>1129</v>
      </c>
      <c r="C363" s="2" t="s">
        <v>1130</v>
      </c>
      <c r="D363" s="2" t="s">
        <v>1119</v>
      </c>
      <c r="E363" s="2" t="s">
        <v>1123</v>
      </c>
      <c r="F363" s="2" t="n">
        <v>2912.25918143581</v>
      </c>
      <c r="G363" s="2" t="n">
        <v>0</v>
      </c>
      <c r="H363" s="2" t="n">
        <v>2912.25918143581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</v>
      </c>
      <c r="CN363" s="2" t="n">
        <v>0</v>
      </c>
      <c r="CO363" s="2" t="n">
        <v>69.9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 customFormat="false" ht="15" hidden="false" customHeight="false" outlineLevel="0" collapsed="false">
      <c r="A364" s="2" t="n">
        <v>3</v>
      </c>
      <c r="B364" s="2" t="s">
        <v>1131</v>
      </c>
      <c r="C364" s="2" t="s">
        <v>1132</v>
      </c>
      <c r="D364" s="2" t="s">
        <v>1119</v>
      </c>
      <c r="E364" s="2" t="s">
        <v>1123</v>
      </c>
      <c r="F364" s="2" t="n">
        <v>234128.64439667</v>
      </c>
      <c r="G364" s="2" t="n">
        <v>0</v>
      </c>
      <c r="H364" s="2" t="n">
        <v>234128.64439667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</v>
      </c>
      <c r="CN364" s="2" t="n">
        <v>0</v>
      </c>
      <c r="CO364" s="2" t="n">
        <v>69.9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 customFormat="false" ht="15" hidden="false" customHeight="false" outlineLevel="0" collapsed="false">
      <c r="A365" s="2" t="n">
        <v>4</v>
      </c>
      <c r="B365" s="2" t="s">
        <v>1133</v>
      </c>
      <c r="C365" s="2" t="s">
        <v>1134</v>
      </c>
      <c r="D365" s="2" t="s">
        <v>1119</v>
      </c>
      <c r="E365" s="2" t="s">
        <v>1123</v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</v>
      </c>
      <c r="CN365" s="2" t="n">
        <v>0</v>
      </c>
      <c r="CO365" s="2" t="n">
        <v>69.9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 customFormat="false" ht="15" hidden="false" customHeight="false" outlineLevel="0" collapsed="false">
      <c r="A366" s="2" t="n">
        <v>4</v>
      </c>
      <c r="B366" s="2" t="s">
        <v>1135</v>
      </c>
      <c r="C366" s="2" t="s">
        <v>1136</v>
      </c>
      <c r="D366" s="2" t="s">
        <v>1119</v>
      </c>
      <c r="E366" s="2" t="s">
        <v>1123</v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</v>
      </c>
      <c r="CN366" s="2" t="n">
        <v>0</v>
      </c>
      <c r="CO366" s="2" t="n">
        <v>69.9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 customFormat="false" ht="15" hidden="false" customHeight="false" outlineLevel="0" collapsed="false">
      <c r="A367" s="2" t="n">
        <v>4</v>
      </c>
      <c r="B367" s="2" t="s">
        <v>1137</v>
      </c>
      <c r="C367" s="2" t="s">
        <v>970</v>
      </c>
      <c r="D367" s="2" t="s">
        <v>1119</v>
      </c>
      <c r="E367" s="2" t="s">
        <v>1123</v>
      </c>
      <c r="F367" s="2" t="n">
        <v>6431.0841544204</v>
      </c>
      <c r="G367" s="2" t="n">
        <v>0</v>
      </c>
      <c r="H367" s="2" t="n">
        <v>6431.0841544204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</v>
      </c>
      <c r="CN367" s="2" t="n">
        <v>0</v>
      </c>
      <c r="CO367" s="2" t="n">
        <v>69.9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 customFormat="false" ht="15" hidden="false" customHeight="false" outlineLevel="0" collapsed="false">
      <c r="A368" s="2" t="n">
        <v>4</v>
      </c>
      <c r="B368" s="2" t="s">
        <v>1138</v>
      </c>
      <c r="C368" s="2" t="s">
        <v>1130</v>
      </c>
      <c r="D368" s="2" t="s">
        <v>1119</v>
      </c>
      <c r="E368" s="2" t="s">
        <v>1123</v>
      </c>
      <c r="F368" s="2" t="n">
        <v>7468.81466572143</v>
      </c>
      <c r="G368" s="2" t="n">
        <v>0</v>
      </c>
      <c r="H368" s="2" t="n">
        <v>7468.81466572143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</v>
      </c>
      <c r="CN368" s="2" t="n">
        <v>0</v>
      </c>
      <c r="CO368" s="2" t="n">
        <v>69.9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 customFormat="false" ht="15" hidden="false" customHeight="false" outlineLevel="0" collapsed="false">
      <c r="A369" s="2" t="n">
        <v>3</v>
      </c>
      <c r="B369" s="2" t="s">
        <v>1139</v>
      </c>
      <c r="C369" s="2" t="s">
        <v>1140</v>
      </c>
      <c r="D369" s="2" t="s">
        <v>1119</v>
      </c>
      <c r="E369" s="2" t="s">
        <v>1123</v>
      </c>
      <c r="F369" s="2" t="n">
        <v>1327127.09280661</v>
      </c>
      <c r="G369" s="2" t="n">
        <v>0</v>
      </c>
      <c r="H369" s="2" t="n">
        <v>1327127.09280661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</v>
      </c>
      <c r="CN369" s="2" t="n">
        <v>0</v>
      </c>
      <c r="CO369" s="2" t="n">
        <v>69.9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 customFormat="false" ht="15" hidden="false" customHeight="false" outlineLevel="0" collapsed="false">
      <c r="A370" s="2" t="n">
        <v>4</v>
      </c>
      <c r="B370" s="2" t="s">
        <v>1141</v>
      </c>
      <c r="C370" s="2" t="s">
        <v>1142</v>
      </c>
      <c r="D370" s="2" t="s">
        <v>1119</v>
      </c>
      <c r="E370" s="2" t="s">
        <v>1123</v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</v>
      </c>
      <c r="CN370" s="2" t="n">
        <v>0</v>
      </c>
      <c r="CO370" s="2" t="n">
        <v>69.9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 customFormat="false" ht="15" hidden="false" customHeight="false" outlineLevel="0" collapsed="false">
      <c r="A371" s="2" t="n">
        <v>4</v>
      </c>
      <c r="B371" s="2" t="s">
        <v>1143</v>
      </c>
      <c r="C371" s="2" t="s">
        <v>1144</v>
      </c>
      <c r="D371" s="2" t="s">
        <v>1119</v>
      </c>
      <c r="E371" s="2" t="s">
        <v>1123</v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</v>
      </c>
      <c r="CN371" s="2" t="n">
        <v>0</v>
      </c>
      <c r="CO371" s="2" t="n">
        <v>69.9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 customFormat="false" ht="15" hidden="false" customHeight="false" outlineLevel="0" collapsed="false">
      <c r="A372" s="2" t="n">
        <v>4</v>
      </c>
      <c r="B372" s="2" t="s">
        <v>1145</v>
      </c>
      <c r="C372" s="2" t="s">
        <v>970</v>
      </c>
      <c r="D372" s="2" t="s">
        <v>1119</v>
      </c>
      <c r="E372" s="2" t="s">
        <v>1123</v>
      </c>
      <c r="F372" s="2" t="n">
        <v>40936.3241367914</v>
      </c>
      <c r="G372" s="2" t="n">
        <v>0</v>
      </c>
      <c r="H372" s="2" t="n">
        <v>40936.3241367914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</v>
      </c>
      <c r="CN372" s="2" t="n">
        <v>0</v>
      </c>
      <c r="CO372" s="2" t="n">
        <v>69.9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 customFormat="false" ht="15" hidden="false" customHeight="false" outlineLevel="0" collapsed="false">
      <c r="A373" s="2" t="n">
        <v>4</v>
      </c>
      <c r="B373" s="2" t="s">
        <v>1146</v>
      </c>
      <c r="C373" s="2" t="s">
        <v>1130</v>
      </c>
      <c r="D373" s="2" t="s">
        <v>1119</v>
      </c>
      <c r="E373" s="2" t="s">
        <v>1123</v>
      </c>
      <c r="F373" s="2" t="n">
        <v>33763.401435144</v>
      </c>
      <c r="G373" s="2" t="n">
        <v>0</v>
      </c>
      <c r="H373" s="2" t="n">
        <v>33763.401435144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</v>
      </c>
      <c r="CN373" s="2" t="n">
        <v>0</v>
      </c>
      <c r="CO373" s="2" t="n">
        <v>69.9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 customFormat="false" ht="15" hidden="false" customHeight="false" outlineLevel="0" collapsed="false">
      <c r="A374" s="2" t="n">
        <v>2</v>
      </c>
      <c r="B374" s="2" t="s">
        <v>1147</v>
      </c>
      <c r="C374" s="2" t="s">
        <v>1148</v>
      </c>
      <c r="D374" s="2" t="s">
        <v>1119</v>
      </c>
      <c r="E374" s="2" t="s">
        <v>1123</v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</v>
      </c>
      <c r="CN374" s="2" t="n">
        <v>0</v>
      </c>
      <c r="CO374" s="2" t="n">
        <v>69.9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 customFormat="false" ht="15" hidden="false" customHeight="false" outlineLevel="0" collapsed="false">
      <c r="A375" s="2" t="n">
        <v>3</v>
      </c>
      <c r="B375" s="2" t="s">
        <v>1149</v>
      </c>
      <c r="C375" s="2" t="s">
        <v>1125</v>
      </c>
      <c r="D375" s="2" t="s">
        <v>1119</v>
      </c>
      <c r="E375" s="2" t="s">
        <v>1123</v>
      </c>
      <c r="F375" s="2" t="n">
        <v>21504.9923541507</v>
      </c>
      <c r="G375" s="2" t="n">
        <v>0</v>
      </c>
      <c r="H375" s="2" t="n">
        <v>21504.9923541507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</v>
      </c>
      <c r="CN375" s="2" t="n">
        <v>0</v>
      </c>
      <c r="CO375" s="2" t="n">
        <v>69.9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 customFormat="false" ht="15" hidden="false" customHeight="false" outlineLevel="0" collapsed="false">
      <c r="A376" s="2" t="n">
        <v>4</v>
      </c>
      <c r="B376" s="2" t="s">
        <v>1150</v>
      </c>
      <c r="C376" s="2" t="s">
        <v>1151</v>
      </c>
      <c r="D376" s="2" t="s">
        <v>1119</v>
      </c>
      <c r="E376" s="2" t="s">
        <v>1123</v>
      </c>
      <c r="F376" s="2" t="n">
        <v>1772.51287016577</v>
      </c>
      <c r="G376" s="2" t="n">
        <v>0</v>
      </c>
      <c r="H376" s="2" t="n">
        <v>1772.51287016577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</v>
      </c>
      <c r="CN376" s="2" t="n">
        <v>0</v>
      </c>
      <c r="CO376" s="2" t="n">
        <v>69.9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 customFormat="false" ht="15" hidden="false" customHeight="false" outlineLevel="0" collapsed="false">
      <c r="A377" s="2" t="n">
        <v>4</v>
      </c>
      <c r="B377" s="2" t="s">
        <v>1152</v>
      </c>
      <c r="C377" s="2" t="s">
        <v>1153</v>
      </c>
      <c r="D377" s="2" t="s">
        <v>1119</v>
      </c>
      <c r="E377" s="2" t="s">
        <v>1123</v>
      </c>
      <c r="F377" s="2" t="n">
        <v>18623.0843781875</v>
      </c>
      <c r="G377" s="2" t="n">
        <v>0</v>
      </c>
      <c r="H377" s="2" t="n">
        <v>18623.0843781875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</v>
      </c>
      <c r="CN377" s="2" t="n">
        <v>0</v>
      </c>
      <c r="CO377" s="2" t="n">
        <v>69.9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 customFormat="false" ht="15" hidden="false" customHeight="false" outlineLevel="0" collapsed="false">
      <c r="A378" s="2" t="n">
        <v>4</v>
      </c>
      <c r="B378" s="2" t="s">
        <v>1154</v>
      </c>
      <c r="C378" s="2" t="s">
        <v>970</v>
      </c>
      <c r="D378" s="2" t="s">
        <v>1119</v>
      </c>
      <c r="E378" s="2" t="s">
        <v>1123</v>
      </c>
      <c r="F378" s="2" t="n">
        <v>381.330310438389</v>
      </c>
      <c r="G378" s="2" t="n">
        <v>0</v>
      </c>
      <c r="H378" s="2" t="n">
        <v>381.330310438389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</v>
      </c>
      <c r="CN378" s="2" t="n">
        <v>0</v>
      </c>
      <c r="CO378" s="2" t="n">
        <v>69.9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 customFormat="false" ht="15" hidden="false" customHeight="false" outlineLevel="0" collapsed="false">
      <c r="A379" s="2" t="n">
        <v>4</v>
      </c>
      <c r="B379" s="2" t="s">
        <v>1155</v>
      </c>
      <c r="C379" s="2" t="s">
        <v>1130</v>
      </c>
      <c r="D379" s="2" t="s">
        <v>1119</v>
      </c>
      <c r="E379" s="2" t="s">
        <v>1123</v>
      </c>
      <c r="F379" s="2" t="n">
        <v>728.064795358952</v>
      </c>
      <c r="G379" s="2" t="n">
        <v>0</v>
      </c>
      <c r="H379" s="2" t="n">
        <v>728.064795358952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</v>
      </c>
      <c r="CN379" s="2" t="n">
        <v>0</v>
      </c>
      <c r="CO379" s="2" t="n">
        <v>69.9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 customFormat="false" ht="15" hidden="false" customHeight="false" outlineLevel="0" collapsed="false">
      <c r="A380" s="2" t="n">
        <v>3</v>
      </c>
      <c r="B380" s="2" t="s">
        <v>1156</v>
      </c>
      <c r="C380" s="2" t="s">
        <v>1132</v>
      </c>
      <c r="D380" s="2" t="s">
        <v>1119</v>
      </c>
      <c r="E380" s="2" t="s">
        <v>1123</v>
      </c>
      <c r="F380" s="2" t="n">
        <v>64343.5550920661</v>
      </c>
      <c r="G380" s="2" t="n">
        <v>0</v>
      </c>
      <c r="H380" s="2" t="n">
        <v>64343.5550920661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</v>
      </c>
      <c r="CN380" s="2" t="n">
        <v>0</v>
      </c>
      <c r="CO380" s="2" t="n">
        <v>69.9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 customFormat="false" ht="15" hidden="false" customHeight="false" outlineLevel="0" collapsed="false">
      <c r="A381" s="2" t="n">
        <v>4</v>
      </c>
      <c r="B381" s="2" t="s">
        <v>1157</v>
      </c>
      <c r="C381" s="2" t="s">
        <v>1158</v>
      </c>
      <c r="D381" s="2" t="s">
        <v>1119</v>
      </c>
      <c r="E381" s="2" t="s">
        <v>1123</v>
      </c>
      <c r="F381" s="2" t="n">
        <v>5526.10752219037</v>
      </c>
      <c r="G381" s="2" t="n">
        <v>0</v>
      </c>
      <c r="H381" s="2" t="n">
        <v>5526.10752219037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</v>
      </c>
      <c r="CN381" s="2" t="n">
        <v>0</v>
      </c>
      <c r="CO381" s="2" t="n">
        <v>69.9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 customFormat="false" ht="15" hidden="false" customHeight="false" outlineLevel="0" collapsed="false">
      <c r="A382" s="2" t="n">
        <v>4</v>
      </c>
      <c r="B382" s="2" t="s">
        <v>1159</v>
      </c>
      <c r="C382" s="2" t="s">
        <v>1160</v>
      </c>
      <c r="D382" s="2" t="s">
        <v>1119</v>
      </c>
      <c r="E382" s="2" t="s">
        <v>1123</v>
      </c>
      <c r="F382" s="2" t="n">
        <v>55342.4728648403</v>
      </c>
      <c r="G382" s="2" t="n">
        <v>0</v>
      </c>
      <c r="H382" s="2" t="n">
        <v>55342.4728648403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</v>
      </c>
      <c r="CN382" s="2" t="n">
        <v>0</v>
      </c>
      <c r="CO382" s="2" t="n">
        <v>69.9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 customFormat="false" ht="15" hidden="false" customHeight="false" outlineLevel="0" collapsed="false">
      <c r="A383" s="2" t="n">
        <v>4</v>
      </c>
      <c r="B383" s="2" t="s">
        <v>1161</v>
      </c>
      <c r="C383" s="2" t="s">
        <v>970</v>
      </c>
      <c r="D383" s="2" t="s">
        <v>1119</v>
      </c>
      <c r="E383" s="2" t="s">
        <v>1123</v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</v>
      </c>
      <c r="CN383" s="2" t="n">
        <v>0</v>
      </c>
      <c r="CO383" s="2" t="n">
        <v>69.9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 customFormat="false" ht="15" hidden="false" customHeight="false" outlineLevel="0" collapsed="false">
      <c r="A384" s="2" t="n">
        <v>4</v>
      </c>
      <c r="B384" s="2" t="s">
        <v>1162</v>
      </c>
      <c r="C384" s="2" t="s">
        <v>1130</v>
      </c>
      <c r="D384" s="2" t="s">
        <v>1119</v>
      </c>
      <c r="E384" s="2" t="s">
        <v>1123</v>
      </c>
      <c r="F384" s="2" t="n">
        <v>1867.20366643036</v>
      </c>
      <c r="G384" s="2" t="n">
        <v>0</v>
      </c>
      <c r="H384" s="2" t="n">
        <v>1867.20366643036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</v>
      </c>
      <c r="CN384" s="2" t="n">
        <v>0</v>
      </c>
      <c r="CO384" s="2" t="n">
        <v>69.9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 customFormat="false" ht="15" hidden="false" customHeight="false" outlineLevel="0" collapsed="false">
      <c r="A385" s="2" t="n">
        <v>3</v>
      </c>
      <c r="B385" s="2" t="s">
        <v>1163</v>
      </c>
      <c r="C385" s="2" t="s">
        <v>1140</v>
      </c>
      <c r="D385" s="2" t="s">
        <v>1119</v>
      </c>
      <c r="E385" s="2" t="s">
        <v>1123</v>
      </c>
      <c r="F385" s="2" t="n">
        <v>331877.693215581</v>
      </c>
      <c r="G385" s="2" t="n">
        <v>0</v>
      </c>
      <c r="H385" s="2" t="n">
        <v>331877.693215581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</v>
      </c>
      <c r="CN385" s="2" t="n">
        <v>0</v>
      </c>
      <c r="CO385" s="2" t="n">
        <v>69.9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 customFormat="false" ht="15" hidden="false" customHeight="false" outlineLevel="0" collapsed="false">
      <c r="A386" s="2" t="n">
        <v>4</v>
      </c>
      <c r="B386" s="2" t="s">
        <v>1164</v>
      </c>
      <c r="C386" s="2" t="s">
        <v>1165</v>
      </c>
      <c r="D386" s="2" t="s">
        <v>1119</v>
      </c>
      <c r="E386" s="2" t="s">
        <v>1123</v>
      </c>
      <c r="F386" s="2" t="n">
        <v>29242.4235945646</v>
      </c>
      <c r="G386" s="2" t="n">
        <v>0</v>
      </c>
      <c r="H386" s="2" t="n">
        <v>29242.4235945646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</v>
      </c>
      <c r="CN386" s="2" t="n">
        <v>0</v>
      </c>
      <c r="CO386" s="2" t="n">
        <v>69.9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 customFormat="false" ht="15" hidden="false" customHeight="false" outlineLevel="0" collapsed="false">
      <c r="A387" s="2" t="n">
        <v>4</v>
      </c>
      <c r="B387" s="2" t="s">
        <v>1166</v>
      </c>
      <c r="C387" s="2" t="s">
        <v>1167</v>
      </c>
      <c r="D387" s="2" t="s">
        <v>1119</v>
      </c>
      <c r="E387" s="2" t="s">
        <v>1123</v>
      </c>
      <c r="F387" s="2" t="n">
        <v>283960.338228033</v>
      </c>
      <c r="G387" s="2" t="n">
        <v>0</v>
      </c>
      <c r="H387" s="2" t="n">
        <v>283960.338228033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</v>
      </c>
      <c r="CN387" s="2" t="n">
        <v>0</v>
      </c>
      <c r="CO387" s="2" t="n">
        <v>69.9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 customFormat="false" ht="15" hidden="false" customHeight="false" outlineLevel="0" collapsed="false">
      <c r="A388" s="2" t="n">
        <v>4</v>
      </c>
      <c r="B388" s="2" t="s">
        <v>1168</v>
      </c>
      <c r="C388" s="2" t="s">
        <v>970</v>
      </c>
      <c r="D388" s="2" t="s">
        <v>1119</v>
      </c>
      <c r="E388" s="2" t="s">
        <v>1123</v>
      </c>
      <c r="F388" s="2" t="n">
        <v>10234.0810341979</v>
      </c>
      <c r="G388" s="2" t="n">
        <v>0</v>
      </c>
      <c r="H388" s="2" t="n">
        <v>10234.0810341979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</v>
      </c>
      <c r="CN388" s="2" t="n">
        <v>0</v>
      </c>
      <c r="CO388" s="2" t="n">
        <v>69.9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 customFormat="false" ht="15" hidden="false" customHeight="false" outlineLevel="0" collapsed="false">
      <c r="A389" s="2" t="n">
        <v>4</v>
      </c>
      <c r="B389" s="2" t="s">
        <v>1169</v>
      </c>
      <c r="C389" s="2" t="s">
        <v>1130</v>
      </c>
      <c r="D389" s="2" t="s">
        <v>1119</v>
      </c>
      <c r="E389" s="2" t="s">
        <v>1123</v>
      </c>
      <c r="F389" s="2" t="n">
        <v>8440.85035878599</v>
      </c>
      <c r="G389" s="2" t="n">
        <v>0</v>
      </c>
      <c r="H389" s="2" t="n">
        <v>8440.85035878599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</v>
      </c>
      <c r="CN389" s="2" t="n">
        <v>0</v>
      </c>
      <c r="CO389" s="2" t="n">
        <v>69.9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 customFormat="false" ht="15" hidden="false" customHeight="false" outlineLevel="0" collapsed="false">
      <c r="A390" s="2" t="n">
        <v>2</v>
      </c>
      <c r="B390" s="2" t="s">
        <v>1170</v>
      </c>
      <c r="C390" s="2" t="s">
        <v>1171</v>
      </c>
      <c r="D390" s="2" t="s">
        <v>1172</v>
      </c>
      <c r="E390" s="2" t="s">
        <v>1120</v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</v>
      </c>
      <c r="DH390" s="2" t="n">
        <v>88.93</v>
      </c>
      <c r="DI390" s="2" t="n">
        <v>0</v>
      </c>
      <c r="DJ390" s="2" t="n">
        <v>94.12</v>
      </c>
      <c r="DK390" s="2" t="n">
        <v>95.01</v>
      </c>
      <c r="DL390" s="2" t="n">
        <v>0</v>
      </c>
      <c r="DM390" s="2" t="n">
        <v>96.67</v>
      </c>
      <c r="DN390" s="2" t="n">
        <v>96.79</v>
      </c>
      <c r="DO390" s="2" t="n">
        <v>0</v>
      </c>
      <c r="DP390" s="2" t="n">
        <v>98.22</v>
      </c>
      <c r="DQ390" s="2" t="n">
        <v>98.4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 customFormat="false" ht="15" hidden="false" customHeight="false" outlineLevel="0" collapsed="false">
      <c r="A391" s="2" t="n">
        <v>3</v>
      </c>
      <c r="B391" s="2" t="s">
        <v>1173</v>
      </c>
      <c r="C391" s="2" t="s">
        <v>1174</v>
      </c>
      <c r="D391" s="2" t="s">
        <v>1172</v>
      </c>
      <c r="E391" s="2" t="s">
        <v>1120</v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</v>
      </c>
      <c r="DH391" s="2" t="n">
        <v>88.93</v>
      </c>
      <c r="DI391" s="2" t="n">
        <v>0</v>
      </c>
      <c r="DJ391" s="2" t="n">
        <v>94.12</v>
      </c>
      <c r="DK391" s="2" t="n">
        <v>95.01</v>
      </c>
      <c r="DL391" s="2" t="n">
        <v>0</v>
      </c>
      <c r="DM391" s="2" t="n">
        <v>96.67</v>
      </c>
      <c r="DN391" s="2" t="n">
        <v>96.79</v>
      </c>
      <c r="DO391" s="2" t="n">
        <v>0</v>
      </c>
      <c r="DP391" s="2" t="n">
        <v>98.22</v>
      </c>
      <c r="DQ391" s="2" t="n">
        <v>98.4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 customFormat="false" ht="15" hidden="false" customHeight="false" outlineLevel="0" collapsed="false">
      <c r="A392" s="2" t="n">
        <v>3</v>
      </c>
      <c r="B392" s="2" t="s">
        <v>1175</v>
      </c>
      <c r="C392" s="2" t="s">
        <v>1176</v>
      </c>
      <c r="D392" s="2" t="s">
        <v>1172</v>
      </c>
      <c r="E392" s="2" t="s">
        <v>1120</v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</v>
      </c>
      <c r="DH392" s="2" t="n">
        <v>88.93</v>
      </c>
      <c r="DI392" s="2" t="n">
        <v>0</v>
      </c>
      <c r="DJ392" s="2" t="n">
        <v>94.12</v>
      </c>
      <c r="DK392" s="2" t="n">
        <v>95.01</v>
      </c>
      <c r="DL392" s="2" t="n">
        <v>0</v>
      </c>
      <c r="DM392" s="2" t="n">
        <v>96.67</v>
      </c>
      <c r="DN392" s="2" t="n">
        <v>96.79</v>
      </c>
      <c r="DO392" s="2" t="n">
        <v>0</v>
      </c>
      <c r="DP392" s="2" t="n">
        <v>98.22</v>
      </c>
      <c r="DQ392" s="2" t="n">
        <v>98.4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 customFormat="false" ht="15" hidden="false" customHeight="false" outlineLevel="0" collapsed="false">
      <c r="A393" s="2" t="n">
        <v>3</v>
      </c>
      <c r="B393" s="2" t="s">
        <v>1177</v>
      </c>
      <c r="C393" s="2" t="s">
        <v>1178</v>
      </c>
      <c r="D393" s="2" t="s">
        <v>1172</v>
      </c>
      <c r="E393" s="2" t="s">
        <v>1120</v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</v>
      </c>
      <c r="DH393" s="2" t="n">
        <v>88.93</v>
      </c>
      <c r="DI393" s="2" t="n">
        <v>0</v>
      </c>
      <c r="DJ393" s="2" t="n">
        <v>94.12</v>
      </c>
      <c r="DK393" s="2" t="n">
        <v>95.01</v>
      </c>
      <c r="DL393" s="2" t="n">
        <v>0</v>
      </c>
      <c r="DM393" s="2" t="n">
        <v>96.67</v>
      </c>
      <c r="DN393" s="2" t="n">
        <v>96.79</v>
      </c>
      <c r="DO393" s="2" t="n">
        <v>0</v>
      </c>
      <c r="DP393" s="2" t="n">
        <v>98.22</v>
      </c>
      <c r="DQ393" s="2" t="n">
        <v>98.4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 customFormat="false" ht="15" hidden="false" customHeight="false" outlineLevel="0" collapsed="false">
      <c r="A394" s="2" t="n">
        <v>3</v>
      </c>
      <c r="B394" s="2" t="s">
        <v>1179</v>
      </c>
      <c r="C394" s="2" t="s">
        <v>1180</v>
      </c>
      <c r="D394" s="2" t="s">
        <v>1172</v>
      </c>
      <c r="E394" s="2" t="s">
        <v>1120</v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</v>
      </c>
      <c r="DH394" s="2" t="n">
        <v>88.93</v>
      </c>
      <c r="DI394" s="2" t="n">
        <v>0</v>
      </c>
      <c r="DJ394" s="2" t="n">
        <v>94.12</v>
      </c>
      <c r="DK394" s="2" t="n">
        <v>95.01</v>
      </c>
      <c r="DL394" s="2" t="n">
        <v>0</v>
      </c>
      <c r="DM394" s="2" t="n">
        <v>96.67</v>
      </c>
      <c r="DN394" s="2" t="n">
        <v>96.79</v>
      </c>
      <c r="DO394" s="2" t="n">
        <v>0</v>
      </c>
      <c r="DP394" s="2" t="n">
        <v>98.22</v>
      </c>
      <c r="DQ394" s="2" t="n">
        <v>98.4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 customFormat="false" ht="15" hidden="false" customHeight="false" outlineLevel="0" collapsed="false">
      <c r="A395" s="2" t="n">
        <v>3</v>
      </c>
      <c r="B395" s="2" t="s">
        <v>1181</v>
      </c>
      <c r="C395" s="2" t="s">
        <v>1182</v>
      </c>
      <c r="D395" s="2" t="s">
        <v>1172</v>
      </c>
      <c r="E395" s="2" t="s">
        <v>1120</v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</v>
      </c>
      <c r="DH395" s="2" t="n">
        <v>88.93</v>
      </c>
      <c r="DI395" s="2" t="n">
        <v>0</v>
      </c>
      <c r="DJ395" s="2" t="n">
        <v>94.12</v>
      </c>
      <c r="DK395" s="2" t="n">
        <v>95.01</v>
      </c>
      <c r="DL395" s="2" t="n">
        <v>0</v>
      </c>
      <c r="DM395" s="2" t="n">
        <v>96.67</v>
      </c>
      <c r="DN395" s="2" t="n">
        <v>96.79</v>
      </c>
      <c r="DO395" s="2" t="n">
        <v>0</v>
      </c>
      <c r="DP395" s="2" t="n">
        <v>98.22</v>
      </c>
      <c r="DQ395" s="2" t="n">
        <v>98.4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 customFormat="false" ht="15" hidden="false" customHeight="false" outlineLevel="0" collapsed="false">
      <c r="A396" s="2" t="n">
        <v>3</v>
      </c>
      <c r="B396" s="2" t="s">
        <v>1183</v>
      </c>
      <c r="C396" s="2" t="s">
        <v>1184</v>
      </c>
      <c r="D396" s="2" t="s">
        <v>1172</v>
      </c>
      <c r="E396" s="2" t="s">
        <v>1120</v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</v>
      </c>
      <c r="DH396" s="2" t="n">
        <v>88.93</v>
      </c>
      <c r="DI396" s="2" t="n">
        <v>0</v>
      </c>
      <c r="DJ396" s="2" t="n">
        <v>94.12</v>
      </c>
      <c r="DK396" s="2" t="n">
        <v>95.01</v>
      </c>
      <c r="DL396" s="2" t="n">
        <v>0</v>
      </c>
      <c r="DM396" s="2" t="n">
        <v>96.67</v>
      </c>
      <c r="DN396" s="2" t="n">
        <v>96.79</v>
      </c>
      <c r="DO396" s="2" t="n">
        <v>0</v>
      </c>
      <c r="DP396" s="2" t="n">
        <v>98.22</v>
      </c>
      <c r="DQ396" s="2" t="n">
        <v>98.4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 customFormat="false" ht="15" hidden="false" customHeight="false" outlineLevel="0" collapsed="false">
      <c r="A397" s="2" t="n">
        <v>2</v>
      </c>
      <c r="B397" s="2" t="s">
        <v>1185</v>
      </c>
      <c r="C397" s="2" t="s">
        <v>1186</v>
      </c>
      <c r="D397" s="2" t="s">
        <v>1119</v>
      </c>
      <c r="E397" s="2" t="s">
        <v>1123</v>
      </c>
      <c r="F397" s="2" t="n">
        <v>229772.206465883</v>
      </c>
      <c r="G397" s="2" t="n">
        <v>0</v>
      </c>
      <c r="H397" s="2" t="n">
        <v>229772.206465883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</v>
      </c>
      <c r="CN397" s="2" t="n">
        <v>0</v>
      </c>
      <c r="CO397" s="2" t="n">
        <v>69.9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 customFormat="false" ht="15" hidden="false" customHeight="false" outlineLevel="0" collapsed="false">
      <c r="A398" s="2" t="n">
        <v>3</v>
      </c>
      <c r="B398" s="2" t="s">
        <v>1187</v>
      </c>
      <c r="C398" s="2" t="s">
        <v>1188</v>
      </c>
      <c r="D398" s="2" t="s">
        <v>1119</v>
      </c>
      <c r="E398" s="2" t="s">
        <v>1123</v>
      </c>
      <c r="F398" s="2" t="n">
        <v>229772.206465883</v>
      </c>
      <c r="G398" s="2" t="n">
        <v>0</v>
      </c>
      <c r="H398" s="2" t="n">
        <v>229772.206465883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</v>
      </c>
      <c r="CN398" s="2" t="n">
        <v>0</v>
      </c>
      <c r="CO398" s="2" t="n">
        <v>69.9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 customFormat="false" ht="15" hidden="false" customHeight="false" outlineLevel="0" collapsed="false">
      <c r="A399" s="2" t="n">
        <v>1</v>
      </c>
      <c r="B399" s="2" t="s">
        <v>170</v>
      </c>
      <c r="C399" s="2" t="s">
        <v>171</v>
      </c>
      <c r="D399" s="2" t="s">
        <v>1189</v>
      </c>
      <c r="E399" s="2" t="s">
        <v>1190</v>
      </c>
      <c r="F399" s="2" t="n">
        <v>3928343.28714431</v>
      </c>
      <c r="G399" s="2" t="n">
        <v>0</v>
      </c>
      <c r="H399" s="2" t="n">
        <v>3928343.28714431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8.2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</v>
      </c>
      <c r="DK399" s="2" t="n">
        <v>81.36</v>
      </c>
      <c r="DL399" s="2" t="n">
        <v>0</v>
      </c>
      <c r="DM399" s="2" t="n">
        <v>86.24</v>
      </c>
      <c r="DN399" s="2" t="n">
        <v>94.76</v>
      </c>
      <c r="DO399" s="2" t="n">
        <v>0</v>
      </c>
      <c r="DP399" s="2" t="n">
        <v>97.46</v>
      </c>
      <c r="DQ399" s="2" t="n">
        <v>97.62</v>
      </c>
      <c r="DR399" s="2" t="n">
        <v>0</v>
      </c>
      <c r="DS399" s="2" t="n">
        <v>98.41</v>
      </c>
      <c r="DT399" s="2" t="n">
        <v>99.74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 customFormat="false" ht="15" hidden="false" customHeight="false" outlineLevel="0" collapsed="false">
      <c r="A400" s="2" t="n">
        <v>2</v>
      </c>
      <c r="B400" s="2" t="s">
        <v>1191</v>
      </c>
      <c r="C400" s="2" t="s">
        <v>1192</v>
      </c>
      <c r="D400" s="2" t="s">
        <v>1189</v>
      </c>
      <c r="E400" s="2" t="s">
        <v>1190</v>
      </c>
      <c r="F400" s="2" t="n">
        <v>723539.955215675</v>
      </c>
      <c r="G400" s="2" t="n">
        <v>0</v>
      </c>
      <c r="H400" s="2" t="n">
        <v>723539.955215675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8.2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</v>
      </c>
      <c r="DK400" s="2" t="n">
        <v>81.36</v>
      </c>
      <c r="DL400" s="2" t="n">
        <v>0</v>
      </c>
      <c r="DM400" s="2" t="n">
        <v>86.24</v>
      </c>
      <c r="DN400" s="2" t="n">
        <v>94.76</v>
      </c>
      <c r="DO400" s="2" t="n">
        <v>0</v>
      </c>
      <c r="DP400" s="2" t="n">
        <v>97.46</v>
      </c>
      <c r="DQ400" s="2" t="n">
        <v>97.62</v>
      </c>
      <c r="DR400" s="2" t="n">
        <v>0</v>
      </c>
      <c r="DS400" s="2" t="n">
        <v>98.41</v>
      </c>
      <c r="DT400" s="2" t="n">
        <v>99.74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 customFormat="false" ht="15" hidden="false" customHeight="false" outlineLevel="0" collapsed="false">
      <c r="A401" s="2" t="n">
        <v>3</v>
      </c>
      <c r="B401" s="2" t="s">
        <v>1193</v>
      </c>
      <c r="C401" s="2" t="s">
        <v>1194</v>
      </c>
      <c r="D401" s="2" t="s">
        <v>1189</v>
      </c>
      <c r="E401" s="2" t="s">
        <v>1190</v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8.2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</v>
      </c>
      <c r="DK401" s="2" t="n">
        <v>81.36</v>
      </c>
      <c r="DL401" s="2" t="n">
        <v>0</v>
      </c>
      <c r="DM401" s="2" t="n">
        <v>86.24</v>
      </c>
      <c r="DN401" s="2" t="n">
        <v>94.76</v>
      </c>
      <c r="DO401" s="2" t="n">
        <v>0</v>
      </c>
      <c r="DP401" s="2" t="n">
        <v>97.46</v>
      </c>
      <c r="DQ401" s="2" t="n">
        <v>97.62</v>
      </c>
      <c r="DR401" s="2" t="n">
        <v>0</v>
      </c>
      <c r="DS401" s="2" t="n">
        <v>98.41</v>
      </c>
      <c r="DT401" s="2" t="n">
        <v>99.74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 customFormat="false" ht="15" hidden="false" customHeight="false" outlineLevel="0" collapsed="false">
      <c r="A402" s="2" t="n">
        <v>3</v>
      </c>
      <c r="B402" s="2" t="s">
        <v>1195</v>
      </c>
      <c r="C402" s="2" t="s">
        <v>1196</v>
      </c>
      <c r="D402" s="2" t="s">
        <v>1189</v>
      </c>
      <c r="E402" s="2" t="s">
        <v>1190</v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8.2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</v>
      </c>
      <c r="DK402" s="2" t="n">
        <v>81.36</v>
      </c>
      <c r="DL402" s="2" t="n">
        <v>0</v>
      </c>
      <c r="DM402" s="2" t="n">
        <v>86.24</v>
      </c>
      <c r="DN402" s="2" t="n">
        <v>94.76</v>
      </c>
      <c r="DO402" s="2" t="n">
        <v>0</v>
      </c>
      <c r="DP402" s="2" t="n">
        <v>97.46</v>
      </c>
      <c r="DQ402" s="2" t="n">
        <v>97.62</v>
      </c>
      <c r="DR402" s="2" t="n">
        <v>0</v>
      </c>
      <c r="DS402" s="2" t="n">
        <v>98.41</v>
      </c>
      <c r="DT402" s="2" t="n">
        <v>99.74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 customFormat="false" ht="15" hidden="false" customHeight="false" outlineLevel="0" collapsed="false">
      <c r="A403" s="2" t="n">
        <v>3</v>
      </c>
      <c r="B403" s="2" t="s">
        <v>1197</v>
      </c>
      <c r="C403" s="2" t="s">
        <v>1198</v>
      </c>
      <c r="D403" s="2" t="s">
        <v>1189</v>
      </c>
      <c r="E403" s="2" t="s">
        <v>1190</v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8.2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</v>
      </c>
      <c r="DK403" s="2" t="n">
        <v>81.36</v>
      </c>
      <c r="DL403" s="2" t="n">
        <v>0</v>
      </c>
      <c r="DM403" s="2" t="n">
        <v>86.24</v>
      </c>
      <c r="DN403" s="2" t="n">
        <v>94.76</v>
      </c>
      <c r="DO403" s="2" t="n">
        <v>0</v>
      </c>
      <c r="DP403" s="2" t="n">
        <v>97.46</v>
      </c>
      <c r="DQ403" s="2" t="n">
        <v>97.62</v>
      </c>
      <c r="DR403" s="2" t="n">
        <v>0</v>
      </c>
      <c r="DS403" s="2" t="n">
        <v>98.41</v>
      </c>
      <c r="DT403" s="2" t="n">
        <v>99.74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 customFormat="false" ht="15" hidden="false" customHeight="false" outlineLevel="0" collapsed="false">
      <c r="A404" s="2" t="n">
        <v>3</v>
      </c>
      <c r="B404" s="2" t="s">
        <v>1199</v>
      </c>
      <c r="C404" s="2" t="s">
        <v>1200</v>
      </c>
      <c r="D404" s="2" t="s">
        <v>1189</v>
      </c>
      <c r="E404" s="2" t="s">
        <v>1190</v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8.2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</v>
      </c>
      <c r="DK404" s="2" t="n">
        <v>81.36</v>
      </c>
      <c r="DL404" s="2" t="n">
        <v>0</v>
      </c>
      <c r="DM404" s="2" t="n">
        <v>86.24</v>
      </c>
      <c r="DN404" s="2" t="n">
        <v>94.76</v>
      </c>
      <c r="DO404" s="2" t="n">
        <v>0</v>
      </c>
      <c r="DP404" s="2" t="n">
        <v>97.46</v>
      </c>
      <c r="DQ404" s="2" t="n">
        <v>97.62</v>
      </c>
      <c r="DR404" s="2" t="n">
        <v>0</v>
      </c>
      <c r="DS404" s="2" t="n">
        <v>98.41</v>
      </c>
      <c r="DT404" s="2" t="n">
        <v>99.74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 customFormat="false" ht="15" hidden="false" customHeight="false" outlineLevel="0" collapsed="false">
      <c r="A405" s="2" t="n">
        <v>3</v>
      </c>
      <c r="B405" s="2" t="s">
        <v>1201</v>
      </c>
      <c r="C405" s="2" t="s">
        <v>1202</v>
      </c>
      <c r="D405" s="2" t="s">
        <v>1189</v>
      </c>
      <c r="E405" s="2" t="s">
        <v>1190</v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8.2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</v>
      </c>
      <c r="DK405" s="2" t="n">
        <v>81.36</v>
      </c>
      <c r="DL405" s="2" t="n">
        <v>0</v>
      </c>
      <c r="DM405" s="2" t="n">
        <v>86.24</v>
      </c>
      <c r="DN405" s="2" t="n">
        <v>94.76</v>
      </c>
      <c r="DO405" s="2" t="n">
        <v>0</v>
      </c>
      <c r="DP405" s="2" t="n">
        <v>97.46</v>
      </c>
      <c r="DQ405" s="2" t="n">
        <v>97.62</v>
      </c>
      <c r="DR405" s="2" t="n">
        <v>0</v>
      </c>
      <c r="DS405" s="2" t="n">
        <v>98.41</v>
      </c>
      <c r="DT405" s="2" t="n">
        <v>99.74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 customFormat="false" ht="15" hidden="false" customHeight="false" outlineLevel="0" collapsed="false">
      <c r="A406" s="2" t="n">
        <v>3</v>
      </c>
      <c r="B406" s="2" t="s">
        <v>1203</v>
      </c>
      <c r="C406" s="2" t="s">
        <v>1204</v>
      </c>
      <c r="D406" s="2" t="s">
        <v>1189</v>
      </c>
      <c r="E406" s="2" t="s">
        <v>1190</v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8.2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</v>
      </c>
      <c r="DK406" s="2" t="n">
        <v>81.36</v>
      </c>
      <c r="DL406" s="2" t="n">
        <v>0</v>
      </c>
      <c r="DM406" s="2" t="n">
        <v>86.24</v>
      </c>
      <c r="DN406" s="2" t="n">
        <v>94.76</v>
      </c>
      <c r="DO406" s="2" t="n">
        <v>0</v>
      </c>
      <c r="DP406" s="2" t="n">
        <v>97.46</v>
      </c>
      <c r="DQ406" s="2" t="n">
        <v>97.62</v>
      </c>
      <c r="DR406" s="2" t="n">
        <v>0</v>
      </c>
      <c r="DS406" s="2" t="n">
        <v>98.41</v>
      </c>
      <c r="DT406" s="2" t="n">
        <v>99.74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 customFormat="false" ht="15" hidden="false" customHeight="false" outlineLevel="0" collapsed="false">
      <c r="A407" s="2" t="n">
        <v>3</v>
      </c>
      <c r="B407" s="2" t="s">
        <v>1205</v>
      </c>
      <c r="C407" s="2" t="s">
        <v>1206</v>
      </c>
      <c r="D407" s="2" t="s">
        <v>1189</v>
      </c>
      <c r="E407" s="2" t="s">
        <v>1190</v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8.2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</v>
      </c>
      <c r="DK407" s="2" t="n">
        <v>81.36</v>
      </c>
      <c r="DL407" s="2" t="n">
        <v>0</v>
      </c>
      <c r="DM407" s="2" t="n">
        <v>86.24</v>
      </c>
      <c r="DN407" s="2" t="n">
        <v>94.76</v>
      </c>
      <c r="DO407" s="2" t="n">
        <v>0</v>
      </c>
      <c r="DP407" s="2" t="n">
        <v>97.46</v>
      </c>
      <c r="DQ407" s="2" t="n">
        <v>97.62</v>
      </c>
      <c r="DR407" s="2" t="n">
        <v>0</v>
      </c>
      <c r="DS407" s="2" t="n">
        <v>98.41</v>
      </c>
      <c r="DT407" s="2" t="n">
        <v>99.74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 customFormat="false" ht="15" hidden="false" customHeight="false" outlineLevel="0" collapsed="false">
      <c r="A408" s="2" t="n">
        <v>3</v>
      </c>
      <c r="B408" s="2" t="s">
        <v>1207</v>
      </c>
      <c r="C408" s="2" t="s">
        <v>1208</v>
      </c>
      <c r="D408" s="2" t="s">
        <v>1189</v>
      </c>
      <c r="E408" s="2" t="s">
        <v>1190</v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8.2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</v>
      </c>
      <c r="DK408" s="2" t="n">
        <v>81.36</v>
      </c>
      <c r="DL408" s="2" t="n">
        <v>0</v>
      </c>
      <c r="DM408" s="2" t="n">
        <v>86.24</v>
      </c>
      <c r="DN408" s="2" t="n">
        <v>94.76</v>
      </c>
      <c r="DO408" s="2" t="n">
        <v>0</v>
      </c>
      <c r="DP408" s="2" t="n">
        <v>97.46</v>
      </c>
      <c r="DQ408" s="2" t="n">
        <v>97.62</v>
      </c>
      <c r="DR408" s="2" t="n">
        <v>0</v>
      </c>
      <c r="DS408" s="2" t="n">
        <v>98.41</v>
      </c>
      <c r="DT408" s="2" t="n">
        <v>99.74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 customFormat="false" ht="15" hidden="false" customHeight="false" outlineLevel="0" collapsed="false">
      <c r="A409" s="2" t="n">
        <v>3</v>
      </c>
      <c r="B409" s="2" t="s">
        <v>1209</v>
      </c>
      <c r="C409" s="2" t="s">
        <v>1210</v>
      </c>
      <c r="D409" s="2" t="s">
        <v>1189</v>
      </c>
      <c r="E409" s="2" t="s">
        <v>1190</v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8.2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</v>
      </c>
      <c r="DK409" s="2" t="n">
        <v>81.36</v>
      </c>
      <c r="DL409" s="2" t="n">
        <v>0</v>
      </c>
      <c r="DM409" s="2" t="n">
        <v>86.24</v>
      </c>
      <c r="DN409" s="2" t="n">
        <v>94.76</v>
      </c>
      <c r="DO409" s="2" t="n">
        <v>0</v>
      </c>
      <c r="DP409" s="2" t="n">
        <v>97.46</v>
      </c>
      <c r="DQ409" s="2" t="n">
        <v>97.62</v>
      </c>
      <c r="DR409" s="2" t="n">
        <v>0</v>
      </c>
      <c r="DS409" s="2" t="n">
        <v>98.41</v>
      </c>
      <c r="DT409" s="2" t="n">
        <v>99.74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 customFormat="false" ht="15" hidden="false" customHeight="false" outlineLevel="0" collapsed="false">
      <c r="A410" s="2" t="n">
        <v>3</v>
      </c>
      <c r="B410" s="2" t="s">
        <v>1211</v>
      </c>
      <c r="C410" s="2" t="s">
        <v>1212</v>
      </c>
      <c r="D410" s="2" t="s">
        <v>1189</v>
      </c>
      <c r="E410" s="2" t="s">
        <v>1190</v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8.2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</v>
      </c>
      <c r="DK410" s="2" t="n">
        <v>81.36</v>
      </c>
      <c r="DL410" s="2" t="n">
        <v>0</v>
      </c>
      <c r="DM410" s="2" t="n">
        <v>86.24</v>
      </c>
      <c r="DN410" s="2" t="n">
        <v>94.76</v>
      </c>
      <c r="DO410" s="2" t="n">
        <v>0</v>
      </c>
      <c r="DP410" s="2" t="n">
        <v>97.46</v>
      </c>
      <c r="DQ410" s="2" t="n">
        <v>97.62</v>
      </c>
      <c r="DR410" s="2" t="n">
        <v>0</v>
      </c>
      <c r="DS410" s="2" t="n">
        <v>98.41</v>
      </c>
      <c r="DT410" s="2" t="n">
        <v>99.74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 customFormat="false" ht="15" hidden="false" customHeight="false" outlineLevel="0" collapsed="false">
      <c r="A411" s="2" t="n">
        <v>3</v>
      </c>
      <c r="B411" s="2" t="s">
        <v>1213</v>
      </c>
      <c r="C411" s="2" t="s">
        <v>1214</v>
      </c>
      <c r="D411" s="2" t="s">
        <v>1189</v>
      </c>
      <c r="E411" s="2" t="s">
        <v>1190</v>
      </c>
      <c r="F411" s="2" t="n">
        <v>80960.2505140844</v>
      </c>
      <c r="G411" s="2" t="n">
        <v>0</v>
      </c>
      <c r="H411" s="2" t="n">
        <v>80960.2505140844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8.2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</v>
      </c>
      <c r="DK411" s="2" t="n">
        <v>81.36</v>
      </c>
      <c r="DL411" s="2" t="n">
        <v>0</v>
      </c>
      <c r="DM411" s="2" t="n">
        <v>86.24</v>
      </c>
      <c r="DN411" s="2" t="n">
        <v>94.76</v>
      </c>
      <c r="DO411" s="2" t="n">
        <v>0</v>
      </c>
      <c r="DP411" s="2" t="n">
        <v>97.46</v>
      </c>
      <c r="DQ411" s="2" t="n">
        <v>97.62</v>
      </c>
      <c r="DR411" s="2" t="n">
        <v>0</v>
      </c>
      <c r="DS411" s="2" t="n">
        <v>98.41</v>
      </c>
      <c r="DT411" s="2" t="n">
        <v>99.74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 customFormat="false" ht="15" hidden="false" customHeight="false" outlineLevel="0" collapsed="false">
      <c r="A412" s="2" t="n">
        <v>3</v>
      </c>
      <c r="B412" s="2" t="s">
        <v>1215</v>
      </c>
      <c r="C412" s="2" t="s">
        <v>1216</v>
      </c>
      <c r="D412" s="2" t="s">
        <v>1189</v>
      </c>
      <c r="E412" s="2" t="s">
        <v>1190</v>
      </c>
      <c r="F412" s="2" t="n">
        <v>48078.8950765903</v>
      </c>
      <c r="G412" s="2" t="n">
        <v>0</v>
      </c>
      <c r="H412" s="2" t="n">
        <v>48078.8950765903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8.2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</v>
      </c>
      <c r="DK412" s="2" t="n">
        <v>81.36</v>
      </c>
      <c r="DL412" s="2" t="n">
        <v>0</v>
      </c>
      <c r="DM412" s="2" t="n">
        <v>86.24</v>
      </c>
      <c r="DN412" s="2" t="n">
        <v>94.76</v>
      </c>
      <c r="DO412" s="2" t="n">
        <v>0</v>
      </c>
      <c r="DP412" s="2" t="n">
        <v>97.46</v>
      </c>
      <c r="DQ412" s="2" t="n">
        <v>97.62</v>
      </c>
      <c r="DR412" s="2" t="n">
        <v>0</v>
      </c>
      <c r="DS412" s="2" t="n">
        <v>98.41</v>
      </c>
      <c r="DT412" s="2" t="n">
        <v>99.74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 customFormat="false" ht="15" hidden="false" customHeight="false" outlineLevel="0" collapsed="false">
      <c r="A413" s="2" t="n">
        <v>2</v>
      </c>
      <c r="B413" s="2" t="s">
        <v>1217</v>
      </c>
      <c r="C413" s="2" t="s">
        <v>1218</v>
      </c>
      <c r="D413" s="2" t="s">
        <v>1189</v>
      </c>
      <c r="E413" s="2" t="s">
        <v>1190</v>
      </c>
      <c r="F413" s="2" t="n">
        <v>579547.456624779</v>
      </c>
      <c r="G413" s="2" t="n">
        <v>0</v>
      </c>
      <c r="H413" s="2" t="n">
        <v>579547.456624779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8.2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</v>
      </c>
      <c r="DK413" s="2" t="n">
        <v>81.36</v>
      </c>
      <c r="DL413" s="2" t="n">
        <v>0</v>
      </c>
      <c r="DM413" s="2" t="n">
        <v>86.24</v>
      </c>
      <c r="DN413" s="2" t="n">
        <v>94.76</v>
      </c>
      <c r="DO413" s="2" t="n">
        <v>0</v>
      </c>
      <c r="DP413" s="2" t="n">
        <v>97.46</v>
      </c>
      <c r="DQ413" s="2" t="n">
        <v>97.62</v>
      </c>
      <c r="DR413" s="2" t="n">
        <v>0</v>
      </c>
      <c r="DS413" s="2" t="n">
        <v>98.41</v>
      </c>
      <c r="DT413" s="2" t="n">
        <v>99.74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 customFormat="false" ht="15" hidden="false" customHeight="false" outlineLevel="0" collapsed="false">
      <c r="A414" s="2" t="n">
        <v>3</v>
      </c>
      <c r="B414" s="2" t="s">
        <v>1219</v>
      </c>
      <c r="C414" s="2" t="s">
        <v>1220</v>
      </c>
      <c r="D414" s="2" t="s">
        <v>1189</v>
      </c>
      <c r="E414" s="2" t="s">
        <v>1190</v>
      </c>
      <c r="F414" s="2" t="n">
        <v>131615.870749779</v>
      </c>
      <c r="G414" s="2" t="n">
        <v>0</v>
      </c>
      <c r="H414" s="2" t="n">
        <v>131615.870749779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8.2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</v>
      </c>
      <c r="DK414" s="2" t="n">
        <v>81.36</v>
      </c>
      <c r="DL414" s="2" t="n">
        <v>0</v>
      </c>
      <c r="DM414" s="2" t="n">
        <v>86.24</v>
      </c>
      <c r="DN414" s="2" t="n">
        <v>94.76</v>
      </c>
      <c r="DO414" s="2" t="n">
        <v>0</v>
      </c>
      <c r="DP414" s="2" t="n">
        <v>97.46</v>
      </c>
      <c r="DQ414" s="2" t="n">
        <v>97.62</v>
      </c>
      <c r="DR414" s="2" t="n">
        <v>0</v>
      </c>
      <c r="DS414" s="2" t="n">
        <v>98.41</v>
      </c>
      <c r="DT414" s="2" t="n">
        <v>99.74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 customFormat="false" ht="15" hidden="false" customHeight="false" outlineLevel="0" collapsed="false">
      <c r="A415" s="2" t="n">
        <v>3</v>
      </c>
      <c r="B415" s="2" t="s">
        <v>1221</v>
      </c>
      <c r="C415" s="2" t="s">
        <v>1222</v>
      </c>
      <c r="D415" s="2" t="s">
        <v>1189</v>
      </c>
      <c r="E415" s="2" t="s">
        <v>1190</v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8.2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</v>
      </c>
      <c r="DK415" s="2" t="n">
        <v>81.36</v>
      </c>
      <c r="DL415" s="2" t="n">
        <v>0</v>
      </c>
      <c r="DM415" s="2" t="n">
        <v>86.24</v>
      </c>
      <c r="DN415" s="2" t="n">
        <v>94.76</v>
      </c>
      <c r="DO415" s="2" t="n">
        <v>0</v>
      </c>
      <c r="DP415" s="2" t="n">
        <v>97.46</v>
      </c>
      <c r="DQ415" s="2" t="n">
        <v>97.62</v>
      </c>
      <c r="DR415" s="2" t="n">
        <v>0</v>
      </c>
      <c r="DS415" s="2" t="n">
        <v>98.41</v>
      </c>
      <c r="DT415" s="2" t="n">
        <v>99.74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 customFormat="false" ht="15" hidden="false" customHeight="false" outlineLevel="0" collapsed="false">
      <c r="A416" s="2" t="n">
        <v>3</v>
      </c>
      <c r="B416" s="2" t="s">
        <v>1223</v>
      </c>
      <c r="C416" s="2" t="s">
        <v>1224</v>
      </c>
      <c r="D416" s="2" t="s">
        <v>1189</v>
      </c>
      <c r="E416" s="2" t="s">
        <v>1190</v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8.2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</v>
      </c>
      <c r="DK416" s="2" t="n">
        <v>81.36</v>
      </c>
      <c r="DL416" s="2" t="n">
        <v>0</v>
      </c>
      <c r="DM416" s="2" t="n">
        <v>86.24</v>
      </c>
      <c r="DN416" s="2" t="n">
        <v>94.76</v>
      </c>
      <c r="DO416" s="2" t="n">
        <v>0</v>
      </c>
      <c r="DP416" s="2" t="n">
        <v>97.46</v>
      </c>
      <c r="DQ416" s="2" t="n">
        <v>97.62</v>
      </c>
      <c r="DR416" s="2" t="n">
        <v>0</v>
      </c>
      <c r="DS416" s="2" t="n">
        <v>98.41</v>
      </c>
      <c r="DT416" s="2" t="n">
        <v>99.74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 customFormat="false" ht="15" hidden="false" customHeight="false" outlineLevel="0" collapsed="false">
      <c r="A417" s="2" t="n">
        <v>2</v>
      </c>
      <c r="B417" s="2" t="s">
        <v>1225</v>
      </c>
      <c r="C417" s="2" t="s">
        <v>1226</v>
      </c>
      <c r="D417" s="2" t="s">
        <v>1189</v>
      </c>
      <c r="E417" s="2" t="s">
        <v>1190</v>
      </c>
      <c r="F417" s="2" t="n">
        <v>432530.226097457</v>
      </c>
      <c r="G417" s="2" t="n">
        <v>0</v>
      </c>
      <c r="H417" s="2" t="n">
        <v>432530.226097457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8.2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</v>
      </c>
      <c r="DK417" s="2" t="n">
        <v>81.36</v>
      </c>
      <c r="DL417" s="2" t="n">
        <v>0</v>
      </c>
      <c r="DM417" s="2" t="n">
        <v>86.24</v>
      </c>
      <c r="DN417" s="2" t="n">
        <v>94.76</v>
      </c>
      <c r="DO417" s="2" t="n">
        <v>0</v>
      </c>
      <c r="DP417" s="2" t="n">
        <v>97.46</v>
      </c>
      <c r="DQ417" s="2" t="n">
        <v>97.62</v>
      </c>
      <c r="DR417" s="2" t="n">
        <v>0</v>
      </c>
      <c r="DS417" s="2" t="n">
        <v>98.41</v>
      </c>
      <c r="DT417" s="2" t="n">
        <v>99.74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 customFormat="false" ht="15" hidden="false" customHeight="false" outlineLevel="0" collapsed="false">
      <c r="A418" s="2" t="n">
        <v>3</v>
      </c>
      <c r="B418" s="2" t="s">
        <v>1227</v>
      </c>
      <c r="C418" s="2" t="s">
        <v>1220</v>
      </c>
      <c r="D418" s="2" t="s">
        <v>1189</v>
      </c>
      <c r="E418" s="2" t="s">
        <v>1190</v>
      </c>
      <c r="F418" s="2" t="n">
        <v>62267.8543650087</v>
      </c>
      <c r="G418" s="2" t="n">
        <v>0</v>
      </c>
      <c r="H418" s="2" t="n">
        <v>62267.8543650087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8.2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</v>
      </c>
      <c r="DK418" s="2" t="n">
        <v>81.36</v>
      </c>
      <c r="DL418" s="2" t="n">
        <v>0</v>
      </c>
      <c r="DM418" s="2" t="n">
        <v>86.24</v>
      </c>
      <c r="DN418" s="2" t="n">
        <v>94.76</v>
      </c>
      <c r="DO418" s="2" t="n">
        <v>0</v>
      </c>
      <c r="DP418" s="2" t="n">
        <v>97.46</v>
      </c>
      <c r="DQ418" s="2" t="n">
        <v>97.62</v>
      </c>
      <c r="DR418" s="2" t="n">
        <v>0</v>
      </c>
      <c r="DS418" s="2" t="n">
        <v>98.41</v>
      </c>
      <c r="DT418" s="2" t="n">
        <v>99.74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 customFormat="false" ht="15" hidden="false" customHeight="false" outlineLevel="0" collapsed="false">
      <c r="A419" s="2" t="n">
        <v>3</v>
      </c>
      <c r="B419" s="2" t="s">
        <v>1228</v>
      </c>
      <c r="C419" s="2" t="s">
        <v>1229</v>
      </c>
      <c r="D419" s="2" t="s">
        <v>1189</v>
      </c>
      <c r="E419" s="2" t="s">
        <v>1190</v>
      </c>
      <c r="F419" s="2" t="n">
        <v>105071.879016406</v>
      </c>
      <c r="G419" s="2" t="n">
        <v>0</v>
      </c>
      <c r="H419" s="2" t="n">
        <v>105071.879016406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8.2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</v>
      </c>
      <c r="DK419" s="2" t="n">
        <v>81.36</v>
      </c>
      <c r="DL419" s="2" t="n">
        <v>0</v>
      </c>
      <c r="DM419" s="2" t="n">
        <v>86.24</v>
      </c>
      <c r="DN419" s="2" t="n">
        <v>94.76</v>
      </c>
      <c r="DO419" s="2" t="n">
        <v>0</v>
      </c>
      <c r="DP419" s="2" t="n">
        <v>97.46</v>
      </c>
      <c r="DQ419" s="2" t="n">
        <v>97.62</v>
      </c>
      <c r="DR419" s="2" t="n">
        <v>0</v>
      </c>
      <c r="DS419" s="2" t="n">
        <v>98.41</v>
      </c>
      <c r="DT419" s="2" t="n">
        <v>99.74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 customFormat="false" ht="15" hidden="false" customHeight="false" outlineLevel="0" collapsed="false">
      <c r="A420" s="2" t="n">
        <v>3</v>
      </c>
      <c r="B420" s="2" t="s">
        <v>1230</v>
      </c>
      <c r="C420" s="2" t="s">
        <v>1231</v>
      </c>
      <c r="D420" s="2" t="s">
        <v>1189</v>
      </c>
      <c r="E420" s="2" t="s">
        <v>1190</v>
      </c>
      <c r="F420" s="2" t="n">
        <v>6822.57225</v>
      </c>
      <c r="G420" s="2" t="n">
        <v>0</v>
      </c>
      <c r="H420" s="2" t="n">
        <v>6822.57225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8.2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</v>
      </c>
      <c r="DK420" s="2" t="n">
        <v>81.36</v>
      </c>
      <c r="DL420" s="2" t="n">
        <v>0</v>
      </c>
      <c r="DM420" s="2" t="n">
        <v>86.24</v>
      </c>
      <c r="DN420" s="2" t="n">
        <v>94.76</v>
      </c>
      <c r="DO420" s="2" t="n">
        <v>0</v>
      </c>
      <c r="DP420" s="2" t="n">
        <v>97.46</v>
      </c>
      <c r="DQ420" s="2" t="n">
        <v>97.62</v>
      </c>
      <c r="DR420" s="2" t="n">
        <v>0</v>
      </c>
      <c r="DS420" s="2" t="n">
        <v>98.41</v>
      </c>
      <c r="DT420" s="2" t="n">
        <v>99.74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 customFormat="false" ht="15" hidden="false" customHeight="false" outlineLevel="0" collapsed="false">
      <c r="A421" s="2" t="n">
        <v>3</v>
      </c>
      <c r="B421" s="2" t="s">
        <v>1232</v>
      </c>
      <c r="C421" s="2" t="s">
        <v>1233</v>
      </c>
      <c r="D421" s="2" t="s">
        <v>1189</v>
      </c>
      <c r="E421" s="2" t="s">
        <v>1190</v>
      </c>
      <c r="F421" s="2" t="n">
        <v>9184.84726483211</v>
      </c>
      <c r="G421" s="2" t="n">
        <v>0</v>
      </c>
      <c r="H421" s="2" t="n">
        <v>9184.84726483211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8.2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</v>
      </c>
      <c r="DK421" s="2" t="n">
        <v>81.36</v>
      </c>
      <c r="DL421" s="2" t="n">
        <v>0</v>
      </c>
      <c r="DM421" s="2" t="n">
        <v>86.24</v>
      </c>
      <c r="DN421" s="2" t="n">
        <v>94.76</v>
      </c>
      <c r="DO421" s="2" t="n">
        <v>0</v>
      </c>
      <c r="DP421" s="2" t="n">
        <v>97.46</v>
      </c>
      <c r="DQ421" s="2" t="n">
        <v>97.62</v>
      </c>
      <c r="DR421" s="2" t="n">
        <v>0</v>
      </c>
      <c r="DS421" s="2" t="n">
        <v>98.41</v>
      </c>
      <c r="DT421" s="2" t="n">
        <v>99.74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 customFormat="false" ht="15" hidden="false" customHeight="false" outlineLevel="0" collapsed="false">
      <c r="A422" s="2" t="n">
        <v>3</v>
      </c>
      <c r="B422" s="2" t="s">
        <v>1234</v>
      </c>
      <c r="C422" s="2" t="s">
        <v>1235</v>
      </c>
      <c r="D422" s="2" t="s">
        <v>1189</v>
      </c>
      <c r="E422" s="2" t="s">
        <v>1190</v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8.2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</v>
      </c>
      <c r="DK422" s="2" t="n">
        <v>81.36</v>
      </c>
      <c r="DL422" s="2" t="n">
        <v>0</v>
      </c>
      <c r="DM422" s="2" t="n">
        <v>86.24</v>
      </c>
      <c r="DN422" s="2" t="n">
        <v>94.76</v>
      </c>
      <c r="DO422" s="2" t="n">
        <v>0</v>
      </c>
      <c r="DP422" s="2" t="n">
        <v>97.46</v>
      </c>
      <c r="DQ422" s="2" t="n">
        <v>97.62</v>
      </c>
      <c r="DR422" s="2" t="n">
        <v>0</v>
      </c>
      <c r="DS422" s="2" t="n">
        <v>98.41</v>
      </c>
      <c r="DT422" s="2" t="n">
        <v>99.74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 customFormat="false" ht="15" hidden="false" customHeight="false" outlineLevel="0" collapsed="false">
      <c r="A423" s="2" t="n">
        <v>3</v>
      </c>
      <c r="B423" s="2" t="s">
        <v>1236</v>
      </c>
      <c r="C423" s="2" t="s">
        <v>1237</v>
      </c>
      <c r="D423" s="2" t="s">
        <v>1189</v>
      </c>
      <c r="E423" s="2" t="s">
        <v>1190</v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8.2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</v>
      </c>
      <c r="DK423" s="2" t="n">
        <v>81.36</v>
      </c>
      <c r="DL423" s="2" t="n">
        <v>0</v>
      </c>
      <c r="DM423" s="2" t="n">
        <v>86.24</v>
      </c>
      <c r="DN423" s="2" t="n">
        <v>94.76</v>
      </c>
      <c r="DO423" s="2" t="n">
        <v>0</v>
      </c>
      <c r="DP423" s="2" t="n">
        <v>97.46</v>
      </c>
      <c r="DQ423" s="2" t="n">
        <v>97.62</v>
      </c>
      <c r="DR423" s="2" t="n">
        <v>0</v>
      </c>
      <c r="DS423" s="2" t="n">
        <v>98.41</v>
      </c>
      <c r="DT423" s="2" t="n">
        <v>99.74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 customFormat="false" ht="15" hidden="false" customHeight="false" outlineLevel="0" collapsed="false">
      <c r="A424" s="2" t="n">
        <v>3</v>
      </c>
      <c r="B424" s="2" t="s">
        <v>1238</v>
      </c>
      <c r="C424" s="2" t="s">
        <v>1239</v>
      </c>
      <c r="D424" s="2" t="s">
        <v>1189</v>
      </c>
      <c r="E424" s="2" t="s">
        <v>1190</v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8.2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</v>
      </c>
      <c r="DK424" s="2" t="n">
        <v>81.36</v>
      </c>
      <c r="DL424" s="2" t="n">
        <v>0</v>
      </c>
      <c r="DM424" s="2" t="n">
        <v>86.24</v>
      </c>
      <c r="DN424" s="2" t="n">
        <v>94.76</v>
      </c>
      <c r="DO424" s="2" t="n">
        <v>0</v>
      </c>
      <c r="DP424" s="2" t="n">
        <v>97.46</v>
      </c>
      <c r="DQ424" s="2" t="n">
        <v>97.62</v>
      </c>
      <c r="DR424" s="2" t="n">
        <v>0</v>
      </c>
      <c r="DS424" s="2" t="n">
        <v>98.41</v>
      </c>
      <c r="DT424" s="2" t="n">
        <v>99.74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 customFormat="false" ht="15" hidden="false" customHeight="false" outlineLevel="0" collapsed="false">
      <c r="A425" s="2" t="n">
        <v>3</v>
      </c>
      <c r="B425" s="2" t="s">
        <v>1240</v>
      </c>
      <c r="C425" s="2" t="s">
        <v>1216</v>
      </c>
      <c r="D425" s="2" t="s">
        <v>1189</v>
      </c>
      <c r="E425" s="2" t="s">
        <v>1190</v>
      </c>
      <c r="F425" s="2" t="n">
        <v>907.148963709252</v>
      </c>
      <c r="G425" s="2" t="n">
        <v>0</v>
      </c>
      <c r="H425" s="2" t="n">
        <v>907.148963709252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8.2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</v>
      </c>
      <c r="DK425" s="2" t="n">
        <v>81.36</v>
      </c>
      <c r="DL425" s="2" t="n">
        <v>0</v>
      </c>
      <c r="DM425" s="2" t="n">
        <v>86.24</v>
      </c>
      <c r="DN425" s="2" t="n">
        <v>94.76</v>
      </c>
      <c r="DO425" s="2" t="n">
        <v>0</v>
      </c>
      <c r="DP425" s="2" t="n">
        <v>97.46</v>
      </c>
      <c r="DQ425" s="2" t="n">
        <v>97.62</v>
      </c>
      <c r="DR425" s="2" t="n">
        <v>0</v>
      </c>
      <c r="DS425" s="2" t="n">
        <v>98.41</v>
      </c>
      <c r="DT425" s="2" t="n">
        <v>99.74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 customFormat="false" ht="15" hidden="false" customHeight="false" outlineLevel="0" collapsed="false">
      <c r="A426" s="2" t="n">
        <v>2</v>
      </c>
      <c r="B426" s="2" t="s">
        <v>1241</v>
      </c>
      <c r="C426" s="2" t="s">
        <v>1242</v>
      </c>
      <c r="D426" s="2" t="s">
        <v>1189</v>
      </c>
      <c r="E426" s="2" t="s">
        <v>1190</v>
      </c>
      <c r="F426" s="2" t="n">
        <v>514601.720334245</v>
      </c>
      <c r="G426" s="2" t="n">
        <v>0</v>
      </c>
      <c r="H426" s="2" t="n">
        <v>514601.720334245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8.2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</v>
      </c>
      <c r="DK426" s="2" t="n">
        <v>81.36</v>
      </c>
      <c r="DL426" s="2" t="n">
        <v>0</v>
      </c>
      <c r="DM426" s="2" t="n">
        <v>86.24</v>
      </c>
      <c r="DN426" s="2" t="n">
        <v>94.76</v>
      </c>
      <c r="DO426" s="2" t="n">
        <v>0</v>
      </c>
      <c r="DP426" s="2" t="n">
        <v>97.46</v>
      </c>
      <c r="DQ426" s="2" t="n">
        <v>97.62</v>
      </c>
      <c r="DR426" s="2" t="n">
        <v>0</v>
      </c>
      <c r="DS426" s="2" t="n">
        <v>98.41</v>
      </c>
      <c r="DT426" s="2" t="n">
        <v>99.74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 customFormat="false" ht="15" hidden="false" customHeight="false" outlineLevel="0" collapsed="false">
      <c r="A427" s="2" t="n">
        <v>3</v>
      </c>
      <c r="B427" s="2" t="s">
        <v>1243</v>
      </c>
      <c r="C427" s="2" t="s">
        <v>1220</v>
      </c>
      <c r="D427" s="2" t="s">
        <v>1189</v>
      </c>
      <c r="E427" s="2" t="s">
        <v>1190</v>
      </c>
      <c r="F427" s="2" t="n">
        <v>52116.8900007813</v>
      </c>
      <c r="G427" s="2" t="n">
        <v>0</v>
      </c>
      <c r="H427" s="2" t="n">
        <v>52116.8900007813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8.2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</v>
      </c>
      <c r="DK427" s="2" t="n">
        <v>81.36</v>
      </c>
      <c r="DL427" s="2" t="n">
        <v>0</v>
      </c>
      <c r="DM427" s="2" t="n">
        <v>86.24</v>
      </c>
      <c r="DN427" s="2" t="n">
        <v>94.76</v>
      </c>
      <c r="DO427" s="2" t="n">
        <v>0</v>
      </c>
      <c r="DP427" s="2" t="n">
        <v>97.46</v>
      </c>
      <c r="DQ427" s="2" t="n">
        <v>97.62</v>
      </c>
      <c r="DR427" s="2" t="n">
        <v>0</v>
      </c>
      <c r="DS427" s="2" t="n">
        <v>98.41</v>
      </c>
      <c r="DT427" s="2" t="n">
        <v>99.74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 customFormat="false" ht="15" hidden="false" customHeight="false" outlineLevel="0" collapsed="false">
      <c r="A428" s="2" t="n">
        <v>3</v>
      </c>
      <c r="B428" s="2" t="s">
        <v>1244</v>
      </c>
      <c r="C428" s="2" t="s">
        <v>1229</v>
      </c>
      <c r="D428" s="2" t="s">
        <v>1189</v>
      </c>
      <c r="E428" s="2" t="s">
        <v>1190</v>
      </c>
      <c r="F428" s="2" t="n">
        <v>87942.9621707133</v>
      </c>
      <c r="G428" s="2" t="n">
        <v>0</v>
      </c>
      <c r="H428" s="2" t="n">
        <v>87942.9621707133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8.2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</v>
      </c>
      <c r="DK428" s="2" t="n">
        <v>81.36</v>
      </c>
      <c r="DL428" s="2" t="n">
        <v>0</v>
      </c>
      <c r="DM428" s="2" t="n">
        <v>86.24</v>
      </c>
      <c r="DN428" s="2" t="n">
        <v>94.76</v>
      </c>
      <c r="DO428" s="2" t="n">
        <v>0</v>
      </c>
      <c r="DP428" s="2" t="n">
        <v>97.46</v>
      </c>
      <c r="DQ428" s="2" t="n">
        <v>97.62</v>
      </c>
      <c r="DR428" s="2" t="n">
        <v>0</v>
      </c>
      <c r="DS428" s="2" t="n">
        <v>98.41</v>
      </c>
      <c r="DT428" s="2" t="n">
        <v>99.74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 customFormat="false" ht="15" hidden="false" customHeight="false" outlineLevel="0" collapsed="false">
      <c r="A429" s="2" t="n">
        <v>3</v>
      </c>
      <c r="B429" s="2" t="s">
        <v>1245</v>
      </c>
      <c r="C429" s="2" t="s">
        <v>1231</v>
      </c>
      <c r="D429" s="2" t="s">
        <v>1189</v>
      </c>
      <c r="E429" s="2" t="s">
        <v>1190</v>
      </c>
      <c r="F429" s="2" t="n">
        <v>9481.3365</v>
      </c>
      <c r="G429" s="2" t="n">
        <v>0</v>
      </c>
      <c r="H429" s="2" t="n">
        <v>9481.3365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8.2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</v>
      </c>
      <c r="DK429" s="2" t="n">
        <v>81.36</v>
      </c>
      <c r="DL429" s="2" t="n">
        <v>0</v>
      </c>
      <c r="DM429" s="2" t="n">
        <v>86.24</v>
      </c>
      <c r="DN429" s="2" t="n">
        <v>94.76</v>
      </c>
      <c r="DO429" s="2" t="n">
        <v>0</v>
      </c>
      <c r="DP429" s="2" t="n">
        <v>97.46</v>
      </c>
      <c r="DQ429" s="2" t="n">
        <v>97.62</v>
      </c>
      <c r="DR429" s="2" t="n">
        <v>0</v>
      </c>
      <c r="DS429" s="2" t="n">
        <v>98.41</v>
      </c>
      <c r="DT429" s="2" t="n">
        <v>99.74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 customFormat="false" ht="15" hidden="false" customHeight="false" outlineLevel="0" collapsed="false">
      <c r="A430" s="2" t="n">
        <v>3</v>
      </c>
      <c r="B430" s="2" t="s">
        <v>1246</v>
      </c>
      <c r="C430" s="2" t="s">
        <v>1247</v>
      </c>
      <c r="D430" s="2" t="s">
        <v>1189</v>
      </c>
      <c r="E430" s="2" t="s">
        <v>1190</v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8.2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</v>
      </c>
      <c r="DK430" s="2" t="n">
        <v>81.36</v>
      </c>
      <c r="DL430" s="2" t="n">
        <v>0</v>
      </c>
      <c r="DM430" s="2" t="n">
        <v>86.24</v>
      </c>
      <c r="DN430" s="2" t="n">
        <v>94.76</v>
      </c>
      <c r="DO430" s="2" t="n">
        <v>0</v>
      </c>
      <c r="DP430" s="2" t="n">
        <v>97.46</v>
      </c>
      <c r="DQ430" s="2" t="n">
        <v>97.62</v>
      </c>
      <c r="DR430" s="2" t="n">
        <v>0</v>
      </c>
      <c r="DS430" s="2" t="n">
        <v>98.41</v>
      </c>
      <c r="DT430" s="2" t="n">
        <v>99.74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 customFormat="false" ht="15" hidden="false" customHeight="false" outlineLevel="0" collapsed="false">
      <c r="A431" s="2" t="n">
        <v>3</v>
      </c>
      <c r="B431" s="2" t="s">
        <v>1248</v>
      </c>
      <c r="C431" s="2" t="s">
        <v>1249</v>
      </c>
      <c r="D431" s="2" t="s">
        <v>1189</v>
      </c>
      <c r="E431" s="2" t="s">
        <v>1190</v>
      </c>
      <c r="F431" s="2" t="n">
        <v>10298.805269548</v>
      </c>
      <c r="G431" s="2" t="n">
        <v>0</v>
      </c>
      <c r="H431" s="2" t="n">
        <v>10298.805269548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8.2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</v>
      </c>
      <c r="DK431" s="2" t="n">
        <v>81.36</v>
      </c>
      <c r="DL431" s="2" t="n">
        <v>0</v>
      </c>
      <c r="DM431" s="2" t="n">
        <v>86.24</v>
      </c>
      <c r="DN431" s="2" t="n">
        <v>94.76</v>
      </c>
      <c r="DO431" s="2" t="n">
        <v>0</v>
      </c>
      <c r="DP431" s="2" t="n">
        <v>97.46</v>
      </c>
      <c r="DQ431" s="2" t="n">
        <v>97.62</v>
      </c>
      <c r="DR431" s="2" t="n">
        <v>0</v>
      </c>
      <c r="DS431" s="2" t="n">
        <v>98.41</v>
      </c>
      <c r="DT431" s="2" t="n">
        <v>99.74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 customFormat="false" ht="15" hidden="false" customHeight="false" outlineLevel="0" collapsed="false">
      <c r="A432" s="2" t="n">
        <v>3</v>
      </c>
      <c r="B432" s="2" t="s">
        <v>1250</v>
      </c>
      <c r="C432" s="2" t="s">
        <v>1251</v>
      </c>
      <c r="D432" s="2" t="s">
        <v>1189</v>
      </c>
      <c r="E432" s="2" t="s">
        <v>1190</v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8.2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</v>
      </c>
      <c r="DK432" s="2" t="n">
        <v>81.36</v>
      </c>
      <c r="DL432" s="2" t="n">
        <v>0</v>
      </c>
      <c r="DM432" s="2" t="n">
        <v>86.24</v>
      </c>
      <c r="DN432" s="2" t="n">
        <v>94.76</v>
      </c>
      <c r="DO432" s="2" t="n">
        <v>0</v>
      </c>
      <c r="DP432" s="2" t="n">
        <v>97.46</v>
      </c>
      <c r="DQ432" s="2" t="n">
        <v>97.62</v>
      </c>
      <c r="DR432" s="2" t="n">
        <v>0</v>
      </c>
      <c r="DS432" s="2" t="n">
        <v>98.41</v>
      </c>
      <c r="DT432" s="2" t="n">
        <v>99.74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 customFormat="false" ht="15" hidden="false" customHeight="false" outlineLevel="0" collapsed="false">
      <c r="A433" s="2" t="n">
        <v>3</v>
      </c>
      <c r="B433" s="2" t="s">
        <v>1252</v>
      </c>
      <c r="C433" s="2" t="s">
        <v>1253</v>
      </c>
      <c r="D433" s="2" t="s">
        <v>1189</v>
      </c>
      <c r="E433" s="2" t="s">
        <v>1190</v>
      </c>
      <c r="F433" s="2" t="n">
        <v>97685.240625</v>
      </c>
      <c r="G433" s="2" t="n">
        <v>0</v>
      </c>
      <c r="H433" s="2" t="n">
        <v>97685.240625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8.2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</v>
      </c>
      <c r="DK433" s="2" t="n">
        <v>81.36</v>
      </c>
      <c r="DL433" s="2" t="n">
        <v>0</v>
      </c>
      <c r="DM433" s="2" t="n">
        <v>86.24</v>
      </c>
      <c r="DN433" s="2" t="n">
        <v>94.76</v>
      </c>
      <c r="DO433" s="2" t="n">
        <v>0</v>
      </c>
      <c r="DP433" s="2" t="n">
        <v>97.46</v>
      </c>
      <c r="DQ433" s="2" t="n">
        <v>97.62</v>
      </c>
      <c r="DR433" s="2" t="n">
        <v>0</v>
      </c>
      <c r="DS433" s="2" t="n">
        <v>98.41</v>
      </c>
      <c r="DT433" s="2" t="n">
        <v>99.74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 customFormat="false" ht="15" hidden="false" customHeight="false" outlineLevel="0" collapsed="false">
      <c r="A434" s="2" t="n">
        <v>3</v>
      </c>
      <c r="B434" s="2" t="s">
        <v>1254</v>
      </c>
      <c r="C434" s="2" t="s">
        <v>1255</v>
      </c>
      <c r="D434" s="2" t="s">
        <v>1189</v>
      </c>
      <c r="E434" s="2" t="s">
        <v>1190</v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8.2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</v>
      </c>
      <c r="DK434" s="2" t="n">
        <v>81.36</v>
      </c>
      <c r="DL434" s="2" t="n">
        <v>0</v>
      </c>
      <c r="DM434" s="2" t="n">
        <v>86.24</v>
      </c>
      <c r="DN434" s="2" t="n">
        <v>94.76</v>
      </c>
      <c r="DO434" s="2" t="n">
        <v>0</v>
      </c>
      <c r="DP434" s="2" t="n">
        <v>97.46</v>
      </c>
      <c r="DQ434" s="2" t="n">
        <v>97.62</v>
      </c>
      <c r="DR434" s="2" t="n">
        <v>0</v>
      </c>
      <c r="DS434" s="2" t="n">
        <v>98.41</v>
      </c>
      <c r="DT434" s="2" t="n">
        <v>99.74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 customFormat="false" ht="15" hidden="false" customHeight="false" outlineLevel="0" collapsed="false">
      <c r="A435" s="2" t="n">
        <v>3</v>
      </c>
      <c r="B435" s="2" t="s">
        <v>1256</v>
      </c>
      <c r="C435" s="2" t="s">
        <v>1216</v>
      </c>
      <c r="D435" s="2" t="s">
        <v>1189</v>
      </c>
      <c r="E435" s="2" t="s">
        <v>1190</v>
      </c>
      <c r="F435" s="2" t="n">
        <v>259.185418202643</v>
      </c>
      <c r="G435" s="2" t="n">
        <v>0</v>
      </c>
      <c r="H435" s="2" t="n">
        <v>259.185418202643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8.2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</v>
      </c>
      <c r="DK435" s="2" t="n">
        <v>81.36</v>
      </c>
      <c r="DL435" s="2" t="n">
        <v>0</v>
      </c>
      <c r="DM435" s="2" t="n">
        <v>86.24</v>
      </c>
      <c r="DN435" s="2" t="n">
        <v>94.76</v>
      </c>
      <c r="DO435" s="2" t="n">
        <v>0</v>
      </c>
      <c r="DP435" s="2" t="n">
        <v>97.46</v>
      </c>
      <c r="DQ435" s="2" t="n">
        <v>97.62</v>
      </c>
      <c r="DR435" s="2" t="n">
        <v>0</v>
      </c>
      <c r="DS435" s="2" t="n">
        <v>98.41</v>
      </c>
      <c r="DT435" s="2" t="n">
        <v>99.74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 customFormat="false" ht="15" hidden="false" customHeight="false" outlineLevel="0" collapsed="false">
      <c r="A436" s="2" t="n">
        <v>2</v>
      </c>
      <c r="B436" s="2" t="s">
        <v>1257</v>
      </c>
      <c r="C436" s="2" t="s">
        <v>1258</v>
      </c>
      <c r="D436" s="2" t="s">
        <v>1189</v>
      </c>
      <c r="E436" s="2" t="s">
        <v>1190</v>
      </c>
      <c r="F436" s="2" t="n">
        <v>1073603.36212749</v>
      </c>
      <c r="G436" s="2" t="n">
        <v>0</v>
      </c>
      <c r="H436" s="2" t="n">
        <v>1073603.36212749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8.2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</v>
      </c>
      <c r="DK436" s="2" t="n">
        <v>81.36</v>
      </c>
      <c r="DL436" s="2" t="n">
        <v>0</v>
      </c>
      <c r="DM436" s="2" t="n">
        <v>86.24</v>
      </c>
      <c r="DN436" s="2" t="n">
        <v>94.76</v>
      </c>
      <c r="DO436" s="2" t="n">
        <v>0</v>
      </c>
      <c r="DP436" s="2" t="n">
        <v>97.46</v>
      </c>
      <c r="DQ436" s="2" t="n">
        <v>97.62</v>
      </c>
      <c r="DR436" s="2" t="n">
        <v>0</v>
      </c>
      <c r="DS436" s="2" t="n">
        <v>98.41</v>
      </c>
      <c r="DT436" s="2" t="n">
        <v>99.74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 customFormat="false" ht="15" hidden="false" customHeight="false" outlineLevel="0" collapsed="false">
      <c r="A437" s="2" t="n">
        <v>3</v>
      </c>
      <c r="B437" s="2" t="s">
        <v>1259</v>
      </c>
      <c r="C437" s="2" t="s">
        <v>1220</v>
      </c>
      <c r="D437" s="2" t="s">
        <v>1189</v>
      </c>
      <c r="E437" s="2" t="s">
        <v>1190</v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8.2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</v>
      </c>
      <c r="DK437" s="2" t="n">
        <v>81.36</v>
      </c>
      <c r="DL437" s="2" t="n">
        <v>0</v>
      </c>
      <c r="DM437" s="2" t="n">
        <v>86.24</v>
      </c>
      <c r="DN437" s="2" t="n">
        <v>94.76</v>
      </c>
      <c r="DO437" s="2" t="n">
        <v>0</v>
      </c>
      <c r="DP437" s="2" t="n">
        <v>97.46</v>
      </c>
      <c r="DQ437" s="2" t="n">
        <v>97.62</v>
      </c>
      <c r="DR437" s="2" t="n">
        <v>0</v>
      </c>
      <c r="DS437" s="2" t="n">
        <v>98.41</v>
      </c>
      <c r="DT437" s="2" t="n">
        <v>99.74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 customFormat="false" ht="15" hidden="false" customHeight="false" outlineLevel="0" collapsed="false">
      <c r="A438" s="2" t="n">
        <v>3</v>
      </c>
      <c r="B438" s="2" t="s">
        <v>1260</v>
      </c>
      <c r="C438" s="2" t="s">
        <v>1229</v>
      </c>
      <c r="D438" s="2" t="s">
        <v>1189</v>
      </c>
      <c r="E438" s="2" t="s">
        <v>1190</v>
      </c>
      <c r="F438" s="2" t="n">
        <v>191542.428857475</v>
      </c>
      <c r="G438" s="2" t="n">
        <v>0</v>
      </c>
      <c r="H438" s="2" t="n">
        <v>191542.428857475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8.2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</v>
      </c>
      <c r="DK438" s="2" t="n">
        <v>81.36</v>
      </c>
      <c r="DL438" s="2" t="n">
        <v>0</v>
      </c>
      <c r="DM438" s="2" t="n">
        <v>86.24</v>
      </c>
      <c r="DN438" s="2" t="n">
        <v>94.76</v>
      </c>
      <c r="DO438" s="2" t="n">
        <v>0</v>
      </c>
      <c r="DP438" s="2" t="n">
        <v>97.46</v>
      </c>
      <c r="DQ438" s="2" t="n">
        <v>97.62</v>
      </c>
      <c r="DR438" s="2" t="n">
        <v>0</v>
      </c>
      <c r="DS438" s="2" t="n">
        <v>98.41</v>
      </c>
      <c r="DT438" s="2" t="n">
        <v>99.74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 customFormat="false" ht="15" hidden="false" customHeight="false" outlineLevel="0" collapsed="false">
      <c r="A439" s="2" t="n">
        <v>3</v>
      </c>
      <c r="B439" s="2" t="s">
        <v>1261</v>
      </c>
      <c r="C439" s="2" t="s">
        <v>1231</v>
      </c>
      <c r="D439" s="2" t="s">
        <v>1189</v>
      </c>
      <c r="E439" s="2" t="s">
        <v>1190</v>
      </c>
      <c r="F439" s="2" t="n">
        <v>6933.8205</v>
      </c>
      <c r="G439" s="2" t="n">
        <v>0</v>
      </c>
      <c r="H439" s="2" t="n">
        <v>6933.8205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8.2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</v>
      </c>
      <c r="DK439" s="2" t="n">
        <v>81.36</v>
      </c>
      <c r="DL439" s="2" t="n">
        <v>0</v>
      </c>
      <c r="DM439" s="2" t="n">
        <v>86.24</v>
      </c>
      <c r="DN439" s="2" t="n">
        <v>94.76</v>
      </c>
      <c r="DO439" s="2" t="n">
        <v>0</v>
      </c>
      <c r="DP439" s="2" t="n">
        <v>97.46</v>
      </c>
      <c r="DQ439" s="2" t="n">
        <v>97.62</v>
      </c>
      <c r="DR439" s="2" t="n">
        <v>0</v>
      </c>
      <c r="DS439" s="2" t="n">
        <v>98.41</v>
      </c>
      <c r="DT439" s="2" t="n">
        <v>99.74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 customFormat="false" ht="15" hidden="false" customHeight="false" outlineLevel="0" collapsed="false">
      <c r="A440" s="2" t="n">
        <v>3</v>
      </c>
      <c r="B440" s="2" t="s">
        <v>1262</v>
      </c>
      <c r="C440" s="2" t="s">
        <v>1249</v>
      </c>
      <c r="D440" s="2" t="s">
        <v>1189</v>
      </c>
      <c r="E440" s="2" t="s">
        <v>1190</v>
      </c>
      <c r="F440" s="2" t="n">
        <v>69502.8565455331</v>
      </c>
      <c r="G440" s="2" t="n">
        <v>0</v>
      </c>
      <c r="H440" s="2" t="n">
        <v>69502.8565455331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8.2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</v>
      </c>
      <c r="DK440" s="2" t="n">
        <v>81.36</v>
      </c>
      <c r="DL440" s="2" t="n">
        <v>0</v>
      </c>
      <c r="DM440" s="2" t="n">
        <v>86.24</v>
      </c>
      <c r="DN440" s="2" t="n">
        <v>94.76</v>
      </c>
      <c r="DO440" s="2" t="n">
        <v>0</v>
      </c>
      <c r="DP440" s="2" t="n">
        <v>97.46</v>
      </c>
      <c r="DQ440" s="2" t="n">
        <v>97.62</v>
      </c>
      <c r="DR440" s="2" t="n">
        <v>0</v>
      </c>
      <c r="DS440" s="2" t="n">
        <v>98.41</v>
      </c>
      <c r="DT440" s="2" t="n">
        <v>99.74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 customFormat="false" ht="15" hidden="false" customHeight="false" outlineLevel="0" collapsed="false">
      <c r="A441" s="2" t="n">
        <v>3</v>
      </c>
      <c r="B441" s="2" t="s">
        <v>1263</v>
      </c>
      <c r="C441" s="2" t="s">
        <v>1264</v>
      </c>
      <c r="D441" s="2" t="s">
        <v>1189</v>
      </c>
      <c r="E441" s="2" t="s">
        <v>1190</v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8.2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</v>
      </c>
      <c r="DK441" s="2" t="n">
        <v>81.36</v>
      </c>
      <c r="DL441" s="2" t="n">
        <v>0</v>
      </c>
      <c r="DM441" s="2" t="n">
        <v>86.24</v>
      </c>
      <c r="DN441" s="2" t="n">
        <v>94.76</v>
      </c>
      <c r="DO441" s="2" t="n">
        <v>0</v>
      </c>
      <c r="DP441" s="2" t="n">
        <v>97.46</v>
      </c>
      <c r="DQ441" s="2" t="n">
        <v>97.62</v>
      </c>
      <c r="DR441" s="2" t="n">
        <v>0</v>
      </c>
      <c r="DS441" s="2" t="n">
        <v>98.41</v>
      </c>
      <c r="DT441" s="2" t="n">
        <v>99.74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 customFormat="false" ht="15" hidden="false" customHeight="false" outlineLevel="0" collapsed="false">
      <c r="A442" s="2" t="n">
        <v>3</v>
      </c>
      <c r="B442" s="2" t="s">
        <v>1265</v>
      </c>
      <c r="C442" s="2" t="s">
        <v>1266</v>
      </c>
      <c r="D442" s="2" t="s">
        <v>1189</v>
      </c>
      <c r="E442" s="2" t="s">
        <v>1190</v>
      </c>
      <c r="F442" s="2" t="n">
        <v>628940.1388095</v>
      </c>
      <c r="G442" s="2" t="n">
        <v>0</v>
      </c>
      <c r="H442" s="2" t="n">
        <v>628940.1388095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8.2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</v>
      </c>
      <c r="DK442" s="2" t="n">
        <v>81.36</v>
      </c>
      <c r="DL442" s="2" t="n">
        <v>0</v>
      </c>
      <c r="DM442" s="2" t="n">
        <v>86.24</v>
      </c>
      <c r="DN442" s="2" t="n">
        <v>94.76</v>
      </c>
      <c r="DO442" s="2" t="n">
        <v>0</v>
      </c>
      <c r="DP442" s="2" t="n">
        <v>97.46</v>
      </c>
      <c r="DQ442" s="2" t="n">
        <v>97.62</v>
      </c>
      <c r="DR442" s="2" t="n">
        <v>0</v>
      </c>
      <c r="DS442" s="2" t="n">
        <v>98.41</v>
      </c>
      <c r="DT442" s="2" t="n">
        <v>99.74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 customFormat="false" ht="15" hidden="false" customHeight="false" outlineLevel="0" collapsed="false">
      <c r="A443" s="2" t="n">
        <v>2</v>
      </c>
      <c r="B443" s="2" t="s">
        <v>1267</v>
      </c>
      <c r="C443" s="2" t="s">
        <v>1268</v>
      </c>
      <c r="D443" s="2" t="s">
        <v>1189</v>
      </c>
      <c r="E443" s="2" t="s">
        <v>1190</v>
      </c>
      <c r="F443" s="2" t="n">
        <v>137089.479246481</v>
      </c>
      <c r="G443" s="2" t="n">
        <v>0</v>
      </c>
      <c r="H443" s="2" t="n">
        <v>137089.479246481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8.2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</v>
      </c>
      <c r="DK443" s="2" t="n">
        <v>81.36</v>
      </c>
      <c r="DL443" s="2" t="n">
        <v>0</v>
      </c>
      <c r="DM443" s="2" t="n">
        <v>86.24</v>
      </c>
      <c r="DN443" s="2" t="n">
        <v>94.76</v>
      </c>
      <c r="DO443" s="2" t="n">
        <v>0</v>
      </c>
      <c r="DP443" s="2" t="n">
        <v>97.46</v>
      </c>
      <c r="DQ443" s="2" t="n">
        <v>97.62</v>
      </c>
      <c r="DR443" s="2" t="n">
        <v>0</v>
      </c>
      <c r="DS443" s="2" t="n">
        <v>98.41</v>
      </c>
      <c r="DT443" s="2" t="n">
        <v>99.74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 customFormat="false" ht="15" hidden="false" customHeight="false" outlineLevel="0" collapsed="false">
      <c r="A444" s="2" t="n">
        <v>3</v>
      </c>
      <c r="B444" s="2" t="s">
        <v>1269</v>
      </c>
      <c r="C444" s="2" t="s">
        <v>1220</v>
      </c>
      <c r="D444" s="2" t="s">
        <v>1189</v>
      </c>
      <c r="E444" s="2" t="s">
        <v>1190</v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8.2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</v>
      </c>
      <c r="DK444" s="2" t="n">
        <v>81.36</v>
      </c>
      <c r="DL444" s="2" t="n">
        <v>0</v>
      </c>
      <c r="DM444" s="2" t="n">
        <v>86.24</v>
      </c>
      <c r="DN444" s="2" t="n">
        <v>94.76</v>
      </c>
      <c r="DO444" s="2" t="n">
        <v>0</v>
      </c>
      <c r="DP444" s="2" t="n">
        <v>97.46</v>
      </c>
      <c r="DQ444" s="2" t="n">
        <v>97.62</v>
      </c>
      <c r="DR444" s="2" t="n">
        <v>0</v>
      </c>
      <c r="DS444" s="2" t="n">
        <v>98.41</v>
      </c>
      <c r="DT444" s="2" t="n">
        <v>99.74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 customFormat="false" ht="15" hidden="false" customHeight="false" outlineLevel="0" collapsed="false">
      <c r="A445" s="2" t="n">
        <v>3</v>
      </c>
      <c r="B445" s="2" t="s">
        <v>1270</v>
      </c>
      <c r="C445" s="2" t="s">
        <v>1271</v>
      </c>
      <c r="D445" s="2" t="s">
        <v>1189</v>
      </c>
      <c r="E445" s="2" t="s">
        <v>1190</v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8.2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</v>
      </c>
      <c r="DK445" s="2" t="n">
        <v>81.36</v>
      </c>
      <c r="DL445" s="2" t="n">
        <v>0</v>
      </c>
      <c r="DM445" s="2" t="n">
        <v>86.24</v>
      </c>
      <c r="DN445" s="2" t="n">
        <v>94.76</v>
      </c>
      <c r="DO445" s="2" t="n">
        <v>0</v>
      </c>
      <c r="DP445" s="2" t="n">
        <v>97.46</v>
      </c>
      <c r="DQ445" s="2" t="n">
        <v>97.62</v>
      </c>
      <c r="DR445" s="2" t="n">
        <v>0</v>
      </c>
      <c r="DS445" s="2" t="n">
        <v>98.41</v>
      </c>
      <c r="DT445" s="2" t="n">
        <v>99.74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 customFormat="false" ht="15" hidden="false" customHeight="false" outlineLevel="0" collapsed="false">
      <c r="A446" s="2" t="n">
        <v>3</v>
      </c>
      <c r="B446" s="2" t="s">
        <v>1272</v>
      </c>
      <c r="C446" s="2" t="s">
        <v>1273</v>
      </c>
      <c r="D446" s="2" t="s">
        <v>1189</v>
      </c>
      <c r="E446" s="2" t="s">
        <v>1190</v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8.2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</v>
      </c>
      <c r="DK446" s="2" t="n">
        <v>81.36</v>
      </c>
      <c r="DL446" s="2" t="n">
        <v>0</v>
      </c>
      <c r="DM446" s="2" t="n">
        <v>86.24</v>
      </c>
      <c r="DN446" s="2" t="n">
        <v>94.76</v>
      </c>
      <c r="DO446" s="2" t="n">
        <v>0</v>
      </c>
      <c r="DP446" s="2" t="n">
        <v>97.46</v>
      </c>
      <c r="DQ446" s="2" t="n">
        <v>97.62</v>
      </c>
      <c r="DR446" s="2" t="n">
        <v>0</v>
      </c>
      <c r="DS446" s="2" t="n">
        <v>98.41</v>
      </c>
      <c r="DT446" s="2" t="n">
        <v>99.74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 customFormat="false" ht="15" hidden="false" customHeight="false" outlineLevel="0" collapsed="false">
      <c r="A447" s="2" t="n">
        <v>3</v>
      </c>
      <c r="B447" s="2" t="s">
        <v>1274</v>
      </c>
      <c r="C447" s="2" t="s">
        <v>1275</v>
      </c>
      <c r="D447" s="2" t="s">
        <v>1189</v>
      </c>
      <c r="E447" s="2" t="s">
        <v>1190</v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8.2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</v>
      </c>
      <c r="DK447" s="2" t="n">
        <v>81.36</v>
      </c>
      <c r="DL447" s="2" t="n">
        <v>0</v>
      </c>
      <c r="DM447" s="2" t="n">
        <v>86.24</v>
      </c>
      <c r="DN447" s="2" t="n">
        <v>94.76</v>
      </c>
      <c r="DO447" s="2" t="n">
        <v>0</v>
      </c>
      <c r="DP447" s="2" t="n">
        <v>97.46</v>
      </c>
      <c r="DQ447" s="2" t="n">
        <v>97.62</v>
      </c>
      <c r="DR447" s="2" t="n">
        <v>0</v>
      </c>
      <c r="DS447" s="2" t="n">
        <v>98.41</v>
      </c>
      <c r="DT447" s="2" t="n">
        <v>99.74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 customFormat="false" ht="15" hidden="false" customHeight="false" outlineLevel="0" collapsed="false">
      <c r="A448" s="2" t="n">
        <v>3</v>
      </c>
      <c r="B448" s="2" t="s">
        <v>1276</v>
      </c>
      <c r="C448" s="2" t="s">
        <v>1277</v>
      </c>
      <c r="D448" s="2" t="s">
        <v>1189</v>
      </c>
      <c r="E448" s="2" t="s">
        <v>1190</v>
      </c>
      <c r="F448" s="2" t="n">
        <v>1113.44767453172</v>
      </c>
      <c r="G448" s="2" t="n">
        <v>0</v>
      </c>
      <c r="H448" s="2" t="n">
        <v>1113.44767453172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8.2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</v>
      </c>
      <c r="DK448" s="2" t="n">
        <v>81.36</v>
      </c>
      <c r="DL448" s="2" t="n">
        <v>0</v>
      </c>
      <c r="DM448" s="2" t="n">
        <v>86.24</v>
      </c>
      <c r="DN448" s="2" t="n">
        <v>94.76</v>
      </c>
      <c r="DO448" s="2" t="n">
        <v>0</v>
      </c>
      <c r="DP448" s="2" t="n">
        <v>97.46</v>
      </c>
      <c r="DQ448" s="2" t="n">
        <v>97.62</v>
      </c>
      <c r="DR448" s="2" t="n">
        <v>0</v>
      </c>
      <c r="DS448" s="2" t="n">
        <v>98.41</v>
      </c>
      <c r="DT448" s="2" t="n">
        <v>99.74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 customFormat="false" ht="15" hidden="false" customHeight="false" outlineLevel="0" collapsed="false">
      <c r="A449" s="2" t="n">
        <v>3</v>
      </c>
      <c r="B449" s="2" t="s">
        <v>1278</v>
      </c>
      <c r="C449" s="2" t="s">
        <v>1279</v>
      </c>
      <c r="D449" s="2" t="s">
        <v>1189</v>
      </c>
      <c r="E449" s="2" t="s">
        <v>1190</v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8.2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</v>
      </c>
      <c r="DK449" s="2" t="n">
        <v>81.36</v>
      </c>
      <c r="DL449" s="2" t="n">
        <v>0</v>
      </c>
      <c r="DM449" s="2" t="n">
        <v>86.24</v>
      </c>
      <c r="DN449" s="2" t="n">
        <v>94.76</v>
      </c>
      <c r="DO449" s="2" t="n">
        <v>0</v>
      </c>
      <c r="DP449" s="2" t="n">
        <v>97.46</v>
      </c>
      <c r="DQ449" s="2" t="n">
        <v>97.62</v>
      </c>
      <c r="DR449" s="2" t="n">
        <v>0</v>
      </c>
      <c r="DS449" s="2" t="n">
        <v>98.41</v>
      </c>
      <c r="DT449" s="2" t="n">
        <v>99.74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 customFormat="false" ht="15" hidden="false" customHeight="false" outlineLevel="0" collapsed="false">
      <c r="A450" s="2" t="n">
        <v>3</v>
      </c>
      <c r="B450" s="2" t="s">
        <v>1280</v>
      </c>
      <c r="C450" s="2" t="s">
        <v>1216</v>
      </c>
      <c r="D450" s="2" t="s">
        <v>1189</v>
      </c>
      <c r="E450" s="2" t="s">
        <v>1190</v>
      </c>
      <c r="F450" s="2" t="n">
        <v>172.790278801762</v>
      </c>
      <c r="G450" s="2" t="n">
        <v>0</v>
      </c>
      <c r="H450" s="2" t="n">
        <v>172.790278801762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8.2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</v>
      </c>
      <c r="DK450" s="2" t="n">
        <v>81.36</v>
      </c>
      <c r="DL450" s="2" t="n">
        <v>0</v>
      </c>
      <c r="DM450" s="2" t="n">
        <v>86.24</v>
      </c>
      <c r="DN450" s="2" t="n">
        <v>94.76</v>
      </c>
      <c r="DO450" s="2" t="n">
        <v>0</v>
      </c>
      <c r="DP450" s="2" t="n">
        <v>97.46</v>
      </c>
      <c r="DQ450" s="2" t="n">
        <v>97.62</v>
      </c>
      <c r="DR450" s="2" t="n">
        <v>0</v>
      </c>
      <c r="DS450" s="2" t="n">
        <v>98.41</v>
      </c>
      <c r="DT450" s="2" t="n">
        <v>99.74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 customFormat="false" ht="15" hidden="false" customHeight="false" outlineLevel="0" collapsed="false">
      <c r="A451" s="2" t="n">
        <v>2</v>
      </c>
      <c r="B451" s="2" t="s">
        <v>1281</v>
      </c>
      <c r="C451" s="2" t="s">
        <v>1282</v>
      </c>
      <c r="D451" s="2" t="s">
        <v>1189</v>
      </c>
      <c r="E451" s="2" t="s">
        <v>1190</v>
      </c>
      <c r="F451" s="2" t="n">
        <v>80720.3657201964</v>
      </c>
      <c r="G451" s="2" t="n">
        <v>0</v>
      </c>
      <c r="H451" s="2" t="n">
        <v>80720.3657201964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8.2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</v>
      </c>
      <c r="DK451" s="2" t="n">
        <v>81.36</v>
      </c>
      <c r="DL451" s="2" t="n">
        <v>0</v>
      </c>
      <c r="DM451" s="2" t="n">
        <v>86.24</v>
      </c>
      <c r="DN451" s="2" t="n">
        <v>94.76</v>
      </c>
      <c r="DO451" s="2" t="n">
        <v>0</v>
      </c>
      <c r="DP451" s="2" t="n">
        <v>97.46</v>
      </c>
      <c r="DQ451" s="2" t="n">
        <v>97.62</v>
      </c>
      <c r="DR451" s="2" t="n">
        <v>0</v>
      </c>
      <c r="DS451" s="2" t="n">
        <v>98.41</v>
      </c>
      <c r="DT451" s="2" t="n">
        <v>99.74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 customFormat="false" ht="15" hidden="false" customHeight="false" outlineLevel="0" collapsed="false">
      <c r="A452" s="2" t="n">
        <v>3</v>
      </c>
      <c r="B452" s="2" t="s">
        <v>1283</v>
      </c>
      <c r="C452" s="2" t="s">
        <v>1284</v>
      </c>
      <c r="D452" s="2" t="s">
        <v>1189</v>
      </c>
      <c r="E452" s="2" t="s">
        <v>1190</v>
      </c>
      <c r="F452" s="2" t="n">
        <v>17524.0016184171</v>
      </c>
      <c r="G452" s="2" t="n">
        <v>0</v>
      </c>
      <c r="H452" s="2" t="n">
        <v>17524.0016184171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8.2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</v>
      </c>
      <c r="DK452" s="2" t="n">
        <v>81.36</v>
      </c>
      <c r="DL452" s="2" t="n">
        <v>0</v>
      </c>
      <c r="DM452" s="2" t="n">
        <v>86.24</v>
      </c>
      <c r="DN452" s="2" t="n">
        <v>94.76</v>
      </c>
      <c r="DO452" s="2" t="n">
        <v>0</v>
      </c>
      <c r="DP452" s="2" t="n">
        <v>97.46</v>
      </c>
      <c r="DQ452" s="2" t="n">
        <v>97.62</v>
      </c>
      <c r="DR452" s="2" t="n">
        <v>0</v>
      </c>
      <c r="DS452" s="2" t="n">
        <v>98.41</v>
      </c>
      <c r="DT452" s="2" t="n">
        <v>99.74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 customFormat="false" ht="15" hidden="false" customHeight="false" outlineLevel="0" collapsed="false">
      <c r="A453" s="2" t="n">
        <v>3</v>
      </c>
      <c r="B453" s="2" t="s">
        <v>1285</v>
      </c>
      <c r="C453" s="2" t="s">
        <v>1286</v>
      </c>
      <c r="D453" s="2" t="s">
        <v>1189</v>
      </c>
      <c r="E453" s="2" t="s">
        <v>1190</v>
      </c>
      <c r="F453" s="2" t="n">
        <v>8371.72392214958</v>
      </c>
      <c r="G453" s="2" t="n">
        <v>0</v>
      </c>
      <c r="H453" s="2" t="n">
        <v>8371.72392214958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8.2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</v>
      </c>
      <c r="DK453" s="2" t="n">
        <v>81.36</v>
      </c>
      <c r="DL453" s="2" t="n">
        <v>0</v>
      </c>
      <c r="DM453" s="2" t="n">
        <v>86.24</v>
      </c>
      <c r="DN453" s="2" t="n">
        <v>94.76</v>
      </c>
      <c r="DO453" s="2" t="n">
        <v>0</v>
      </c>
      <c r="DP453" s="2" t="n">
        <v>97.46</v>
      </c>
      <c r="DQ453" s="2" t="n">
        <v>97.62</v>
      </c>
      <c r="DR453" s="2" t="n">
        <v>0</v>
      </c>
      <c r="DS453" s="2" t="n">
        <v>98.41</v>
      </c>
      <c r="DT453" s="2" t="n">
        <v>99.74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 customFormat="false" ht="15" hidden="false" customHeight="false" outlineLevel="0" collapsed="false">
      <c r="A454" s="2" t="n">
        <v>3</v>
      </c>
      <c r="B454" s="2" t="s">
        <v>1287</v>
      </c>
      <c r="C454" s="2" t="s">
        <v>1288</v>
      </c>
      <c r="D454" s="2" t="s">
        <v>1189</v>
      </c>
      <c r="E454" s="2" t="s">
        <v>1190</v>
      </c>
      <c r="F454" s="2" t="n">
        <v>43688.9543215746</v>
      </c>
      <c r="G454" s="2" t="n">
        <v>0</v>
      </c>
      <c r="H454" s="2" t="n">
        <v>43688.9543215746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8.2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</v>
      </c>
      <c r="DK454" s="2" t="n">
        <v>81.36</v>
      </c>
      <c r="DL454" s="2" t="n">
        <v>0</v>
      </c>
      <c r="DM454" s="2" t="n">
        <v>86.24</v>
      </c>
      <c r="DN454" s="2" t="n">
        <v>94.76</v>
      </c>
      <c r="DO454" s="2" t="n">
        <v>0</v>
      </c>
      <c r="DP454" s="2" t="n">
        <v>97.46</v>
      </c>
      <c r="DQ454" s="2" t="n">
        <v>97.62</v>
      </c>
      <c r="DR454" s="2" t="n">
        <v>0</v>
      </c>
      <c r="DS454" s="2" t="n">
        <v>98.41</v>
      </c>
      <c r="DT454" s="2" t="n">
        <v>99.74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 customFormat="false" ht="15" hidden="false" customHeight="false" outlineLevel="0" collapsed="false">
      <c r="A455" s="2" t="n">
        <v>3</v>
      </c>
      <c r="B455" s="2" t="s">
        <v>1289</v>
      </c>
      <c r="C455" s="2" t="s">
        <v>1290</v>
      </c>
      <c r="D455" s="2" t="s">
        <v>1189</v>
      </c>
      <c r="E455" s="2" t="s">
        <v>1190</v>
      </c>
      <c r="F455" s="2" t="n">
        <v>10055.746615544</v>
      </c>
      <c r="G455" s="2" t="n">
        <v>0</v>
      </c>
      <c r="H455" s="2" t="n">
        <v>10055.746615544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8.2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</v>
      </c>
      <c r="DK455" s="2" t="n">
        <v>81.36</v>
      </c>
      <c r="DL455" s="2" t="n">
        <v>0</v>
      </c>
      <c r="DM455" s="2" t="n">
        <v>86.24</v>
      </c>
      <c r="DN455" s="2" t="n">
        <v>94.76</v>
      </c>
      <c r="DO455" s="2" t="n">
        <v>0</v>
      </c>
      <c r="DP455" s="2" t="n">
        <v>97.46</v>
      </c>
      <c r="DQ455" s="2" t="n">
        <v>97.62</v>
      </c>
      <c r="DR455" s="2" t="n">
        <v>0</v>
      </c>
      <c r="DS455" s="2" t="n">
        <v>98.41</v>
      </c>
      <c r="DT455" s="2" t="n">
        <v>99.74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 customFormat="false" ht="15" hidden="false" customHeight="false" outlineLevel="0" collapsed="false">
      <c r="A456" s="2" t="n">
        <v>3</v>
      </c>
      <c r="B456" s="2" t="s">
        <v>1291</v>
      </c>
      <c r="C456" s="2" t="s">
        <v>1216</v>
      </c>
      <c r="D456" s="2" t="s">
        <v>1189</v>
      </c>
      <c r="E456" s="2" t="s">
        <v>1190</v>
      </c>
      <c r="F456" s="2" t="n">
        <v>1079.93924251101</v>
      </c>
      <c r="G456" s="2" t="n">
        <v>0</v>
      </c>
      <c r="H456" s="2" t="n">
        <v>1079.93924251101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8.2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</v>
      </c>
      <c r="DK456" s="2" t="n">
        <v>81.36</v>
      </c>
      <c r="DL456" s="2" t="n">
        <v>0</v>
      </c>
      <c r="DM456" s="2" t="n">
        <v>86.24</v>
      </c>
      <c r="DN456" s="2" t="n">
        <v>94.76</v>
      </c>
      <c r="DO456" s="2" t="n">
        <v>0</v>
      </c>
      <c r="DP456" s="2" t="n">
        <v>97.46</v>
      </c>
      <c r="DQ456" s="2" t="n">
        <v>97.62</v>
      </c>
      <c r="DR456" s="2" t="n">
        <v>0</v>
      </c>
      <c r="DS456" s="2" t="n">
        <v>98.41</v>
      </c>
      <c r="DT456" s="2" t="n">
        <v>99.74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 customFormat="false" ht="15" hidden="false" customHeight="false" outlineLevel="0" collapsed="false">
      <c r="A457" s="2" t="n">
        <v>2</v>
      </c>
      <c r="B457" s="2" t="s">
        <v>1292</v>
      </c>
      <c r="C457" s="2" t="s">
        <v>1293</v>
      </c>
      <c r="D457" s="2" t="s">
        <v>1189</v>
      </c>
      <c r="E457" s="2" t="s">
        <v>1190</v>
      </c>
      <c r="F457" s="2" t="n">
        <v>51892.2894167056</v>
      </c>
      <c r="G457" s="2" t="n">
        <v>0</v>
      </c>
      <c r="H457" s="2" t="n">
        <v>51892.2894167056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8.2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</v>
      </c>
      <c r="DK457" s="2" t="n">
        <v>81.36</v>
      </c>
      <c r="DL457" s="2" t="n">
        <v>0</v>
      </c>
      <c r="DM457" s="2" t="n">
        <v>86.24</v>
      </c>
      <c r="DN457" s="2" t="n">
        <v>94.76</v>
      </c>
      <c r="DO457" s="2" t="n">
        <v>0</v>
      </c>
      <c r="DP457" s="2" t="n">
        <v>97.46</v>
      </c>
      <c r="DQ457" s="2" t="n">
        <v>97.62</v>
      </c>
      <c r="DR457" s="2" t="n">
        <v>0</v>
      </c>
      <c r="DS457" s="2" t="n">
        <v>98.41</v>
      </c>
      <c r="DT457" s="2" t="n">
        <v>99.74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 customFormat="false" ht="15" hidden="false" customHeight="false" outlineLevel="0" collapsed="false">
      <c r="A458" s="2" t="n">
        <v>3</v>
      </c>
      <c r="B458" s="2" t="s">
        <v>1294</v>
      </c>
      <c r="C458" s="2" t="s">
        <v>1220</v>
      </c>
      <c r="D458" s="2" t="s">
        <v>1189</v>
      </c>
      <c r="E458" s="2" t="s">
        <v>1190</v>
      </c>
      <c r="F458" s="2" t="n">
        <v>5613.3951379038</v>
      </c>
      <c r="G458" s="2" t="n">
        <v>0</v>
      </c>
      <c r="H458" s="2" t="n">
        <v>5613.3951379038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8.2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</v>
      </c>
      <c r="DK458" s="2" t="n">
        <v>81.36</v>
      </c>
      <c r="DL458" s="2" t="n">
        <v>0</v>
      </c>
      <c r="DM458" s="2" t="n">
        <v>86.24</v>
      </c>
      <c r="DN458" s="2" t="n">
        <v>94.76</v>
      </c>
      <c r="DO458" s="2" t="n">
        <v>0</v>
      </c>
      <c r="DP458" s="2" t="n">
        <v>97.46</v>
      </c>
      <c r="DQ458" s="2" t="n">
        <v>97.62</v>
      </c>
      <c r="DR458" s="2" t="n">
        <v>0</v>
      </c>
      <c r="DS458" s="2" t="n">
        <v>98.41</v>
      </c>
      <c r="DT458" s="2" t="n">
        <v>99.74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 customFormat="false" ht="15" hidden="false" customHeight="false" outlineLevel="0" collapsed="false">
      <c r="A459" s="2" t="n">
        <v>3</v>
      </c>
      <c r="B459" s="2" t="s">
        <v>1295</v>
      </c>
      <c r="C459" s="2" t="s">
        <v>1296</v>
      </c>
      <c r="D459" s="2" t="s">
        <v>1189</v>
      </c>
      <c r="E459" s="2" t="s">
        <v>1190</v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8.2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</v>
      </c>
      <c r="DK459" s="2" t="n">
        <v>81.36</v>
      </c>
      <c r="DL459" s="2" t="n">
        <v>0</v>
      </c>
      <c r="DM459" s="2" t="n">
        <v>86.24</v>
      </c>
      <c r="DN459" s="2" t="n">
        <v>94.76</v>
      </c>
      <c r="DO459" s="2" t="n">
        <v>0</v>
      </c>
      <c r="DP459" s="2" t="n">
        <v>97.46</v>
      </c>
      <c r="DQ459" s="2" t="n">
        <v>97.62</v>
      </c>
      <c r="DR459" s="2" t="n">
        <v>0</v>
      </c>
      <c r="DS459" s="2" t="n">
        <v>98.41</v>
      </c>
      <c r="DT459" s="2" t="n">
        <v>99.74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 customFormat="false" ht="15" hidden="false" customHeight="false" outlineLevel="0" collapsed="false">
      <c r="A460" s="2" t="n">
        <v>3</v>
      </c>
      <c r="B460" s="2" t="s">
        <v>1297</v>
      </c>
      <c r="C460" s="2" t="s">
        <v>1298</v>
      </c>
      <c r="D460" s="2" t="s">
        <v>1189</v>
      </c>
      <c r="E460" s="2" t="s">
        <v>1190</v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8.2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</v>
      </c>
      <c r="DK460" s="2" t="n">
        <v>81.36</v>
      </c>
      <c r="DL460" s="2" t="n">
        <v>0</v>
      </c>
      <c r="DM460" s="2" t="n">
        <v>86.24</v>
      </c>
      <c r="DN460" s="2" t="n">
        <v>94.76</v>
      </c>
      <c r="DO460" s="2" t="n">
        <v>0</v>
      </c>
      <c r="DP460" s="2" t="n">
        <v>97.46</v>
      </c>
      <c r="DQ460" s="2" t="n">
        <v>97.62</v>
      </c>
      <c r="DR460" s="2" t="n">
        <v>0</v>
      </c>
      <c r="DS460" s="2" t="n">
        <v>98.41</v>
      </c>
      <c r="DT460" s="2" t="n">
        <v>99.74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 customFormat="false" ht="15" hidden="false" customHeight="false" outlineLevel="0" collapsed="false">
      <c r="A461" s="2" t="n">
        <v>3</v>
      </c>
      <c r="B461" s="2" t="s">
        <v>1299</v>
      </c>
      <c r="C461" s="2" t="s">
        <v>1216</v>
      </c>
      <c r="D461" s="2" t="s">
        <v>1189</v>
      </c>
      <c r="E461" s="2" t="s">
        <v>1190</v>
      </c>
      <c r="F461" s="2" t="n">
        <v>172.790278801762</v>
      </c>
      <c r="G461" s="2" t="n">
        <v>0</v>
      </c>
      <c r="H461" s="2" t="n">
        <v>172.790278801762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8.2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</v>
      </c>
      <c r="DK461" s="2" t="n">
        <v>81.36</v>
      </c>
      <c r="DL461" s="2" t="n">
        <v>0</v>
      </c>
      <c r="DM461" s="2" t="n">
        <v>86.24</v>
      </c>
      <c r="DN461" s="2" t="n">
        <v>94.76</v>
      </c>
      <c r="DO461" s="2" t="n">
        <v>0</v>
      </c>
      <c r="DP461" s="2" t="n">
        <v>97.46</v>
      </c>
      <c r="DQ461" s="2" t="n">
        <v>97.62</v>
      </c>
      <c r="DR461" s="2" t="n">
        <v>0</v>
      </c>
      <c r="DS461" s="2" t="n">
        <v>98.41</v>
      </c>
      <c r="DT461" s="2" t="n">
        <v>99.74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 customFormat="false" ht="15" hidden="false" customHeight="false" outlineLevel="0" collapsed="false">
      <c r="A462" s="2" t="n">
        <v>2</v>
      </c>
      <c r="B462" s="2" t="s">
        <v>1300</v>
      </c>
      <c r="C462" s="2" t="s">
        <v>1301</v>
      </c>
      <c r="D462" s="2" t="s">
        <v>1189</v>
      </c>
      <c r="E462" s="2" t="s">
        <v>1190</v>
      </c>
      <c r="F462" s="2" t="n">
        <v>20598.0057237093</v>
      </c>
      <c r="G462" s="2" t="n">
        <v>0</v>
      </c>
      <c r="H462" s="2" t="n">
        <v>20598.0057237093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8.2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</v>
      </c>
      <c r="DK462" s="2" t="n">
        <v>81.36</v>
      </c>
      <c r="DL462" s="2" t="n">
        <v>0</v>
      </c>
      <c r="DM462" s="2" t="n">
        <v>86.24</v>
      </c>
      <c r="DN462" s="2" t="n">
        <v>94.76</v>
      </c>
      <c r="DO462" s="2" t="n">
        <v>0</v>
      </c>
      <c r="DP462" s="2" t="n">
        <v>97.46</v>
      </c>
      <c r="DQ462" s="2" t="n">
        <v>97.62</v>
      </c>
      <c r="DR462" s="2" t="n">
        <v>0</v>
      </c>
      <c r="DS462" s="2" t="n">
        <v>98.41</v>
      </c>
      <c r="DT462" s="2" t="n">
        <v>99.74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 customFormat="false" ht="15" hidden="false" customHeight="false" outlineLevel="0" collapsed="false">
      <c r="A463" s="2" t="n">
        <v>3</v>
      </c>
      <c r="B463" s="2" t="s">
        <v>1302</v>
      </c>
      <c r="C463" s="2" t="s">
        <v>1303</v>
      </c>
      <c r="D463" s="2" t="s">
        <v>1189</v>
      </c>
      <c r="E463" s="2" t="s">
        <v>1190</v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8.2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</v>
      </c>
      <c r="DK463" s="2" t="n">
        <v>81.36</v>
      </c>
      <c r="DL463" s="2" t="n">
        <v>0</v>
      </c>
      <c r="DM463" s="2" t="n">
        <v>86.24</v>
      </c>
      <c r="DN463" s="2" t="n">
        <v>94.76</v>
      </c>
      <c r="DO463" s="2" t="n">
        <v>0</v>
      </c>
      <c r="DP463" s="2" t="n">
        <v>97.46</v>
      </c>
      <c r="DQ463" s="2" t="n">
        <v>97.62</v>
      </c>
      <c r="DR463" s="2" t="n">
        <v>0</v>
      </c>
      <c r="DS463" s="2" t="n">
        <v>98.41</v>
      </c>
      <c r="DT463" s="2" t="n">
        <v>99.74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 customFormat="false" ht="15" hidden="false" customHeight="false" outlineLevel="0" collapsed="false">
      <c r="A464" s="2" t="n">
        <v>3</v>
      </c>
      <c r="B464" s="2" t="s">
        <v>1304</v>
      </c>
      <c r="C464" s="2" t="s">
        <v>1305</v>
      </c>
      <c r="D464" s="2" t="s">
        <v>1189</v>
      </c>
      <c r="E464" s="2" t="s">
        <v>1190</v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8.2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</v>
      </c>
      <c r="DK464" s="2" t="n">
        <v>81.36</v>
      </c>
      <c r="DL464" s="2" t="n">
        <v>0</v>
      </c>
      <c r="DM464" s="2" t="n">
        <v>86.24</v>
      </c>
      <c r="DN464" s="2" t="n">
        <v>94.76</v>
      </c>
      <c r="DO464" s="2" t="n">
        <v>0</v>
      </c>
      <c r="DP464" s="2" t="n">
        <v>97.46</v>
      </c>
      <c r="DQ464" s="2" t="n">
        <v>97.62</v>
      </c>
      <c r="DR464" s="2" t="n">
        <v>0</v>
      </c>
      <c r="DS464" s="2" t="n">
        <v>98.41</v>
      </c>
      <c r="DT464" s="2" t="n">
        <v>99.74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 customFormat="false" ht="15" hidden="false" customHeight="false" outlineLevel="0" collapsed="false">
      <c r="A465" s="2" t="n">
        <v>3</v>
      </c>
      <c r="B465" s="2" t="s">
        <v>1306</v>
      </c>
      <c r="C465" s="2" t="s">
        <v>1307</v>
      </c>
      <c r="D465" s="2" t="s">
        <v>1189</v>
      </c>
      <c r="E465" s="2" t="s">
        <v>1190</v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8.2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</v>
      </c>
      <c r="DK465" s="2" t="n">
        <v>81.36</v>
      </c>
      <c r="DL465" s="2" t="n">
        <v>0</v>
      </c>
      <c r="DM465" s="2" t="n">
        <v>86.24</v>
      </c>
      <c r="DN465" s="2" t="n">
        <v>94.76</v>
      </c>
      <c r="DO465" s="2" t="n">
        <v>0</v>
      </c>
      <c r="DP465" s="2" t="n">
        <v>97.46</v>
      </c>
      <c r="DQ465" s="2" t="n">
        <v>97.62</v>
      </c>
      <c r="DR465" s="2" t="n">
        <v>0</v>
      </c>
      <c r="DS465" s="2" t="n">
        <v>98.41</v>
      </c>
      <c r="DT465" s="2" t="n">
        <v>99.74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 customFormat="false" ht="15" hidden="false" customHeight="false" outlineLevel="0" collapsed="false">
      <c r="A466" s="2" t="n">
        <v>3</v>
      </c>
      <c r="B466" s="2" t="s">
        <v>1308</v>
      </c>
      <c r="C466" s="2" t="s">
        <v>1216</v>
      </c>
      <c r="D466" s="2" t="s">
        <v>1189</v>
      </c>
      <c r="E466" s="2" t="s">
        <v>1190</v>
      </c>
      <c r="F466" s="2" t="n">
        <v>907.148963709252</v>
      </c>
      <c r="G466" s="2" t="n">
        <v>0</v>
      </c>
      <c r="H466" s="2" t="n">
        <v>907.148963709252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8.2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</v>
      </c>
      <c r="DK466" s="2" t="n">
        <v>81.36</v>
      </c>
      <c r="DL466" s="2" t="n">
        <v>0</v>
      </c>
      <c r="DM466" s="2" t="n">
        <v>86.24</v>
      </c>
      <c r="DN466" s="2" t="n">
        <v>94.76</v>
      </c>
      <c r="DO466" s="2" t="n">
        <v>0</v>
      </c>
      <c r="DP466" s="2" t="n">
        <v>97.46</v>
      </c>
      <c r="DQ466" s="2" t="n">
        <v>97.62</v>
      </c>
      <c r="DR466" s="2" t="n">
        <v>0</v>
      </c>
      <c r="DS466" s="2" t="n">
        <v>98.41</v>
      </c>
      <c r="DT466" s="2" t="n">
        <v>99.74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 customFormat="false" ht="15" hidden="false" customHeight="false" outlineLevel="0" collapsed="false">
      <c r="A467" s="2" t="n">
        <v>2</v>
      </c>
      <c r="B467" s="2" t="s">
        <v>1309</v>
      </c>
      <c r="C467" s="2" t="s">
        <v>1310</v>
      </c>
      <c r="D467" s="2" t="s">
        <v>1189</v>
      </c>
      <c r="E467" s="2" t="s">
        <v>1190</v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8.2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</v>
      </c>
      <c r="DK467" s="2" t="n">
        <v>81.36</v>
      </c>
      <c r="DL467" s="2" t="n">
        <v>0</v>
      </c>
      <c r="DM467" s="2" t="n">
        <v>86.24</v>
      </c>
      <c r="DN467" s="2" t="n">
        <v>94.76</v>
      </c>
      <c r="DO467" s="2" t="n">
        <v>0</v>
      </c>
      <c r="DP467" s="2" t="n">
        <v>97.46</v>
      </c>
      <c r="DQ467" s="2" t="n">
        <v>97.62</v>
      </c>
      <c r="DR467" s="2" t="n">
        <v>0</v>
      </c>
      <c r="DS467" s="2" t="n">
        <v>98.41</v>
      </c>
      <c r="DT467" s="2" t="n">
        <v>99.74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 customFormat="false" ht="15" hidden="false" customHeight="false" outlineLevel="0" collapsed="false">
      <c r="A468" s="2" t="n">
        <v>3</v>
      </c>
      <c r="B468" s="2" t="s">
        <v>1311</v>
      </c>
      <c r="C468" s="2" t="s">
        <v>1310</v>
      </c>
      <c r="D468" s="2" t="s">
        <v>1189</v>
      </c>
      <c r="E468" s="2" t="s">
        <v>1190</v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8.2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</v>
      </c>
      <c r="DK468" s="2" t="n">
        <v>81.36</v>
      </c>
      <c r="DL468" s="2" t="n">
        <v>0</v>
      </c>
      <c r="DM468" s="2" t="n">
        <v>86.24</v>
      </c>
      <c r="DN468" s="2" t="n">
        <v>94.76</v>
      </c>
      <c r="DO468" s="2" t="n">
        <v>0</v>
      </c>
      <c r="DP468" s="2" t="n">
        <v>97.46</v>
      </c>
      <c r="DQ468" s="2" t="n">
        <v>97.62</v>
      </c>
      <c r="DR468" s="2" t="n">
        <v>0</v>
      </c>
      <c r="DS468" s="2" t="n">
        <v>98.41</v>
      </c>
      <c r="DT468" s="2" t="n">
        <v>99.74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 customFormat="false" ht="15" hidden="false" customHeight="false" outlineLevel="0" collapsed="false">
      <c r="A469" s="2" t="n">
        <v>2</v>
      </c>
      <c r="B469" s="2" t="s">
        <v>1312</v>
      </c>
      <c r="C469" s="2" t="s">
        <v>1313</v>
      </c>
      <c r="D469" s="2" t="s">
        <v>1189</v>
      </c>
      <c r="E469" s="2" t="s">
        <v>1190</v>
      </c>
      <c r="F469" s="2" t="n">
        <v>85469.0556375738</v>
      </c>
      <c r="G469" s="2" t="n">
        <v>0</v>
      </c>
      <c r="H469" s="2" t="n">
        <v>85469.0556375738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8.2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</v>
      </c>
      <c r="DK469" s="2" t="n">
        <v>81.36</v>
      </c>
      <c r="DL469" s="2" t="n">
        <v>0</v>
      </c>
      <c r="DM469" s="2" t="n">
        <v>86.24</v>
      </c>
      <c r="DN469" s="2" t="n">
        <v>94.76</v>
      </c>
      <c r="DO469" s="2" t="n">
        <v>0</v>
      </c>
      <c r="DP469" s="2" t="n">
        <v>97.46</v>
      </c>
      <c r="DQ469" s="2" t="n">
        <v>97.62</v>
      </c>
      <c r="DR469" s="2" t="n">
        <v>0</v>
      </c>
      <c r="DS469" s="2" t="n">
        <v>98.41</v>
      </c>
      <c r="DT469" s="2" t="n">
        <v>99.74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 customFormat="false" ht="15" hidden="false" customHeight="false" outlineLevel="0" collapsed="false">
      <c r="A470" s="2" t="n">
        <v>3</v>
      </c>
      <c r="B470" s="2" t="s">
        <v>1314</v>
      </c>
      <c r="C470" s="2" t="s">
        <v>1220</v>
      </c>
      <c r="D470" s="2" t="s">
        <v>1189</v>
      </c>
      <c r="E470" s="2" t="s">
        <v>1190</v>
      </c>
      <c r="F470" s="2" t="n">
        <v>8408.55553838645</v>
      </c>
      <c r="G470" s="2" t="n">
        <v>0</v>
      </c>
      <c r="H470" s="2" t="n">
        <v>8408.55553838645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8.2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</v>
      </c>
      <c r="DK470" s="2" t="n">
        <v>81.36</v>
      </c>
      <c r="DL470" s="2" t="n">
        <v>0</v>
      </c>
      <c r="DM470" s="2" t="n">
        <v>86.24</v>
      </c>
      <c r="DN470" s="2" t="n">
        <v>94.76</v>
      </c>
      <c r="DO470" s="2" t="n">
        <v>0</v>
      </c>
      <c r="DP470" s="2" t="n">
        <v>97.46</v>
      </c>
      <c r="DQ470" s="2" t="n">
        <v>97.62</v>
      </c>
      <c r="DR470" s="2" t="n">
        <v>0</v>
      </c>
      <c r="DS470" s="2" t="n">
        <v>98.41</v>
      </c>
      <c r="DT470" s="2" t="n">
        <v>99.74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 customFormat="false" ht="15" hidden="false" customHeight="false" outlineLevel="0" collapsed="false">
      <c r="A471" s="2" t="n">
        <v>3</v>
      </c>
      <c r="B471" s="2" t="s">
        <v>1315</v>
      </c>
      <c r="C471" s="2" t="s">
        <v>1316</v>
      </c>
      <c r="D471" s="2" t="s">
        <v>1189</v>
      </c>
      <c r="E471" s="2" t="s">
        <v>1190</v>
      </c>
      <c r="F471" s="2" t="n">
        <v>14188.7453685662</v>
      </c>
      <c r="G471" s="2" t="n">
        <v>0</v>
      </c>
      <c r="H471" s="2" t="n">
        <v>14188.7453685662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8.2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</v>
      </c>
      <c r="DK471" s="2" t="n">
        <v>81.36</v>
      </c>
      <c r="DL471" s="2" t="n">
        <v>0</v>
      </c>
      <c r="DM471" s="2" t="n">
        <v>86.24</v>
      </c>
      <c r="DN471" s="2" t="n">
        <v>94.76</v>
      </c>
      <c r="DO471" s="2" t="n">
        <v>0</v>
      </c>
      <c r="DP471" s="2" t="n">
        <v>97.46</v>
      </c>
      <c r="DQ471" s="2" t="n">
        <v>97.62</v>
      </c>
      <c r="DR471" s="2" t="n">
        <v>0</v>
      </c>
      <c r="DS471" s="2" t="n">
        <v>98.41</v>
      </c>
      <c r="DT471" s="2" t="n">
        <v>99.74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 customFormat="false" ht="15" hidden="false" customHeight="false" outlineLevel="0" collapsed="false">
      <c r="A472" s="2" t="n">
        <v>3</v>
      </c>
      <c r="B472" s="2" t="s">
        <v>1317</v>
      </c>
      <c r="C472" s="2" t="s">
        <v>1231</v>
      </c>
      <c r="D472" s="2" t="s">
        <v>1189</v>
      </c>
      <c r="E472" s="2" t="s">
        <v>1190</v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8.2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</v>
      </c>
      <c r="DK472" s="2" t="n">
        <v>81.36</v>
      </c>
      <c r="DL472" s="2" t="n">
        <v>0</v>
      </c>
      <c r="DM472" s="2" t="n">
        <v>86.24</v>
      </c>
      <c r="DN472" s="2" t="n">
        <v>94.76</v>
      </c>
      <c r="DO472" s="2" t="n">
        <v>0</v>
      </c>
      <c r="DP472" s="2" t="n">
        <v>97.46</v>
      </c>
      <c r="DQ472" s="2" t="n">
        <v>97.62</v>
      </c>
      <c r="DR472" s="2" t="n">
        <v>0</v>
      </c>
      <c r="DS472" s="2" t="n">
        <v>98.41</v>
      </c>
      <c r="DT472" s="2" t="n">
        <v>99.74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 customFormat="false" ht="15" hidden="false" customHeight="false" outlineLevel="0" collapsed="false">
      <c r="A473" s="2" t="n">
        <v>3</v>
      </c>
      <c r="B473" s="2" t="s">
        <v>1318</v>
      </c>
      <c r="C473" s="2" t="s">
        <v>1319</v>
      </c>
      <c r="D473" s="2" t="s">
        <v>1189</v>
      </c>
      <c r="E473" s="2" t="s">
        <v>1190</v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8.2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</v>
      </c>
      <c r="DK473" s="2" t="n">
        <v>81.36</v>
      </c>
      <c r="DL473" s="2" t="n">
        <v>0</v>
      </c>
      <c r="DM473" s="2" t="n">
        <v>86.24</v>
      </c>
      <c r="DN473" s="2" t="n">
        <v>94.76</v>
      </c>
      <c r="DO473" s="2" t="n">
        <v>0</v>
      </c>
      <c r="DP473" s="2" t="n">
        <v>97.46</v>
      </c>
      <c r="DQ473" s="2" t="n">
        <v>97.62</v>
      </c>
      <c r="DR473" s="2" t="n">
        <v>0</v>
      </c>
      <c r="DS473" s="2" t="n">
        <v>98.41</v>
      </c>
      <c r="DT473" s="2" t="n">
        <v>99.74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 customFormat="false" ht="15" hidden="false" customHeight="false" outlineLevel="0" collapsed="false">
      <c r="A474" s="2" t="n">
        <v>3</v>
      </c>
      <c r="B474" s="2" t="s">
        <v>1320</v>
      </c>
      <c r="C474" s="2" t="s">
        <v>1321</v>
      </c>
      <c r="D474" s="2" t="s">
        <v>1189</v>
      </c>
      <c r="E474" s="2" t="s">
        <v>1190</v>
      </c>
      <c r="F474" s="2" t="n">
        <v>2602.24609911672</v>
      </c>
      <c r="G474" s="2" t="n">
        <v>0</v>
      </c>
      <c r="H474" s="2" t="n">
        <v>2602.24609911672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8.2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</v>
      </c>
      <c r="DK474" s="2" t="n">
        <v>81.36</v>
      </c>
      <c r="DL474" s="2" t="n">
        <v>0</v>
      </c>
      <c r="DM474" s="2" t="n">
        <v>86.24</v>
      </c>
      <c r="DN474" s="2" t="n">
        <v>94.76</v>
      </c>
      <c r="DO474" s="2" t="n">
        <v>0</v>
      </c>
      <c r="DP474" s="2" t="n">
        <v>97.46</v>
      </c>
      <c r="DQ474" s="2" t="n">
        <v>97.62</v>
      </c>
      <c r="DR474" s="2" t="n">
        <v>0</v>
      </c>
      <c r="DS474" s="2" t="n">
        <v>98.41</v>
      </c>
      <c r="DT474" s="2" t="n">
        <v>99.74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 customFormat="false" ht="15" hidden="false" customHeight="false" outlineLevel="0" collapsed="false">
      <c r="A475" s="2" t="n">
        <v>3</v>
      </c>
      <c r="B475" s="2" t="s">
        <v>1322</v>
      </c>
      <c r="C475" s="2" t="s">
        <v>1323</v>
      </c>
      <c r="D475" s="2" t="s">
        <v>1189</v>
      </c>
      <c r="E475" s="2" t="s">
        <v>1190</v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8.2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</v>
      </c>
      <c r="DK475" s="2" t="n">
        <v>81.36</v>
      </c>
      <c r="DL475" s="2" t="n">
        <v>0</v>
      </c>
      <c r="DM475" s="2" t="n">
        <v>86.24</v>
      </c>
      <c r="DN475" s="2" t="n">
        <v>94.76</v>
      </c>
      <c r="DO475" s="2" t="n">
        <v>0</v>
      </c>
      <c r="DP475" s="2" t="n">
        <v>97.46</v>
      </c>
      <c r="DQ475" s="2" t="n">
        <v>97.62</v>
      </c>
      <c r="DR475" s="2" t="n">
        <v>0</v>
      </c>
      <c r="DS475" s="2" t="n">
        <v>98.41</v>
      </c>
      <c r="DT475" s="2" t="n">
        <v>99.74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 customFormat="false" ht="15" hidden="false" customHeight="false" outlineLevel="0" collapsed="false">
      <c r="A476" s="2" t="n">
        <v>3</v>
      </c>
      <c r="B476" s="2" t="s">
        <v>1324</v>
      </c>
      <c r="C476" s="2" t="s">
        <v>1325</v>
      </c>
      <c r="D476" s="2" t="s">
        <v>1189</v>
      </c>
      <c r="E476" s="2" t="s">
        <v>1190</v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8.2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</v>
      </c>
      <c r="DK476" s="2" t="n">
        <v>81.36</v>
      </c>
      <c r="DL476" s="2" t="n">
        <v>0</v>
      </c>
      <c r="DM476" s="2" t="n">
        <v>86.24</v>
      </c>
      <c r="DN476" s="2" t="n">
        <v>94.76</v>
      </c>
      <c r="DO476" s="2" t="n">
        <v>0</v>
      </c>
      <c r="DP476" s="2" t="n">
        <v>97.46</v>
      </c>
      <c r="DQ476" s="2" t="n">
        <v>97.62</v>
      </c>
      <c r="DR476" s="2" t="n">
        <v>0</v>
      </c>
      <c r="DS476" s="2" t="n">
        <v>98.41</v>
      </c>
      <c r="DT476" s="2" t="n">
        <v>99.74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 customFormat="false" ht="15" hidden="false" customHeight="false" outlineLevel="0" collapsed="false">
      <c r="A477" s="2" t="n">
        <v>3</v>
      </c>
      <c r="B477" s="2" t="s">
        <v>1326</v>
      </c>
      <c r="C477" s="2" t="s">
        <v>1216</v>
      </c>
      <c r="D477" s="2" t="s">
        <v>1189</v>
      </c>
      <c r="E477" s="2" t="s">
        <v>1190</v>
      </c>
      <c r="F477" s="2" t="n">
        <v>431.975697004405</v>
      </c>
      <c r="G477" s="2" t="n">
        <v>0</v>
      </c>
      <c r="H477" s="2" t="n">
        <v>431.975697004405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8.2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</v>
      </c>
      <c r="DK477" s="2" t="n">
        <v>81.36</v>
      </c>
      <c r="DL477" s="2" t="n">
        <v>0</v>
      </c>
      <c r="DM477" s="2" t="n">
        <v>86.24</v>
      </c>
      <c r="DN477" s="2" t="n">
        <v>94.76</v>
      </c>
      <c r="DO477" s="2" t="n">
        <v>0</v>
      </c>
      <c r="DP477" s="2" t="n">
        <v>97.46</v>
      </c>
      <c r="DQ477" s="2" t="n">
        <v>97.62</v>
      </c>
      <c r="DR477" s="2" t="n">
        <v>0</v>
      </c>
      <c r="DS477" s="2" t="n">
        <v>98.41</v>
      </c>
      <c r="DT477" s="2" t="n">
        <v>99.74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 customFormat="false" ht="15" hidden="false" customHeight="false" outlineLevel="0" collapsed="false">
      <c r="A478" s="2" t="n">
        <v>1</v>
      </c>
      <c r="B478" s="2" t="s">
        <v>173</v>
      </c>
      <c r="C478" s="2" t="s">
        <v>77</v>
      </c>
      <c r="D478" s="2" t="s">
        <v>1327</v>
      </c>
      <c r="E478" s="2" t="s">
        <v>1328</v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93.1</v>
      </c>
      <c r="ED478" s="2" t="n">
        <v>0</v>
      </c>
      <c r="EE478" s="2" t="n">
        <v>93.01</v>
      </c>
      <c r="EF478" s="2" t="n">
        <v>94.68</v>
      </c>
      <c r="EG478" s="2" t="n">
        <v>0</v>
      </c>
      <c r="EH478" s="2" t="n">
        <v>95.88</v>
      </c>
      <c r="EI478" s="2" t="n">
        <v>97.6</v>
      </c>
      <c r="EJ478" s="2" t="n">
        <v>0</v>
      </c>
      <c r="EK478" s="2" t="n">
        <v>98.35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 customFormat="false" ht="15" hidden="false" customHeight="false" outlineLevel="0" collapsed="false">
      <c r="A479" s="2" t="n">
        <v>2</v>
      </c>
      <c r="B479" s="2" t="s">
        <v>1329</v>
      </c>
      <c r="C479" s="2" t="s">
        <v>1330</v>
      </c>
      <c r="D479" s="2" t="s">
        <v>1327</v>
      </c>
      <c r="E479" s="2" t="s">
        <v>1331</v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 customFormat="false" ht="15" hidden="false" customHeight="false" outlineLevel="0" collapsed="false">
      <c r="A480" s="2" t="n">
        <v>3</v>
      </c>
      <c r="B480" s="2" t="s">
        <v>1332</v>
      </c>
      <c r="C480" s="2" t="s">
        <v>1333</v>
      </c>
      <c r="D480" s="2" t="s">
        <v>1327</v>
      </c>
      <c r="E480" s="2" t="s">
        <v>1331</v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 customFormat="false" ht="15" hidden="false" customHeight="false" outlineLevel="0" collapsed="false">
      <c r="A481" s="2" t="n">
        <v>2</v>
      </c>
      <c r="B481" s="2" t="s">
        <v>1334</v>
      </c>
      <c r="C481" s="2" t="s">
        <v>1335</v>
      </c>
      <c r="D481" s="2" t="s">
        <v>1327</v>
      </c>
      <c r="E481" s="2" t="s">
        <v>1328</v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71.96</v>
      </c>
      <c r="DN481" s="2" t="n">
        <v>73.81</v>
      </c>
      <c r="DO481" s="2" t="n">
        <v>0</v>
      </c>
      <c r="DP481" s="2" t="n">
        <v>76.65</v>
      </c>
      <c r="DQ481" s="2" t="n">
        <v>78.51</v>
      </c>
      <c r="DR481" s="2" t="n">
        <v>0</v>
      </c>
      <c r="DS481" s="2" t="n">
        <v>80.96</v>
      </c>
      <c r="DT481" s="2" t="n">
        <v>81.54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</v>
      </c>
      <c r="EJ481" s="2" t="n">
        <v>0</v>
      </c>
      <c r="EK481" s="2" t="n">
        <v>97.79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 customFormat="false" ht="15" hidden="false" customHeight="false" outlineLevel="0" collapsed="false">
      <c r="A482" s="2" t="n">
        <v>3</v>
      </c>
      <c r="B482" s="2" t="s">
        <v>1336</v>
      </c>
      <c r="C482" s="2" t="s">
        <v>1337</v>
      </c>
      <c r="D482" s="2" t="s">
        <v>1327</v>
      </c>
      <c r="E482" s="2" t="s">
        <v>1338</v>
      </c>
      <c r="F482" s="2" t="n">
        <v>395122</v>
      </c>
      <c r="G482" s="2" t="n">
        <v>0</v>
      </c>
      <c r="H482" s="2" t="n">
        <v>395122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 customFormat="false" ht="15" hidden="false" customHeight="false" outlineLevel="0" collapsed="false">
      <c r="A483" s="2" t="n">
        <v>3</v>
      </c>
      <c r="B483" s="2" t="s">
        <v>1339</v>
      </c>
      <c r="C483" s="2" t="s">
        <v>1340</v>
      </c>
      <c r="D483" s="2" t="s">
        <v>1341</v>
      </c>
      <c r="E483" s="2" t="s">
        <v>1342</v>
      </c>
      <c r="F483" s="2" t="n">
        <v>824378.8</v>
      </c>
      <c r="G483" s="2" t="n">
        <v>0</v>
      </c>
      <c r="H483" s="2" t="n">
        <v>824378.8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92.85</v>
      </c>
      <c r="DQ483" s="2" t="n">
        <v>94.78</v>
      </c>
      <c r="DR483" s="2" t="n">
        <v>0</v>
      </c>
      <c r="DS483" s="2" t="n">
        <v>96.15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 customFormat="false" ht="15" hidden="false" customHeight="false" outlineLevel="0" collapsed="false">
      <c r="A484" s="2" t="n">
        <v>3</v>
      </c>
      <c r="B484" s="2" t="s">
        <v>1343</v>
      </c>
      <c r="C484" s="2" t="s">
        <v>1344</v>
      </c>
      <c r="D484" s="2" t="s">
        <v>1345</v>
      </c>
      <c r="E484" s="2" t="s">
        <v>1342</v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 customFormat="false" ht="15" hidden="false" customHeight="false" outlineLevel="0" collapsed="false">
      <c r="A485" s="2" t="n">
        <v>3</v>
      </c>
      <c r="B485" s="2" t="s">
        <v>1346</v>
      </c>
      <c r="C485" s="2" t="s">
        <v>1347</v>
      </c>
      <c r="D485" s="2" t="s">
        <v>427</v>
      </c>
      <c r="E485" s="2" t="s">
        <v>1348</v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70.85</v>
      </c>
      <c r="CV485" s="2" t="n">
        <v>75.25</v>
      </c>
      <c r="CW485" s="2" t="n">
        <v>0</v>
      </c>
      <c r="CX485" s="2" t="n">
        <v>80.23</v>
      </c>
      <c r="CY485" s="2" t="n">
        <v>84.29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</v>
      </c>
      <c r="DH485" s="2" t="n">
        <v>97.19</v>
      </c>
      <c r="DI485" s="2" t="n">
        <v>0</v>
      </c>
      <c r="DJ485" s="2" t="n">
        <v>99.71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 customFormat="false" ht="15" hidden="false" customHeight="false" outlineLevel="0" collapsed="false">
      <c r="A486" s="2" t="n">
        <v>3</v>
      </c>
      <c r="B486" s="2" t="s">
        <v>1349</v>
      </c>
      <c r="C486" s="2" t="s">
        <v>1350</v>
      </c>
      <c r="D486" s="2" t="s">
        <v>1345</v>
      </c>
      <c r="E486" s="2" t="s">
        <v>1351</v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9.53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 customFormat="false" ht="15" hidden="false" customHeight="false" outlineLevel="0" collapsed="false">
      <c r="A487" s="2" t="n">
        <v>3</v>
      </c>
      <c r="B487" s="2" t="s">
        <v>1352</v>
      </c>
      <c r="C487" s="2" t="s">
        <v>1353</v>
      </c>
      <c r="D487" s="2" t="s">
        <v>427</v>
      </c>
      <c r="E487" s="2" t="s">
        <v>1348</v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70.85</v>
      </c>
      <c r="CV487" s="2" t="n">
        <v>75.25</v>
      </c>
      <c r="CW487" s="2" t="n">
        <v>0</v>
      </c>
      <c r="CX487" s="2" t="n">
        <v>80.23</v>
      </c>
      <c r="CY487" s="2" t="n">
        <v>84.29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</v>
      </c>
      <c r="DH487" s="2" t="n">
        <v>97.19</v>
      </c>
      <c r="DI487" s="2" t="n">
        <v>0</v>
      </c>
      <c r="DJ487" s="2" t="n">
        <v>99.71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 customFormat="false" ht="15" hidden="false" customHeight="false" outlineLevel="0" collapsed="false">
      <c r="A488" s="2" t="n">
        <v>3</v>
      </c>
      <c r="B488" s="2" t="s">
        <v>1354</v>
      </c>
      <c r="C488" s="2" t="s">
        <v>1355</v>
      </c>
      <c r="D488" s="2" t="s">
        <v>427</v>
      </c>
      <c r="E488" s="2" t="s">
        <v>1348</v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70.85</v>
      </c>
      <c r="CV488" s="2" t="n">
        <v>75.25</v>
      </c>
      <c r="CW488" s="2" t="n">
        <v>0</v>
      </c>
      <c r="CX488" s="2" t="n">
        <v>80.23</v>
      </c>
      <c r="CY488" s="2" t="n">
        <v>84.29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</v>
      </c>
      <c r="DH488" s="2" t="n">
        <v>97.19</v>
      </c>
      <c r="DI488" s="2" t="n">
        <v>0</v>
      </c>
      <c r="DJ488" s="2" t="n">
        <v>99.71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 customFormat="false" ht="15" hidden="false" customHeight="false" outlineLevel="0" collapsed="false">
      <c r="A489" s="2" t="n">
        <v>3</v>
      </c>
      <c r="B489" s="2" t="s">
        <v>1356</v>
      </c>
      <c r="C489" s="2" t="s">
        <v>1357</v>
      </c>
      <c r="D489" s="2" t="s">
        <v>1358</v>
      </c>
      <c r="E489" s="2" t="s">
        <v>1328</v>
      </c>
      <c r="F489" s="2" t="n">
        <v>752836</v>
      </c>
      <c r="G489" s="2" t="n">
        <v>0</v>
      </c>
      <c r="H489" s="2" t="n">
        <v>752836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79.71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 customFormat="false" ht="15" hidden="false" customHeight="false" outlineLevel="0" collapsed="false">
      <c r="A490" s="2" t="n">
        <v>3</v>
      </c>
      <c r="B490" s="2" t="s">
        <v>1359</v>
      </c>
      <c r="C490" s="2" t="s">
        <v>1360</v>
      </c>
      <c r="D490" s="2" t="s">
        <v>1358</v>
      </c>
      <c r="E490" s="2" t="s">
        <v>1328</v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79.71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 customFormat="false" ht="15" hidden="false" customHeight="false" outlineLevel="0" collapsed="false">
      <c r="A491" s="2" t="n">
        <v>3</v>
      </c>
      <c r="B491" s="2" t="s">
        <v>1361</v>
      </c>
      <c r="C491" s="2" t="s">
        <v>1362</v>
      </c>
      <c r="D491" s="2" t="s">
        <v>1358</v>
      </c>
      <c r="E491" s="2" t="s">
        <v>1328</v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79.71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 customFormat="false" ht="15" hidden="false" customHeight="false" outlineLevel="0" collapsed="false">
      <c r="A492" s="2" t="n">
        <v>2</v>
      </c>
      <c r="B492" s="2" t="s">
        <v>1363</v>
      </c>
      <c r="C492" s="2" t="s">
        <v>1364</v>
      </c>
      <c r="D492" s="2" t="s">
        <v>1345</v>
      </c>
      <c r="E492" s="2" t="s">
        <v>1365</v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</v>
      </c>
      <c r="DO492" s="2" t="n">
        <v>0</v>
      </c>
      <c r="DP492" s="2" t="n">
        <v>71.93</v>
      </c>
      <c r="DQ492" s="2" t="n">
        <v>73.13</v>
      </c>
      <c r="DR492" s="2" t="n">
        <v>0</v>
      </c>
      <c r="DS492" s="2" t="n">
        <v>88.07</v>
      </c>
      <c r="DT492" s="2" t="n">
        <v>92.63</v>
      </c>
      <c r="DU492" s="2" t="n">
        <v>0</v>
      </c>
      <c r="DV492" s="2" t="n">
        <v>92.67</v>
      </c>
      <c r="DW492" s="2" t="n">
        <v>94.99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 customFormat="false" ht="15" hidden="false" customHeight="false" outlineLevel="0" collapsed="false">
      <c r="A493" s="2" t="n">
        <v>3</v>
      </c>
      <c r="B493" s="2" t="s">
        <v>1366</v>
      </c>
      <c r="C493" s="2" t="s">
        <v>1367</v>
      </c>
      <c r="D493" s="2" t="s">
        <v>1368</v>
      </c>
      <c r="E493" s="2" t="s">
        <v>1120</v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 customFormat="false" ht="15" hidden="false" customHeight="false" outlineLevel="0" collapsed="false">
      <c r="A494" s="2" t="n">
        <v>3</v>
      </c>
      <c r="B494" s="2" t="s">
        <v>1369</v>
      </c>
      <c r="C494" s="2" t="s">
        <v>1370</v>
      </c>
      <c r="D494" s="2" t="s">
        <v>1345</v>
      </c>
      <c r="E494" s="2" t="s">
        <v>1365</v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71.35</v>
      </c>
      <c r="DL494" s="2" t="n">
        <v>0</v>
      </c>
      <c r="DM494" s="2" t="n">
        <v>76.16</v>
      </c>
      <c r="DN494" s="2" t="n">
        <v>81.46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90.32</v>
      </c>
      <c r="DT494" s="2" t="n">
        <v>91.22</v>
      </c>
      <c r="DU494" s="2" t="n">
        <v>0</v>
      </c>
      <c r="DV494" s="2" t="n">
        <v>91.27</v>
      </c>
      <c r="DW494" s="2" t="n">
        <v>94.04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 customFormat="false" ht="15" hidden="false" customHeight="false" outlineLevel="0" collapsed="false">
      <c r="A495" s="2" t="n">
        <v>3</v>
      </c>
      <c r="B495" s="2" t="s">
        <v>1371</v>
      </c>
      <c r="C495" s="2" t="s">
        <v>1372</v>
      </c>
      <c r="D495" s="2" t="s">
        <v>1345</v>
      </c>
      <c r="E495" s="2" t="s">
        <v>1365</v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71.35</v>
      </c>
      <c r="DL495" s="2" t="n">
        <v>0</v>
      </c>
      <c r="DM495" s="2" t="n">
        <v>76.16</v>
      </c>
      <c r="DN495" s="2" t="n">
        <v>81.46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90.32</v>
      </c>
      <c r="DT495" s="2" t="n">
        <v>91.22</v>
      </c>
      <c r="DU495" s="2" t="n">
        <v>0</v>
      </c>
      <c r="DV495" s="2" t="n">
        <v>91.27</v>
      </c>
      <c r="DW495" s="2" t="n">
        <v>94.04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 customFormat="false" ht="15" hidden="false" customHeight="false" outlineLevel="0" collapsed="false">
      <c r="A496" s="2" t="n">
        <v>3</v>
      </c>
      <c r="B496" s="2" t="s">
        <v>1373</v>
      </c>
      <c r="C496" s="2" t="s">
        <v>1374</v>
      </c>
      <c r="D496" s="2" t="s">
        <v>1345</v>
      </c>
      <c r="E496" s="2" t="s">
        <v>1365</v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71.35</v>
      </c>
      <c r="DL496" s="2" t="n">
        <v>0</v>
      </c>
      <c r="DM496" s="2" t="n">
        <v>76.16</v>
      </c>
      <c r="DN496" s="2" t="n">
        <v>81.46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90.32</v>
      </c>
      <c r="DT496" s="2" t="n">
        <v>91.22</v>
      </c>
      <c r="DU496" s="2" t="n">
        <v>0</v>
      </c>
      <c r="DV496" s="2" t="n">
        <v>91.27</v>
      </c>
      <c r="DW496" s="2" t="n">
        <v>94.04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 customFormat="false" ht="15" hidden="false" customHeight="false" outlineLevel="0" collapsed="false">
      <c r="A497" s="2" t="n">
        <v>3</v>
      </c>
      <c r="B497" s="2" t="s">
        <v>1375</v>
      </c>
      <c r="C497" s="2" t="s">
        <v>1376</v>
      </c>
      <c r="D497" s="2" t="s">
        <v>1345</v>
      </c>
      <c r="E497" s="2" t="s">
        <v>1365</v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71.35</v>
      </c>
      <c r="DL497" s="2" t="n">
        <v>0</v>
      </c>
      <c r="DM497" s="2" t="n">
        <v>76.16</v>
      </c>
      <c r="DN497" s="2" t="n">
        <v>81.46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90.32</v>
      </c>
      <c r="DT497" s="2" t="n">
        <v>91.22</v>
      </c>
      <c r="DU497" s="2" t="n">
        <v>0</v>
      </c>
      <c r="DV497" s="2" t="n">
        <v>91.27</v>
      </c>
      <c r="DW497" s="2" t="n">
        <v>94.04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 customFormat="false" ht="15" hidden="false" customHeight="false" outlineLevel="0" collapsed="false">
      <c r="A498" s="2" t="n">
        <v>3</v>
      </c>
      <c r="B498" s="2" t="s">
        <v>1377</v>
      </c>
      <c r="C498" s="2" t="s">
        <v>1378</v>
      </c>
      <c r="D498" s="2" t="s">
        <v>1345</v>
      </c>
      <c r="E498" s="2" t="s">
        <v>1365</v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71.35</v>
      </c>
      <c r="DL498" s="2" t="n">
        <v>0</v>
      </c>
      <c r="DM498" s="2" t="n">
        <v>76.16</v>
      </c>
      <c r="DN498" s="2" t="n">
        <v>81.46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90.32</v>
      </c>
      <c r="DT498" s="2" t="n">
        <v>91.22</v>
      </c>
      <c r="DU498" s="2" t="n">
        <v>0</v>
      </c>
      <c r="DV498" s="2" t="n">
        <v>91.27</v>
      </c>
      <c r="DW498" s="2" t="n">
        <v>94.04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 customFormat="false" ht="15" hidden="false" customHeight="false" outlineLevel="0" collapsed="false">
      <c r="A499" s="2" t="n">
        <v>3</v>
      </c>
      <c r="B499" s="2" t="s">
        <v>1379</v>
      </c>
      <c r="C499" s="2" t="s">
        <v>1380</v>
      </c>
      <c r="D499" s="2" t="s">
        <v>1345</v>
      </c>
      <c r="E499" s="2" t="s">
        <v>1365</v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71.35</v>
      </c>
      <c r="DL499" s="2" t="n">
        <v>0</v>
      </c>
      <c r="DM499" s="2" t="n">
        <v>76.16</v>
      </c>
      <c r="DN499" s="2" t="n">
        <v>81.46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90.32</v>
      </c>
      <c r="DT499" s="2" t="n">
        <v>91.22</v>
      </c>
      <c r="DU499" s="2" t="n">
        <v>0</v>
      </c>
      <c r="DV499" s="2" t="n">
        <v>91.27</v>
      </c>
      <c r="DW499" s="2" t="n">
        <v>94.04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 customFormat="false" ht="15" hidden="false" customHeight="false" outlineLevel="0" collapsed="false">
      <c r="A500" s="2" t="n">
        <v>1</v>
      </c>
      <c r="B500" s="2" t="s">
        <v>176</v>
      </c>
      <c r="C500" s="2" t="s">
        <v>177</v>
      </c>
      <c r="D500" s="2" t="s">
        <v>1381</v>
      </c>
      <c r="E500" s="2" t="s">
        <v>1382</v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65.07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</v>
      </c>
      <c r="DN500" s="2" t="n">
        <v>95.68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 customFormat="false" ht="15" hidden="false" customHeight="false" outlineLevel="0" collapsed="false">
      <c r="A501" s="2" t="n">
        <v>2</v>
      </c>
      <c r="B501" s="2" t="s">
        <v>1383</v>
      </c>
      <c r="C501" s="2" t="s">
        <v>1384</v>
      </c>
      <c r="D501" s="2" t="s">
        <v>1381</v>
      </c>
      <c r="E501" s="2" t="s">
        <v>1385</v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</v>
      </c>
      <c r="DC501" s="2" t="n">
        <v>0</v>
      </c>
      <c r="DD501" s="2" t="n">
        <v>66.91</v>
      </c>
      <c r="DE501" s="2" t="n">
        <v>68.04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 customFormat="false" ht="15" hidden="false" customHeight="false" outlineLevel="0" collapsed="false">
      <c r="A502" s="2" t="n">
        <v>3</v>
      </c>
      <c r="B502" s="2" t="s">
        <v>1386</v>
      </c>
      <c r="C502" s="2" t="s">
        <v>1387</v>
      </c>
      <c r="D502" s="2" t="s">
        <v>1388</v>
      </c>
      <c r="E502" s="2" t="s">
        <v>1389</v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 customFormat="false" ht="15" hidden="false" customHeight="false" outlineLevel="0" collapsed="false">
      <c r="A503" s="2" t="n">
        <v>3</v>
      </c>
      <c r="B503" s="2" t="s">
        <v>1390</v>
      </c>
      <c r="C503" s="2" t="s">
        <v>1204</v>
      </c>
      <c r="D503" s="2" t="s">
        <v>1391</v>
      </c>
      <c r="E503" s="2" t="s">
        <v>1392</v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 customFormat="false" ht="15" hidden="false" customHeight="false" outlineLevel="0" collapsed="false">
      <c r="A504" s="2" t="n">
        <v>3</v>
      </c>
      <c r="B504" s="2" t="s">
        <v>1393</v>
      </c>
      <c r="C504" s="2" t="s">
        <v>1394</v>
      </c>
      <c r="D504" s="2" t="s">
        <v>1391</v>
      </c>
      <c r="E504" s="2" t="s">
        <v>1392</v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 customFormat="false" ht="15" hidden="false" customHeight="false" outlineLevel="0" collapsed="false">
      <c r="A505" s="2" t="n">
        <v>3</v>
      </c>
      <c r="B505" s="2" t="s">
        <v>1395</v>
      </c>
      <c r="C505" s="2" t="s">
        <v>1396</v>
      </c>
      <c r="D505" s="2" t="s">
        <v>427</v>
      </c>
      <c r="E505" s="2" t="s">
        <v>1348</v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9.11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64.21</v>
      </c>
      <c r="CT505" s="2" t="n">
        <v>0</v>
      </c>
      <c r="CU505" s="2" t="n">
        <v>68.98</v>
      </c>
      <c r="CV505" s="2" t="n">
        <v>71.15</v>
      </c>
      <c r="CW505" s="2" t="n">
        <v>0</v>
      </c>
      <c r="CX505" s="2" t="n">
        <v>78.09</v>
      </c>
      <c r="CY505" s="2" t="n">
        <v>80.26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 customFormat="false" ht="15" hidden="false" customHeight="false" outlineLevel="0" collapsed="false">
      <c r="A506" s="2" t="n">
        <v>3</v>
      </c>
      <c r="B506" s="2" t="s">
        <v>1397</v>
      </c>
      <c r="C506" s="2" t="s">
        <v>1398</v>
      </c>
      <c r="D506" s="2" t="s">
        <v>1399</v>
      </c>
      <c r="E506" s="2" t="s">
        <v>1400</v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85.74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 customFormat="false" ht="15" hidden="false" customHeight="false" outlineLevel="0" collapsed="false">
      <c r="A507" s="2" t="n">
        <v>3</v>
      </c>
      <c r="B507" s="2" t="s">
        <v>1401</v>
      </c>
      <c r="C507" s="2" t="s">
        <v>1402</v>
      </c>
      <c r="D507" s="2" t="s">
        <v>427</v>
      </c>
      <c r="E507" s="2" t="s">
        <v>1348</v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9.11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64.21</v>
      </c>
      <c r="CT507" s="2" t="n">
        <v>0</v>
      </c>
      <c r="CU507" s="2" t="n">
        <v>68.98</v>
      </c>
      <c r="CV507" s="2" t="n">
        <v>71.15</v>
      </c>
      <c r="CW507" s="2" t="n">
        <v>0</v>
      </c>
      <c r="CX507" s="2" t="n">
        <v>78.09</v>
      </c>
      <c r="CY507" s="2" t="n">
        <v>80.26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 customFormat="false" ht="15" hidden="false" customHeight="false" outlineLevel="0" collapsed="false">
      <c r="A508" s="2" t="n">
        <v>3</v>
      </c>
      <c r="B508" s="2" t="s">
        <v>1403</v>
      </c>
      <c r="C508" s="2" t="s">
        <v>1404</v>
      </c>
      <c r="D508" s="2" t="s">
        <v>427</v>
      </c>
      <c r="E508" s="2" t="s">
        <v>1348</v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9.11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64.21</v>
      </c>
      <c r="CT508" s="2" t="n">
        <v>0</v>
      </c>
      <c r="CU508" s="2" t="n">
        <v>68.98</v>
      </c>
      <c r="CV508" s="2" t="n">
        <v>71.15</v>
      </c>
      <c r="CW508" s="2" t="n">
        <v>0</v>
      </c>
      <c r="CX508" s="2" t="n">
        <v>78.09</v>
      </c>
      <c r="CY508" s="2" t="n">
        <v>80.26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 customFormat="false" ht="15" hidden="false" customHeight="false" outlineLevel="0" collapsed="false">
      <c r="A509" s="2" t="n">
        <v>3</v>
      </c>
      <c r="B509" s="2" t="s">
        <v>1405</v>
      </c>
      <c r="C509" s="2" t="s">
        <v>1406</v>
      </c>
      <c r="D509" s="2" t="s">
        <v>1381</v>
      </c>
      <c r="E509" s="2" t="s">
        <v>1338</v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 customFormat="false" ht="15" hidden="false" customHeight="false" outlineLevel="0" collapsed="false">
      <c r="A510" s="2" t="n">
        <v>3</v>
      </c>
      <c r="B510" s="2" t="s">
        <v>1407</v>
      </c>
      <c r="C510" s="2" t="s">
        <v>1408</v>
      </c>
      <c r="D510" s="2" t="s">
        <v>1083</v>
      </c>
      <c r="E510" s="2" t="s">
        <v>1385</v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 customFormat="false" ht="15" hidden="false" customHeight="false" outlineLevel="0" collapsed="false">
      <c r="A511" s="2" t="n">
        <v>2</v>
      </c>
      <c r="B511" s="2" t="s">
        <v>1409</v>
      </c>
      <c r="C511" s="2" t="s">
        <v>1410</v>
      </c>
      <c r="D511" s="2" t="s">
        <v>1399</v>
      </c>
      <c r="E511" s="2" t="s">
        <v>1385</v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</v>
      </c>
      <c r="CV511" s="2" t="n">
        <v>67.75</v>
      </c>
      <c r="CW511" s="2" t="n">
        <v>0</v>
      </c>
      <c r="CX511" s="2" t="n">
        <v>73.15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88.32</v>
      </c>
      <c r="DI511" s="2" t="n">
        <v>0</v>
      </c>
      <c r="DJ511" s="2" t="n">
        <v>91.07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 customFormat="false" ht="15" hidden="false" customHeight="false" outlineLevel="0" collapsed="false">
      <c r="A512" s="2" t="n">
        <v>3</v>
      </c>
      <c r="B512" s="2" t="s">
        <v>1411</v>
      </c>
      <c r="C512" s="2" t="s">
        <v>1396</v>
      </c>
      <c r="D512" s="2" t="s">
        <v>427</v>
      </c>
      <c r="E512" s="2" t="s">
        <v>1348</v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9.11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64.21</v>
      </c>
      <c r="CT512" s="2" t="n">
        <v>0</v>
      </c>
      <c r="CU512" s="2" t="n">
        <v>68.98</v>
      </c>
      <c r="CV512" s="2" t="n">
        <v>71.15</v>
      </c>
      <c r="CW512" s="2" t="n">
        <v>0</v>
      </c>
      <c r="CX512" s="2" t="n">
        <v>78.09</v>
      </c>
      <c r="CY512" s="2" t="n">
        <v>80.26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 customFormat="false" ht="15" hidden="false" customHeight="false" outlineLevel="0" collapsed="false">
      <c r="A513" s="2" t="n">
        <v>3</v>
      </c>
      <c r="B513" s="2" t="s">
        <v>1412</v>
      </c>
      <c r="C513" s="2" t="s">
        <v>1413</v>
      </c>
      <c r="D513" s="2" t="s">
        <v>1399</v>
      </c>
      <c r="E513" s="2" t="s">
        <v>1400</v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85.74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 customFormat="false" ht="15" hidden="false" customHeight="false" outlineLevel="0" collapsed="false">
      <c r="A514" s="2" t="n">
        <v>3</v>
      </c>
      <c r="B514" s="2" t="s">
        <v>1414</v>
      </c>
      <c r="C514" s="2" t="s">
        <v>1402</v>
      </c>
      <c r="D514" s="2" t="s">
        <v>427</v>
      </c>
      <c r="E514" s="2" t="s">
        <v>1348</v>
      </c>
      <c r="F514" s="2" t="n">
        <v>485348.76</v>
      </c>
      <c r="G514" s="2" t="n">
        <v>0</v>
      </c>
      <c r="H514" s="2" t="n">
        <v>485348.76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9.11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64.21</v>
      </c>
      <c r="CT514" s="2" t="n">
        <v>0</v>
      </c>
      <c r="CU514" s="2" t="n">
        <v>68.98</v>
      </c>
      <c r="CV514" s="2" t="n">
        <v>71.15</v>
      </c>
      <c r="CW514" s="2" t="n">
        <v>0</v>
      </c>
      <c r="CX514" s="2" t="n">
        <v>78.09</v>
      </c>
      <c r="CY514" s="2" t="n">
        <v>80.26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 customFormat="false" ht="15" hidden="false" customHeight="false" outlineLevel="0" collapsed="false">
      <c r="A515" s="2" t="n">
        <v>3</v>
      </c>
      <c r="B515" s="2" t="s">
        <v>1415</v>
      </c>
      <c r="C515" s="2" t="s">
        <v>1404</v>
      </c>
      <c r="D515" s="2" t="s">
        <v>427</v>
      </c>
      <c r="E515" s="2" t="s">
        <v>1348</v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9.11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64.21</v>
      </c>
      <c r="CT515" s="2" t="n">
        <v>0</v>
      </c>
      <c r="CU515" s="2" t="n">
        <v>68.98</v>
      </c>
      <c r="CV515" s="2" t="n">
        <v>71.15</v>
      </c>
      <c r="CW515" s="2" t="n">
        <v>0</v>
      </c>
      <c r="CX515" s="2" t="n">
        <v>78.09</v>
      </c>
      <c r="CY515" s="2" t="n">
        <v>80.26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 customFormat="false" ht="15" hidden="false" customHeight="false" outlineLevel="0" collapsed="false">
      <c r="A516" s="2" t="n">
        <v>3</v>
      </c>
      <c r="B516" s="2" t="s">
        <v>1416</v>
      </c>
      <c r="C516" s="2" t="s">
        <v>1408</v>
      </c>
      <c r="D516" s="2" t="s">
        <v>1083</v>
      </c>
      <c r="E516" s="2" t="s">
        <v>1385</v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 customFormat="false" ht="15" hidden="false" customHeight="false" outlineLevel="0" collapsed="false">
      <c r="A517" s="2" t="n">
        <v>2</v>
      </c>
      <c r="B517" s="2" t="s">
        <v>1417</v>
      </c>
      <c r="C517" s="2" t="s">
        <v>1418</v>
      </c>
      <c r="D517" s="2" t="s">
        <v>1381</v>
      </c>
      <c r="E517" s="2" t="s">
        <v>1400</v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85.32</v>
      </c>
      <c r="CW517" s="2" t="n">
        <v>0</v>
      </c>
      <c r="CX517" s="2" t="n">
        <v>88.25</v>
      </c>
      <c r="CY517" s="2" t="n">
        <v>90.1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 customFormat="false" ht="15" hidden="false" customHeight="false" outlineLevel="0" collapsed="false">
      <c r="A518" s="2" t="n">
        <v>3</v>
      </c>
      <c r="B518" s="2" t="s">
        <v>1419</v>
      </c>
      <c r="C518" s="2" t="s">
        <v>1420</v>
      </c>
      <c r="D518" s="2" t="s">
        <v>1399</v>
      </c>
      <c r="E518" s="2" t="s">
        <v>1400</v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85.74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 customFormat="false" ht="15" hidden="false" customHeight="false" outlineLevel="0" collapsed="false">
      <c r="A519" s="2" t="n">
        <v>3</v>
      </c>
      <c r="B519" s="2" t="s">
        <v>1421</v>
      </c>
      <c r="C519" s="2" t="s">
        <v>1422</v>
      </c>
      <c r="D519" s="2" t="s">
        <v>427</v>
      </c>
      <c r="E519" s="2" t="s">
        <v>1348</v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9.11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64.21</v>
      </c>
      <c r="CT519" s="2" t="n">
        <v>0</v>
      </c>
      <c r="CU519" s="2" t="n">
        <v>68.98</v>
      </c>
      <c r="CV519" s="2" t="n">
        <v>71.15</v>
      </c>
      <c r="CW519" s="2" t="n">
        <v>0</v>
      </c>
      <c r="CX519" s="2" t="n">
        <v>78.09</v>
      </c>
      <c r="CY519" s="2" t="n">
        <v>80.26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 customFormat="false" ht="15" hidden="false" customHeight="false" outlineLevel="0" collapsed="false">
      <c r="A520" s="2" t="n">
        <v>3</v>
      </c>
      <c r="B520" s="2" t="s">
        <v>1423</v>
      </c>
      <c r="C520" s="2" t="s">
        <v>1424</v>
      </c>
      <c r="D520" s="2" t="s">
        <v>1381</v>
      </c>
      <c r="E520" s="2" t="s">
        <v>1338</v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 customFormat="false" ht="15" hidden="false" customHeight="false" outlineLevel="0" collapsed="false">
      <c r="A521" s="2" t="n">
        <v>3</v>
      </c>
      <c r="B521" s="2" t="s">
        <v>1425</v>
      </c>
      <c r="C521" s="2" t="s">
        <v>1406</v>
      </c>
      <c r="D521" s="2" t="s">
        <v>1381</v>
      </c>
      <c r="E521" s="2" t="s">
        <v>1338</v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 customFormat="false" ht="15" hidden="false" customHeight="false" outlineLevel="0" collapsed="false">
      <c r="A522" s="2" t="n">
        <v>2</v>
      </c>
      <c r="B522" s="2" t="s">
        <v>1426</v>
      </c>
      <c r="C522" s="2" t="s">
        <v>1427</v>
      </c>
      <c r="D522" s="2" t="s">
        <v>427</v>
      </c>
      <c r="E522" s="2" t="s">
        <v>1348</v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9.11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64.21</v>
      </c>
      <c r="CT522" s="2" t="n">
        <v>0</v>
      </c>
      <c r="CU522" s="2" t="n">
        <v>68.98</v>
      </c>
      <c r="CV522" s="2" t="n">
        <v>71.15</v>
      </c>
      <c r="CW522" s="2" t="n">
        <v>0</v>
      </c>
      <c r="CX522" s="2" t="n">
        <v>78.09</v>
      </c>
      <c r="CY522" s="2" t="n">
        <v>80.26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 customFormat="false" ht="15" hidden="false" customHeight="false" outlineLevel="0" collapsed="false">
      <c r="A523" s="2" t="n">
        <v>3</v>
      </c>
      <c r="B523" s="2" t="s">
        <v>1428</v>
      </c>
      <c r="C523" s="2" t="s">
        <v>1429</v>
      </c>
      <c r="D523" s="2" t="s">
        <v>427</v>
      </c>
      <c r="E523" s="2" t="s">
        <v>1348</v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9.11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64.21</v>
      </c>
      <c r="CT523" s="2" t="n">
        <v>0</v>
      </c>
      <c r="CU523" s="2" t="n">
        <v>68.98</v>
      </c>
      <c r="CV523" s="2" t="n">
        <v>71.15</v>
      </c>
      <c r="CW523" s="2" t="n">
        <v>0</v>
      </c>
      <c r="CX523" s="2" t="n">
        <v>78.09</v>
      </c>
      <c r="CY523" s="2" t="n">
        <v>80.26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 customFormat="false" ht="15" hidden="false" customHeight="false" outlineLevel="0" collapsed="false">
      <c r="A524" s="2" t="n">
        <v>3</v>
      </c>
      <c r="B524" s="2" t="s">
        <v>1430</v>
      </c>
      <c r="C524" s="2" t="s">
        <v>1431</v>
      </c>
      <c r="D524" s="2" t="s">
        <v>427</v>
      </c>
      <c r="E524" s="2" t="s">
        <v>1348</v>
      </c>
      <c r="F524" s="2" t="n">
        <v>422042.4</v>
      </c>
      <c r="G524" s="2" t="n">
        <v>0</v>
      </c>
      <c r="H524" s="2" t="n">
        <v>422042.4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9.11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64.21</v>
      </c>
      <c r="CT524" s="2" t="n">
        <v>0</v>
      </c>
      <c r="CU524" s="2" t="n">
        <v>68.98</v>
      </c>
      <c r="CV524" s="2" t="n">
        <v>71.15</v>
      </c>
      <c r="CW524" s="2" t="n">
        <v>0</v>
      </c>
      <c r="CX524" s="2" t="n">
        <v>78.09</v>
      </c>
      <c r="CY524" s="2" t="n">
        <v>80.26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 customFormat="false" ht="15" hidden="false" customHeight="false" outlineLevel="0" collapsed="false">
      <c r="A525" s="2" t="n">
        <v>3</v>
      </c>
      <c r="B525" s="2" t="s">
        <v>1432</v>
      </c>
      <c r="C525" s="2" t="s">
        <v>1406</v>
      </c>
      <c r="D525" s="2" t="s">
        <v>427</v>
      </c>
      <c r="E525" s="2" t="s">
        <v>1348</v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9.11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64.21</v>
      </c>
      <c r="CT525" s="2" t="n">
        <v>0</v>
      </c>
      <c r="CU525" s="2" t="n">
        <v>68.98</v>
      </c>
      <c r="CV525" s="2" t="n">
        <v>71.15</v>
      </c>
      <c r="CW525" s="2" t="n">
        <v>0</v>
      </c>
      <c r="CX525" s="2" t="n">
        <v>78.09</v>
      </c>
      <c r="CY525" s="2" t="n">
        <v>80.26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 customFormat="false" ht="15" hidden="false" customHeight="false" outlineLevel="0" collapsed="false">
      <c r="A526" s="2" t="n">
        <v>2</v>
      </c>
      <c r="B526" s="2" t="s">
        <v>1433</v>
      </c>
      <c r="C526" s="2" t="s">
        <v>1434</v>
      </c>
      <c r="D526" s="2" t="s">
        <v>1381</v>
      </c>
      <c r="E526" s="2" t="s">
        <v>1382</v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66.74</v>
      </c>
      <c r="DF526" s="2" t="n">
        <v>0</v>
      </c>
      <c r="DG526" s="2" t="n">
        <v>67.46</v>
      </c>
      <c r="DH526" s="2" t="n">
        <v>68.13</v>
      </c>
      <c r="DI526" s="2" t="n">
        <v>0</v>
      </c>
      <c r="DJ526" s="2" t="n">
        <v>70.74</v>
      </c>
      <c r="DK526" s="2" t="n">
        <v>71.26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 customFormat="false" ht="15" hidden="false" customHeight="false" outlineLevel="0" collapsed="false">
      <c r="A527" s="2" t="n">
        <v>3</v>
      </c>
      <c r="B527" s="2" t="s">
        <v>1435</v>
      </c>
      <c r="C527" s="2" t="s">
        <v>1436</v>
      </c>
      <c r="D527" s="2" t="s">
        <v>427</v>
      </c>
      <c r="E527" s="2" t="s">
        <v>1437</v>
      </c>
      <c r="F527" s="2" t="n">
        <v>468936</v>
      </c>
      <c r="G527" s="2" t="n">
        <v>0</v>
      </c>
      <c r="H527" s="2" t="n">
        <v>468936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67.32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</v>
      </c>
      <c r="DC527" s="2" t="n">
        <v>0</v>
      </c>
      <c r="DD527" s="2" t="n">
        <v>90.83</v>
      </c>
      <c r="DE527" s="2" t="n">
        <v>91.49</v>
      </c>
      <c r="DF527" s="2" t="n">
        <v>0</v>
      </c>
      <c r="DG527" s="2" t="n">
        <v>92.59</v>
      </c>
      <c r="DH527" s="2" t="n">
        <v>93.46</v>
      </c>
      <c r="DI527" s="2" t="n">
        <v>0</v>
      </c>
      <c r="DJ527" s="2" t="n">
        <v>98.23</v>
      </c>
      <c r="DK527" s="2" t="n">
        <v>98.96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 customFormat="false" ht="15" hidden="false" customHeight="false" outlineLevel="0" collapsed="false">
      <c r="A528" s="2" t="n">
        <v>3</v>
      </c>
      <c r="B528" s="2" t="s">
        <v>1438</v>
      </c>
      <c r="C528" s="2" t="s">
        <v>1439</v>
      </c>
      <c r="D528" s="2" t="s">
        <v>427</v>
      </c>
      <c r="E528" s="2" t="s">
        <v>1437</v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8.53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</v>
      </c>
      <c r="DB528" s="2" t="n">
        <v>73.35</v>
      </c>
      <c r="DC528" s="2" t="n">
        <v>0</v>
      </c>
      <c r="DD528" s="2" t="n">
        <v>80.77</v>
      </c>
      <c r="DE528" s="2" t="n">
        <v>82.93</v>
      </c>
      <c r="DF528" s="2" t="n">
        <v>0</v>
      </c>
      <c r="DG528" s="2" t="n">
        <v>85.35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 customFormat="false" ht="15" hidden="false" customHeight="false" outlineLevel="0" collapsed="false">
      <c r="A529" s="2" t="n">
        <v>3</v>
      </c>
      <c r="B529" s="2" t="s">
        <v>1440</v>
      </c>
      <c r="C529" s="2" t="s">
        <v>1441</v>
      </c>
      <c r="D529" s="2" t="s">
        <v>1442</v>
      </c>
      <c r="E529" s="2" t="s">
        <v>1382</v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 customFormat="false" ht="15" hidden="false" customHeight="false" outlineLevel="0" collapsed="false">
      <c r="A530" s="2" t="n">
        <v>3</v>
      </c>
      <c r="B530" s="2" t="s">
        <v>1443</v>
      </c>
      <c r="C530" s="2" t="s">
        <v>1444</v>
      </c>
      <c r="D530" s="2" t="s">
        <v>1381</v>
      </c>
      <c r="E530" s="2" t="s">
        <v>1338</v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 customFormat="false" ht="15" hidden="false" customHeight="false" outlineLevel="0" collapsed="false">
      <c r="A531" s="2" t="n">
        <v>1</v>
      </c>
      <c r="B531" s="2" t="s">
        <v>179</v>
      </c>
      <c r="C531" s="2" t="s">
        <v>180</v>
      </c>
      <c r="D531" s="2" t="s">
        <v>1445</v>
      </c>
      <c r="E531" s="2" t="s">
        <v>1446</v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65.85</v>
      </c>
      <c r="CW531" s="2" t="n">
        <v>0</v>
      </c>
      <c r="CX531" s="2" t="n">
        <v>70.71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90.85</v>
      </c>
      <c r="DE531" s="2" t="n">
        <v>92.38</v>
      </c>
      <c r="DF531" s="2" t="n">
        <v>0</v>
      </c>
      <c r="DG531" s="2" t="n">
        <v>95.22</v>
      </c>
      <c r="DH531" s="2" t="n">
        <v>95.4</v>
      </c>
      <c r="DI531" s="2" t="n">
        <v>0</v>
      </c>
      <c r="DJ531" s="2" t="n">
        <v>95.84</v>
      </c>
      <c r="DK531" s="2" t="n">
        <v>97.82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98.85</v>
      </c>
      <c r="DW531" s="2" t="n">
        <v>98.93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</v>
      </c>
      <c r="EC531" s="2" t="n">
        <v>99.51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99.96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 customFormat="false" ht="15" hidden="false" customHeight="false" outlineLevel="0" collapsed="false">
      <c r="A532" s="2" t="n">
        <v>2</v>
      </c>
      <c r="B532" s="2" t="s">
        <v>1447</v>
      </c>
      <c r="C532" s="2" t="s">
        <v>1448</v>
      </c>
      <c r="D532" s="2" t="s">
        <v>1445</v>
      </c>
      <c r="E532" s="2" t="s">
        <v>1449</v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74.57</v>
      </c>
      <c r="CS532" s="2" t="n">
        <v>76.69</v>
      </c>
      <c r="CT532" s="2" t="n">
        <v>0</v>
      </c>
      <c r="CU532" s="2" t="n">
        <v>81.35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 customFormat="false" ht="15" hidden="false" customHeight="false" outlineLevel="0" collapsed="false">
      <c r="A533" s="2" t="n">
        <v>2</v>
      </c>
      <c r="B533" s="2" t="s">
        <v>1450</v>
      </c>
      <c r="C533" s="2" t="s">
        <v>1402</v>
      </c>
      <c r="D533" s="2" t="s">
        <v>1445</v>
      </c>
      <c r="E533" s="2" t="s">
        <v>1449</v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74.57</v>
      </c>
      <c r="CS533" s="2" t="n">
        <v>76.69</v>
      </c>
      <c r="CT533" s="2" t="n">
        <v>0</v>
      </c>
      <c r="CU533" s="2" t="n">
        <v>81.35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 customFormat="false" ht="15" hidden="false" customHeight="false" outlineLevel="0" collapsed="false">
      <c r="A534" s="2" t="n">
        <v>2</v>
      </c>
      <c r="B534" s="2" t="s">
        <v>1451</v>
      </c>
      <c r="C534" s="2" t="s">
        <v>1452</v>
      </c>
      <c r="D534" s="2" t="s">
        <v>1453</v>
      </c>
      <c r="E534" s="2" t="s">
        <v>1400</v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 customFormat="false" ht="15" hidden="false" customHeight="false" outlineLevel="0" collapsed="false">
      <c r="A535" s="2" t="n">
        <v>2</v>
      </c>
      <c r="B535" s="2" t="s">
        <v>1454</v>
      </c>
      <c r="C535" s="2" t="s">
        <v>1455</v>
      </c>
      <c r="D535" s="2" t="s">
        <v>1453</v>
      </c>
      <c r="E535" s="2" t="s">
        <v>1400</v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 customFormat="false" ht="15" hidden="false" customHeight="false" outlineLevel="0" collapsed="false">
      <c r="A536" s="2" t="n">
        <v>2</v>
      </c>
      <c r="B536" s="2" t="s">
        <v>1456</v>
      </c>
      <c r="C536" s="2" t="s">
        <v>1457</v>
      </c>
      <c r="D536" s="2" t="s">
        <v>1331</v>
      </c>
      <c r="E536" s="2" t="s">
        <v>1446</v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</v>
      </c>
      <c r="ED536" s="2" t="n">
        <v>0</v>
      </c>
      <c r="EE536" s="2" t="n">
        <v>87.76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 customFormat="false" ht="15" hidden="false" customHeight="false" outlineLevel="0" collapsed="false">
      <c r="A537" s="2" t="n">
        <v>1</v>
      </c>
      <c r="B537" s="2" t="s">
        <v>182</v>
      </c>
      <c r="C537" s="2" t="s">
        <v>183</v>
      </c>
      <c r="D537" s="2" t="s">
        <v>1458</v>
      </c>
      <c r="E537" s="2" t="s">
        <v>1459</v>
      </c>
      <c r="F537" s="2" t="n">
        <v>2684762.92413594</v>
      </c>
      <c r="G537" s="2" t="n">
        <v>0</v>
      </c>
      <c r="H537" s="2" t="n">
        <v>2684762.92413594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91.6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</v>
      </c>
      <c r="EF537" s="2" t="n">
        <v>95.43</v>
      </c>
      <c r="EG537" s="2" t="n">
        <v>0</v>
      </c>
      <c r="EH537" s="2" t="n">
        <v>95.91</v>
      </c>
      <c r="EI537" s="2" t="n">
        <v>98.32</v>
      </c>
      <c r="EJ537" s="2" t="n">
        <v>0</v>
      </c>
      <c r="EK537" s="2" t="n">
        <v>98.32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 customFormat="false" ht="15" hidden="false" customHeight="false" outlineLevel="0" collapsed="false">
      <c r="A538" s="2" t="n">
        <v>2</v>
      </c>
      <c r="B538" s="2" t="s">
        <v>1460</v>
      </c>
      <c r="C538" s="2" t="s">
        <v>1370</v>
      </c>
      <c r="D538" s="2" t="s">
        <v>1461</v>
      </c>
      <c r="E538" s="2" t="s">
        <v>1459</v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 customFormat="false" ht="15" hidden="false" customHeight="false" outlineLevel="0" collapsed="false">
      <c r="A539" s="2" t="n">
        <v>3</v>
      </c>
      <c r="B539" s="2" t="s">
        <v>1462</v>
      </c>
      <c r="C539" s="2" t="s">
        <v>1463</v>
      </c>
      <c r="D539" s="2" t="s">
        <v>1461</v>
      </c>
      <c r="E539" s="2" t="s">
        <v>1459</v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 customFormat="false" ht="15" hidden="false" customHeight="false" outlineLevel="0" collapsed="false">
      <c r="A540" s="2" t="n">
        <v>3</v>
      </c>
      <c r="B540" s="2" t="s">
        <v>1464</v>
      </c>
      <c r="C540" s="2" t="s">
        <v>1465</v>
      </c>
      <c r="D540" s="2" t="s">
        <v>1461</v>
      </c>
      <c r="E540" s="2" t="s">
        <v>1459</v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 customFormat="false" ht="15" hidden="false" customHeight="false" outlineLevel="0" collapsed="false">
      <c r="A541" s="2" t="n">
        <v>2</v>
      </c>
      <c r="B541" s="2" t="s">
        <v>1466</v>
      </c>
      <c r="C541" s="2" t="s">
        <v>1467</v>
      </c>
      <c r="D541" s="2" t="s">
        <v>1468</v>
      </c>
      <c r="E541" s="2" t="s">
        <v>1469</v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</v>
      </c>
      <c r="DI541" s="2" t="n">
        <v>0</v>
      </c>
      <c r="DJ541" s="2" t="n">
        <v>71.35</v>
      </c>
      <c r="DK541" s="2" t="n">
        <v>72.79</v>
      </c>
      <c r="DL541" s="2" t="n">
        <v>0</v>
      </c>
      <c r="DM541" s="2" t="n">
        <v>73.56</v>
      </c>
      <c r="DN541" s="2" t="n">
        <v>78.99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 customFormat="false" ht="15" hidden="false" customHeight="false" outlineLevel="0" collapsed="false">
      <c r="A542" s="2" t="n">
        <v>3</v>
      </c>
      <c r="B542" s="2" t="s">
        <v>1470</v>
      </c>
      <c r="C542" s="2" t="s">
        <v>1471</v>
      </c>
      <c r="D542" s="2" t="s">
        <v>1468</v>
      </c>
      <c r="E542" s="2" t="s">
        <v>1437</v>
      </c>
      <c r="F542" s="2" t="n">
        <v>959218</v>
      </c>
      <c r="G542" s="2" t="n">
        <v>0</v>
      </c>
      <c r="H542" s="2" t="n">
        <v>959218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66.57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95.1</v>
      </c>
      <c r="DN542" s="2" t="n">
        <v>95.1</v>
      </c>
      <c r="DO542" s="2" t="n">
        <v>0</v>
      </c>
      <c r="DP542" s="2" t="n">
        <v>95.1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 customFormat="false" ht="15" hidden="false" customHeight="false" outlineLevel="0" collapsed="false">
      <c r="A543" s="2" t="n">
        <v>3</v>
      </c>
      <c r="B543" s="2" t="s">
        <v>1472</v>
      </c>
      <c r="C543" s="2" t="s">
        <v>1473</v>
      </c>
      <c r="D543" s="2" t="s">
        <v>1083</v>
      </c>
      <c r="E543" s="2" t="s">
        <v>1469</v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 customFormat="false" ht="15" hidden="false" customHeight="false" outlineLevel="0" collapsed="false">
      <c r="A544" s="2" t="n">
        <v>3</v>
      </c>
      <c r="B544" s="2" t="s">
        <v>1474</v>
      </c>
      <c r="C544" s="2" t="s">
        <v>1475</v>
      </c>
      <c r="D544" s="2" t="s">
        <v>1083</v>
      </c>
      <c r="E544" s="2" t="s">
        <v>1469</v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 customFormat="false" ht="15" hidden="false" customHeight="false" outlineLevel="0" collapsed="false">
      <c r="A545" s="2" t="n">
        <v>3</v>
      </c>
      <c r="B545" s="2" t="s">
        <v>1476</v>
      </c>
      <c r="C545" s="2" t="s">
        <v>1477</v>
      </c>
      <c r="D545" s="2" t="s">
        <v>1083</v>
      </c>
      <c r="E545" s="2" t="s">
        <v>1469</v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 customFormat="false" ht="15" hidden="false" customHeight="false" outlineLevel="0" collapsed="false">
      <c r="A546" s="2" t="n">
        <v>2</v>
      </c>
      <c r="B546" s="2" t="s">
        <v>1478</v>
      </c>
      <c r="C546" s="2" t="s">
        <v>1479</v>
      </c>
      <c r="D546" s="2" t="s">
        <v>1480</v>
      </c>
      <c r="E546" s="2" t="s">
        <v>1459</v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0.94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89.24</v>
      </c>
      <c r="EA546" s="2" t="n">
        <v>0</v>
      </c>
      <c r="EB546" s="2" t="n">
        <v>88.9</v>
      </c>
      <c r="EC546" s="2" t="n">
        <v>95.76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 customFormat="false" ht="15" hidden="false" customHeight="false" outlineLevel="0" collapsed="false">
      <c r="A547" s="2" t="n">
        <v>3</v>
      </c>
      <c r="B547" s="2" t="s">
        <v>1481</v>
      </c>
      <c r="C547" s="2" t="s">
        <v>1482</v>
      </c>
      <c r="D547" s="2" t="s">
        <v>1483</v>
      </c>
      <c r="E547" s="2" t="s">
        <v>1190</v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 customFormat="false" ht="15" hidden="false" customHeight="false" outlineLevel="0" collapsed="false">
      <c r="A548" s="2" t="n">
        <v>3</v>
      </c>
      <c r="B548" s="2" t="s">
        <v>1484</v>
      </c>
      <c r="C548" s="2" t="s">
        <v>1485</v>
      </c>
      <c r="D548" s="2" t="s">
        <v>1483</v>
      </c>
      <c r="E548" s="2" t="s">
        <v>1190</v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 customFormat="false" ht="15" hidden="false" customHeight="false" outlineLevel="0" collapsed="false">
      <c r="A549" s="2" t="n">
        <v>3</v>
      </c>
      <c r="B549" s="2" t="s">
        <v>1486</v>
      </c>
      <c r="C549" s="2" t="s">
        <v>1487</v>
      </c>
      <c r="D549" s="2" t="s">
        <v>1087</v>
      </c>
      <c r="E549" s="2" t="s">
        <v>1459</v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69.74</v>
      </c>
      <c r="EI549" s="2" t="n">
        <v>87.54</v>
      </c>
      <c r="EJ549" s="2" t="n">
        <v>0</v>
      </c>
      <c r="EK549" s="2" t="n">
        <v>87.54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 customFormat="false" ht="15" hidden="false" customHeight="false" outlineLevel="0" collapsed="false">
      <c r="A550" s="2" t="n">
        <v>3</v>
      </c>
      <c r="B550" s="2" t="s">
        <v>1488</v>
      </c>
      <c r="C550" s="2" t="s">
        <v>1489</v>
      </c>
      <c r="D550" s="2" t="s">
        <v>1490</v>
      </c>
      <c r="E550" s="2" t="s">
        <v>1491</v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 customFormat="false" ht="15" hidden="false" customHeight="false" outlineLevel="0" collapsed="false">
      <c r="A551" s="2" t="n">
        <v>3</v>
      </c>
      <c r="B551" s="2" t="s">
        <v>1492</v>
      </c>
      <c r="C551" s="2" t="s">
        <v>1493</v>
      </c>
      <c r="D551" s="2" t="s">
        <v>1480</v>
      </c>
      <c r="E551" s="2" t="s">
        <v>1494</v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 customFormat="false" ht="15" hidden="false" customHeight="false" outlineLevel="0" collapsed="false">
      <c r="A552" s="2" t="n">
        <v>3</v>
      </c>
      <c r="B552" s="2" t="s">
        <v>1495</v>
      </c>
      <c r="C552" s="2" t="s">
        <v>1496</v>
      </c>
      <c r="D552" s="2" t="s">
        <v>1497</v>
      </c>
      <c r="E552" s="2" t="s">
        <v>1498</v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 customFormat="false" ht="15" hidden="false" customHeight="false" outlineLevel="0" collapsed="false">
      <c r="A553" s="2" t="n">
        <v>2</v>
      </c>
      <c r="B553" s="2" t="s">
        <v>1499</v>
      </c>
      <c r="C553" s="2" t="s">
        <v>1500</v>
      </c>
      <c r="D553" s="2" t="s">
        <v>1501</v>
      </c>
      <c r="E553" s="2" t="s">
        <v>1502</v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 customFormat="false" ht="15" hidden="false" customHeight="false" outlineLevel="0" collapsed="false">
      <c r="A554" s="2" t="n">
        <v>3</v>
      </c>
      <c r="B554" s="2" t="s">
        <v>1503</v>
      </c>
      <c r="C554" s="2" t="s">
        <v>1504</v>
      </c>
      <c r="D554" s="2" t="s">
        <v>1501</v>
      </c>
      <c r="E554" s="2" t="s">
        <v>1502</v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 customFormat="false" ht="15" hidden="false" customHeight="false" outlineLevel="0" collapsed="false">
      <c r="A555" s="2" t="n">
        <v>2</v>
      </c>
      <c r="B555" s="2" t="s">
        <v>1505</v>
      </c>
      <c r="C555" s="2" t="s">
        <v>1506</v>
      </c>
      <c r="D555" s="2" t="s">
        <v>1458</v>
      </c>
      <c r="E555" s="2" t="s">
        <v>1437</v>
      </c>
      <c r="F555" s="2" t="n">
        <v>463451.924135941</v>
      </c>
      <c r="G555" s="2" t="n">
        <v>0</v>
      </c>
      <c r="H555" s="2" t="n">
        <v>463451.924135941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66.24</v>
      </c>
      <c r="CZ555" s="2" t="n">
        <v>0</v>
      </c>
      <c r="DA555" s="2" t="n">
        <v>73.35</v>
      </c>
      <c r="DB555" s="2" t="n">
        <v>75.57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</v>
      </c>
      <c r="DI555" s="2" t="n">
        <v>0</v>
      </c>
      <c r="DJ555" s="2" t="n">
        <v>93.57</v>
      </c>
      <c r="DK555" s="2" t="n">
        <v>93.65</v>
      </c>
      <c r="DL555" s="2" t="n">
        <v>0</v>
      </c>
      <c r="DM555" s="2" t="n">
        <v>93.68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 customFormat="false" ht="15" hidden="false" customHeight="false" outlineLevel="0" collapsed="false">
      <c r="A556" s="2" t="n">
        <v>3</v>
      </c>
      <c r="B556" s="2" t="s">
        <v>1507</v>
      </c>
      <c r="C556" s="2" t="s">
        <v>1508</v>
      </c>
      <c r="D556" s="2" t="s">
        <v>1458</v>
      </c>
      <c r="E556" s="2" t="s">
        <v>1437</v>
      </c>
      <c r="F556" s="2" t="n">
        <v>34390.000799</v>
      </c>
      <c r="G556" s="2" t="n">
        <v>0</v>
      </c>
      <c r="H556" s="2" t="n">
        <v>34390.000799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66.24</v>
      </c>
      <c r="CZ556" s="2" t="n">
        <v>0</v>
      </c>
      <c r="DA556" s="2" t="n">
        <v>73.35</v>
      </c>
      <c r="DB556" s="2" t="n">
        <v>75.57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</v>
      </c>
      <c r="DI556" s="2" t="n">
        <v>0</v>
      </c>
      <c r="DJ556" s="2" t="n">
        <v>93.57</v>
      </c>
      <c r="DK556" s="2" t="n">
        <v>93.65</v>
      </c>
      <c r="DL556" s="2" t="n">
        <v>0</v>
      </c>
      <c r="DM556" s="2" t="n">
        <v>93.68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 customFormat="false" ht="15" hidden="false" customHeight="false" outlineLevel="0" collapsed="false">
      <c r="A557" s="2" t="n">
        <v>3</v>
      </c>
      <c r="B557" s="2" t="s">
        <v>1509</v>
      </c>
      <c r="C557" s="2" t="s">
        <v>1510</v>
      </c>
      <c r="D557" s="2" t="s">
        <v>1458</v>
      </c>
      <c r="E557" s="2" t="s">
        <v>1437</v>
      </c>
      <c r="F557" s="2" t="n">
        <v>8389.843515</v>
      </c>
      <c r="G557" s="2" t="n">
        <v>0</v>
      </c>
      <c r="H557" s="2" t="n">
        <v>8389.843515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66.24</v>
      </c>
      <c r="CZ557" s="2" t="n">
        <v>0</v>
      </c>
      <c r="DA557" s="2" t="n">
        <v>73.35</v>
      </c>
      <c r="DB557" s="2" t="n">
        <v>75.57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</v>
      </c>
      <c r="DI557" s="2" t="n">
        <v>0</v>
      </c>
      <c r="DJ557" s="2" t="n">
        <v>93.57</v>
      </c>
      <c r="DK557" s="2" t="n">
        <v>93.65</v>
      </c>
      <c r="DL557" s="2" t="n">
        <v>0</v>
      </c>
      <c r="DM557" s="2" t="n">
        <v>93.68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 customFormat="false" ht="15" hidden="false" customHeight="false" outlineLevel="0" collapsed="false">
      <c r="A558" s="2" t="n">
        <v>3</v>
      </c>
      <c r="B558" s="2" t="s">
        <v>1511</v>
      </c>
      <c r="C558" s="2" t="s">
        <v>1512</v>
      </c>
      <c r="D558" s="2" t="s">
        <v>1458</v>
      </c>
      <c r="E558" s="2" t="s">
        <v>1437</v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66.24</v>
      </c>
      <c r="CZ558" s="2" t="n">
        <v>0</v>
      </c>
      <c r="DA558" s="2" t="n">
        <v>73.35</v>
      </c>
      <c r="DB558" s="2" t="n">
        <v>75.57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</v>
      </c>
      <c r="DI558" s="2" t="n">
        <v>0</v>
      </c>
      <c r="DJ558" s="2" t="n">
        <v>93.57</v>
      </c>
      <c r="DK558" s="2" t="n">
        <v>93.65</v>
      </c>
      <c r="DL558" s="2" t="n">
        <v>0</v>
      </c>
      <c r="DM558" s="2" t="n">
        <v>93.68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 customFormat="false" ht="15" hidden="false" customHeight="false" outlineLevel="0" collapsed="false">
      <c r="A559" s="2" t="n">
        <v>3</v>
      </c>
      <c r="B559" s="2" t="s">
        <v>1513</v>
      </c>
      <c r="C559" s="2" t="s">
        <v>1514</v>
      </c>
      <c r="D559" s="2" t="s">
        <v>1458</v>
      </c>
      <c r="E559" s="2" t="s">
        <v>1437</v>
      </c>
      <c r="F559" s="2" t="n">
        <v>142032.605583221</v>
      </c>
      <c r="G559" s="2" t="n">
        <v>0</v>
      </c>
      <c r="H559" s="2" t="n">
        <v>142032.605583221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66.24</v>
      </c>
      <c r="CZ559" s="2" t="n">
        <v>0</v>
      </c>
      <c r="DA559" s="2" t="n">
        <v>73.35</v>
      </c>
      <c r="DB559" s="2" t="n">
        <v>75.57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</v>
      </c>
      <c r="DI559" s="2" t="n">
        <v>0</v>
      </c>
      <c r="DJ559" s="2" t="n">
        <v>93.57</v>
      </c>
      <c r="DK559" s="2" t="n">
        <v>93.65</v>
      </c>
      <c r="DL559" s="2" t="n">
        <v>0</v>
      </c>
      <c r="DM559" s="2" t="n">
        <v>93.68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 customFormat="false" ht="15" hidden="false" customHeight="false" outlineLevel="0" collapsed="false">
      <c r="A560" s="2" t="n">
        <v>3</v>
      </c>
      <c r="B560" s="2" t="s">
        <v>1515</v>
      </c>
      <c r="C560" s="2" t="s">
        <v>1516</v>
      </c>
      <c r="D560" s="2" t="s">
        <v>1458</v>
      </c>
      <c r="E560" s="2" t="s">
        <v>1437</v>
      </c>
      <c r="F560" s="2" t="n">
        <v>35118.189456</v>
      </c>
      <c r="G560" s="2" t="n">
        <v>0</v>
      </c>
      <c r="H560" s="2" t="n">
        <v>35118.189456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66.24</v>
      </c>
      <c r="CZ560" s="2" t="n">
        <v>0</v>
      </c>
      <c r="DA560" s="2" t="n">
        <v>73.35</v>
      </c>
      <c r="DB560" s="2" t="n">
        <v>75.57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</v>
      </c>
      <c r="DI560" s="2" t="n">
        <v>0</v>
      </c>
      <c r="DJ560" s="2" t="n">
        <v>93.57</v>
      </c>
      <c r="DK560" s="2" t="n">
        <v>93.65</v>
      </c>
      <c r="DL560" s="2" t="n">
        <v>0</v>
      </c>
      <c r="DM560" s="2" t="n">
        <v>93.68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 customFormat="false" ht="15" hidden="false" customHeight="false" outlineLevel="0" collapsed="false">
      <c r="A561" s="2" t="n">
        <v>3</v>
      </c>
      <c r="B561" s="2" t="s">
        <v>1517</v>
      </c>
      <c r="C561" s="2" t="s">
        <v>1518</v>
      </c>
      <c r="D561" s="2" t="s">
        <v>1458</v>
      </c>
      <c r="E561" s="2" t="s">
        <v>1437</v>
      </c>
      <c r="F561" s="2" t="n">
        <v>81383.61</v>
      </c>
      <c r="G561" s="2" t="n">
        <v>0</v>
      </c>
      <c r="H561" s="2" t="n">
        <v>81383.61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66.24</v>
      </c>
      <c r="CZ561" s="2" t="n">
        <v>0</v>
      </c>
      <c r="DA561" s="2" t="n">
        <v>73.35</v>
      </c>
      <c r="DB561" s="2" t="n">
        <v>75.57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</v>
      </c>
      <c r="DI561" s="2" t="n">
        <v>0</v>
      </c>
      <c r="DJ561" s="2" t="n">
        <v>93.57</v>
      </c>
      <c r="DK561" s="2" t="n">
        <v>93.65</v>
      </c>
      <c r="DL561" s="2" t="n">
        <v>0</v>
      </c>
      <c r="DM561" s="2" t="n">
        <v>93.68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 customFormat="false" ht="15" hidden="false" customHeight="false" outlineLevel="0" collapsed="false">
      <c r="A562" s="2" t="n">
        <v>3</v>
      </c>
      <c r="B562" s="2" t="s">
        <v>1519</v>
      </c>
      <c r="C562" s="126" t="s">
        <v>1520</v>
      </c>
      <c r="D562" s="2" t="s">
        <v>1458</v>
      </c>
      <c r="E562" s="2" t="s">
        <v>1437</v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66.24</v>
      </c>
      <c r="CZ562" s="2" t="n">
        <v>0</v>
      </c>
      <c r="DA562" s="2" t="n">
        <v>73.35</v>
      </c>
      <c r="DB562" s="2" t="n">
        <v>75.57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</v>
      </c>
      <c r="DI562" s="2" t="n">
        <v>0</v>
      </c>
      <c r="DJ562" s="2" t="n">
        <v>93.57</v>
      </c>
      <c r="DK562" s="2" t="n">
        <v>93.65</v>
      </c>
      <c r="DL562" s="2" t="n">
        <v>0</v>
      </c>
      <c r="DM562" s="2" t="n">
        <v>93.68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 customFormat="false" ht="15" hidden="false" customHeight="false" outlineLevel="0" collapsed="false">
      <c r="A563" s="2" t="n">
        <v>1</v>
      </c>
      <c r="B563" s="2" t="s">
        <v>185</v>
      </c>
      <c r="C563" s="2" t="s">
        <v>186</v>
      </c>
      <c r="D563" s="2" t="s">
        <v>1461</v>
      </c>
      <c r="E563" s="2" t="s">
        <v>1521</v>
      </c>
      <c r="F563" s="2" t="n">
        <v>3236182.08943704</v>
      </c>
      <c r="G563" s="2" t="n">
        <v>0</v>
      </c>
      <c r="H563" s="2" t="n">
        <v>3236182.08943704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73.74</v>
      </c>
      <c r="DU563" s="2" t="n">
        <v>0</v>
      </c>
      <c r="DV563" s="2" t="n">
        <v>81.82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 customFormat="false" ht="15" hidden="false" customHeight="false" outlineLevel="0" collapsed="false">
      <c r="A564" s="2" t="n">
        <v>2</v>
      </c>
      <c r="B564" s="2" t="s">
        <v>1522</v>
      </c>
      <c r="C564" s="2" t="s">
        <v>1523</v>
      </c>
      <c r="D564" s="2" t="s">
        <v>1461</v>
      </c>
      <c r="E564" s="2" t="s">
        <v>1521</v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73.74</v>
      </c>
      <c r="DU564" s="2" t="n">
        <v>0</v>
      </c>
      <c r="DV564" s="2" t="n">
        <v>81.82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 customFormat="false" ht="15" hidden="false" customHeight="false" outlineLevel="0" collapsed="false">
      <c r="A565" s="2" t="n">
        <v>2</v>
      </c>
      <c r="B565" s="2" t="s">
        <v>1524</v>
      </c>
      <c r="C565" s="2" t="s">
        <v>1525</v>
      </c>
      <c r="D565" s="2" t="s">
        <v>1461</v>
      </c>
      <c r="E565" s="2" t="s">
        <v>1521</v>
      </c>
      <c r="F565" s="2" t="n">
        <v>963333.333333333</v>
      </c>
      <c r="G565" s="2" t="n">
        <v>0</v>
      </c>
      <c r="H565" s="2" t="n">
        <v>963333.333333333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73.74</v>
      </c>
      <c r="DU565" s="2" t="n">
        <v>0</v>
      </c>
      <c r="DV565" s="2" t="n">
        <v>81.82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 customFormat="false" ht="15" hidden="false" customHeight="false" outlineLevel="0" collapsed="false">
      <c r="A566" s="2" t="n">
        <v>2</v>
      </c>
      <c r="B566" s="2" t="s">
        <v>1526</v>
      </c>
      <c r="C566" s="2" t="s">
        <v>1527</v>
      </c>
      <c r="D566" s="2" t="s">
        <v>1461</v>
      </c>
      <c r="E566" s="2" t="s">
        <v>1521</v>
      </c>
      <c r="F566" s="2" t="n">
        <v>1926666.66666667</v>
      </c>
      <c r="G566" s="2" t="n">
        <v>0</v>
      </c>
      <c r="H566" s="2" t="n">
        <v>1926666.66666667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73.74</v>
      </c>
      <c r="DU566" s="2" t="n">
        <v>0</v>
      </c>
      <c r="DV566" s="2" t="n">
        <v>81.82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 customFormat="false" ht="15" hidden="false" customHeight="false" outlineLevel="0" collapsed="false">
      <c r="A567" s="2" t="n">
        <v>2</v>
      </c>
      <c r="B567" s="2" t="s">
        <v>1528</v>
      </c>
      <c r="C567" s="2" t="s">
        <v>1529</v>
      </c>
      <c r="D567" s="2" t="s">
        <v>1461</v>
      </c>
      <c r="E567" s="2" t="s">
        <v>1521</v>
      </c>
      <c r="F567" s="2" t="n">
        <v>26182.0894370387</v>
      </c>
      <c r="G567" s="2" t="n">
        <v>0</v>
      </c>
      <c r="H567" s="2" t="n">
        <v>26182.0894370387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73.74</v>
      </c>
      <c r="DU567" s="2" t="n">
        <v>0</v>
      </c>
      <c r="DV567" s="2" t="n">
        <v>81.82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 customFormat="false" ht="15" hidden="false" customHeight="false" outlineLevel="0" collapsed="false">
      <c r="A568" s="2" t="n">
        <v>2</v>
      </c>
      <c r="B568" s="2" t="s">
        <v>1530</v>
      </c>
      <c r="C568" s="2" t="s">
        <v>1531</v>
      </c>
      <c r="D568" s="2" t="s">
        <v>1461</v>
      </c>
      <c r="E568" s="2" t="s">
        <v>1521</v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73.74</v>
      </c>
      <c r="DU568" s="2" t="n">
        <v>0</v>
      </c>
      <c r="DV568" s="2" t="n">
        <v>81.82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 customFormat="false" ht="15" hidden="false" customHeight="false" outlineLevel="0" collapsed="false">
      <c r="A569" s="2" t="n">
        <v>2</v>
      </c>
      <c r="B569" s="2" t="s">
        <v>1532</v>
      </c>
      <c r="C569" s="2" t="s">
        <v>1533</v>
      </c>
      <c r="D569" s="2" t="s">
        <v>1461</v>
      </c>
      <c r="E569" s="2" t="s">
        <v>1521</v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73.74</v>
      </c>
      <c r="DU569" s="2" t="n">
        <v>0</v>
      </c>
      <c r="DV569" s="2" t="n">
        <v>81.82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 customFormat="false" ht="15" hidden="false" customHeight="false" outlineLevel="0" collapsed="false">
      <c r="A570" s="2" t="n">
        <v>2</v>
      </c>
      <c r="B570" s="2" t="s">
        <v>1534</v>
      </c>
      <c r="C570" s="2" t="s">
        <v>1535</v>
      </c>
      <c r="D570" s="2" t="s">
        <v>1461</v>
      </c>
      <c r="E570" s="2" t="s">
        <v>1521</v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73.74</v>
      </c>
      <c r="DU570" s="2" t="n">
        <v>0</v>
      </c>
      <c r="DV570" s="2" t="n">
        <v>81.82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 customFormat="false" ht="15" hidden="false" customHeight="false" outlineLevel="0" collapsed="false">
      <c r="A571" s="2" t="n">
        <v>1</v>
      </c>
      <c r="B571" s="2" t="s">
        <v>189</v>
      </c>
      <c r="C571" s="2" t="s">
        <v>190</v>
      </c>
      <c r="D571" s="2" t="s">
        <v>1536</v>
      </c>
      <c r="E571" s="2" t="s">
        <v>1537</v>
      </c>
      <c r="F571" s="2" t="n">
        <v>11181479.7440271</v>
      </c>
      <c r="G571" s="2" t="n">
        <v>0</v>
      </c>
      <c r="H571" s="2" t="n">
        <v>11181479.7440271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</v>
      </c>
      <c r="DQ571" s="2" t="n">
        <v>68.87</v>
      </c>
      <c r="DR571" s="2" t="n">
        <v>0</v>
      </c>
      <c r="DS571" s="2" t="n">
        <v>75.76</v>
      </c>
      <c r="DT571" s="2" t="n">
        <v>79.82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96.21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 customFormat="false" ht="15" hidden="false" customHeight="false" outlineLevel="0" collapsed="false">
      <c r="A572" s="2" t="n">
        <v>2</v>
      </c>
      <c r="B572" s="2" t="s">
        <v>1538</v>
      </c>
      <c r="C572" s="2" t="s">
        <v>1539</v>
      </c>
      <c r="D572" s="2" t="s">
        <v>1536</v>
      </c>
      <c r="E572" s="2" t="s">
        <v>1537</v>
      </c>
      <c r="F572" s="2" t="n">
        <v>11181479.7440271</v>
      </c>
      <c r="G572" s="2" t="n">
        <v>0</v>
      </c>
      <c r="H572" s="2" t="n">
        <v>11181479.7440271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</v>
      </c>
      <c r="DQ572" s="2" t="n">
        <v>68.87</v>
      </c>
      <c r="DR572" s="2" t="n">
        <v>0</v>
      </c>
      <c r="DS572" s="2" t="n">
        <v>75.76</v>
      </c>
      <c r="DT572" s="2" t="n">
        <v>79.82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96.21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 customFormat="false" ht="15" hidden="false" customHeight="false" outlineLevel="0" collapsed="false">
      <c r="A573" s="2" t="n">
        <v>3</v>
      </c>
      <c r="B573" s="2" t="s">
        <v>1540</v>
      </c>
      <c r="C573" s="2" t="s">
        <v>1541</v>
      </c>
      <c r="D573" s="2" t="s">
        <v>1536</v>
      </c>
      <c r="E573" s="2" t="s">
        <v>1537</v>
      </c>
      <c r="F573" s="2" t="n">
        <v>846000.830503297</v>
      </c>
      <c r="G573" s="2" t="n">
        <v>0</v>
      </c>
      <c r="H573" s="2" t="n">
        <v>846000.830503297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71.24</v>
      </c>
      <c r="DR573" s="2" t="n">
        <v>0</v>
      </c>
      <c r="DS573" s="2" t="n">
        <v>78.21</v>
      </c>
      <c r="DT573" s="2" t="n">
        <v>80.42</v>
      </c>
      <c r="DU573" s="2" t="n">
        <v>0</v>
      </c>
      <c r="DV573" s="2" t="n">
        <v>86.55</v>
      </c>
      <c r="DW573" s="2" t="n">
        <v>89.65</v>
      </c>
      <c r="DX573" s="2" t="n">
        <v>0</v>
      </c>
      <c r="DY573" s="2" t="n">
        <v>95.18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 customFormat="false" ht="15" hidden="false" customHeight="false" outlineLevel="0" collapsed="false">
      <c r="A574" s="2" t="n">
        <v>3</v>
      </c>
      <c r="B574" s="2" t="s">
        <v>1542</v>
      </c>
      <c r="C574" s="2" t="s">
        <v>1539</v>
      </c>
      <c r="D574" s="2" t="s">
        <v>1536</v>
      </c>
      <c r="E574" s="2" t="s">
        <v>1537</v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71.24</v>
      </c>
      <c r="DR574" s="2" t="n">
        <v>0</v>
      </c>
      <c r="DS574" s="2" t="n">
        <v>78.21</v>
      </c>
      <c r="DT574" s="2" t="n">
        <v>80.42</v>
      </c>
      <c r="DU574" s="2" t="n">
        <v>0</v>
      </c>
      <c r="DV574" s="2" t="n">
        <v>86.55</v>
      </c>
      <c r="DW574" s="2" t="n">
        <v>89.65</v>
      </c>
      <c r="DX574" s="2" t="n">
        <v>0</v>
      </c>
      <c r="DY574" s="2" t="n">
        <v>95.18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 customFormat="false" ht="15" hidden="false" customHeight="false" outlineLevel="0" collapsed="false">
      <c r="A575" s="2" t="n">
        <v>3</v>
      </c>
      <c r="B575" s="2" t="s">
        <v>1543</v>
      </c>
      <c r="C575" s="2" t="s">
        <v>1544</v>
      </c>
      <c r="D575" s="2" t="s">
        <v>1536</v>
      </c>
      <c r="E575" s="2" t="s">
        <v>1537</v>
      </c>
      <c r="F575" s="2" t="n">
        <v>206508.523809524</v>
      </c>
      <c r="G575" s="2" t="n">
        <v>0</v>
      </c>
      <c r="H575" s="2" t="n">
        <v>206508.523809524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71.24</v>
      </c>
      <c r="DR575" s="2" t="n">
        <v>0</v>
      </c>
      <c r="DS575" s="2" t="n">
        <v>78.21</v>
      </c>
      <c r="DT575" s="2" t="n">
        <v>80.42</v>
      </c>
      <c r="DU575" s="2" t="n">
        <v>0</v>
      </c>
      <c r="DV575" s="2" t="n">
        <v>86.55</v>
      </c>
      <c r="DW575" s="2" t="n">
        <v>89.65</v>
      </c>
      <c r="DX575" s="2" t="n">
        <v>0</v>
      </c>
      <c r="DY575" s="2" t="n">
        <v>95.18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 customFormat="false" ht="15" hidden="false" customHeight="false" outlineLevel="0" collapsed="false">
      <c r="A576" s="2" t="n">
        <v>3</v>
      </c>
      <c r="B576" s="2" t="s">
        <v>1545</v>
      </c>
      <c r="C576" s="2" t="s">
        <v>1546</v>
      </c>
      <c r="D576" s="2" t="s">
        <v>1547</v>
      </c>
      <c r="E576" s="2" t="s">
        <v>1548</v>
      </c>
      <c r="F576" s="2" t="n">
        <v>433114.285714286</v>
      </c>
      <c r="G576" s="2" t="n">
        <v>0</v>
      </c>
      <c r="H576" s="2" t="n">
        <v>433114.285714286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 customFormat="false" ht="15" hidden="false" customHeight="false" outlineLevel="0" collapsed="false">
      <c r="A577" s="2" t="n">
        <v>3</v>
      </c>
      <c r="B577" s="2" t="s">
        <v>1549</v>
      </c>
      <c r="C577" s="2" t="s">
        <v>1550</v>
      </c>
      <c r="D577" s="2" t="s">
        <v>1536</v>
      </c>
      <c r="E577" s="2" t="s">
        <v>1537</v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71.24</v>
      </c>
      <c r="DR577" s="2" t="n">
        <v>0</v>
      </c>
      <c r="DS577" s="2" t="n">
        <v>78.21</v>
      </c>
      <c r="DT577" s="2" t="n">
        <v>80.42</v>
      </c>
      <c r="DU577" s="2" t="n">
        <v>0</v>
      </c>
      <c r="DV577" s="2" t="n">
        <v>86.55</v>
      </c>
      <c r="DW577" s="2" t="n">
        <v>89.65</v>
      </c>
      <c r="DX577" s="2" t="n">
        <v>0</v>
      </c>
      <c r="DY577" s="2" t="n">
        <v>95.18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 customFormat="false" ht="15" hidden="false" customHeight="false" outlineLevel="0" collapsed="false">
      <c r="A578" s="2" t="n">
        <v>3</v>
      </c>
      <c r="B578" s="2" t="s">
        <v>1551</v>
      </c>
      <c r="C578" s="2" t="s">
        <v>1552</v>
      </c>
      <c r="D578" s="2" t="s">
        <v>1536</v>
      </c>
      <c r="E578" s="2" t="s">
        <v>1537</v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71.24</v>
      </c>
      <c r="DR578" s="2" t="n">
        <v>0</v>
      </c>
      <c r="DS578" s="2" t="n">
        <v>78.21</v>
      </c>
      <c r="DT578" s="2" t="n">
        <v>80.42</v>
      </c>
      <c r="DU578" s="2" t="n">
        <v>0</v>
      </c>
      <c r="DV578" s="2" t="n">
        <v>86.55</v>
      </c>
      <c r="DW578" s="2" t="n">
        <v>89.65</v>
      </c>
      <c r="DX578" s="2" t="n">
        <v>0</v>
      </c>
      <c r="DY578" s="2" t="n">
        <v>95.18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 customFormat="false" ht="15" hidden="false" customHeight="false" outlineLevel="0" collapsed="false">
      <c r="A579" s="2" t="n">
        <v>1</v>
      </c>
      <c r="B579" s="2" t="s">
        <v>193</v>
      </c>
      <c r="C579" s="2" t="s">
        <v>194</v>
      </c>
      <c r="D579" s="2" t="s">
        <v>1553</v>
      </c>
      <c r="E579" s="2" t="s">
        <v>1554</v>
      </c>
      <c r="F579" s="2" t="n">
        <v>482766.757056559</v>
      </c>
      <c r="G579" s="2" t="n">
        <v>0</v>
      </c>
      <c r="H579" s="2" t="n">
        <v>482766.757056559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</v>
      </c>
      <c r="EA579" s="2" t="n">
        <v>0</v>
      </c>
      <c r="EB579" s="2" t="n">
        <v>80.57</v>
      </c>
      <c r="EC579" s="2" t="n">
        <v>97.99</v>
      </c>
      <c r="ED579" s="2" t="n">
        <v>0</v>
      </c>
      <c r="EE579" s="2" t="n">
        <v>98.74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 customFormat="false" ht="15" hidden="false" customHeight="false" outlineLevel="0" collapsed="false">
      <c r="A580" s="2" t="n">
        <v>2</v>
      </c>
      <c r="B580" s="2" t="s">
        <v>1555</v>
      </c>
      <c r="C580" s="2" t="s">
        <v>1556</v>
      </c>
      <c r="D580" s="2" t="s">
        <v>1557</v>
      </c>
      <c r="E580" s="2" t="s">
        <v>1558</v>
      </c>
      <c r="F580" s="2" t="n">
        <v>164554.833201495</v>
      </c>
      <c r="G580" s="2" t="n">
        <v>0</v>
      </c>
      <c r="H580" s="2" t="n">
        <v>164554.833201495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 customFormat="false" ht="15" hidden="false" customHeight="false" outlineLevel="0" collapsed="false">
      <c r="A581" s="2" t="n">
        <v>3</v>
      </c>
      <c r="B581" s="2" t="s">
        <v>1559</v>
      </c>
      <c r="C581" s="2" t="s">
        <v>1560</v>
      </c>
      <c r="D581" s="2" t="s">
        <v>1557</v>
      </c>
      <c r="E581" s="2" t="s">
        <v>1558</v>
      </c>
      <c r="F581" s="2" t="n">
        <v>155012.610205276</v>
      </c>
      <c r="G581" s="2" t="n">
        <v>0</v>
      </c>
      <c r="H581" s="2" t="n">
        <v>155012.610205276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 customFormat="false" ht="15" hidden="false" customHeight="false" outlineLevel="0" collapsed="false">
      <c r="A582" s="2" t="n">
        <v>3</v>
      </c>
      <c r="B582" s="2" t="s">
        <v>1561</v>
      </c>
      <c r="C582" s="2" t="s">
        <v>1562</v>
      </c>
      <c r="D582" s="2" t="s">
        <v>1557</v>
      </c>
      <c r="E582" s="2" t="s">
        <v>1558</v>
      </c>
      <c r="F582" s="2" t="n">
        <v>3252.22299621895</v>
      </c>
      <c r="G582" s="2" t="n">
        <v>0</v>
      </c>
      <c r="H582" s="2" t="n">
        <v>3252.22299621895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 customFormat="false" ht="15" hidden="false" customHeight="false" outlineLevel="0" collapsed="false">
      <c r="A583" s="2" t="n">
        <v>3</v>
      </c>
      <c r="B583" s="2" t="s">
        <v>1563</v>
      </c>
      <c r="C583" s="2" t="s">
        <v>1564</v>
      </c>
      <c r="D583" s="2" t="s">
        <v>1557</v>
      </c>
      <c r="E583" s="2" t="s">
        <v>1558</v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 customFormat="false" ht="15" hidden="false" customHeight="false" outlineLevel="0" collapsed="false">
      <c r="A584" s="2" t="n">
        <v>3</v>
      </c>
      <c r="B584" s="2" t="s">
        <v>1565</v>
      </c>
      <c r="C584" s="2" t="s">
        <v>1566</v>
      </c>
      <c r="D584" s="2" t="s">
        <v>1557</v>
      </c>
      <c r="E584" s="2" t="s">
        <v>1558</v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 customFormat="false" ht="15" hidden="false" customHeight="false" outlineLevel="0" collapsed="false">
      <c r="A585" s="2" t="n">
        <v>2</v>
      </c>
      <c r="B585" s="2" t="s">
        <v>1567</v>
      </c>
      <c r="C585" s="2" t="s">
        <v>1568</v>
      </c>
      <c r="D585" s="2" t="s">
        <v>1553</v>
      </c>
      <c r="E585" s="2" t="s">
        <v>1569</v>
      </c>
      <c r="F585" s="2" t="n">
        <v>1943.18733758524</v>
      </c>
      <c r="G585" s="2" t="n">
        <v>0</v>
      </c>
      <c r="H585" s="2" t="n">
        <v>1943.18733758524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</v>
      </c>
      <c r="DF585" s="2" t="n">
        <v>0</v>
      </c>
      <c r="DG585" s="2" t="n">
        <v>71.43</v>
      </c>
      <c r="DH585" s="2" t="n">
        <v>71.43</v>
      </c>
      <c r="DI585" s="2" t="n">
        <v>0</v>
      </c>
      <c r="DJ585" s="2" t="n">
        <v>71.43</v>
      </c>
      <c r="DK585" s="2" t="n">
        <v>75.24</v>
      </c>
      <c r="DL585" s="2" t="n">
        <v>0</v>
      </c>
      <c r="DM585" s="2" t="n">
        <v>98.1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 customFormat="false" ht="15" hidden="false" customHeight="false" outlineLevel="0" collapsed="false">
      <c r="A586" s="2" t="n">
        <v>3</v>
      </c>
      <c r="B586" s="2" t="s">
        <v>1570</v>
      </c>
      <c r="C586" s="2" t="s">
        <v>1571</v>
      </c>
      <c r="D586" s="2" t="s">
        <v>1553</v>
      </c>
      <c r="E586" s="2" t="s">
        <v>1569</v>
      </c>
      <c r="F586" s="2" t="n">
        <v>914.441100040115</v>
      </c>
      <c r="G586" s="2" t="n">
        <v>0</v>
      </c>
      <c r="H586" s="2" t="n">
        <v>914.441100040115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</v>
      </c>
      <c r="DF586" s="2" t="n">
        <v>0</v>
      </c>
      <c r="DG586" s="2" t="n">
        <v>71.43</v>
      </c>
      <c r="DH586" s="2" t="n">
        <v>71.43</v>
      </c>
      <c r="DI586" s="2" t="n">
        <v>0</v>
      </c>
      <c r="DJ586" s="2" t="n">
        <v>71.43</v>
      </c>
      <c r="DK586" s="2" t="n">
        <v>75.24</v>
      </c>
      <c r="DL586" s="2" t="n">
        <v>0</v>
      </c>
      <c r="DM586" s="2" t="n">
        <v>98.1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 customFormat="false" ht="15" hidden="false" customHeight="false" outlineLevel="0" collapsed="false">
      <c r="A587" s="2" t="n">
        <v>3</v>
      </c>
      <c r="B587" s="2" t="s">
        <v>1572</v>
      </c>
      <c r="C587" s="2" t="s">
        <v>1573</v>
      </c>
      <c r="D587" s="2" t="s">
        <v>1553</v>
      </c>
      <c r="E587" s="2" t="s">
        <v>1569</v>
      </c>
      <c r="F587" s="2" t="n">
        <v>1028.74623754513</v>
      </c>
      <c r="G587" s="2" t="n">
        <v>0</v>
      </c>
      <c r="H587" s="2" t="n">
        <v>1028.74623754513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</v>
      </c>
      <c r="DF587" s="2" t="n">
        <v>0</v>
      </c>
      <c r="DG587" s="2" t="n">
        <v>71.43</v>
      </c>
      <c r="DH587" s="2" t="n">
        <v>71.43</v>
      </c>
      <c r="DI587" s="2" t="n">
        <v>0</v>
      </c>
      <c r="DJ587" s="2" t="n">
        <v>71.43</v>
      </c>
      <c r="DK587" s="2" t="n">
        <v>75.24</v>
      </c>
      <c r="DL587" s="2" t="n">
        <v>0</v>
      </c>
      <c r="DM587" s="2" t="n">
        <v>98.1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 customFormat="false" ht="15" hidden="false" customHeight="false" outlineLevel="0" collapsed="false">
      <c r="A588" s="2" t="n">
        <v>2</v>
      </c>
      <c r="B588" s="2" t="s">
        <v>1574</v>
      </c>
      <c r="C588" s="2" t="s">
        <v>1575</v>
      </c>
      <c r="D588" s="2" t="s">
        <v>1553</v>
      </c>
      <c r="E588" s="2" t="s">
        <v>1569</v>
      </c>
      <c r="F588" s="2" t="n">
        <v>9383.90747898308</v>
      </c>
      <c r="G588" s="2" t="n">
        <v>0</v>
      </c>
      <c r="H588" s="2" t="n">
        <v>9383.90747898308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</v>
      </c>
      <c r="DF588" s="2" t="n">
        <v>0</v>
      </c>
      <c r="DG588" s="2" t="n">
        <v>71.43</v>
      </c>
      <c r="DH588" s="2" t="n">
        <v>71.43</v>
      </c>
      <c r="DI588" s="2" t="n">
        <v>0</v>
      </c>
      <c r="DJ588" s="2" t="n">
        <v>71.43</v>
      </c>
      <c r="DK588" s="2" t="n">
        <v>75.24</v>
      </c>
      <c r="DL588" s="2" t="n">
        <v>0</v>
      </c>
      <c r="DM588" s="2" t="n">
        <v>98.1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 customFormat="false" ht="15" hidden="false" customHeight="false" outlineLevel="0" collapsed="false">
      <c r="A589" s="2" t="n">
        <v>3</v>
      </c>
      <c r="B589" s="2" t="s">
        <v>1576</v>
      </c>
      <c r="C589" s="2" t="s">
        <v>1577</v>
      </c>
      <c r="D589" s="2" t="s">
        <v>1553</v>
      </c>
      <c r="E589" s="2" t="s">
        <v>1569</v>
      </c>
      <c r="F589" s="2" t="n">
        <v>4245.61939304339</v>
      </c>
      <c r="G589" s="2" t="n">
        <v>0</v>
      </c>
      <c r="H589" s="2" t="n">
        <v>4245.61939304339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</v>
      </c>
      <c r="DF589" s="2" t="n">
        <v>0</v>
      </c>
      <c r="DG589" s="2" t="n">
        <v>71.43</v>
      </c>
      <c r="DH589" s="2" t="n">
        <v>71.43</v>
      </c>
      <c r="DI589" s="2" t="n">
        <v>0</v>
      </c>
      <c r="DJ589" s="2" t="n">
        <v>71.43</v>
      </c>
      <c r="DK589" s="2" t="n">
        <v>75.24</v>
      </c>
      <c r="DL589" s="2" t="n">
        <v>0</v>
      </c>
      <c r="DM589" s="2" t="n">
        <v>98.1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 customFormat="false" ht="15" hidden="false" customHeight="false" outlineLevel="0" collapsed="false">
      <c r="A590" s="2" t="n">
        <v>3</v>
      </c>
      <c r="B590" s="2" t="s">
        <v>1578</v>
      </c>
      <c r="C590" s="2" t="s">
        <v>1579</v>
      </c>
      <c r="D590" s="2" t="s">
        <v>1553</v>
      </c>
      <c r="E590" s="2" t="s">
        <v>1569</v>
      </c>
      <c r="F590" s="2" t="n">
        <v>2438.50960010697</v>
      </c>
      <c r="G590" s="2" t="n">
        <v>0</v>
      </c>
      <c r="H590" s="2" t="n">
        <v>2438.50960010697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</v>
      </c>
      <c r="DF590" s="2" t="n">
        <v>0</v>
      </c>
      <c r="DG590" s="2" t="n">
        <v>71.43</v>
      </c>
      <c r="DH590" s="2" t="n">
        <v>71.43</v>
      </c>
      <c r="DI590" s="2" t="n">
        <v>0</v>
      </c>
      <c r="DJ590" s="2" t="n">
        <v>71.43</v>
      </c>
      <c r="DK590" s="2" t="n">
        <v>75.24</v>
      </c>
      <c r="DL590" s="2" t="n">
        <v>0</v>
      </c>
      <c r="DM590" s="2" t="n">
        <v>98.1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 customFormat="false" ht="15" hidden="false" customHeight="false" outlineLevel="0" collapsed="false">
      <c r="A591" s="2" t="n">
        <v>3</v>
      </c>
      <c r="B591" s="2" t="s">
        <v>1580</v>
      </c>
      <c r="C591" s="2" t="s">
        <v>1581</v>
      </c>
      <c r="D591" s="2" t="s">
        <v>1553</v>
      </c>
      <c r="E591" s="2" t="s">
        <v>1569</v>
      </c>
      <c r="F591" s="2" t="n">
        <v>2438.50960010697</v>
      </c>
      <c r="G591" s="2" t="n">
        <v>0</v>
      </c>
      <c r="H591" s="2" t="n">
        <v>2438.50960010697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</v>
      </c>
      <c r="DF591" s="2" t="n">
        <v>0</v>
      </c>
      <c r="DG591" s="2" t="n">
        <v>71.43</v>
      </c>
      <c r="DH591" s="2" t="n">
        <v>71.43</v>
      </c>
      <c r="DI591" s="2" t="n">
        <v>0</v>
      </c>
      <c r="DJ591" s="2" t="n">
        <v>71.43</v>
      </c>
      <c r="DK591" s="2" t="n">
        <v>75.24</v>
      </c>
      <c r="DL591" s="2" t="n">
        <v>0</v>
      </c>
      <c r="DM591" s="2" t="n">
        <v>98.1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 customFormat="false" ht="15" hidden="false" customHeight="false" outlineLevel="0" collapsed="false">
      <c r="A592" s="2" t="n">
        <v>3</v>
      </c>
      <c r="B592" s="2" t="s">
        <v>1582</v>
      </c>
      <c r="C592" s="2" t="s">
        <v>1583</v>
      </c>
      <c r="D592" s="2" t="s">
        <v>1553</v>
      </c>
      <c r="E592" s="2" t="s">
        <v>1569</v>
      </c>
      <c r="F592" s="2" t="n">
        <v>261.268885725747</v>
      </c>
      <c r="G592" s="2" t="n">
        <v>0</v>
      </c>
      <c r="H592" s="2" t="n">
        <v>261.268885725747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</v>
      </c>
      <c r="DF592" s="2" t="n">
        <v>0</v>
      </c>
      <c r="DG592" s="2" t="n">
        <v>71.43</v>
      </c>
      <c r="DH592" s="2" t="n">
        <v>71.43</v>
      </c>
      <c r="DI592" s="2" t="n">
        <v>0</v>
      </c>
      <c r="DJ592" s="2" t="n">
        <v>71.43</v>
      </c>
      <c r="DK592" s="2" t="n">
        <v>75.24</v>
      </c>
      <c r="DL592" s="2" t="n">
        <v>0</v>
      </c>
      <c r="DM592" s="2" t="n">
        <v>98.1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 customFormat="false" ht="15" hidden="false" customHeight="false" outlineLevel="0" collapsed="false">
      <c r="A593" s="2" t="n">
        <v>2</v>
      </c>
      <c r="B593" s="2" t="s">
        <v>1584</v>
      </c>
      <c r="C593" s="2" t="s">
        <v>1585</v>
      </c>
      <c r="D593" s="2" t="s">
        <v>1586</v>
      </c>
      <c r="E593" s="2" t="s">
        <v>1554</v>
      </c>
      <c r="F593" s="2" t="n">
        <v>138929.155617028</v>
      </c>
      <c r="G593" s="2" t="n">
        <v>0</v>
      </c>
      <c r="H593" s="2" t="n">
        <v>138929.155617028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</v>
      </c>
      <c r="DI593" s="2" t="n">
        <v>0</v>
      </c>
      <c r="DJ593" s="2" t="n">
        <v>99.24</v>
      </c>
      <c r="DK593" s="2" t="n">
        <v>99.24</v>
      </c>
      <c r="DL593" s="2" t="n">
        <v>0</v>
      </c>
      <c r="DM593" s="2" t="n">
        <v>99.24</v>
      </c>
      <c r="DN593" s="2" t="n">
        <v>99.24</v>
      </c>
      <c r="DO593" s="2" t="n">
        <v>0</v>
      </c>
      <c r="DP593" s="2" t="n">
        <v>99.24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99.85</v>
      </c>
      <c r="DX593" s="2" t="n">
        <v>0</v>
      </c>
      <c r="DY593" s="2" t="n">
        <v>99.85</v>
      </c>
      <c r="DZ593" s="2" t="n">
        <v>99.85</v>
      </c>
      <c r="EA593" s="2" t="n">
        <v>0</v>
      </c>
      <c r="EB593" s="2" t="n">
        <v>99.85</v>
      </c>
      <c r="EC593" s="2" t="n">
        <v>99.85</v>
      </c>
      <c r="ED593" s="2" t="n">
        <v>0</v>
      </c>
      <c r="EE593" s="2" t="n">
        <v>99.85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 customFormat="false" ht="15" hidden="false" customHeight="false" outlineLevel="0" collapsed="false">
      <c r="A594" s="2" t="n">
        <v>3</v>
      </c>
      <c r="B594" s="2" t="s">
        <v>1587</v>
      </c>
      <c r="C594" s="2" t="s">
        <v>1588</v>
      </c>
      <c r="D594" s="2" t="s">
        <v>1586</v>
      </c>
      <c r="E594" s="2" t="s">
        <v>1123</v>
      </c>
      <c r="F594" s="2" t="n">
        <v>137879.259601178</v>
      </c>
      <c r="G594" s="2" t="n">
        <v>0</v>
      </c>
      <c r="H594" s="2" t="n">
        <v>137879.259601178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 customFormat="false" ht="15" hidden="false" customHeight="false" outlineLevel="0" collapsed="false">
      <c r="A595" s="2" t="n">
        <v>3</v>
      </c>
      <c r="B595" s="2" t="s">
        <v>1589</v>
      </c>
      <c r="C595" s="2" t="s">
        <v>1590</v>
      </c>
      <c r="D595" s="2" t="s">
        <v>1547</v>
      </c>
      <c r="E595" s="2" t="s">
        <v>1554</v>
      </c>
      <c r="F595" s="2" t="n">
        <v>1049.89601585008</v>
      </c>
      <c r="G595" s="2" t="n">
        <v>0</v>
      </c>
      <c r="H595" s="2" t="n">
        <v>1049.89601585008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 customFormat="false" ht="15" hidden="false" customHeight="false" outlineLevel="0" collapsed="false">
      <c r="A596" s="2" t="n">
        <v>2</v>
      </c>
      <c r="B596" s="2" t="s">
        <v>1591</v>
      </c>
      <c r="C596" s="2" t="s">
        <v>1592</v>
      </c>
      <c r="D596" s="2" t="s">
        <v>1553</v>
      </c>
      <c r="E596" s="2" t="s">
        <v>1569</v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</v>
      </c>
      <c r="DF596" s="2" t="n">
        <v>0</v>
      </c>
      <c r="DG596" s="2" t="n">
        <v>71.43</v>
      </c>
      <c r="DH596" s="2" t="n">
        <v>71.43</v>
      </c>
      <c r="DI596" s="2" t="n">
        <v>0</v>
      </c>
      <c r="DJ596" s="2" t="n">
        <v>71.43</v>
      </c>
      <c r="DK596" s="2" t="n">
        <v>75.24</v>
      </c>
      <c r="DL596" s="2" t="n">
        <v>0</v>
      </c>
      <c r="DM596" s="2" t="n">
        <v>98.1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 customFormat="false" ht="15" hidden="false" customHeight="false" outlineLevel="0" collapsed="false">
      <c r="A597" s="2" t="n">
        <v>3</v>
      </c>
      <c r="B597" s="2" t="s">
        <v>1593</v>
      </c>
      <c r="C597" s="2" t="s">
        <v>1594</v>
      </c>
      <c r="D597" s="2" t="s">
        <v>1553</v>
      </c>
      <c r="E597" s="2" t="s">
        <v>1569</v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</v>
      </c>
      <c r="DF597" s="2" t="n">
        <v>0</v>
      </c>
      <c r="DG597" s="2" t="n">
        <v>71.43</v>
      </c>
      <c r="DH597" s="2" t="n">
        <v>71.43</v>
      </c>
      <c r="DI597" s="2" t="n">
        <v>0</v>
      </c>
      <c r="DJ597" s="2" t="n">
        <v>71.43</v>
      </c>
      <c r="DK597" s="2" t="n">
        <v>75.24</v>
      </c>
      <c r="DL597" s="2" t="n">
        <v>0</v>
      </c>
      <c r="DM597" s="2" t="n">
        <v>98.1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 customFormat="false" ht="15" hidden="false" customHeight="false" outlineLevel="0" collapsed="false">
      <c r="A598" s="2" t="n">
        <v>2</v>
      </c>
      <c r="B598" s="2" t="s">
        <v>1595</v>
      </c>
      <c r="C598" s="2" t="s">
        <v>1596</v>
      </c>
      <c r="D598" s="2" t="s">
        <v>1553</v>
      </c>
      <c r="E598" s="2" t="s">
        <v>1569</v>
      </c>
      <c r="F598" s="2" t="n">
        <v>6799.80796857424</v>
      </c>
      <c r="G598" s="2" t="n">
        <v>0</v>
      </c>
      <c r="H598" s="2" t="n">
        <v>6799.80796857424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</v>
      </c>
      <c r="DF598" s="2" t="n">
        <v>0</v>
      </c>
      <c r="DG598" s="2" t="n">
        <v>71.43</v>
      </c>
      <c r="DH598" s="2" t="n">
        <v>71.43</v>
      </c>
      <c r="DI598" s="2" t="n">
        <v>0</v>
      </c>
      <c r="DJ598" s="2" t="n">
        <v>71.43</v>
      </c>
      <c r="DK598" s="2" t="n">
        <v>75.24</v>
      </c>
      <c r="DL598" s="2" t="n">
        <v>0</v>
      </c>
      <c r="DM598" s="2" t="n">
        <v>98.1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 customFormat="false" ht="15" hidden="false" customHeight="false" outlineLevel="0" collapsed="false">
      <c r="A599" s="2" t="n">
        <v>3</v>
      </c>
      <c r="B599" s="2" t="s">
        <v>1597</v>
      </c>
      <c r="C599" s="2" t="s">
        <v>1598</v>
      </c>
      <c r="D599" s="2" t="s">
        <v>1553</v>
      </c>
      <c r="E599" s="2" t="s">
        <v>1569</v>
      </c>
      <c r="F599" s="2" t="n">
        <v>6799.80796857424</v>
      </c>
      <c r="G599" s="2" t="n">
        <v>0</v>
      </c>
      <c r="H599" s="2" t="n">
        <v>6799.80796857424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</v>
      </c>
      <c r="DF599" s="2" t="n">
        <v>0</v>
      </c>
      <c r="DG599" s="2" t="n">
        <v>71.43</v>
      </c>
      <c r="DH599" s="2" t="n">
        <v>71.43</v>
      </c>
      <c r="DI599" s="2" t="n">
        <v>0</v>
      </c>
      <c r="DJ599" s="2" t="n">
        <v>71.43</v>
      </c>
      <c r="DK599" s="2" t="n">
        <v>75.24</v>
      </c>
      <c r="DL599" s="2" t="n">
        <v>0</v>
      </c>
      <c r="DM599" s="2" t="n">
        <v>98.1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 customFormat="false" ht="15" hidden="false" customHeight="false" outlineLevel="0" collapsed="false">
      <c r="A600" s="2" t="n">
        <v>2</v>
      </c>
      <c r="B600" s="2" t="s">
        <v>1599</v>
      </c>
      <c r="C600" s="2" t="s">
        <v>1600</v>
      </c>
      <c r="D600" s="2" t="s">
        <v>1553</v>
      </c>
      <c r="E600" s="2" t="s">
        <v>1569</v>
      </c>
      <c r="F600" s="2" t="n">
        <v>132724.865452894</v>
      </c>
      <c r="G600" s="2" t="n">
        <v>0</v>
      </c>
      <c r="H600" s="2" t="n">
        <v>132724.865452894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</v>
      </c>
      <c r="DF600" s="2" t="n">
        <v>0</v>
      </c>
      <c r="DG600" s="2" t="n">
        <v>71.43</v>
      </c>
      <c r="DH600" s="2" t="n">
        <v>71.43</v>
      </c>
      <c r="DI600" s="2" t="n">
        <v>0</v>
      </c>
      <c r="DJ600" s="2" t="n">
        <v>71.43</v>
      </c>
      <c r="DK600" s="2" t="n">
        <v>75.24</v>
      </c>
      <c r="DL600" s="2" t="n">
        <v>0</v>
      </c>
      <c r="DM600" s="2" t="n">
        <v>98.1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 customFormat="false" ht="15" hidden="false" customHeight="false" outlineLevel="0" collapsed="false">
      <c r="A601" s="2" t="n">
        <v>3</v>
      </c>
      <c r="B601" s="2" t="s">
        <v>1601</v>
      </c>
      <c r="C601" s="2" t="s">
        <v>1602</v>
      </c>
      <c r="D601" s="2" t="s">
        <v>1553</v>
      </c>
      <c r="E601" s="2" t="s">
        <v>1569</v>
      </c>
      <c r="F601" s="2" t="n">
        <v>130702.533320127</v>
      </c>
      <c r="G601" s="2" t="n">
        <v>0</v>
      </c>
      <c r="H601" s="2" t="n">
        <v>130702.533320127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</v>
      </c>
      <c r="DF601" s="2" t="n">
        <v>0</v>
      </c>
      <c r="DG601" s="2" t="n">
        <v>71.43</v>
      </c>
      <c r="DH601" s="2" t="n">
        <v>71.43</v>
      </c>
      <c r="DI601" s="2" t="n">
        <v>0</v>
      </c>
      <c r="DJ601" s="2" t="n">
        <v>71.43</v>
      </c>
      <c r="DK601" s="2" t="n">
        <v>75.24</v>
      </c>
      <c r="DL601" s="2" t="n">
        <v>0</v>
      </c>
      <c r="DM601" s="2" t="n">
        <v>98.1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 customFormat="false" ht="15" hidden="false" customHeight="false" outlineLevel="0" collapsed="false">
      <c r="A602" s="2" t="n">
        <v>3</v>
      </c>
      <c r="B602" s="2" t="s">
        <v>1603</v>
      </c>
      <c r="C602" s="2" t="s">
        <v>1604</v>
      </c>
      <c r="D602" s="2" t="s">
        <v>1553</v>
      </c>
      <c r="E602" s="2" t="s">
        <v>1569</v>
      </c>
      <c r="F602" s="2" t="n">
        <v>2022.33213276744</v>
      </c>
      <c r="G602" s="2" t="n">
        <v>0</v>
      </c>
      <c r="H602" s="2" t="n">
        <v>2022.33213276744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</v>
      </c>
      <c r="DF602" s="2" t="n">
        <v>0</v>
      </c>
      <c r="DG602" s="2" t="n">
        <v>71.43</v>
      </c>
      <c r="DH602" s="2" t="n">
        <v>71.43</v>
      </c>
      <c r="DI602" s="2" t="n">
        <v>0</v>
      </c>
      <c r="DJ602" s="2" t="n">
        <v>71.43</v>
      </c>
      <c r="DK602" s="2" t="n">
        <v>75.24</v>
      </c>
      <c r="DL602" s="2" t="n">
        <v>0</v>
      </c>
      <c r="DM602" s="2" t="n">
        <v>98.1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 customFormat="false" ht="15" hidden="false" customHeight="false" outlineLevel="0" collapsed="false">
      <c r="A603" s="2" t="n">
        <v>1</v>
      </c>
      <c r="B603" s="2" t="s">
        <v>196</v>
      </c>
      <c r="C603" s="2" t="s">
        <v>197</v>
      </c>
      <c r="D603" s="2" t="s">
        <v>1605</v>
      </c>
      <c r="E603" s="2" t="s">
        <v>1558</v>
      </c>
      <c r="F603" s="2" t="n">
        <v>2977368.36048412</v>
      </c>
      <c r="G603" s="2" t="n">
        <v>0</v>
      </c>
      <c r="H603" s="2" t="n">
        <v>2977368.36048412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67.24</v>
      </c>
      <c r="DX603" s="2" t="n">
        <v>0</v>
      </c>
      <c r="DY603" s="2" t="n">
        <v>73.31</v>
      </c>
      <c r="DZ603" s="2" t="n">
        <v>75.9</v>
      </c>
      <c r="EA603" s="2" t="n">
        <v>0</v>
      </c>
      <c r="EB603" s="2" t="n">
        <v>81.13</v>
      </c>
      <c r="EC603" s="2" t="n">
        <v>92.18</v>
      </c>
      <c r="ED603" s="2" t="n">
        <v>0</v>
      </c>
      <c r="EE603" s="2" t="n">
        <v>95.4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 customFormat="false" ht="15" hidden="false" customHeight="false" outlineLevel="0" collapsed="false">
      <c r="A604" s="2" t="n">
        <v>2</v>
      </c>
      <c r="B604" s="2" t="s">
        <v>1606</v>
      </c>
      <c r="C604" s="2" t="s">
        <v>1607</v>
      </c>
      <c r="D604" s="2" t="s">
        <v>1605</v>
      </c>
      <c r="E604" s="2" t="s">
        <v>1608</v>
      </c>
      <c r="F604" s="2" t="n">
        <v>2481921.24048412</v>
      </c>
      <c r="G604" s="2" t="n">
        <v>0</v>
      </c>
      <c r="H604" s="2" t="n">
        <v>2481921.24048412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</v>
      </c>
      <c r="DZ604" s="2" t="n">
        <v>83.07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 customFormat="false" ht="15" hidden="false" customHeight="false" outlineLevel="0" collapsed="false">
      <c r="A605" s="2" t="n">
        <v>3</v>
      </c>
      <c r="B605" s="2" t="s">
        <v>1609</v>
      </c>
      <c r="C605" s="2" t="s">
        <v>1610</v>
      </c>
      <c r="D605" s="2" t="s">
        <v>1605</v>
      </c>
      <c r="E605" s="2" t="s">
        <v>1608</v>
      </c>
      <c r="F605" s="2" t="n">
        <v>1867817.22688412</v>
      </c>
      <c r="G605" s="2" t="n">
        <v>0</v>
      </c>
      <c r="H605" s="2" t="n">
        <v>1867817.22688412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</v>
      </c>
      <c r="DZ605" s="2" t="n">
        <v>83.07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 customFormat="false" ht="15" hidden="false" customHeight="false" outlineLevel="0" collapsed="false">
      <c r="A606" s="2" t="n">
        <v>4</v>
      </c>
      <c r="B606" s="2" t="s">
        <v>1611</v>
      </c>
      <c r="C606" s="2" t="s">
        <v>1612</v>
      </c>
      <c r="D606" s="2" t="s">
        <v>1605</v>
      </c>
      <c r="E606" s="2" t="s">
        <v>1608</v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</v>
      </c>
      <c r="DZ606" s="2" t="n">
        <v>83.07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 customFormat="false" ht="15" hidden="false" customHeight="false" outlineLevel="0" collapsed="false">
      <c r="A607" s="2" t="n">
        <v>4</v>
      </c>
      <c r="B607" s="2" t="s">
        <v>1613</v>
      </c>
      <c r="C607" s="2" t="s">
        <v>1614</v>
      </c>
      <c r="D607" s="2" t="s">
        <v>1605</v>
      </c>
      <c r="E607" s="2" t="s">
        <v>1608</v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</v>
      </c>
      <c r="DZ607" s="2" t="n">
        <v>83.07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 customFormat="false" ht="15" hidden="false" customHeight="false" outlineLevel="0" collapsed="false">
      <c r="A608" s="2" t="n">
        <v>4</v>
      </c>
      <c r="B608" s="2" t="s">
        <v>1615</v>
      </c>
      <c r="C608" s="2" t="s">
        <v>1616</v>
      </c>
      <c r="D608" s="2" t="s">
        <v>1605</v>
      </c>
      <c r="E608" s="2" t="s">
        <v>1608</v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</v>
      </c>
      <c r="DZ608" s="2" t="n">
        <v>83.07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 customFormat="false" ht="15" hidden="false" customHeight="false" outlineLevel="0" collapsed="false">
      <c r="A609" s="2" t="n">
        <v>4</v>
      </c>
      <c r="B609" s="2" t="s">
        <v>1617</v>
      </c>
      <c r="C609" s="2" t="s">
        <v>1618</v>
      </c>
      <c r="D609" s="2" t="s">
        <v>1605</v>
      </c>
      <c r="E609" s="2" t="s">
        <v>1608</v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</v>
      </c>
      <c r="DZ609" s="2" t="n">
        <v>83.07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 customFormat="false" ht="15" hidden="false" customHeight="false" outlineLevel="0" collapsed="false">
      <c r="A610" s="2" t="n">
        <v>4</v>
      </c>
      <c r="B610" s="2" t="s">
        <v>1619</v>
      </c>
      <c r="C610" s="2" t="s">
        <v>1620</v>
      </c>
      <c r="D610" s="2" t="s">
        <v>1605</v>
      </c>
      <c r="E610" s="2" t="s">
        <v>1608</v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</v>
      </c>
      <c r="DZ610" s="2" t="n">
        <v>83.07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 customFormat="false" ht="15" hidden="false" customHeight="false" outlineLevel="0" collapsed="false">
      <c r="A611" s="2" t="n">
        <v>4</v>
      </c>
      <c r="B611" s="2" t="s">
        <v>1621</v>
      </c>
      <c r="C611" s="2" t="s">
        <v>1622</v>
      </c>
      <c r="D611" s="2" t="s">
        <v>1605</v>
      </c>
      <c r="E611" s="2" t="s">
        <v>1608</v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</v>
      </c>
      <c r="DZ611" s="2" t="n">
        <v>83.07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 customFormat="false" ht="15" hidden="false" customHeight="false" outlineLevel="0" collapsed="false">
      <c r="A612" s="2" t="n">
        <v>4</v>
      </c>
      <c r="B612" s="2" t="s">
        <v>1623</v>
      </c>
      <c r="C612" s="2" t="s">
        <v>1624</v>
      </c>
      <c r="D612" s="2" t="s">
        <v>1605</v>
      </c>
      <c r="E612" s="2" t="s">
        <v>1608</v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</v>
      </c>
      <c r="DZ612" s="2" t="n">
        <v>83.07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 customFormat="false" ht="15" hidden="false" customHeight="false" outlineLevel="0" collapsed="false">
      <c r="A613" s="2" t="n">
        <v>4</v>
      </c>
      <c r="B613" s="2" t="s">
        <v>1625</v>
      </c>
      <c r="C613" s="2" t="s">
        <v>1626</v>
      </c>
      <c r="D613" s="2" t="s">
        <v>1605</v>
      </c>
      <c r="E613" s="2" t="s">
        <v>1608</v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</v>
      </c>
      <c r="DZ613" s="2" t="n">
        <v>83.07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 customFormat="false" ht="15" hidden="false" customHeight="false" outlineLevel="0" collapsed="false">
      <c r="A614" s="2" t="n">
        <v>4</v>
      </c>
      <c r="B614" s="2" t="s">
        <v>1627</v>
      </c>
      <c r="C614" s="2" t="s">
        <v>1628</v>
      </c>
      <c r="D614" s="2" t="s">
        <v>1605</v>
      </c>
      <c r="E614" s="2" t="s">
        <v>1608</v>
      </c>
      <c r="F614" s="2" t="n">
        <v>53772.7268841161</v>
      </c>
      <c r="G614" s="2" t="n">
        <v>0</v>
      </c>
      <c r="H614" s="2" t="n">
        <v>53772.7268841161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</v>
      </c>
      <c r="DZ614" s="2" t="n">
        <v>83.07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 customFormat="false" ht="15" hidden="false" customHeight="false" outlineLevel="0" collapsed="false">
      <c r="A615" s="2" t="n">
        <v>3</v>
      </c>
      <c r="B615" s="2" t="s">
        <v>1629</v>
      </c>
      <c r="C615" s="2" t="s">
        <v>1630</v>
      </c>
      <c r="D615" s="2" t="s">
        <v>1605</v>
      </c>
      <c r="E615" s="2" t="s">
        <v>1608</v>
      </c>
      <c r="F615" s="2" t="n">
        <v>614104.0136</v>
      </c>
      <c r="G615" s="2" t="n">
        <v>0</v>
      </c>
      <c r="H615" s="2" t="n">
        <v>614104.0136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</v>
      </c>
      <c r="DZ615" s="2" t="n">
        <v>83.07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 customFormat="false" ht="15" hidden="false" customHeight="false" outlineLevel="0" collapsed="false">
      <c r="A616" s="2" t="n">
        <v>4</v>
      </c>
      <c r="B616" s="2" t="s">
        <v>1631</v>
      </c>
      <c r="C616" s="2" t="s">
        <v>1632</v>
      </c>
      <c r="D616" s="2" t="s">
        <v>1605</v>
      </c>
      <c r="E616" s="2" t="s">
        <v>1608</v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</v>
      </c>
      <c r="DZ616" s="2" t="n">
        <v>83.07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 customFormat="false" ht="15" hidden="false" customHeight="false" outlineLevel="0" collapsed="false">
      <c r="A617" s="2" t="n">
        <v>4</v>
      </c>
      <c r="B617" s="2" t="s">
        <v>1633</v>
      </c>
      <c r="C617" s="2" t="s">
        <v>1634</v>
      </c>
      <c r="D617" s="2" t="s">
        <v>1605</v>
      </c>
      <c r="E617" s="2" t="s">
        <v>1608</v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</v>
      </c>
      <c r="DZ617" s="2" t="n">
        <v>83.07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 customFormat="false" ht="15" hidden="false" customHeight="false" outlineLevel="0" collapsed="false">
      <c r="A618" s="2" t="n">
        <v>4</v>
      </c>
      <c r="B618" s="2" t="s">
        <v>1635</v>
      </c>
      <c r="C618" s="2" t="s">
        <v>1636</v>
      </c>
      <c r="D618" s="2" t="s">
        <v>1605</v>
      </c>
      <c r="E618" s="2" t="s">
        <v>1608</v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</v>
      </c>
      <c r="DZ618" s="2" t="n">
        <v>83.07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 customFormat="false" ht="15" hidden="false" customHeight="false" outlineLevel="0" collapsed="false">
      <c r="A619" s="2" t="n">
        <v>4</v>
      </c>
      <c r="B619" s="2" t="s">
        <v>1637</v>
      </c>
      <c r="C619" s="2" t="s">
        <v>1638</v>
      </c>
      <c r="D619" s="2" t="s">
        <v>1605</v>
      </c>
      <c r="E619" s="2" t="s">
        <v>1608</v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</v>
      </c>
      <c r="DZ619" s="2" t="n">
        <v>83.07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 customFormat="false" ht="15" hidden="false" customHeight="false" outlineLevel="0" collapsed="false">
      <c r="A620" s="2" t="n">
        <v>4</v>
      </c>
      <c r="B620" s="2" t="s">
        <v>1639</v>
      </c>
      <c r="C620" s="2" t="s">
        <v>1640</v>
      </c>
      <c r="D620" s="2" t="s">
        <v>1605</v>
      </c>
      <c r="E620" s="2" t="s">
        <v>1608</v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</v>
      </c>
      <c r="DZ620" s="2" t="n">
        <v>83.07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 customFormat="false" ht="15" hidden="false" customHeight="false" outlineLevel="0" collapsed="false">
      <c r="A621" s="2" t="n">
        <v>4</v>
      </c>
      <c r="B621" s="2" t="s">
        <v>1641</v>
      </c>
      <c r="C621" s="2" t="s">
        <v>1642</v>
      </c>
      <c r="D621" s="2" t="s">
        <v>1605</v>
      </c>
      <c r="E621" s="2" t="s">
        <v>1608</v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</v>
      </c>
      <c r="DZ621" s="2" t="n">
        <v>83.07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 customFormat="false" ht="15" hidden="false" customHeight="false" outlineLevel="0" collapsed="false">
      <c r="A622" s="2" t="n">
        <v>2</v>
      </c>
      <c r="B622" s="2" t="s">
        <v>1643</v>
      </c>
      <c r="C622" s="2" t="s">
        <v>1644</v>
      </c>
      <c r="D622" s="2" t="s">
        <v>1557</v>
      </c>
      <c r="E622" s="2" t="s">
        <v>1558</v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 customFormat="false" ht="15" hidden="false" customHeight="false" outlineLevel="0" collapsed="false">
      <c r="A623" s="2" t="n">
        <v>3</v>
      </c>
      <c r="B623" s="2" t="s">
        <v>1645</v>
      </c>
      <c r="C623" s="2" t="s">
        <v>1646</v>
      </c>
      <c r="D623" s="2" t="s">
        <v>1557</v>
      </c>
      <c r="E623" s="2" t="s">
        <v>1558</v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 customFormat="false" ht="15" hidden="false" customHeight="false" outlineLevel="0" collapsed="false">
      <c r="A624" s="2" t="n">
        <v>1</v>
      </c>
      <c r="B624" s="2" t="s">
        <v>199</v>
      </c>
      <c r="C624" s="2" t="s">
        <v>200</v>
      </c>
      <c r="D624" s="2" t="s">
        <v>1647</v>
      </c>
      <c r="E624" s="2" t="s">
        <v>1437</v>
      </c>
      <c r="F624" s="2" t="n">
        <v>1096073.33208049</v>
      </c>
      <c r="G624" s="2" t="n">
        <v>0</v>
      </c>
      <c r="H624" s="2" t="n">
        <v>1096073.33208049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</v>
      </c>
      <c r="CZ624" s="2" t="n">
        <v>0</v>
      </c>
      <c r="DA624" s="2" t="n">
        <v>76.02</v>
      </c>
      <c r="DB624" s="2" t="n">
        <v>77.74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</v>
      </c>
      <c r="DK624" s="2" t="n">
        <v>94.29</v>
      </c>
      <c r="DL624" s="2" t="n">
        <v>0</v>
      </c>
      <c r="DM624" s="2" t="n">
        <v>94.38</v>
      </c>
      <c r="DN624" s="2" t="n">
        <v>95.9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 customFormat="false" ht="15" hidden="false" customHeight="false" outlineLevel="0" collapsed="false">
      <c r="A625" s="2" t="n">
        <v>2</v>
      </c>
      <c r="B625" s="2" t="s">
        <v>1648</v>
      </c>
      <c r="C625" s="2" t="s">
        <v>1649</v>
      </c>
      <c r="D625" s="2" t="s">
        <v>1647</v>
      </c>
      <c r="E625" s="2" t="s">
        <v>1437</v>
      </c>
      <c r="F625" s="2" t="n">
        <v>987444.630199598</v>
      </c>
      <c r="G625" s="2" t="n">
        <v>0</v>
      </c>
      <c r="H625" s="2" t="n">
        <v>987444.630199598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</v>
      </c>
      <c r="CY625" s="2" t="n">
        <v>69.58</v>
      </c>
      <c r="CZ625" s="2" t="n">
        <v>0</v>
      </c>
      <c r="DA625" s="2" t="n">
        <v>76.15</v>
      </c>
      <c r="DB625" s="2" t="n">
        <v>77.87</v>
      </c>
      <c r="DC625" s="2" t="n">
        <v>0</v>
      </c>
      <c r="DD625" s="2" t="n">
        <v>83.76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 customFormat="false" ht="15" hidden="false" customHeight="false" outlineLevel="0" collapsed="false">
      <c r="A626" s="2" t="n">
        <v>3</v>
      </c>
      <c r="B626" s="2" t="s">
        <v>1650</v>
      </c>
      <c r="C626" s="2" t="s">
        <v>1651</v>
      </c>
      <c r="D626" s="2" t="s">
        <v>1647</v>
      </c>
      <c r="E626" s="2" t="s">
        <v>1652</v>
      </c>
      <c r="F626" s="2" t="n">
        <v>67238.6957946</v>
      </c>
      <c r="G626" s="2" t="n">
        <v>0</v>
      </c>
      <c r="H626" s="2" t="n">
        <v>67238.6957946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</v>
      </c>
      <c r="CS626" s="2" t="n">
        <v>73.26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96.46</v>
      </c>
      <c r="DE626" s="2" t="n">
        <v>96.85</v>
      </c>
      <c r="DF626" s="2" t="n">
        <v>0</v>
      </c>
      <c r="DG626" s="2" t="n">
        <v>96.79</v>
      </c>
      <c r="DH626" s="2" t="n">
        <v>98.4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 customFormat="false" ht="15" hidden="false" customHeight="false" outlineLevel="0" collapsed="false">
      <c r="A627" s="2" t="n">
        <v>3</v>
      </c>
      <c r="B627" s="2" t="s">
        <v>1653</v>
      </c>
      <c r="C627" s="2" t="s">
        <v>1220</v>
      </c>
      <c r="D627" s="2" t="s">
        <v>1458</v>
      </c>
      <c r="E627" s="2" t="s">
        <v>1437</v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8.36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68.07</v>
      </c>
      <c r="CZ627" s="2" t="n">
        <v>0</v>
      </c>
      <c r="DA627" s="2" t="n">
        <v>74.82</v>
      </c>
      <c r="DB627" s="2" t="n">
        <v>76.56</v>
      </c>
      <c r="DC627" s="2" t="n">
        <v>0</v>
      </c>
      <c r="DD627" s="2" t="n">
        <v>82.83</v>
      </c>
      <c r="DE627" s="2" t="n">
        <v>84.57</v>
      </c>
      <c r="DF627" s="2" t="n">
        <v>0</v>
      </c>
      <c r="DG627" s="2" t="n">
        <v>89.1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</v>
      </c>
      <c r="DN627" s="2" t="n">
        <v>95.63</v>
      </c>
      <c r="DO627" s="2" t="n">
        <v>0</v>
      </c>
      <c r="DP627" s="2" t="n">
        <v>98.9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 customFormat="false" ht="15" hidden="false" customHeight="false" outlineLevel="0" collapsed="false">
      <c r="A628" s="2" t="n">
        <v>3</v>
      </c>
      <c r="B628" s="2" t="s">
        <v>1654</v>
      </c>
      <c r="C628" s="2" t="s">
        <v>1655</v>
      </c>
      <c r="D628" s="2" t="s">
        <v>1458</v>
      </c>
      <c r="E628" s="2" t="s">
        <v>1437</v>
      </c>
      <c r="F628" s="2" t="n">
        <v>32719.4014102183</v>
      </c>
      <c r="G628" s="2" t="n">
        <v>0</v>
      </c>
      <c r="H628" s="2" t="n">
        <v>32719.4014102183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8.36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68.07</v>
      </c>
      <c r="CZ628" s="2" t="n">
        <v>0</v>
      </c>
      <c r="DA628" s="2" t="n">
        <v>74.82</v>
      </c>
      <c r="DB628" s="2" t="n">
        <v>76.56</v>
      </c>
      <c r="DC628" s="2" t="n">
        <v>0</v>
      </c>
      <c r="DD628" s="2" t="n">
        <v>82.83</v>
      </c>
      <c r="DE628" s="2" t="n">
        <v>84.57</v>
      </c>
      <c r="DF628" s="2" t="n">
        <v>0</v>
      </c>
      <c r="DG628" s="2" t="n">
        <v>89.1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</v>
      </c>
      <c r="DN628" s="2" t="n">
        <v>95.63</v>
      </c>
      <c r="DO628" s="2" t="n">
        <v>0</v>
      </c>
      <c r="DP628" s="2" t="n">
        <v>98.9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 customFormat="false" ht="15" hidden="false" customHeight="false" outlineLevel="0" collapsed="false">
      <c r="A629" s="2" t="n">
        <v>3</v>
      </c>
      <c r="B629" s="2" t="s">
        <v>1656</v>
      </c>
      <c r="C629" s="2" t="s">
        <v>1657</v>
      </c>
      <c r="D629" s="2" t="s">
        <v>1458</v>
      </c>
      <c r="E629" s="2" t="s">
        <v>1437</v>
      </c>
      <c r="F629" s="2" t="n">
        <v>250913.563657801</v>
      </c>
      <c r="G629" s="2" t="n">
        <v>0</v>
      </c>
      <c r="H629" s="2" t="n">
        <v>250913.563657801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8.36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68.07</v>
      </c>
      <c r="CZ629" s="2" t="n">
        <v>0</v>
      </c>
      <c r="DA629" s="2" t="n">
        <v>74.82</v>
      </c>
      <c r="DB629" s="2" t="n">
        <v>76.56</v>
      </c>
      <c r="DC629" s="2" t="n">
        <v>0</v>
      </c>
      <c r="DD629" s="2" t="n">
        <v>82.83</v>
      </c>
      <c r="DE629" s="2" t="n">
        <v>84.57</v>
      </c>
      <c r="DF629" s="2" t="n">
        <v>0</v>
      </c>
      <c r="DG629" s="2" t="n">
        <v>89.1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</v>
      </c>
      <c r="DN629" s="2" t="n">
        <v>95.63</v>
      </c>
      <c r="DO629" s="2" t="n">
        <v>0</v>
      </c>
      <c r="DP629" s="2" t="n">
        <v>98.9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 customFormat="false" ht="15" hidden="false" customHeight="false" outlineLevel="0" collapsed="false">
      <c r="A630" s="2" t="n">
        <v>2</v>
      </c>
      <c r="B630" s="2" t="s">
        <v>1658</v>
      </c>
      <c r="C630" s="2" t="s">
        <v>1659</v>
      </c>
      <c r="D630" s="2" t="s">
        <v>1458</v>
      </c>
      <c r="E630" s="2" t="s">
        <v>1437</v>
      </c>
      <c r="F630" s="2" t="n">
        <v>108628.701880887</v>
      </c>
      <c r="G630" s="2" t="n">
        <v>0</v>
      </c>
      <c r="H630" s="2" t="n">
        <v>108628.701880887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8.36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68.07</v>
      </c>
      <c r="CZ630" s="2" t="n">
        <v>0</v>
      </c>
      <c r="DA630" s="2" t="n">
        <v>74.82</v>
      </c>
      <c r="DB630" s="2" t="n">
        <v>76.56</v>
      </c>
      <c r="DC630" s="2" t="n">
        <v>0</v>
      </c>
      <c r="DD630" s="2" t="n">
        <v>82.83</v>
      </c>
      <c r="DE630" s="2" t="n">
        <v>84.57</v>
      </c>
      <c r="DF630" s="2" t="n">
        <v>0</v>
      </c>
      <c r="DG630" s="2" t="n">
        <v>89.1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</v>
      </c>
      <c r="DN630" s="2" t="n">
        <v>95.63</v>
      </c>
      <c r="DO630" s="2" t="n">
        <v>0</v>
      </c>
      <c r="DP630" s="2" t="n">
        <v>98.9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 customFormat="false" ht="15" hidden="false" customHeight="false" outlineLevel="0" collapsed="false">
      <c r="A631" s="2" t="n">
        <v>3</v>
      </c>
      <c r="B631" s="2" t="s">
        <v>1660</v>
      </c>
      <c r="C631" s="2" t="s">
        <v>1651</v>
      </c>
      <c r="D631" s="2" t="s">
        <v>1458</v>
      </c>
      <c r="E631" s="2" t="s">
        <v>1437</v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8.36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68.07</v>
      </c>
      <c r="CZ631" s="2" t="n">
        <v>0</v>
      </c>
      <c r="DA631" s="2" t="n">
        <v>74.82</v>
      </c>
      <c r="DB631" s="2" t="n">
        <v>76.56</v>
      </c>
      <c r="DC631" s="2" t="n">
        <v>0</v>
      </c>
      <c r="DD631" s="2" t="n">
        <v>82.83</v>
      </c>
      <c r="DE631" s="2" t="n">
        <v>84.57</v>
      </c>
      <c r="DF631" s="2" t="n">
        <v>0</v>
      </c>
      <c r="DG631" s="2" t="n">
        <v>89.1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</v>
      </c>
      <c r="DN631" s="2" t="n">
        <v>95.63</v>
      </c>
      <c r="DO631" s="2" t="n">
        <v>0</v>
      </c>
      <c r="DP631" s="2" t="n">
        <v>98.9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 customFormat="false" ht="15" hidden="false" customHeight="false" outlineLevel="0" collapsed="false">
      <c r="A632" s="2" t="n">
        <v>3</v>
      </c>
      <c r="B632" s="2" t="s">
        <v>1661</v>
      </c>
      <c r="C632" s="2" t="s">
        <v>1220</v>
      </c>
      <c r="D632" s="2" t="s">
        <v>1458</v>
      </c>
      <c r="E632" s="2" t="s">
        <v>1437</v>
      </c>
      <c r="F632" s="2" t="n">
        <v>98711.8734236361</v>
      </c>
      <c r="G632" s="2" t="n">
        <v>0</v>
      </c>
      <c r="H632" s="2" t="n">
        <v>98711.8734236361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8.36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68.07</v>
      </c>
      <c r="CZ632" s="2" t="n">
        <v>0</v>
      </c>
      <c r="DA632" s="2" t="n">
        <v>74.82</v>
      </c>
      <c r="DB632" s="2" t="n">
        <v>76.56</v>
      </c>
      <c r="DC632" s="2" t="n">
        <v>0</v>
      </c>
      <c r="DD632" s="2" t="n">
        <v>82.83</v>
      </c>
      <c r="DE632" s="2" t="n">
        <v>84.57</v>
      </c>
      <c r="DF632" s="2" t="n">
        <v>0</v>
      </c>
      <c r="DG632" s="2" t="n">
        <v>89.1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</v>
      </c>
      <c r="DN632" s="2" t="n">
        <v>95.63</v>
      </c>
      <c r="DO632" s="2" t="n">
        <v>0</v>
      </c>
      <c r="DP632" s="2" t="n">
        <v>98.9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 customFormat="false" ht="15" hidden="false" customHeight="false" outlineLevel="0" collapsed="false">
      <c r="A633" s="2" t="n">
        <v>1</v>
      </c>
      <c r="B633" s="2" t="s">
        <v>202</v>
      </c>
      <c r="C633" s="2" t="s">
        <v>203</v>
      </c>
      <c r="D633" s="2" t="s">
        <v>1647</v>
      </c>
      <c r="E633" s="2" t="s">
        <v>1662</v>
      </c>
      <c r="F633" s="2" t="n">
        <v>2518191.19156799</v>
      </c>
      <c r="G633" s="2" t="n">
        <v>0</v>
      </c>
      <c r="H633" s="2" t="n">
        <v>2518191.19156799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8.62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</v>
      </c>
      <c r="CY633" s="2" t="n">
        <v>75.03</v>
      </c>
      <c r="CZ633" s="2" t="n">
        <v>0</v>
      </c>
      <c r="DA633" s="2" t="n">
        <v>79.54</v>
      </c>
      <c r="DB633" s="2" t="n">
        <v>83.46</v>
      </c>
      <c r="DC633" s="2" t="n">
        <v>0</v>
      </c>
      <c r="DD633" s="2" t="n">
        <v>88.27</v>
      </c>
      <c r="DE633" s="2" t="n">
        <v>92.18</v>
      </c>
      <c r="DF633" s="2" t="n">
        <v>0</v>
      </c>
      <c r="DG633" s="2" t="n">
        <v>93.23</v>
      </c>
      <c r="DH633" s="2" t="n">
        <v>96.15</v>
      </c>
      <c r="DI633" s="2" t="n">
        <v>0</v>
      </c>
      <c r="DJ633" s="2" t="n">
        <v>96.37</v>
      </c>
      <c r="DK633" s="2" t="n">
        <v>97.6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 customFormat="false" ht="15" hidden="false" customHeight="false" outlineLevel="0" collapsed="false">
      <c r="A634" s="2" t="n">
        <v>2</v>
      </c>
      <c r="B634" s="2" t="s">
        <v>1663</v>
      </c>
      <c r="C634" s="2" t="s">
        <v>1664</v>
      </c>
      <c r="D634" s="2" t="s">
        <v>1647</v>
      </c>
      <c r="E634" s="2" t="s">
        <v>1662</v>
      </c>
      <c r="F634" s="2" t="n">
        <v>2518191.19156799</v>
      </c>
      <c r="G634" s="2" t="n">
        <v>0</v>
      </c>
      <c r="H634" s="2" t="n">
        <v>2518191.19156799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8.62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</v>
      </c>
      <c r="CY634" s="2" t="n">
        <v>75.03</v>
      </c>
      <c r="CZ634" s="2" t="n">
        <v>0</v>
      </c>
      <c r="DA634" s="2" t="n">
        <v>79.54</v>
      </c>
      <c r="DB634" s="2" t="n">
        <v>83.46</v>
      </c>
      <c r="DC634" s="2" t="n">
        <v>0</v>
      </c>
      <c r="DD634" s="2" t="n">
        <v>88.27</v>
      </c>
      <c r="DE634" s="2" t="n">
        <v>92.18</v>
      </c>
      <c r="DF634" s="2" t="n">
        <v>0</v>
      </c>
      <c r="DG634" s="2" t="n">
        <v>93.23</v>
      </c>
      <c r="DH634" s="2" t="n">
        <v>96.15</v>
      </c>
      <c r="DI634" s="2" t="n">
        <v>0</v>
      </c>
      <c r="DJ634" s="2" t="n">
        <v>96.37</v>
      </c>
      <c r="DK634" s="2" t="n">
        <v>97.6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 customFormat="false" ht="15" hidden="false" customHeight="false" outlineLevel="0" collapsed="false">
      <c r="A635" s="2" t="n">
        <v>3</v>
      </c>
      <c r="B635" s="2" t="s">
        <v>1665</v>
      </c>
      <c r="C635" s="2" t="s">
        <v>1666</v>
      </c>
      <c r="D635" s="2" t="s">
        <v>1647</v>
      </c>
      <c r="E635" s="2" t="s">
        <v>1652</v>
      </c>
      <c r="F635" s="2" t="n">
        <v>217501.699370911</v>
      </c>
      <c r="G635" s="2" t="n">
        <v>0</v>
      </c>
      <c r="H635" s="2" t="n">
        <v>217501.699370911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</v>
      </c>
      <c r="CS635" s="2" t="n">
        <v>73.26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96.46</v>
      </c>
      <c r="DE635" s="2" t="n">
        <v>96.85</v>
      </c>
      <c r="DF635" s="2" t="n">
        <v>0</v>
      </c>
      <c r="DG635" s="2" t="n">
        <v>96.79</v>
      </c>
      <c r="DH635" s="2" t="n">
        <v>98.4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 customFormat="false" ht="15" hidden="false" customHeight="false" outlineLevel="0" collapsed="false">
      <c r="A636" s="2" t="n">
        <v>3</v>
      </c>
      <c r="B636" s="2" t="s">
        <v>1667</v>
      </c>
      <c r="C636" s="2" t="s">
        <v>1668</v>
      </c>
      <c r="D636" s="2" t="s">
        <v>1669</v>
      </c>
      <c r="E636" s="2" t="s">
        <v>1662</v>
      </c>
      <c r="F636" s="2" t="n">
        <v>314651.966163566</v>
      </c>
      <c r="G636" s="2" t="n">
        <v>0</v>
      </c>
      <c r="H636" s="2" t="n">
        <v>314651.966163566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91.74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 customFormat="false" ht="15" hidden="false" customHeight="false" outlineLevel="0" collapsed="false">
      <c r="A637" s="2" t="n">
        <v>3</v>
      </c>
      <c r="B637" s="2" t="s">
        <v>1670</v>
      </c>
      <c r="C637" s="2" t="s">
        <v>1671</v>
      </c>
      <c r="D637" s="2" t="s">
        <v>1669</v>
      </c>
      <c r="E637" s="2" t="s">
        <v>1662</v>
      </c>
      <c r="F637" s="2" t="n">
        <v>251862.392922638</v>
      </c>
      <c r="G637" s="2" t="n">
        <v>0</v>
      </c>
      <c r="H637" s="2" t="n">
        <v>251862.392922638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91.74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 customFormat="false" ht="15" hidden="false" customHeight="false" outlineLevel="0" collapsed="false">
      <c r="A638" s="2" t="n">
        <v>3</v>
      </c>
      <c r="B638" s="2" t="s">
        <v>1672</v>
      </c>
      <c r="C638" s="2" t="s">
        <v>1673</v>
      </c>
      <c r="D638" s="2" t="s">
        <v>1669</v>
      </c>
      <c r="E638" s="2" t="s">
        <v>1662</v>
      </c>
      <c r="F638" s="2" t="n">
        <v>1344547.5560567</v>
      </c>
      <c r="G638" s="2" t="n">
        <v>0</v>
      </c>
      <c r="H638" s="2" t="n">
        <v>1344547.5560567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91.74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 customFormat="false" ht="15" hidden="false" customHeight="false" outlineLevel="0" collapsed="false">
      <c r="A639" s="2" t="n">
        <v>3</v>
      </c>
      <c r="B639" s="2" t="s">
        <v>1674</v>
      </c>
      <c r="C639" s="2" t="s">
        <v>1675</v>
      </c>
      <c r="D639" s="2" t="s">
        <v>1669</v>
      </c>
      <c r="E639" s="2" t="s">
        <v>1662</v>
      </c>
      <c r="F639" s="2" t="n">
        <v>389627.577054176</v>
      </c>
      <c r="G639" s="2" t="n">
        <v>0</v>
      </c>
      <c r="H639" s="2" t="n">
        <v>389627.577054176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91.74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 customFormat="false" ht="15" hidden="false" customHeight="false" outlineLevel="0" collapsed="false">
      <c r="A640" s="2" t="n">
        <v>1</v>
      </c>
      <c r="B640" s="2" t="s">
        <v>205</v>
      </c>
      <c r="C640" s="2" t="s">
        <v>206</v>
      </c>
      <c r="D640" s="2" t="s">
        <v>1676</v>
      </c>
      <c r="E640" s="2" t="s">
        <v>1677</v>
      </c>
      <c r="F640" s="2" t="n">
        <v>10402356.2460844</v>
      </c>
      <c r="G640" s="2" t="n">
        <v>0</v>
      </c>
      <c r="H640" s="2" t="n">
        <v>10402356.2460844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8.7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80.1</v>
      </c>
      <c r="DT640" s="2" t="n">
        <v>81.29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94.49</v>
      </c>
      <c r="EF640" s="2" t="n">
        <v>96.52</v>
      </c>
      <c r="EG640" s="2" t="n">
        <v>0</v>
      </c>
      <c r="EH640" s="2" t="n">
        <v>98.96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 customFormat="false" ht="15" hidden="false" customHeight="false" outlineLevel="0" collapsed="false">
      <c r="A641" s="2" t="n">
        <v>2</v>
      </c>
      <c r="B641" s="2" t="s">
        <v>1678</v>
      </c>
      <c r="C641" s="2" t="s">
        <v>1679</v>
      </c>
      <c r="D641" s="2" t="s">
        <v>1680</v>
      </c>
      <c r="E641" s="2" t="s">
        <v>1681</v>
      </c>
      <c r="F641" s="2" t="n">
        <v>3355985.31081693</v>
      </c>
      <c r="G641" s="2" t="n">
        <v>0</v>
      </c>
      <c r="H641" s="2" t="n">
        <v>3355985.31081693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</v>
      </c>
      <c r="DL641" s="2" t="n">
        <v>0</v>
      </c>
      <c r="DM641" s="2" t="n">
        <v>71.6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83.82</v>
      </c>
      <c r="DT641" s="2" t="n">
        <v>85.82</v>
      </c>
      <c r="DU641" s="2" t="n">
        <v>0</v>
      </c>
      <c r="DV641" s="2" t="n">
        <v>88.51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96.21</v>
      </c>
      <c r="EC641" s="2" t="n">
        <v>97.96</v>
      </c>
      <c r="ED641" s="2" t="n">
        <v>0</v>
      </c>
      <c r="EE641" s="2" t="n">
        <v>97.96</v>
      </c>
      <c r="EF641" s="2" t="n">
        <v>99.65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 customFormat="false" ht="15" hidden="false" customHeight="false" outlineLevel="0" collapsed="false">
      <c r="A642" s="2" t="n">
        <v>3</v>
      </c>
      <c r="B642" s="2" t="s">
        <v>1682</v>
      </c>
      <c r="C642" s="2" t="s">
        <v>1683</v>
      </c>
      <c r="D642" s="2" t="s">
        <v>1680</v>
      </c>
      <c r="E642" s="2" t="s">
        <v>1684</v>
      </c>
      <c r="F642" s="2" t="n">
        <v>1822942.20346799</v>
      </c>
      <c r="G642" s="2" t="n">
        <v>0</v>
      </c>
      <c r="H642" s="2" t="n">
        <v>1822942.20346799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</v>
      </c>
      <c r="DU642" s="2" t="n">
        <v>0</v>
      </c>
      <c r="DV642" s="2" t="n">
        <v>98.16</v>
      </c>
      <c r="DW642" s="2" t="n">
        <v>99.85</v>
      </c>
      <c r="DX642" s="2" t="n">
        <v>0</v>
      </c>
      <c r="DY642" s="2" t="n">
        <v>99.85</v>
      </c>
      <c r="DZ642" s="2" t="n">
        <v>99.85</v>
      </c>
      <c r="EA642" s="2" t="n">
        <v>0</v>
      </c>
      <c r="EB642" s="2" t="n">
        <v>99.85</v>
      </c>
      <c r="EC642" s="2" t="n">
        <v>99.85</v>
      </c>
      <c r="ED642" s="2" t="n">
        <v>0</v>
      </c>
      <c r="EE642" s="2" t="n">
        <v>99.85</v>
      </c>
      <c r="EF642" s="2" t="n">
        <v>99.85</v>
      </c>
      <c r="EG642" s="2" t="n">
        <v>0</v>
      </c>
      <c r="EH642" s="2" t="n">
        <v>99.85</v>
      </c>
      <c r="EI642" s="2" t="n">
        <v>99.85</v>
      </c>
      <c r="EJ642" s="2" t="n">
        <v>0</v>
      </c>
      <c r="EK642" s="2" t="n">
        <v>99.85</v>
      </c>
      <c r="EL642" s="2" t="n">
        <v>99.85</v>
      </c>
      <c r="EM642" s="2" t="n">
        <v>0</v>
      </c>
      <c r="EN642" s="2" t="n">
        <v>99.85</v>
      </c>
      <c r="EO642" s="2" t="n">
        <v>99.85</v>
      </c>
      <c r="EP642" s="2" t="n">
        <v>0</v>
      </c>
      <c r="EQ642" s="2" t="n">
        <v>99.85</v>
      </c>
      <c r="ER642" s="2" t="n">
        <v>99.85</v>
      </c>
      <c r="ES642" s="2" t="n">
        <v>0</v>
      </c>
    </row>
    <row r="643" customFormat="false" ht="15" hidden="false" customHeight="false" outlineLevel="0" collapsed="false">
      <c r="A643" s="2" t="n">
        <v>4</v>
      </c>
      <c r="B643" s="2" t="s">
        <v>1685</v>
      </c>
      <c r="C643" s="2" t="s">
        <v>1686</v>
      </c>
      <c r="D643" s="2" t="s">
        <v>1680</v>
      </c>
      <c r="E643" s="2" t="s">
        <v>1684</v>
      </c>
      <c r="F643" s="2" t="n">
        <v>1626387.35661863</v>
      </c>
      <c r="G643" s="2" t="n">
        <v>0</v>
      </c>
      <c r="H643" s="2" t="n">
        <v>1626387.35661863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</v>
      </c>
      <c r="DU643" s="2" t="n">
        <v>0</v>
      </c>
      <c r="DV643" s="2" t="n">
        <v>98.16</v>
      </c>
      <c r="DW643" s="2" t="n">
        <v>99.85</v>
      </c>
      <c r="DX643" s="2" t="n">
        <v>0</v>
      </c>
      <c r="DY643" s="2" t="n">
        <v>99.85</v>
      </c>
      <c r="DZ643" s="2" t="n">
        <v>99.85</v>
      </c>
      <c r="EA643" s="2" t="n">
        <v>0</v>
      </c>
      <c r="EB643" s="2" t="n">
        <v>99.85</v>
      </c>
      <c r="EC643" s="2" t="n">
        <v>99.85</v>
      </c>
      <c r="ED643" s="2" t="n">
        <v>0</v>
      </c>
      <c r="EE643" s="2" t="n">
        <v>99.85</v>
      </c>
      <c r="EF643" s="2" t="n">
        <v>99.85</v>
      </c>
      <c r="EG643" s="2" t="n">
        <v>0</v>
      </c>
      <c r="EH643" s="2" t="n">
        <v>99.85</v>
      </c>
      <c r="EI643" s="2" t="n">
        <v>99.85</v>
      </c>
      <c r="EJ643" s="2" t="n">
        <v>0</v>
      </c>
      <c r="EK643" s="2" t="n">
        <v>99.85</v>
      </c>
      <c r="EL643" s="2" t="n">
        <v>99.85</v>
      </c>
      <c r="EM643" s="2" t="n">
        <v>0</v>
      </c>
      <c r="EN643" s="2" t="n">
        <v>99.85</v>
      </c>
      <c r="EO643" s="2" t="n">
        <v>99.85</v>
      </c>
      <c r="EP643" s="2" t="n">
        <v>0</v>
      </c>
      <c r="EQ643" s="2" t="n">
        <v>99.85</v>
      </c>
      <c r="ER643" s="2" t="n">
        <v>99.85</v>
      </c>
      <c r="ES643" s="2" t="n">
        <v>0</v>
      </c>
    </row>
    <row r="644" customFormat="false" ht="15" hidden="false" customHeight="false" outlineLevel="0" collapsed="false">
      <c r="A644" s="2" t="n">
        <v>4</v>
      </c>
      <c r="B644" s="2" t="s">
        <v>1687</v>
      </c>
      <c r="C644" s="2" t="s">
        <v>1688</v>
      </c>
      <c r="D644" s="2" t="s">
        <v>1680</v>
      </c>
      <c r="E644" s="2" t="s">
        <v>1684</v>
      </c>
      <c r="F644" s="2" t="n">
        <v>109859.485505526</v>
      </c>
      <c r="G644" s="2" t="n">
        <v>0</v>
      </c>
      <c r="H644" s="2" t="n">
        <v>109859.485505526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</v>
      </c>
      <c r="DU644" s="2" t="n">
        <v>0</v>
      </c>
      <c r="DV644" s="2" t="n">
        <v>98.16</v>
      </c>
      <c r="DW644" s="2" t="n">
        <v>99.85</v>
      </c>
      <c r="DX644" s="2" t="n">
        <v>0</v>
      </c>
      <c r="DY644" s="2" t="n">
        <v>99.85</v>
      </c>
      <c r="DZ644" s="2" t="n">
        <v>99.85</v>
      </c>
      <c r="EA644" s="2" t="n">
        <v>0</v>
      </c>
      <c r="EB644" s="2" t="n">
        <v>99.85</v>
      </c>
      <c r="EC644" s="2" t="n">
        <v>99.85</v>
      </c>
      <c r="ED644" s="2" t="n">
        <v>0</v>
      </c>
      <c r="EE644" s="2" t="n">
        <v>99.85</v>
      </c>
      <c r="EF644" s="2" t="n">
        <v>99.85</v>
      </c>
      <c r="EG644" s="2" t="n">
        <v>0</v>
      </c>
      <c r="EH644" s="2" t="n">
        <v>99.85</v>
      </c>
      <c r="EI644" s="2" t="n">
        <v>99.85</v>
      </c>
      <c r="EJ644" s="2" t="n">
        <v>0</v>
      </c>
      <c r="EK644" s="2" t="n">
        <v>99.85</v>
      </c>
      <c r="EL644" s="2" t="n">
        <v>99.85</v>
      </c>
      <c r="EM644" s="2" t="n">
        <v>0</v>
      </c>
      <c r="EN644" s="2" t="n">
        <v>99.85</v>
      </c>
      <c r="EO644" s="2" t="n">
        <v>99.85</v>
      </c>
      <c r="EP644" s="2" t="n">
        <v>0</v>
      </c>
      <c r="EQ644" s="2" t="n">
        <v>99.85</v>
      </c>
      <c r="ER644" s="2" t="n">
        <v>99.85</v>
      </c>
      <c r="ES644" s="2" t="n">
        <v>0</v>
      </c>
    </row>
    <row r="645" customFormat="false" ht="15" hidden="false" customHeight="false" outlineLevel="0" collapsed="false">
      <c r="A645" s="2" t="n">
        <v>4</v>
      </c>
      <c r="B645" s="2" t="s">
        <v>1689</v>
      </c>
      <c r="C645" s="2" t="s">
        <v>1690</v>
      </c>
      <c r="D645" s="2" t="s">
        <v>1680</v>
      </c>
      <c r="E645" s="2" t="s">
        <v>1684</v>
      </c>
      <c r="F645" s="2" t="n">
        <v>37762.2324393431</v>
      </c>
      <c r="G645" s="2" t="n">
        <v>0</v>
      </c>
      <c r="H645" s="2" t="n">
        <v>37762.2324393431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</v>
      </c>
      <c r="DU645" s="2" t="n">
        <v>0</v>
      </c>
      <c r="DV645" s="2" t="n">
        <v>98.16</v>
      </c>
      <c r="DW645" s="2" t="n">
        <v>99.85</v>
      </c>
      <c r="DX645" s="2" t="n">
        <v>0</v>
      </c>
      <c r="DY645" s="2" t="n">
        <v>99.85</v>
      </c>
      <c r="DZ645" s="2" t="n">
        <v>99.85</v>
      </c>
      <c r="EA645" s="2" t="n">
        <v>0</v>
      </c>
      <c r="EB645" s="2" t="n">
        <v>99.85</v>
      </c>
      <c r="EC645" s="2" t="n">
        <v>99.85</v>
      </c>
      <c r="ED645" s="2" t="n">
        <v>0</v>
      </c>
      <c r="EE645" s="2" t="n">
        <v>99.85</v>
      </c>
      <c r="EF645" s="2" t="n">
        <v>99.85</v>
      </c>
      <c r="EG645" s="2" t="n">
        <v>0</v>
      </c>
      <c r="EH645" s="2" t="n">
        <v>99.85</v>
      </c>
      <c r="EI645" s="2" t="n">
        <v>99.85</v>
      </c>
      <c r="EJ645" s="2" t="n">
        <v>0</v>
      </c>
      <c r="EK645" s="2" t="n">
        <v>99.85</v>
      </c>
      <c r="EL645" s="2" t="n">
        <v>99.85</v>
      </c>
      <c r="EM645" s="2" t="n">
        <v>0</v>
      </c>
      <c r="EN645" s="2" t="n">
        <v>99.85</v>
      </c>
      <c r="EO645" s="2" t="n">
        <v>99.85</v>
      </c>
      <c r="EP645" s="2" t="n">
        <v>0</v>
      </c>
      <c r="EQ645" s="2" t="n">
        <v>99.85</v>
      </c>
      <c r="ER645" s="2" t="n">
        <v>99.85</v>
      </c>
      <c r="ES645" s="2" t="n">
        <v>0</v>
      </c>
    </row>
    <row r="646" customFormat="false" ht="15" hidden="false" customHeight="false" outlineLevel="0" collapsed="false">
      <c r="A646" s="2" t="n">
        <v>4</v>
      </c>
      <c r="B646" s="2" t="s">
        <v>1691</v>
      </c>
      <c r="C646" s="2" t="s">
        <v>1692</v>
      </c>
      <c r="D646" s="2" t="s">
        <v>1680</v>
      </c>
      <c r="E646" s="2" t="s">
        <v>1684</v>
      </c>
      <c r="F646" s="2" t="n">
        <v>3833.52285562263</v>
      </c>
      <c r="G646" s="2" t="n">
        <v>0</v>
      </c>
      <c r="H646" s="2" t="n">
        <v>3833.52285562263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</v>
      </c>
      <c r="DU646" s="2" t="n">
        <v>0</v>
      </c>
      <c r="DV646" s="2" t="n">
        <v>98.16</v>
      </c>
      <c r="DW646" s="2" t="n">
        <v>99.85</v>
      </c>
      <c r="DX646" s="2" t="n">
        <v>0</v>
      </c>
      <c r="DY646" s="2" t="n">
        <v>99.85</v>
      </c>
      <c r="DZ646" s="2" t="n">
        <v>99.85</v>
      </c>
      <c r="EA646" s="2" t="n">
        <v>0</v>
      </c>
      <c r="EB646" s="2" t="n">
        <v>99.85</v>
      </c>
      <c r="EC646" s="2" t="n">
        <v>99.85</v>
      </c>
      <c r="ED646" s="2" t="n">
        <v>0</v>
      </c>
      <c r="EE646" s="2" t="n">
        <v>99.85</v>
      </c>
      <c r="EF646" s="2" t="n">
        <v>99.85</v>
      </c>
      <c r="EG646" s="2" t="n">
        <v>0</v>
      </c>
      <c r="EH646" s="2" t="n">
        <v>99.85</v>
      </c>
      <c r="EI646" s="2" t="n">
        <v>99.85</v>
      </c>
      <c r="EJ646" s="2" t="n">
        <v>0</v>
      </c>
      <c r="EK646" s="2" t="n">
        <v>99.85</v>
      </c>
      <c r="EL646" s="2" t="n">
        <v>99.85</v>
      </c>
      <c r="EM646" s="2" t="n">
        <v>0</v>
      </c>
      <c r="EN646" s="2" t="n">
        <v>99.85</v>
      </c>
      <c r="EO646" s="2" t="n">
        <v>99.85</v>
      </c>
      <c r="EP646" s="2" t="n">
        <v>0</v>
      </c>
      <c r="EQ646" s="2" t="n">
        <v>99.85</v>
      </c>
      <c r="ER646" s="2" t="n">
        <v>99.85</v>
      </c>
      <c r="ES646" s="2" t="n">
        <v>0</v>
      </c>
    </row>
    <row r="647" customFormat="false" ht="15" hidden="false" customHeight="false" outlineLevel="0" collapsed="false">
      <c r="A647" s="2" t="n">
        <v>4</v>
      </c>
      <c r="B647" s="2" t="s">
        <v>1693</v>
      </c>
      <c r="C647" s="2" t="s">
        <v>1694</v>
      </c>
      <c r="D647" s="2" t="s">
        <v>1680</v>
      </c>
      <c r="E647" s="2" t="s">
        <v>1684</v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</v>
      </c>
      <c r="DU647" s="2" t="n">
        <v>0</v>
      </c>
      <c r="DV647" s="2" t="n">
        <v>98.16</v>
      </c>
      <c r="DW647" s="2" t="n">
        <v>99.85</v>
      </c>
      <c r="DX647" s="2" t="n">
        <v>0</v>
      </c>
      <c r="DY647" s="2" t="n">
        <v>99.85</v>
      </c>
      <c r="DZ647" s="2" t="n">
        <v>99.85</v>
      </c>
      <c r="EA647" s="2" t="n">
        <v>0</v>
      </c>
      <c r="EB647" s="2" t="n">
        <v>99.85</v>
      </c>
      <c r="EC647" s="2" t="n">
        <v>99.85</v>
      </c>
      <c r="ED647" s="2" t="n">
        <v>0</v>
      </c>
      <c r="EE647" s="2" t="n">
        <v>99.85</v>
      </c>
      <c r="EF647" s="2" t="n">
        <v>99.85</v>
      </c>
      <c r="EG647" s="2" t="n">
        <v>0</v>
      </c>
      <c r="EH647" s="2" t="n">
        <v>99.85</v>
      </c>
      <c r="EI647" s="2" t="n">
        <v>99.85</v>
      </c>
      <c r="EJ647" s="2" t="n">
        <v>0</v>
      </c>
      <c r="EK647" s="2" t="n">
        <v>99.85</v>
      </c>
      <c r="EL647" s="2" t="n">
        <v>99.85</v>
      </c>
      <c r="EM647" s="2" t="n">
        <v>0</v>
      </c>
      <c r="EN647" s="2" t="n">
        <v>99.85</v>
      </c>
      <c r="EO647" s="2" t="n">
        <v>99.85</v>
      </c>
      <c r="EP647" s="2" t="n">
        <v>0</v>
      </c>
      <c r="EQ647" s="2" t="n">
        <v>99.85</v>
      </c>
      <c r="ER647" s="2" t="n">
        <v>99.85</v>
      </c>
      <c r="ES647" s="2" t="n">
        <v>0</v>
      </c>
    </row>
    <row r="648" customFormat="false" ht="15" hidden="false" customHeight="false" outlineLevel="0" collapsed="false">
      <c r="A648" s="2" t="n">
        <v>4</v>
      </c>
      <c r="B648" s="2" t="s">
        <v>1695</v>
      </c>
      <c r="C648" s="2" t="s">
        <v>1696</v>
      </c>
      <c r="D648" s="2" t="s">
        <v>1680</v>
      </c>
      <c r="E648" s="2" t="s">
        <v>1684</v>
      </c>
      <c r="F648" s="2" t="n">
        <v>1274.94585834783</v>
      </c>
      <c r="G648" s="2" t="n">
        <v>0</v>
      </c>
      <c r="H648" s="2" t="n">
        <v>1274.94585834783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</v>
      </c>
      <c r="DU648" s="2" t="n">
        <v>0</v>
      </c>
      <c r="DV648" s="2" t="n">
        <v>98.16</v>
      </c>
      <c r="DW648" s="2" t="n">
        <v>99.85</v>
      </c>
      <c r="DX648" s="2" t="n">
        <v>0</v>
      </c>
      <c r="DY648" s="2" t="n">
        <v>99.85</v>
      </c>
      <c r="DZ648" s="2" t="n">
        <v>99.85</v>
      </c>
      <c r="EA648" s="2" t="n">
        <v>0</v>
      </c>
      <c r="EB648" s="2" t="n">
        <v>99.85</v>
      </c>
      <c r="EC648" s="2" t="n">
        <v>99.85</v>
      </c>
      <c r="ED648" s="2" t="n">
        <v>0</v>
      </c>
      <c r="EE648" s="2" t="n">
        <v>99.85</v>
      </c>
      <c r="EF648" s="2" t="n">
        <v>99.85</v>
      </c>
      <c r="EG648" s="2" t="n">
        <v>0</v>
      </c>
      <c r="EH648" s="2" t="n">
        <v>99.85</v>
      </c>
      <c r="EI648" s="2" t="n">
        <v>99.85</v>
      </c>
      <c r="EJ648" s="2" t="n">
        <v>0</v>
      </c>
      <c r="EK648" s="2" t="n">
        <v>99.85</v>
      </c>
      <c r="EL648" s="2" t="n">
        <v>99.85</v>
      </c>
      <c r="EM648" s="2" t="n">
        <v>0</v>
      </c>
      <c r="EN648" s="2" t="n">
        <v>99.85</v>
      </c>
      <c r="EO648" s="2" t="n">
        <v>99.85</v>
      </c>
      <c r="EP648" s="2" t="n">
        <v>0</v>
      </c>
      <c r="EQ648" s="2" t="n">
        <v>99.85</v>
      </c>
      <c r="ER648" s="2" t="n">
        <v>99.85</v>
      </c>
      <c r="ES648" s="2" t="n">
        <v>0</v>
      </c>
    </row>
    <row r="649" customFormat="false" ht="15" hidden="false" customHeight="false" outlineLevel="0" collapsed="false">
      <c r="A649" s="2" t="n">
        <v>4</v>
      </c>
      <c r="B649" s="2" t="s">
        <v>1697</v>
      </c>
      <c r="C649" s="2" t="s">
        <v>1698</v>
      </c>
      <c r="D649" s="2" t="s">
        <v>1680</v>
      </c>
      <c r="E649" s="2" t="s">
        <v>1684</v>
      </c>
      <c r="F649" s="2" t="n">
        <v>16971.2900945208</v>
      </c>
      <c r="G649" s="2" t="n">
        <v>0</v>
      </c>
      <c r="H649" s="2" t="n">
        <v>16971.2900945208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</v>
      </c>
      <c r="DU649" s="2" t="n">
        <v>0</v>
      </c>
      <c r="DV649" s="2" t="n">
        <v>98.16</v>
      </c>
      <c r="DW649" s="2" t="n">
        <v>99.85</v>
      </c>
      <c r="DX649" s="2" t="n">
        <v>0</v>
      </c>
      <c r="DY649" s="2" t="n">
        <v>99.85</v>
      </c>
      <c r="DZ649" s="2" t="n">
        <v>99.85</v>
      </c>
      <c r="EA649" s="2" t="n">
        <v>0</v>
      </c>
      <c r="EB649" s="2" t="n">
        <v>99.85</v>
      </c>
      <c r="EC649" s="2" t="n">
        <v>99.85</v>
      </c>
      <c r="ED649" s="2" t="n">
        <v>0</v>
      </c>
      <c r="EE649" s="2" t="n">
        <v>99.85</v>
      </c>
      <c r="EF649" s="2" t="n">
        <v>99.85</v>
      </c>
      <c r="EG649" s="2" t="n">
        <v>0</v>
      </c>
      <c r="EH649" s="2" t="n">
        <v>99.85</v>
      </c>
      <c r="EI649" s="2" t="n">
        <v>99.85</v>
      </c>
      <c r="EJ649" s="2" t="n">
        <v>0</v>
      </c>
      <c r="EK649" s="2" t="n">
        <v>99.85</v>
      </c>
      <c r="EL649" s="2" t="n">
        <v>99.85</v>
      </c>
      <c r="EM649" s="2" t="n">
        <v>0</v>
      </c>
      <c r="EN649" s="2" t="n">
        <v>99.85</v>
      </c>
      <c r="EO649" s="2" t="n">
        <v>99.85</v>
      </c>
      <c r="EP649" s="2" t="n">
        <v>0</v>
      </c>
      <c r="EQ649" s="2" t="n">
        <v>99.85</v>
      </c>
      <c r="ER649" s="2" t="n">
        <v>99.85</v>
      </c>
      <c r="ES649" s="2" t="n">
        <v>0</v>
      </c>
    </row>
    <row r="650" customFormat="false" ht="15" hidden="false" customHeight="false" outlineLevel="0" collapsed="false">
      <c r="A650" s="2" t="n">
        <v>3</v>
      </c>
      <c r="B650" s="2" t="s">
        <v>1699</v>
      </c>
      <c r="C650" s="2" t="s">
        <v>1700</v>
      </c>
      <c r="D650" s="2" t="s">
        <v>1701</v>
      </c>
      <c r="E650" s="2" t="s">
        <v>440</v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 customFormat="false" ht="15" hidden="false" customHeight="false" outlineLevel="0" collapsed="false">
      <c r="A651" s="2" t="n">
        <v>4</v>
      </c>
      <c r="B651" s="2" t="s">
        <v>1702</v>
      </c>
      <c r="C651" s="2" t="s">
        <v>1703</v>
      </c>
      <c r="D651" s="2" t="s">
        <v>1701</v>
      </c>
      <c r="E651" s="2" t="s">
        <v>440</v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 customFormat="false" ht="15" hidden="false" customHeight="false" outlineLevel="0" collapsed="false">
      <c r="A652" s="2" t="n">
        <v>3</v>
      </c>
      <c r="B652" s="2" t="s">
        <v>1704</v>
      </c>
      <c r="C652" s="2" t="s">
        <v>1705</v>
      </c>
      <c r="D652" s="2" t="s">
        <v>1480</v>
      </c>
      <c r="E652" s="2" t="s">
        <v>1706</v>
      </c>
      <c r="F652" s="2" t="n">
        <v>442714.767579384</v>
      </c>
      <c r="G652" s="2" t="n">
        <v>0</v>
      </c>
      <c r="H652" s="2" t="n">
        <v>442714.767579384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</v>
      </c>
      <c r="DO652" s="2" t="n">
        <v>0</v>
      </c>
      <c r="DP652" s="2" t="n">
        <v>95.83</v>
      </c>
      <c r="DQ652" s="2" t="n">
        <v>98.15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 customFormat="false" ht="15" hidden="false" customHeight="false" outlineLevel="0" collapsed="false">
      <c r="A653" s="2" t="n">
        <v>4</v>
      </c>
      <c r="B653" s="2" t="s">
        <v>1707</v>
      </c>
      <c r="C653" s="2" t="s">
        <v>1708</v>
      </c>
      <c r="D653" s="2" t="s">
        <v>1480</v>
      </c>
      <c r="E653" s="2" t="s">
        <v>1706</v>
      </c>
      <c r="F653" s="2" t="n">
        <v>348223.410810155</v>
      </c>
      <c r="G653" s="2" t="n">
        <v>0</v>
      </c>
      <c r="H653" s="2" t="n">
        <v>348223.410810155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</v>
      </c>
      <c r="DO653" s="2" t="n">
        <v>0</v>
      </c>
      <c r="DP653" s="2" t="n">
        <v>95.83</v>
      </c>
      <c r="DQ653" s="2" t="n">
        <v>98.15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 customFormat="false" ht="15" hidden="false" customHeight="false" outlineLevel="0" collapsed="false">
      <c r="A654" s="2" t="n">
        <v>4</v>
      </c>
      <c r="B654" s="2" t="s">
        <v>1709</v>
      </c>
      <c r="C654" s="2" t="s">
        <v>1710</v>
      </c>
      <c r="D654" s="2" t="s">
        <v>1480</v>
      </c>
      <c r="E654" s="2" t="s">
        <v>1706</v>
      </c>
      <c r="F654" s="2" t="n">
        <v>83690.6004772432</v>
      </c>
      <c r="G654" s="2" t="n">
        <v>0</v>
      </c>
      <c r="H654" s="2" t="n">
        <v>83690.6004772432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</v>
      </c>
      <c r="DO654" s="2" t="n">
        <v>0</v>
      </c>
      <c r="DP654" s="2" t="n">
        <v>95.83</v>
      </c>
      <c r="DQ654" s="2" t="n">
        <v>98.15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 customFormat="false" ht="15" hidden="false" customHeight="false" outlineLevel="0" collapsed="false">
      <c r="A655" s="2" t="n">
        <v>4</v>
      </c>
      <c r="B655" s="2" t="s">
        <v>1711</v>
      </c>
      <c r="C655" s="2" t="s">
        <v>1712</v>
      </c>
      <c r="D655" s="2" t="s">
        <v>1480</v>
      </c>
      <c r="E655" s="2" t="s">
        <v>1706</v>
      </c>
      <c r="F655" s="2" t="n">
        <v>10800.7562919863</v>
      </c>
      <c r="G655" s="2" t="n">
        <v>0</v>
      </c>
      <c r="H655" s="2" t="n">
        <v>10800.7562919863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</v>
      </c>
      <c r="DO655" s="2" t="n">
        <v>0</v>
      </c>
      <c r="DP655" s="2" t="n">
        <v>95.83</v>
      </c>
      <c r="DQ655" s="2" t="n">
        <v>98.15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 customFormat="false" ht="15" hidden="false" customHeight="false" outlineLevel="0" collapsed="false">
      <c r="A656" s="2" t="n">
        <v>3</v>
      </c>
      <c r="B656" s="2" t="s">
        <v>1713</v>
      </c>
      <c r="C656" s="2" t="s">
        <v>1714</v>
      </c>
      <c r="D656" s="2" t="s">
        <v>1715</v>
      </c>
      <c r="E656" s="2" t="s">
        <v>1681</v>
      </c>
      <c r="F656" s="2" t="n">
        <v>777295.392</v>
      </c>
      <c r="G656" s="2" t="n">
        <v>0</v>
      </c>
      <c r="H656" s="2" t="n">
        <v>777295.392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9.78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 customFormat="false" ht="15" hidden="false" customHeight="false" outlineLevel="0" collapsed="false">
      <c r="A657" s="2" t="n">
        <v>4</v>
      </c>
      <c r="B657" s="2" t="s">
        <v>1716</v>
      </c>
      <c r="C657" s="2" t="s">
        <v>1717</v>
      </c>
      <c r="D657" s="2" t="s">
        <v>1715</v>
      </c>
      <c r="E657" s="2" t="s">
        <v>1681</v>
      </c>
      <c r="F657" s="2" t="n">
        <v>774168.064</v>
      </c>
      <c r="G657" s="2" t="n">
        <v>0</v>
      </c>
      <c r="H657" s="2" t="n">
        <v>774168.064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9.78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 customFormat="false" ht="15" hidden="false" customHeight="false" outlineLevel="0" collapsed="false">
      <c r="A658" s="2" t="n">
        <v>4</v>
      </c>
      <c r="B658" s="2" t="s">
        <v>1718</v>
      </c>
      <c r="C658" s="2" t="s">
        <v>1719</v>
      </c>
      <c r="D658" s="2" t="s">
        <v>1715</v>
      </c>
      <c r="E658" s="2" t="s">
        <v>1681</v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9.78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 customFormat="false" ht="15" hidden="false" customHeight="false" outlineLevel="0" collapsed="false">
      <c r="A659" s="2" t="n">
        <v>3</v>
      </c>
      <c r="B659" s="2" t="s">
        <v>1720</v>
      </c>
      <c r="C659" s="2" t="s">
        <v>1721</v>
      </c>
      <c r="D659" s="2" t="s">
        <v>1722</v>
      </c>
      <c r="E659" s="2" t="s">
        <v>1723</v>
      </c>
      <c r="F659" s="2" t="n">
        <v>273316.217769548</v>
      </c>
      <c r="G659" s="2" t="n">
        <v>0</v>
      </c>
      <c r="H659" s="2" t="n">
        <v>273316.217769548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76.1</v>
      </c>
      <c r="EA659" s="2" t="n">
        <v>0</v>
      </c>
      <c r="EB659" s="2" t="n">
        <v>75.28</v>
      </c>
      <c r="EC659" s="2" t="n">
        <v>91.76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 customFormat="false" ht="15" hidden="false" customHeight="false" outlineLevel="0" collapsed="false">
      <c r="A660" s="2" t="n">
        <v>4</v>
      </c>
      <c r="B660" s="2" t="s">
        <v>1724</v>
      </c>
      <c r="C660" s="2" t="s">
        <v>1725</v>
      </c>
      <c r="D660" s="2" t="s">
        <v>1722</v>
      </c>
      <c r="E660" s="2" t="s">
        <v>1723</v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76.1</v>
      </c>
      <c r="EA660" s="2" t="n">
        <v>0</v>
      </c>
      <c r="EB660" s="2" t="n">
        <v>75.28</v>
      </c>
      <c r="EC660" s="2" t="n">
        <v>91.76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 customFormat="false" ht="15" hidden="false" customHeight="false" outlineLevel="0" collapsed="false">
      <c r="A661" s="2" t="n">
        <v>4</v>
      </c>
      <c r="B661" s="2" t="s">
        <v>1726</v>
      </c>
      <c r="C661" s="2" t="s">
        <v>1727</v>
      </c>
      <c r="D661" s="2" t="s">
        <v>1722</v>
      </c>
      <c r="E661" s="2" t="s">
        <v>1723</v>
      </c>
      <c r="F661" s="2" t="n">
        <v>22357.2539390523</v>
      </c>
      <c r="G661" s="2" t="n">
        <v>0</v>
      </c>
      <c r="H661" s="2" t="n">
        <v>22357.2539390523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76.1</v>
      </c>
      <c r="EA661" s="2" t="n">
        <v>0</v>
      </c>
      <c r="EB661" s="2" t="n">
        <v>75.28</v>
      </c>
      <c r="EC661" s="2" t="n">
        <v>91.76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 customFormat="false" ht="15" hidden="false" customHeight="false" outlineLevel="0" collapsed="false">
      <c r="A662" s="2" t="n">
        <v>4</v>
      </c>
      <c r="B662" s="2" t="s">
        <v>1728</v>
      </c>
      <c r="C662" s="2" t="s">
        <v>1729</v>
      </c>
      <c r="D662" s="2" t="s">
        <v>1722</v>
      </c>
      <c r="E662" s="2" t="s">
        <v>1723</v>
      </c>
      <c r="F662" s="2" t="n">
        <v>74407.6567443462</v>
      </c>
      <c r="G662" s="2" t="n">
        <v>0</v>
      </c>
      <c r="H662" s="2" t="n">
        <v>74407.6567443462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76.1</v>
      </c>
      <c r="EA662" s="2" t="n">
        <v>0</v>
      </c>
      <c r="EB662" s="2" t="n">
        <v>75.28</v>
      </c>
      <c r="EC662" s="2" t="n">
        <v>91.76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 customFormat="false" ht="15" hidden="false" customHeight="false" outlineLevel="0" collapsed="false">
      <c r="A663" s="2" t="n">
        <v>4</v>
      </c>
      <c r="B663" s="2" t="s">
        <v>1730</v>
      </c>
      <c r="C663" s="2" t="s">
        <v>1731</v>
      </c>
      <c r="D663" s="2" t="s">
        <v>1722</v>
      </c>
      <c r="E663" s="2" t="s">
        <v>1723</v>
      </c>
      <c r="F663" s="2" t="n">
        <v>52523.5372361494</v>
      </c>
      <c r="G663" s="2" t="n">
        <v>0</v>
      </c>
      <c r="H663" s="2" t="n">
        <v>52523.5372361494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76.1</v>
      </c>
      <c r="EA663" s="2" t="n">
        <v>0</v>
      </c>
      <c r="EB663" s="2" t="n">
        <v>75.28</v>
      </c>
      <c r="EC663" s="2" t="n">
        <v>91.76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 customFormat="false" ht="15" hidden="false" customHeight="false" outlineLevel="0" collapsed="false">
      <c r="A664" s="2" t="n">
        <v>2</v>
      </c>
      <c r="B664" s="2" t="s">
        <v>1732</v>
      </c>
      <c r="C664" s="2" t="s">
        <v>1733</v>
      </c>
      <c r="D664" s="2" t="s">
        <v>1734</v>
      </c>
      <c r="E664" s="2" t="s">
        <v>1735</v>
      </c>
      <c r="F664" s="2" t="n">
        <v>925320.056813097</v>
      </c>
      <c r="G664" s="2" t="n">
        <v>0</v>
      </c>
      <c r="H664" s="2" t="n">
        <v>925320.056813097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 customFormat="false" ht="15" hidden="false" customHeight="false" outlineLevel="0" collapsed="false">
      <c r="A665" s="2" t="n">
        <v>3</v>
      </c>
      <c r="B665" s="2" t="s">
        <v>1736</v>
      </c>
      <c r="C665" s="2" t="s">
        <v>1683</v>
      </c>
      <c r="D665" s="2" t="s">
        <v>1734</v>
      </c>
      <c r="E665" s="2" t="s">
        <v>1735</v>
      </c>
      <c r="F665" s="2" t="n">
        <v>340748.478428956</v>
      </c>
      <c r="G665" s="2" t="n">
        <v>0</v>
      </c>
      <c r="H665" s="2" t="n">
        <v>340748.478428956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 customFormat="false" ht="15" hidden="false" customHeight="false" outlineLevel="0" collapsed="false">
      <c r="A666" s="2" t="n">
        <v>4</v>
      </c>
      <c r="B666" s="2" t="s">
        <v>1737</v>
      </c>
      <c r="C666" s="2" t="s">
        <v>1738</v>
      </c>
      <c r="D666" s="2" t="s">
        <v>1734</v>
      </c>
      <c r="E666" s="2" t="s">
        <v>1735</v>
      </c>
      <c r="F666" s="2" t="n">
        <v>269606.886248085</v>
      </c>
      <c r="G666" s="2" t="n">
        <v>0</v>
      </c>
      <c r="H666" s="2" t="n">
        <v>269606.886248085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 customFormat="false" ht="15" hidden="false" customHeight="false" outlineLevel="0" collapsed="false">
      <c r="A667" s="2" t="n">
        <v>4</v>
      </c>
      <c r="B667" s="2" t="s">
        <v>1739</v>
      </c>
      <c r="C667" s="2" t="s">
        <v>1738</v>
      </c>
      <c r="D667" s="2" t="s">
        <v>1734</v>
      </c>
      <c r="E667" s="2" t="s">
        <v>1735</v>
      </c>
      <c r="F667" s="2" t="n">
        <v>61183.9080091517</v>
      </c>
      <c r="G667" s="2" t="n">
        <v>0</v>
      </c>
      <c r="H667" s="2" t="n">
        <v>61183.9080091517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 customFormat="false" ht="15" hidden="false" customHeight="false" outlineLevel="0" collapsed="false">
      <c r="A668" s="2" t="n">
        <v>4</v>
      </c>
      <c r="B668" s="2" t="s">
        <v>1740</v>
      </c>
      <c r="C668" s="2" t="s">
        <v>1741</v>
      </c>
      <c r="D668" s="2" t="s">
        <v>1734</v>
      </c>
      <c r="E668" s="2" t="s">
        <v>1735</v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 customFormat="false" ht="15" hidden="false" customHeight="false" outlineLevel="0" collapsed="false">
      <c r="A669" s="2" t="n">
        <v>4</v>
      </c>
      <c r="B669" s="2" t="s">
        <v>1742</v>
      </c>
      <c r="C669" s="2" t="s">
        <v>1743</v>
      </c>
      <c r="D669" s="2" t="s">
        <v>1734</v>
      </c>
      <c r="E669" s="2" t="s">
        <v>1735</v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 customFormat="false" ht="15" hidden="false" customHeight="false" outlineLevel="0" collapsed="false">
      <c r="A670" s="2" t="n">
        <v>4</v>
      </c>
      <c r="B670" s="2" t="s">
        <v>1744</v>
      </c>
      <c r="C670" s="2" t="s">
        <v>1745</v>
      </c>
      <c r="D670" s="2" t="s">
        <v>1734</v>
      </c>
      <c r="E670" s="2" t="s">
        <v>1735</v>
      </c>
      <c r="F670" s="2" t="n">
        <v>5718.44636114297</v>
      </c>
      <c r="G670" s="2" t="n">
        <v>0</v>
      </c>
      <c r="H670" s="2" t="n">
        <v>5718.44636114297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 customFormat="false" ht="15" hidden="false" customHeight="false" outlineLevel="0" collapsed="false">
      <c r="A671" s="2" t="n">
        <v>3</v>
      </c>
      <c r="B671" s="2" t="s">
        <v>1746</v>
      </c>
      <c r="C671" s="2" t="s">
        <v>1705</v>
      </c>
      <c r="D671" s="2" t="s">
        <v>1734</v>
      </c>
      <c r="E671" s="2" t="s">
        <v>1735</v>
      </c>
      <c r="F671" s="2" t="n">
        <v>59075.1160131095</v>
      </c>
      <c r="G671" s="2" t="n">
        <v>0</v>
      </c>
      <c r="H671" s="2" t="n">
        <v>59075.1160131095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 customFormat="false" ht="15" hidden="false" customHeight="false" outlineLevel="0" collapsed="false">
      <c r="A672" s="2" t="n">
        <v>4</v>
      </c>
      <c r="B672" s="2" t="s">
        <v>1747</v>
      </c>
      <c r="C672" s="2" t="s">
        <v>1748</v>
      </c>
      <c r="D672" s="2" t="s">
        <v>1734</v>
      </c>
      <c r="E672" s="2" t="s">
        <v>1735</v>
      </c>
      <c r="F672" s="2" t="n">
        <v>59075.1160131095</v>
      </c>
      <c r="G672" s="2" t="n">
        <v>0</v>
      </c>
      <c r="H672" s="2" t="n">
        <v>59075.1160131095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 customFormat="false" ht="15" hidden="false" customHeight="false" outlineLevel="0" collapsed="false">
      <c r="A673" s="2" t="n">
        <v>3</v>
      </c>
      <c r="B673" s="2" t="s">
        <v>1749</v>
      </c>
      <c r="C673" s="2" t="s">
        <v>1714</v>
      </c>
      <c r="D673" s="2" t="s">
        <v>1734</v>
      </c>
      <c r="E673" s="2" t="s">
        <v>1735</v>
      </c>
      <c r="F673" s="2" t="n">
        <v>525496.462371031</v>
      </c>
      <c r="G673" s="2" t="n">
        <v>0</v>
      </c>
      <c r="H673" s="2" t="n">
        <v>525496.462371031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 customFormat="false" ht="15" hidden="false" customHeight="false" outlineLevel="0" collapsed="false">
      <c r="A674" s="2" t="n">
        <v>4</v>
      </c>
      <c r="B674" s="2" t="s">
        <v>1750</v>
      </c>
      <c r="C674" s="2" t="s">
        <v>1751</v>
      </c>
      <c r="D674" s="2" t="s">
        <v>1734</v>
      </c>
      <c r="E674" s="2" t="s">
        <v>1735</v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 customFormat="false" ht="15" hidden="false" customHeight="false" outlineLevel="0" collapsed="false">
      <c r="A675" s="2" t="n">
        <v>4</v>
      </c>
      <c r="B675" s="2" t="s">
        <v>1752</v>
      </c>
      <c r="C675" s="2" t="s">
        <v>1753</v>
      </c>
      <c r="D675" s="2" t="s">
        <v>1734</v>
      </c>
      <c r="E675" s="2" t="s">
        <v>1735</v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 customFormat="false" ht="15" hidden="false" customHeight="false" outlineLevel="0" collapsed="false">
      <c r="A676" s="2" t="n">
        <v>4</v>
      </c>
      <c r="B676" s="2" t="s">
        <v>1754</v>
      </c>
      <c r="C676" s="2" t="s">
        <v>1755</v>
      </c>
      <c r="D676" s="2" t="s">
        <v>1734</v>
      </c>
      <c r="E676" s="2" t="s">
        <v>1735</v>
      </c>
      <c r="F676" s="2" t="n">
        <v>46083.8203710309</v>
      </c>
      <c r="G676" s="2" t="n">
        <v>0</v>
      </c>
      <c r="H676" s="2" t="n">
        <v>46083.8203710309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 customFormat="false" ht="15" hidden="false" customHeight="false" outlineLevel="0" collapsed="false">
      <c r="A677" s="2" t="n">
        <v>2</v>
      </c>
      <c r="B677" s="2" t="s">
        <v>1756</v>
      </c>
      <c r="C677" s="2" t="s">
        <v>1757</v>
      </c>
      <c r="D677" s="2" t="s">
        <v>440</v>
      </c>
      <c r="E677" s="2" t="s">
        <v>1677</v>
      </c>
      <c r="F677" s="2" t="n">
        <v>1092727.24680506</v>
      </c>
      <c r="G677" s="2" t="n">
        <v>0</v>
      </c>
      <c r="H677" s="2" t="n">
        <v>1092727.24680506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73.74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 customFormat="false" ht="15" hidden="false" customHeight="false" outlineLevel="0" collapsed="false">
      <c r="A678" s="2" t="n">
        <v>3</v>
      </c>
      <c r="B678" s="2" t="s">
        <v>1758</v>
      </c>
      <c r="C678" s="2" t="s">
        <v>1705</v>
      </c>
      <c r="D678" s="2" t="s">
        <v>1759</v>
      </c>
      <c r="E678" s="2" t="s">
        <v>1677</v>
      </c>
      <c r="F678" s="2" t="n">
        <v>765228.984805057</v>
      </c>
      <c r="G678" s="2" t="n">
        <v>0</v>
      </c>
      <c r="H678" s="2" t="n">
        <v>765228.984805057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 customFormat="false" ht="15" hidden="false" customHeight="false" outlineLevel="0" collapsed="false">
      <c r="A679" s="2" t="n">
        <v>4</v>
      </c>
      <c r="B679" s="2" t="s">
        <v>1760</v>
      </c>
      <c r="C679" s="2" t="s">
        <v>1708</v>
      </c>
      <c r="D679" s="2" t="s">
        <v>1759</v>
      </c>
      <c r="E679" s="2" t="s">
        <v>1677</v>
      </c>
      <c r="F679" s="2" t="n">
        <v>232609.254418571</v>
      </c>
      <c r="G679" s="2" t="n">
        <v>0</v>
      </c>
      <c r="H679" s="2" t="n">
        <v>232609.254418571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 customFormat="false" ht="15" hidden="false" customHeight="false" outlineLevel="0" collapsed="false">
      <c r="A680" s="2" t="n">
        <v>4</v>
      </c>
      <c r="B680" s="2" t="s">
        <v>1761</v>
      </c>
      <c r="C680" s="2" t="s">
        <v>1762</v>
      </c>
      <c r="D680" s="2" t="s">
        <v>1759</v>
      </c>
      <c r="E680" s="2" t="s">
        <v>1677</v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 customFormat="false" ht="15" hidden="false" customHeight="false" outlineLevel="0" collapsed="false">
      <c r="A681" s="2" t="n">
        <v>3</v>
      </c>
      <c r="B681" s="2" t="s">
        <v>1763</v>
      </c>
      <c r="C681" s="2" t="s">
        <v>1764</v>
      </c>
      <c r="D681" s="2" t="s">
        <v>440</v>
      </c>
      <c r="E681" s="2" t="s">
        <v>1765</v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 customFormat="false" ht="15" hidden="false" customHeight="false" outlineLevel="0" collapsed="false">
      <c r="A682" s="2" t="n">
        <v>4</v>
      </c>
      <c r="B682" s="2" t="s">
        <v>1766</v>
      </c>
      <c r="C682" s="2" t="s">
        <v>1767</v>
      </c>
      <c r="D682" s="2" t="s">
        <v>440</v>
      </c>
      <c r="E682" s="2" t="s">
        <v>1765</v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 customFormat="false" ht="15" hidden="false" customHeight="false" outlineLevel="0" collapsed="false">
      <c r="A683" s="2" t="n">
        <v>3</v>
      </c>
      <c r="B683" s="2" t="s">
        <v>1768</v>
      </c>
      <c r="C683" s="2" t="s">
        <v>1769</v>
      </c>
      <c r="D683" s="2" t="s">
        <v>1490</v>
      </c>
      <c r="E683" s="2" t="s">
        <v>1491</v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 customFormat="false" ht="15" hidden="false" customHeight="false" outlineLevel="0" collapsed="false">
      <c r="A684" s="2" t="n">
        <v>4</v>
      </c>
      <c r="B684" s="2" t="s">
        <v>1770</v>
      </c>
      <c r="C684" s="2" t="s">
        <v>1771</v>
      </c>
      <c r="D684" s="2" t="s">
        <v>1490</v>
      </c>
      <c r="E684" s="2" t="s">
        <v>1491</v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 customFormat="false" ht="15" hidden="false" customHeight="false" outlineLevel="0" collapsed="false">
      <c r="A685" s="2" t="n">
        <v>4</v>
      </c>
      <c r="B685" s="2" t="s">
        <v>1772</v>
      </c>
      <c r="C685" s="2" t="s">
        <v>1773</v>
      </c>
      <c r="D685" s="2" t="s">
        <v>1490</v>
      </c>
      <c r="E685" s="2" t="s">
        <v>1491</v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 customFormat="false" ht="15" hidden="false" customHeight="false" outlineLevel="0" collapsed="false">
      <c r="A686" s="2" t="n">
        <v>2</v>
      </c>
      <c r="B686" s="2" t="s">
        <v>1774</v>
      </c>
      <c r="C686" s="2" t="s">
        <v>1775</v>
      </c>
      <c r="D686" s="2" t="s">
        <v>440</v>
      </c>
      <c r="E686" s="2" t="s">
        <v>1677</v>
      </c>
      <c r="F686" s="2" t="n">
        <v>13890.0491667251</v>
      </c>
      <c r="G686" s="2" t="n">
        <v>0</v>
      </c>
      <c r="H686" s="2" t="n">
        <v>13890.0491667251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 customFormat="false" ht="15" hidden="false" customHeight="false" outlineLevel="0" collapsed="false">
      <c r="A687" s="2" t="n">
        <v>3</v>
      </c>
      <c r="B687" s="2" t="s">
        <v>1776</v>
      </c>
      <c r="C687" s="2" t="s">
        <v>1777</v>
      </c>
      <c r="D687" s="2" t="s">
        <v>440</v>
      </c>
      <c r="E687" s="2" t="s">
        <v>1677</v>
      </c>
      <c r="F687" s="2" t="n">
        <v>13890.0491667251</v>
      </c>
      <c r="G687" s="2" t="n">
        <v>0</v>
      </c>
      <c r="H687" s="2" t="n">
        <v>13890.0491667251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 customFormat="false" ht="15" hidden="false" customHeight="false" outlineLevel="0" collapsed="false">
      <c r="A688" s="2" t="n">
        <v>2</v>
      </c>
      <c r="B688" s="2" t="s">
        <v>1778</v>
      </c>
      <c r="C688" s="2" t="s">
        <v>1779</v>
      </c>
      <c r="D688" s="2" t="s">
        <v>1676</v>
      </c>
      <c r="E688" s="2" t="s">
        <v>1780</v>
      </c>
      <c r="F688" s="2" t="n">
        <v>2335493.60935342</v>
      </c>
      <c r="G688" s="2" t="n">
        <v>0</v>
      </c>
      <c r="H688" s="2" t="n">
        <v>2335493.60935342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</v>
      </c>
      <c r="CM688" s="2" t="n">
        <v>9.88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69.07</v>
      </c>
      <c r="DE688" s="2" t="n">
        <v>70.86</v>
      </c>
      <c r="DF688" s="2" t="n">
        <v>0</v>
      </c>
      <c r="DG688" s="2" t="n">
        <v>75.51</v>
      </c>
      <c r="DH688" s="2" t="n">
        <v>77.31</v>
      </c>
      <c r="DI688" s="2" t="n">
        <v>0</v>
      </c>
      <c r="DJ688" s="2" t="n">
        <v>83.4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 customFormat="false" ht="15" hidden="false" customHeight="false" outlineLevel="0" collapsed="false">
      <c r="A689" s="2" t="n">
        <v>3</v>
      </c>
      <c r="B689" s="2" t="s">
        <v>1781</v>
      </c>
      <c r="C689" s="2" t="s">
        <v>1782</v>
      </c>
      <c r="D689" s="2" t="s">
        <v>1676</v>
      </c>
      <c r="E689" s="2" t="s">
        <v>1780</v>
      </c>
      <c r="F689" s="2" t="n">
        <v>2021085.03730219</v>
      </c>
      <c r="G689" s="2" t="n">
        <v>0</v>
      </c>
      <c r="H689" s="2" t="n">
        <v>2021085.03730219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</v>
      </c>
      <c r="CM689" s="2" t="n">
        <v>9.88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69.07</v>
      </c>
      <c r="DE689" s="2" t="n">
        <v>70.86</v>
      </c>
      <c r="DF689" s="2" t="n">
        <v>0</v>
      </c>
      <c r="DG689" s="2" t="n">
        <v>75.51</v>
      </c>
      <c r="DH689" s="2" t="n">
        <v>77.31</v>
      </c>
      <c r="DI689" s="2" t="n">
        <v>0</v>
      </c>
      <c r="DJ689" s="2" t="n">
        <v>83.4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 customFormat="false" ht="15" hidden="false" customHeight="false" outlineLevel="0" collapsed="false">
      <c r="A690" s="2" t="n">
        <v>4</v>
      </c>
      <c r="B690" s="2" t="s">
        <v>1783</v>
      </c>
      <c r="C690" s="2" t="s">
        <v>1784</v>
      </c>
      <c r="D690" s="2" t="s">
        <v>1676</v>
      </c>
      <c r="E690" s="2" t="s">
        <v>1780</v>
      </c>
      <c r="F690" s="2" t="n">
        <v>601418.306733761</v>
      </c>
      <c r="G690" s="2" t="n">
        <v>0</v>
      </c>
      <c r="H690" s="2" t="n">
        <v>601418.306733761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</v>
      </c>
      <c r="CM690" s="2" t="n">
        <v>9.88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69.07</v>
      </c>
      <c r="DE690" s="2" t="n">
        <v>70.86</v>
      </c>
      <c r="DF690" s="2" t="n">
        <v>0</v>
      </c>
      <c r="DG690" s="2" t="n">
        <v>75.51</v>
      </c>
      <c r="DH690" s="2" t="n">
        <v>77.31</v>
      </c>
      <c r="DI690" s="2" t="n">
        <v>0</v>
      </c>
      <c r="DJ690" s="2" t="n">
        <v>83.4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 customFormat="false" ht="15" hidden="false" customHeight="false" outlineLevel="0" collapsed="false">
      <c r="A691" s="2" t="n">
        <v>4</v>
      </c>
      <c r="B691" s="2" t="s">
        <v>1785</v>
      </c>
      <c r="C691" s="2" t="s">
        <v>1786</v>
      </c>
      <c r="D691" s="2" t="s">
        <v>1676</v>
      </c>
      <c r="E691" s="2" t="s">
        <v>1780</v>
      </c>
      <c r="F691" s="2" t="n">
        <v>948996.681552588</v>
      </c>
      <c r="G691" s="2" t="n">
        <v>0</v>
      </c>
      <c r="H691" s="2" t="n">
        <v>948996.681552588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</v>
      </c>
      <c r="CM691" s="2" t="n">
        <v>9.88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69.07</v>
      </c>
      <c r="DE691" s="2" t="n">
        <v>70.86</v>
      </c>
      <c r="DF691" s="2" t="n">
        <v>0</v>
      </c>
      <c r="DG691" s="2" t="n">
        <v>75.51</v>
      </c>
      <c r="DH691" s="2" t="n">
        <v>77.31</v>
      </c>
      <c r="DI691" s="2" t="n">
        <v>0</v>
      </c>
      <c r="DJ691" s="2" t="n">
        <v>83.4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 customFormat="false" ht="15" hidden="false" customHeight="false" outlineLevel="0" collapsed="false">
      <c r="A692" s="2" t="n">
        <v>4</v>
      </c>
      <c r="B692" s="2" t="s">
        <v>1787</v>
      </c>
      <c r="C692" s="2" t="s">
        <v>1788</v>
      </c>
      <c r="D692" s="2" t="s">
        <v>1676</v>
      </c>
      <c r="E692" s="2" t="s">
        <v>1780</v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</v>
      </c>
      <c r="CM692" s="2" t="n">
        <v>9.88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69.07</v>
      </c>
      <c r="DE692" s="2" t="n">
        <v>70.86</v>
      </c>
      <c r="DF692" s="2" t="n">
        <v>0</v>
      </c>
      <c r="DG692" s="2" t="n">
        <v>75.51</v>
      </c>
      <c r="DH692" s="2" t="n">
        <v>77.31</v>
      </c>
      <c r="DI692" s="2" t="n">
        <v>0</v>
      </c>
      <c r="DJ692" s="2" t="n">
        <v>83.4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 customFormat="false" ht="15" hidden="false" customHeight="false" outlineLevel="0" collapsed="false">
      <c r="A693" s="2" t="n">
        <v>4</v>
      </c>
      <c r="B693" s="2" t="s">
        <v>1789</v>
      </c>
      <c r="C693" s="2" t="s">
        <v>1790</v>
      </c>
      <c r="D693" s="2" t="s">
        <v>1676</v>
      </c>
      <c r="E693" s="2" t="s">
        <v>1780</v>
      </c>
      <c r="F693" s="2" t="n">
        <v>222574.005316343</v>
      </c>
      <c r="G693" s="2" t="n">
        <v>0</v>
      </c>
      <c r="H693" s="2" t="n">
        <v>222574.005316343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</v>
      </c>
      <c r="CM693" s="2" t="n">
        <v>9.88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69.07</v>
      </c>
      <c r="DE693" s="2" t="n">
        <v>70.86</v>
      </c>
      <c r="DF693" s="2" t="n">
        <v>0</v>
      </c>
      <c r="DG693" s="2" t="n">
        <v>75.51</v>
      </c>
      <c r="DH693" s="2" t="n">
        <v>77.31</v>
      </c>
      <c r="DI693" s="2" t="n">
        <v>0</v>
      </c>
      <c r="DJ693" s="2" t="n">
        <v>83.4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 customFormat="false" ht="15" hidden="false" customHeight="false" outlineLevel="0" collapsed="false">
      <c r="A694" s="2" t="n">
        <v>4</v>
      </c>
      <c r="B694" s="2" t="s">
        <v>1791</v>
      </c>
      <c r="C694" s="2" t="s">
        <v>1792</v>
      </c>
      <c r="D694" s="2" t="s">
        <v>1676</v>
      </c>
      <c r="E694" s="2" t="s">
        <v>1780</v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</v>
      </c>
      <c r="CM694" s="2" t="n">
        <v>9.88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69.07</v>
      </c>
      <c r="DE694" s="2" t="n">
        <v>70.86</v>
      </c>
      <c r="DF694" s="2" t="n">
        <v>0</v>
      </c>
      <c r="DG694" s="2" t="n">
        <v>75.51</v>
      </c>
      <c r="DH694" s="2" t="n">
        <v>77.31</v>
      </c>
      <c r="DI694" s="2" t="n">
        <v>0</v>
      </c>
      <c r="DJ694" s="2" t="n">
        <v>83.4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 customFormat="false" ht="15" hidden="false" customHeight="false" outlineLevel="0" collapsed="false">
      <c r="A695" s="2" t="n">
        <v>4</v>
      </c>
      <c r="B695" s="2" t="s">
        <v>1793</v>
      </c>
      <c r="C695" s="2" t="s">
        <v>1794</v>
      </c>
      <c r="D695" s="2" t="s">
        <v>1676</v>
      </c>
      <c r="E695" s="2" t="s">
        <v>1780</v>
      </c>
      <c r="F695" s="2" t="n">
        <v>9412.68890783488</v>
      </c>
      <c r="G695" s="2" t="n">
        <v>0</v>
      </c>
      <c r="H695" s="2" t="n">
        <v>9412.68890783488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</v>
      </c>
      <c r="CM695" s="2" t="n">
        <v>9.88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69.07</v>
      </c>
      <c r="DE695" s="2" t="n">
        <v>70.86</v>
      </c>
      <c r="DF695" s="2" t="n">
        <v>0</v>
      </c>
      <c r="DG695" s="2" t="n">
        <v>75.51</v>
      </c>
      <c r="DH695" s="2" t="n">
        <v>77.31</v>
      </c>
      <c r="DI695" s="2" t="n">
        <v>0</v>
      </c>
      <c r="DJ695" s="2" t="n">
        <v>83.4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 customFormat="false" ht="15" hidden="false" customHeight="false" outlineLevel="0" collapsed="false">
      <c r="A696" s="2" t="n">
        <v>4</v>
      </c>
      <c r="B696" s="2" t="s">
        <v>1795</v>
      </c>
      <c r="C696" s="2" t="s">
        <v>1796</v>
      </c>
      <c r="D696" s="2" t="s">
        <v>1676</v>
      </c>
      <c r="E696" s="2" t="s">
        <v>1780</v>
      </c>
      <c r="F696" s="2" t="n">
        <v>72683.086400679</v>
      </c>
      <c r="G696" s="2" t="n">
        <v>0</v>
      </c>
      <c r="H696" s="2" t="n">
        <v>72683.086400679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</v>
      </c>
      <c r="CM696" s="2" t="n">
        <v>9.88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69.07</v>
      </c>
      <c r="DE696" s="2" t="n">
        <v>70.86</v>
      </c>
      <c r="DF696" s="2" t="n">
        <v>0</v>
      </c>
      <c r="DG696" s="2" t="n">
        <v>75.51</v>
      </c>
      <c r="DH696" s="2" t="n">
        <v>77.31</v>
      </c>
      <c r="DI696" s="2" t="n">
        <v>0</v>
      </c>
      <c r="DJ696" s="2" t="n">
        <v>83.4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 customFormat="false" ht="15" hidden="false" customHeight="false" outlineLevel="0" collapsed="false">
      <c r="A697" s="2" t="n">
        <v>4</v>
      </c>
      <c r="B697" s="2" t="s">
        <v>1797</v>
      </c>
      <c r="C697" s="2" t="s">
        <v>1798</v>
      </c>
      <c r="D697" s="2" t="s">
        <v>1676</v>
      </c>
      <c r="E697" s="2" t="s">
        <v>1780</v>
      </c>
      <c r="F697" s="2" t="n">
        <v>10878.4158752109</v>
      </c>
      <c r="G697" s="2" t="n">
        <v>0</v>
      </c>
      <c r="H697" s="2" t="n">
        <v>10878.4158752109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</v>
      </c>
      <c r="CM697" s="2" t="n">
        <v>9.88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69.07</v>
      </c>
      <c r="DE697" s="2" t="n">
        <v>70.86</v>
      </c>
      <c r="DF697" s="2" t="n">
        <v>0</v>
      </c>
      <c r="DG697" s="2" t="n">
        <v>75.51</v>
      </c>
      <c r="DH697" s="2" t="n">
        <v>77.31</v>
      </c>
      <c r="DI697" s="2" t="n">
        <v>0</v>
      </c>
      <c r="DJ697" s="2" t="n">
        <v>83.4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 customFormat="false" ht="15" hidden="false" customHeight="false" outlineLevel="0" collapsed="false">
      <c r="A698" s="2" t="n">
        <v>3</v>
      </c>
      <c r="B698" s="2" t="s">
        <v>1799</v>
      </c>
      <c r="C698" s="2" t="s">
        <v>1800</v>
      </c>
      <c r="D698" s="2" t="s">
        <v>1676</v>
      </c>
      <c r="E698" s="2" t="s">
        <v>1780</v>
      </c>
      <c r="F698" s="2" t="n">
        <v>305294.002743874</v>
      </c>
      <c r="G698" s="2" t="n">
        <v>0</v>
      </c>
      <c r="H698" s="2" t="n">
        <v>305294.002743874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</v>
      </c>
      <c r="CM698" s="2" t="n">
        <v>9.88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69.07</v>
      </c>
      <c r="DE698" s="2" t="n">
        <v>70.86</v>
      </c>
      <c r="DF698" s="2" t="n">
        <v>0</v>
      </c>
      <c r="DG698" s="2" t="n">
        <v>75.51</v>
      </c>
      <c r="DH698" s="2" t="n">
        <v>77.31</v>
      </c>
      <c r="DI698" s="2" t="n">
        <v>0</v>
      </c>
      <c r="DJ698" s="2" t="n">
        <v>83.4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 customFormat="false" ht="15" hidden="false" customHeight="false" outlineLevel="0" collapsed="false">
      <c r="A699" s="2" t="n">
        <v>4</v>
      </c>
      <c r="B699" s="2" t="s">
        <v>1801</v>
      </c>
      <c r="C699" s="2" t="s">
        <v>1802</v>
      </c>
      <c r="D699" s="2" t="s">
        <v>1676</v>
      </c>
      <c r="E699" s="2" t="s">
        <v>1780</v>
      </c>
      <c r="F699" s="2" t="n">
        <v>96641.3718963152</v>
      </c>
      <c r="G699" s="2" t="n">
        <v>0</v>
      </c>
      <c r="H699" s="2" t="n">
        <v>96641.3718963152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</v>
      </c>
      <c r="CM699" s="2" t="n">
        <v>9.88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69.07</v>
      </c>
      <c r="DE699" s="2" t="n">
        <v>70.86</v>
      </c>
      <c r="DF699" s="2" t="n">
        <v>0</v>
      </c>
      <c r="DG699" s="2" t="n">
        <v>75.51</v>
      </c>
      <c r="DH699" s="2" t="n">
        <v>77.31</v>
      </c>
      <c r="DI699" s="2" t="n">
        <v>0</v>
      </c>
      <c r="DJ699" s="2" t="n">
        <v>83.4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 customFormat="false" ht="15" hidden="false" customHeight="false" outlineLevel="0" collapsed="false">
      <c r="A700" s="2" t="n">
        <v>4</v>
      </c>
      <c r="B700" s="2" t="s">
        <v>1803</v>
      </c>
      <c r="C700" s="2" t="s">
        <v>1804</v>
      </c>
      <c r="D700" s="2" t="s">
        <v>1676</v>
      </c>
      <c r="E700" s="2" t="s">
        <v>1780</v>
      </c>
      <c r="F700" s="2" t="n">
        <v>208652.630847559</v>
      </c>
      <c r="G700" s="2" t="n">
        <v>0</v>
      </c>
      <c r="H700" s="2" t="n">
        <v>208652.630847559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</v>
      </c>
      <c r="CM700" s="2" t="n">
        <v>9.88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69.07</v>
      </c>
      <c r="DE700" s="2" t="n">
        <v>70.86</v>
      </c>
      <c r="DF700" s="2" t="n">
        <v>0</v>
      </c>
      <c r="DG700" s="2" t="n">
        <v>75.51</v>
      </c>
      <c r="DH700" s="2" t="n">
        <v>77.31</v>
      </c>
      <c r="DI700" s="2" t="n">
        <v>0</v>
      </c>
      <c r="DJ700" s="2" t="n">
        <v>83.4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 customFormat="false" ht="15" hidden="false" customHeight="false" outlineLevel="0" collapsed="false">
      <c r="A701" s="2" t="n">
        <v>3</v>
      </c>
      <c r="B701" s="2" t="s">
        <v>1805</v>
      </c>
      <c r="C701" s="2" t="s">
        <v>1806</v>
      </c>
      <c r="D701" s="2" t="s">
        <v>1676</v>
      </c>
      <c r="E701" s="2" t="s">
        <v>1780</v>
      </c>
      <c r="F701" s="2" t="n">
        <v>9114.56930734884</v>
      </c>
      <c r="G701" s="2" t="n">
        <v>0</v>
      </c>
      <c r="H701" s="2" t="n">
        <v>9114.56930734884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</v>
      </c>
      <c r="CM701" s="2" t="n">
        <v>9.88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69.07</v>
      </c>
      <c r="DE701" s="2" t="n">
        <v>70.86</v>
      </c>
      <c r="DF701" s="2" t="n">
        <v>0</v>
      </c>
      <c r="DG701" s="2" t="n">
        <v>75.51</v>
      </c>
      <c r="DH701" s="2" t="n">
        <v>77.31</v>
      </c>
      <c r="DI701" s="2" t="n">
        <v>0</v>
      </c>
      <c r="DJ701" s="2" t="n">
        <v>83.4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 customFormat="false" ht="15" hidden="false" customHeight="false" outlineLevel="0" collapsed="false">
      <c r="A702" s="2" t="n">
        <v>4</v>
      </c>
      <c r="B702" s="2" t="s">
        <v>1807</v>
      </c>
      <c r="C702" s="2" t="s">
        <v>1808</v>
      </c>
      <c r="D702" s="2" t="s">
        <v>1676</v>
      </c>
      <c r="E702" s="2" t="s">
        <v>1780</v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</v>
      </c>
      <c r="CM702" s="2" t="n">
        <v>9.88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69.07</v>
      </c>
      <c r="DE702" s="2" t="n">
        <v>70.86</v>
      </c>
      <c r="DF702" s="2" t="n">
        <v>0</v>
      </c>
      <c r="DG702" s="2" t="n">
        <v>75.51</v>
      </c>
      <c r="DH702" s="2" t="n">
        <v>77.31</v>
      </c>
      <c r="DI702" s="2" t="n">
        <v>0</v>
      </c>
      <c r="DJ702" s="2" t="n">
        <v>83.4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 customFormat="false" ht="15" hidden="false" customHeight="false" outlineLevel="0" collapsed="false">
      <c r="A703" s="2" t="n">
        <v>4</v>
      </c>
      <c r="B703" s="2" t="s">
        <v>1809</v>
      </c>
      <c r="C703" s="2" t="s">
        <v>1808</v>
      </c>
      <c r="D703" s="2" t="s">
        <v>1676</v>
      </c>
      <c r="E703" s="2" t="s">
        <v>1780</v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</v>
      </c>
      <c r="CM703" s="2" t="n">
        <v>9.88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69.07</v>
      </c>
      <c r="DE703" s="2" t="n">
        <v>70.86</v>
      </c>
      <c r="DF703" s="2" t="n">
        <v>0</v>
      </c>
      <c r="DG703" s="2" t="n">
        <v>75.51</v>
      </c>
      <c r="DH703" s="2" t="n">
        <v>77.31</v>
      </c>
      <c r="DI703" s="2" t="n">
        <v>0</v>
      </c>
      <c r="DJ703" s="2" t="n">
        <v>83.4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 customFormat="false" ht="15" hidden="false" customHeight="false" outlineLevel="0" collapsed="false">
      <c r="A704" s="2" t="n">
        <v>4</v>
      </c>
      <c r="B704" s="2" t="s">
        <v>1810</v>
      </c>
      <c r="C704" s="2" t="s">
        <v>1811</v>
      </c>
      <c r="D704" s="2" t="s">
        <v>1676</v>
      </c>
      <c r="E704" s="2" t="s">
        <v>1780</v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</v>
      </c>
      <c r="CM704" s="2" t="n">
        <v>9.88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69.07</v>
      </c>
      <c r="DE704" s="2" t="n">
        <v>70.86</v>
      </c>
      <c r="DF704" s="2" t="n">
        <v>0</v>
      </c>
      <c r="DG704" s="2" t="n">
        <v>75.51</v>
      </c>
      <c r="DH704" s="2" t="n">
        <v>77.31</v>
      </c>
      <c r="DI704" s="2" t="n">
        <v>0</v>
      </c>
      <c r="DJ704" s="2" t="n">
        <v>83.4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 customFormat="false" ht="15" hidden="false" customHeight="false" outlineLevel="0" collapsed="false">
      <c r="A705" s="2" t="n">
        <v>4</v>
      </c>
      <c r="B705" s="2" t="s">
        <v>1812</v>
      </c>
      <c r="C705" s="2" t="s">
        <v>1813</v>
      </c>
      <c r="D705" s="2" t="s">
        <v>1676</v>
      </c>
      <c r="E705" s="2" t="s">
        <v>1780</v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</v>
      </c>
      <c r="CM705" s="2" t="n">
        <v>9.88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69.07</v>
      </c>
      <c r="DE705" s="2" t="n">
        <v>70.86</v>
      </c>
      <c r="DF705" s="2" t="n">
        <v>0</v>
      </c>
      <c r="DG705" s="2" t="n">
        <v>75.51</v>
      </c>
      <c r="DH705" s="2" t="n">
        <v>77.31</v>
      </c>
      <c r="DI705" s="2" t="n">
        <v>0</v>
      </c>
      <c r="DJ705" s="2" t="n">
        <v>83.4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 customFormat="false" ht="15" hidden="false" customHeight="false" outlineLevel="0" collapsed="false">
      <c r="A706" s="2" t="n">
        <v>2</v>
      </c>
      <c r="B706" s="2" t="s">
        <v>1814</v>
      </c>
      <c r="C706" s="2" t="s">
        <v>1815</v>
      </c>
      <c r="D706" s="2" t="s">
        <v>1480</v>
      </c>
      <c r="E706" s="2" t="s">
        <v>1494</v>
      </c>
      <c r="F706" s="2" t="n">
        <v>2561097.88385069</v>
      </c>
      <c r="G706" s="2" t="n">
        <v>0</v>
      </c>
      <c r="H706" s="2" t="n">
        <v>2561097.88385069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</v>
      </c>
      <c r="DI706" s="2" t="n">
        <v>0</v>
      </c>
      <c r="DJ706" s="2" t="n">
        <v>76.99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 customFormat="false" ht="15" hidden="false" customHeight="false" outlineLevel="0" collapsed="false">
      <c r="A707" s="2" t="n">
        <v>3</v>
      </c>
      <c r="B707" s="2" t="s">
        <v>1816</v>
      </c>
      <c r="C707" s="2" t="s">
        <v>1817</v>
      </c>
      <c r="D707" s="2" t="s">
        <v>1480</v>
      </c>
      <c r="E707" s="2" t="s">
        <v>1494</v>
      </c>
      <c r="F707" s="2" t="n">
        <v>648161.029697574</v>
      </c>
      <c r="G707" s="2" t="n">
        <v>0</v>
      </c>
      <c r="H707" s="2" t="n">
        <v>648161.029697574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</v>
      </c>
      <c r="DI707" s="2" t="n">
        <v>0</v>
      </c>
      <c r="DJ707" s="2" t="n">
        <v>76.99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 customFormat="false" ht="15" hidden="false" customHeight="false" outlineLevel="0" collapsed="false">
      <c r="A708" s="2" t="n">
        <v>4</v>
      </c>
      <c r="B708" s="2" t="s">
        <v>1818</v>
      </c>
      <c r="C708" s="2" t="s">
        <v>1819</v>
      </c>
      <c r="D708" s="2" t="s">
        <v>1480</v>
      </c>
      <c r="E708" s="2" t="s">
        <v>1494</v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</v>
      </c>
      <c r="DI708" s="2" t="n">
        <v>0</v>
      </c>
      <c r="DJ708" s="2" t="n">
        <v>76.99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 customFormat="false" ht="15" hidden="false" customHeight="false" outlineLevel="0" collapsed="false">
      <c r="A709" s="2" t="n">
        <v>4</v>
      </c>
      <c r="B709" s="2" t="s">
        <v>1820</v>
      </c>
      <c r="C709" s="2" t="s">
        <v>1821</v>
      </c>
      <c r="D709" s="2" t="s">
        <v>1480</v>
      </c>
      <c r="E709" s="2" t="s">
        <v>1494</v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</v>
      </c>
      <c r="DI709" s="2" t="n">
        <v>0</v>
      </c>
      <c r="DJ709" s="2" t="n">
        <v>76.99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 customFormat="false" ht="15" hidden="false" customHeight="false" outlineLevel="0" collapsed="false">
      <c r="A710" s="2" t="n">
        <v>4</v>
      </c>
      <c r="B710" s="2" t="s">
        <v>1822</v>
      </c>
      <c r="C710" s="2" t="s">
        <v>1823</v>
      </c>
      <c r="D710" s="2" t="s">
        <v>1480</v>
      </c>
      <c r="E710" s="2" t="s">
        <v>1494</v>
      </c>
      <c r="F710" s="2" t="n">
        <v>92582.12387945</v>
      </c>
      <c r="G710" s="2" t="n">
        <v>0</v>
      </c>
      <c r="H710" s="2" t="n">
        <v>92582.12387945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</v>
      </c>
      <c r="DI710" s="2" t="n">
        <v>0</v>
      </c>
      <c r="DJ710" s="2" t="n">
        <v>76.99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 customFormat="false" ht="15" hidden="false" customHeight="false" outlineLevel="0" collapsed="false">
      <c r="A711" s="2" t="n">
        <v>4</v>
      </c>
      <c r="B711" s="2" t="s">
        <v>1824</v>
      </c>
      <c r="C711" s="2" t="s">
        <v>1825</v>
      </c>
      <c r="D711" s="2" t="s">
        <v>1480</v>
      </c>
      <c r="E711" s="2" t="s">
        <v>1494</v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</v>
      </c>
      <c r="DI711" s="2" t="n">
        <v>0</v>
      </c>
      <c r="DJ711" s="2" t="n">
        <v>76.99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 customFormat="false" ht="15" hidden="false" customHeight="false" outlineLevel="0" collapsed="false">
      <c r="A712" s="2" t="n">
        <v>4</v>
      </c>
      <c r="B712" s="2" t="s">
        <v>1826</v>
      </c>
      <c r="C712" s="2" t="s">
        <v>1827</v>
      </c>
      <c r="D712" s="2" t="s">
        <v>1480</v>
      </c>
      <c r="E712" s="2" t="s">
        <v>1494</v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</v>
      </c>
      <c r="DI712" s="2" t="n">
        <v>0</v>
      </c>
      <c r="DJ712" s="2" t="n">
        <v>76.99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 customFormat="false" ht="15" hidden="false" customHeight="false" outlineLevel="0" collapsed="false">
      <c r="A713" s="2" t="n">
        <v>4</v>
      </c>
      <c r="B713" s="2" t="s">
        <v>1828</v>
      </c>
      <c r="C713" s="2" t="s">
        <v>1829</v>
      </c>
      <c r="D713" s="2" t="s">
        <v>1480</v>
      </c>
      <c r="E713" s="2" t="s">
        <v>1494</v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</v>
      </c>
      <c r="DI713" s="2" t="n">
        <v>0</v>
      </c>
      <c r="DJ713" s="2" t="n">
        <v>76.99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 customFormat="false" ht="15" hidden="false" customHeight="false" outlineLevel="0" collapsed="false">
      <c r="A714" s="2" t="n">
        <v>4</v>
      </c>
      <c r="B714" s="2" t="s">
        <v>1830</v>
      </c>
      <c r="C714" s="2" t="s">
        <v>1831</v>
      </c>
      <c r="D714" s="2" t="s">
        <v>1480</v>
      </c>
      <c r="E714" s="2" t="s">
        <v>1494</v>
      </c>
      <c r="F714" s="2" t="n">
        <v>7376.47283417453</v>
      </c>
      <c r="G714" s="2" t="n">
        <v>0</v>
      </c>
      <c r="H714" s="2" t="n">
        <v>7376.47283417453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</v>
      </c>
      <c r="DI714" s="2" t="n">
        <v>0</v>
      </c>
      <c r="DJ714" s="2" t="n">
        <v>76.99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 customFormat="false" ht="15" hidden="false" customHeight="false" outlineLevel="0" collapsed="false">
      <c r="A715" s="2" t="n">
        <v>3</v>
      </c>
      <c r="B715" s="2" t="s">
        <v>1832</v>
      </c>
      <c r="C715" s="2" t="s">
        <v>1833</v>
      </c>
      <c r="D715" s="2" t="s">
        <v>1480</v>
      </c>
      <c r="E715" s="2" t="s">
        <v>1494</v>
      </c>
      <c r="F715" s="2" t="n">
        <v>4435.1965823038</v>
      </c>
      <c r="G715" s="2" t="n">
        <v>0</v>
      </c>
      <c r="H715" s="2" t="n">
        <v>4435.1965823038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</v>
      </c>
      <c r="DI715" s="2" t="n">
        <v>0</v>
      </c>
      <c r="DJ715" s="2" t="n">
        <v>76.99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 customFormat="false" ht="15" hidden="false" customHeight="false" outlineLevel="0" collapsed="false">
      <c r="A716" s="2" t="n">
        <v>4</v>
      </c>
      <c r="B716" s="2" t="s">
        <v>1834</v>
      </c>
      <c r="C716" s="2" t="s">
        <v>1835</v>
      </c>
      <c r="D716" s="2" t="s">
        <v>1480</v>
      </c>
      <c r="E716" s="2" t="s">
        <v>1494</v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</v>
      </c>
      <c r="DI716" s="2" t="n">
        <v>0</v>
      </c>
      <c r="DJ716" s="2" t="n">
        <v>76.99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 customFormat="false" ht="15" hidden="false" customHeight="false" outlineLevel="0" collapsed="false">
      <c r="A717" s="2" t="n">
        <v>4</v>
      </c>
      <c r="B717" s="2" t="s">
        <v>1836</v>
      </c>
      <c r="C717" s="2" t="s">
        <v>1837</v>
      </c>
      <c r="D717" s="2" t="s">
        <v>1480</v>
      </c>
      <c r="E717" s="2" t="s">
        <v>1494</v>
      </c>
      <c r="F717" s="2" t="n">
        <v>792.980055875</v>
      </c>
      <c r="G717" s="2" t="n">
        <v>0</v>
      </c>
      <c r="H717" s="2" t="n">
        <v>792.980055875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</v>
      </c>
      <c r="DI717" s="2" t="n">
        <v>0</v>
      </c>
      <c r="DJ717" s="2" t="n">
        <v>76.99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 customFormat="false" ht="15" hidden="false" customHeight="false" outlineLevel="0" collapsed="false">
      <c r="A718" s="2" t="n">
        <v>4</v>
      </c>
      <c r="B718" s="2" t="s">
        <v>1838</v>
      </c>
      <c r="C718" s="2" t="s">
        <v>1839</v>
      </c>
      <c r="D718" s="2" t="s">
        <v>1480</v>
      </c>
      <c r="E718" s="2" t="s">
        <v>1494</v>
      </c>
      <c r="F718" s="2" t="n">
        <v>884.720498225</v>
      </c>
      <c r="G718" s="2" t="n">
        <v>0</v>
      </c>
      <c r="H718" s="2" t="n">
        <v>884.720498225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</v>
      </c>
      <c r="DI718" s="2" t="n">
        <v>0</v>
      </c>
      <c r="DJ718" s="2" t="n">
        <v>76.99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 customFormat="false" ht="15" hidden="false" customHeight="false" outlineLevel="0" collapsed="false">
      <c r="A719" s="2" t="n">
        <v>4</v>
      </c>
      <c r="B719" s="2" t="s">
        <v>1840</v>
      </c>
      <c r="C719" s="2" t="s">
        <v>1827</v>
      </c>
      <c r="D719" s="2" t="s">
        <v>1480</v>
      </c>
      <c r="E719" s="2" t="s">
        <v>1494</v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</v>
      </c>
      <c r="DI719" s="2" t="n">
        <v>0</v>
      </c>
      <c r="DJ719" s="2" t="n">
        <v>76.99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 customFormat="false" ht="15" hidden="false" customHeight="false" outlineLevel="0" collapsed="false">
      <c r="A720" s="2" t="n">
        <v>4</v>
      </c>
      <c r="B720" s="2" t="s">
        <v>1841</v>
      </c>
      <c r="C720" s="2" t="s">
        <v>1829</v>
      </c>
      <c r="D720" s="2" t="s">
        <v>1480</v>
      </c>
      <c r="E720" s="2" t="s">
        <v>1494</v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</v>
      </c>
      <c r="DI720" s="2" t="n">
        <v>0</v>
      </c>
      <c r="DJ720" s="2" t="n">
        <v>76.99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 customFormat="false" ht="15" hidden="false" customHeight="false" outlineLevel="0" collapsed="false">
      <c r="A721" s="2" t="n">
        <v>4</v>
      </c>
      <c r="B721" s="2" t="s">
        <v>1842</v>
      </c>
      <c r="C721" s="2" t="s">
        <v>1831</v>
      </c>
      <c r="D721" s="2" t="s">
        <v>1480</v>
      </c>
      <c r="E721" s="2" t="s">
        <v>1494</v>
      </c>
      <c r="F721" s="2" t="n">
        <v>47.4802622038052</v>
      </c>
      <c r="G721" s="2" t="n">
        <v>0</v>
      </c>
      <c r="H721" s="2" t="n">
        <v>47.4802622038052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</v>
      </c>
      <c r="DI721" s="2" t="n">
        <v>0</v>
      </c>
      <c r="DJ721" s="2" t="n">
        <v>76.99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 customFormat="false" ht="15" hidden="false" customHeight="false" outlineLevel="0" collapsed="false">
      <c r="A722" s="2" t="n">
        <v>3</v>
      </c>
      <c r="B722" s="2" t="s">
        <v>1843</v>
      </c>
      <c r="C722" s="2" t="s">
        <v>1844</v>
      </c>
      <c r="D722" s="2" t="s">
        <v>1480</v>
      </c>
      <c r="E722" s="2" t="s">
        <v>1494</v>
      </c>
      <c r="F722" s="2" t="n">
        <v>15370.6546919194</v>
      </c>
      <c r="G722" s="2" t="n">
        <v>0</v>
      </c>
      <c r="H722" s="2" t="n">
        <v>15370.6546919194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</v>
      </c>
      <c r="DI722" s="2" t="n">
        <v>0</v>
      </c>
      <c r="DJ722" s="2" t="n">
        <v>76.99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 customFormat="false" ht="15" hidden="false" customHeight="false" outlineLevel="0" collapsed="false">
      <c r="A723" s="2" t="n">
        <v>4</v>
      </c>
      <c r="B723" s="2" t="s">
        <v>1845</v>
      </c>
      <c r="C723" s="2" t="s">
        <v>1844</v>
      </c>
      <c r="D723" s="2" t="s">
        <v>1480</v>
      </c>
      <c r="E723" s="2" t="s">
        <v>1494</v>
      </c>
      <c r="F723" s="2" t="n">
        <v>7727.154398</v>
      </c>
      <c r="G723" s="2" t="n">
        <v>0</v>
      </c>
      <c r="H723" s="2" t="n">
        <v>7727.154398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</v>
      </c>
      <c r="DI723" s="2" t="n">
        <v>0</v>
      </c>
      <c r="DJ723" s="2" t="n">
        <v>76.99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 customFormat="false" ht="15" hidden="false" customHeight="false" outlineLevel="0" collapsed="false">
      <c r="A724" s="2" t="n">
        <v>4</v>
      </c>
      <c r="B724" s="2" t="s">
        <v>1846</v>
      </c>
      <c r="C724" s="2" t="s">
        <v>1847</v>
      </c>
      <c r="D724" s="2" t="s">
        <v>1480</v>
      </c>
      <c r="E724" s="2" t="s">
        <v>1494</v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</v>
      </c>
      <c r="DI724" s="2" t="n">
        <v>0</v>
      </c>
      <c r="DJ724" s="2" t="n">
        <v>76.99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 customFormat="false" ht="15" hidden="false" customHeight="false" outlineLevel="0" collapsed="false">
      <c r="A725" s="2" t="n">
        <v>4</v>
      </c>
      <c r="B725" s="2" t="s">
        <v>1848</v>
      </c>
      <c r="C725" s="2" t="s">
        <v>1849</v>
      </c>
      <c r="D725" s="2" t="s">
        <v>1480</v>
      </c>
      <c r="E725" s="2" t="s">
        <v>1494</v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</v>
      </c>
      <c r="DI725" s="2" t="n">
        <v>0</v>
      </c>
      <c r="DJ725" s="2" t="n">
        <v>76.99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 customFormat="false" ht="15" hidden="false" customHeight="false" outlineLevel="0" collapsed="false">
      <c r="A726" s="2" t="n">
        <v>4</v>
      </c>
      <c r="B726" s="2" t="s">
        <v>1850</v>
      </c>
      <c r="C726" s="2" t="s">
        <v>1851</v>
      </c>
      <c r="D726" s="2" t="s">
        <v>1480</v>
      </c>
      <c r="E726" s="2" t="s">
        <v>1494</v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</v>
      </c>
      <c r="DI726" s="2" t="n">
        <v>0</v>
      </c>
      <c r="DJ726" s="2" t="n">
        <v>76.99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 customFormat="false" ht="15" hidden="false" customHeight="false" outlineLevel="0" collapsed="false">
      <c r="A727" s="2" t="n">
        <v>4</v>
      </c>
      <c r="B727" s="2" t="s">
        <v>1852</v>
      </c>
      <c r="C727" s="2" t="s">
        <v>1827</v>
      </c>
      <c r="D727" s="2" t="s">
        <v>1480</v>
      </c>
      <c r="E727" s="2" t="s">
        <v>1494</v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</v>
      </c>
      <c r="DI727" s="2" t="n">
        <v>0</v>
      </c>
      <c r="DJ727" s="2" t="n">
        <v>76.99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 customFormat="false" ht="15" hidden="false" customHeight="false" outlineLevel="0" collapsed="false">
      <c r="A728" s="2" t="n">
        <v>4</v>
      </c>
      <c r="B728" s="2" t="s">
        <v>1853</v>
      </c>
      <c r="C728" s="2" t="s">
        <v>1829</v>
      </c>
      <c r="D728" s="2" t="s">
        <v>1480</v>
      </c>
      <c r="E728" s="2" t="s">
        <v>1494</v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</v>
      </c>
      <c r="DI728" s="2" t="n">
        <v>0</v>
      </c>
      <c r="DJ728" s="2" t="n">
        <v>76.99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 customFormat="false" ht="15" hidden="false" customHeight="false" outlineLevel="0" collapsed="false">
      <c r="A729" s="2" t="n">
        <v>4</v>
      </c>
      <c r="B729" s="2" t="s">
        <v>1854</v>
      </c>
      <c r="C729" s="2" t="s">
        <v>1831</v>
      </c>
      <c r="D729" s="2" t="s">
        <v>1480</v>
      </c>
      <c r="E729" s="2" t="s">
        <v>1494</v>
      </c>
      <c r="F729" s="2" t="n">
        <v>233.316835419413</v>
      </c>
      <c r="G729" s="2" t="n">
        <v>0</v>
      </c>
      <c r="H729" s="2" t="n">
        <v>233.316835419413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</v>
      </c>
      <c r="DI729" s="2" t="n">
        <v>0</v>
      </c>
      <c r="DJ729" s="2" t="n">
        <v>76.99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 customFormat="false" ht="15" hidden="false" customHeight="false" outlineLevel="0" collapsed="false">
      <c r="A730" s="2" t="n">
        <v>3</v>
      </c>
      <c r="B730" s="2" t="s">
        <v>1855</v>
      </c>
      <c r="C730" s="2" t="s">
        <v>1856</v>
      </c>
      <c r="D730" s="2" t="s">
        <v>1480</v>
      </c>
      <c r="E730" s="2" t="s">
        <v>1494</v>
      </c>
      <c r="F730" s="2" t="n">
        <v>29951.4740105658</v>
      </c>
      <c r="G730" s="2" t="n">
        <v>0</v>
      </c>
      <c r="H730" s="2" t="n">
        <v>29951.4740105658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</v>
      </c>
      <c r="DI730" s="2" t="n">
        <v>0</v>
      </c>
      <c r="DJ730" s="2" t="n">
        <v>76.99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 customFormat="false" ht="15" hidden="false" customHeight="false" outlineLevel="0" collapsed="false">
      <c r="A731" s="2" t="n">
        <v>4</v>
      </c>
      <c r="B731" s="2" t="s">
        <v>1857</v>
      </c>
      <c r="C731" s="2" t="s">
        <v>1858</v>
      </c>
      <c r="D731" s="2" t="s">
        <v>1480</v>
      </c>
      <c r="E731" s="2" t="s">
        <v>1494</v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</v>
      </c>
      <c r="DI731" s="2" t="n">
        <v>0</v>
      </c>
      <c r="DJ731" s="2" t="n">
        <v>76.99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 customFormat="false" ht="15" hidden="false" customHeight="false" outlineLevel="0" collapsed="false">
      <c r="A732" s="2" t="n">
        <v>4</v>
      </c>
      <c r="B732" s="2" t="s">
        <v>1859</v>
      </c>
      <c r="C732" s="2" t="s">
        <v>1860</v>
      </c>
      <c r="D732" s="2" t="s">
        <v>1480</v>
      </c>
      <c r="E732" s="2" t="s">
        <v>1494</v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</v>
      </c>
      <c r="DI732" s="2" t="n">
        <v>0</v>
      </c>
      <c r="DJ732" s="2" t="n">
        <v>76.99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 customFormat="false" ht="15" hidden="false" customHeight="false" outlineLevel="0" collapsed="false">
      <c r="A733" s="2" t="n">
        <v>4</v>
      </c>
      <c r="B733" s="2" t="s">
        <v>1861</v>
      </c>
      <c r="C733" s="2" t="s">
        <v>1862</v>
      </c>
      <c r="D733" s="2" t="s">
        <v>1480</v>
      </c>
      <c r="E733" s="2" t="s">
        <v>1494</v>
      </c>
      <c r="F733" s="2" t="n">
        <v>4132.047945</v>
      </c>
      <c r="G733" s="2" t="n">
        <v>0</v>
      </c>
      <c r="H733" s="2" t="n">
        <v>4132.047945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</v>
      </c>
      <c r="DI733" s="2" t="n">
        <v>0</v>
      </c>
      <c r="DJ733" s="2" t="n">
        <v>76.99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 customFormat="false" ht="15" hidden="false" customHeight="false" outlineLevel="0" collapsed="false">
      <c r="A734" s="2" t="n">
        <v>4</v>
      </c>
      <c r="B734" s="2" t="s">
        <v>1863</v>
      </c>
      <c r="C734" s="2" t="s">
        <v>1831</v>
      </c>
      <c r="D734" s="2" t="s">
        <v>1480</v>
      </c>
      <c r="E734" s="2" t="s">
        <v>1494</v>
      </c>
      <c r="F734" s="2" t="n">
        <v>503.934190265776</v>
      </c>
      <c r="G734" s="2" t="n">
        <v>0</v>
      </c>
      <c r="H734" s="2" t="n">
        <v>503.934190265776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</v>
      </c>
      <c r="DI734" s="2" t="n">
        <v>0</v>
      </c>
      <c r="DJ734" s="2" t="n">
        <v>76.99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 customFormat="false" ht="15" hidden="false" customHeight="false" outlineLevel="0" collapsed="false">
      <c r="A735" s="2" t="n">
        <v>3</v>
      </c>
      <c r="B735" s="2" t="s">
        <v>1864</v>
      </c>
      <c r="C735" s="2" t="s">
        <v>1865</v>
      </c>
      <c r="D735" s="2" t="s">
        <v>1480</v>
      </c>
      <c r="E735" s="2" t="s">
        <v>1494</v>
      </c>
      <c r="F735" s="2" t="n">
        <v>1159135.82285332</v>
      </c>
      <c r="G735" s="2" t="n">
        <v>0</v>
      </c>
      <c r="H735" s="2" t="n">
        <v>1159135.82285332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</v>
      </c>
      <c r="DI735" s="2" t="n">
        <v>0</v>
      </c>
      <c r="DJ735" s="2" t="n">
        <v>76.99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 customFormat="false" ht="15" hidden="false" customHeight="false" outlineLevel="0" collapsed="false">
      <c r="A736" s="2" t="n">
        <v>4</v>
      </c>
      <c r="B736" s="2" t="s">
        <v>1866</v>
      </c>
      <c r="C736" s="2" t="s">
        <v>1865</v>
      </c>
      <c r="D736" s="2" t="s">
        <v>1480</v>
      </c>
      <c r="E736" s="2" t="s">
        <v>1494</v>
      </c>
      <c r="F736" s="2" t="n">
        <v>643316.481993</v>
      </c>
      <c r="G736" s="2" t="n">
        <v>0</v>
      </c>
      <c r="H736" s="2" t="n">
        <v>643316.481993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</v>
      </c>
      <c r="DI736" s="2" t="n">
        <v>0</v>
      </c>
      <c r="DJ736" s="2" t="n">
        <v>76.99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 customFormat="false" ht="15" hidden="false" customHeight="false" outlineLevel="0" collapsed="false">
      <c r="A737" s="2" t="n">
        <v>4</v>
      </c>
      <c r="B737" s="2" t="s">
        <v>1867</v>
      </c>
      <c r="C737" s="2" t="s">
        <v>1868</v>
      </c>
      <c r="D737" s="2" t="s">
        <v>1480</v>
      </c>
      <c r="E737" s="2" t="s">
        <v>1494</v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</v>
      </c>
      <c r="DI737" s="2" t="n">
        <v>0</v>
      </c>
      <c r="DJ737" s="2" t="n">
        <v>76.99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 customFormat="false" ht="15" hidden="false" customHeight="false" outlineLevel="0" collapsed="false">
      <c r="A738" s="2" t="n">
        <v>4</v>
      </c>
      <c r="B738" s="2" t="s">
        <v>1869</v>
      </c>
      <c r="C738" s="2" t="s">
        <v>1870</v>
      </c>
      <c r="D738" s="2" t="s">
        <v>1480</v>
      </c>
      <c r="E738" s="2" t="s">
        <v>1494</v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</v>
      </c>
      <c r="DI738" s="2" t="n">
        <v>0</v>
      </c>
      <c r="DJ738" s="2" t="n">
        <v>76.99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 customFormat="false" ht="15" hidden="false" customHeight="false" outlineLevel="0" collapsed="false">
      <c r="A739" s="2" t="n">
        <v>4</v>
      </c>
      <c r="B739" s="2" t="s">
        <v>1871</v>
      </c>
      <c r="C739" s="2" t="s">
        <v>1872</v>
      </c>
      <c r="D739" s="2" t="s">
        <v>1480</v>
      </c>
      <c r="E739" s="2" t="s">
        <v>1494</v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</v>
      </c>
      <c r="DI739" s="2" t="n">
        <v>0</v>
      </c>
      <c r="DJ739" s="2" t="n">
        <v>76.99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 customFormat="false" ht="15" hidden="false" customHeight="false" outlineLevel="0" collapsed="false">
      <c r="A740" s="2" t="n">
        <v>4</v>
      </c>
      <c r="B740" s="2" t="s">
        <v>1873</v>
      </c>
      <c r="C740" s="2" t="s">
        <v>1827</v>
      </c>
      <c r="D740" s="2" t="s">
        <v>1480</v>
      </c>
      <c r="E740" s="2" t="s">
        <v>1494</v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</v>
      </c>
      <c r="DI740" s="2" t="n">
        <v>0</v>
      </c>
      <c r="DJ740" s="2" t="n">
        <v>76.99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 customFormat="false" ht="15" hidden="false" customHeight="false" outlineLevel="0" collapsed="false">
      <c r="A741" s="2" t="n">
        <v>4</v>
      </c>
      <c r="B741" s="2" t="s">
        <v>1874</v>
      </c>
      <c r="C741" s="2" t="s">
        <v>1829</v>
      </c>
      <c r="D741" s="2" t="s">
        <v>1480</v>
      </c>
      <c r="E741" s="2" t="s">
        <v>1494</v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</v>
      </c>
      <c r="DI741" s="2" t="n">
        <v>0</v>
      </c>
      <c r="DJ741" s="2" t="n">
        <v>76.99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 customFormat="false" ht="15" hidden="false" customHeight="false" outlineLevel="0" collapsed="false">
      <c r="A742" s="2" t="n">
        <v>4</v>
      </c>
      <c r="B742" s="2" t="s">
        <v>1875</v>
      </c>
      <c r="C742" s="2" t="s">
        <v>1831</v>
      </c>
      <c r="D742" s="2" t="s">
        <v>1480</v>
      </c>
      <c r="E742" s="2" t="s">
        <v>1494</v>
      </c>
      <c r="F742" s="2" t="n">
        <v>3317.45984131643</v>
      </c>
      <c r="G742" s="2" t="n">
        <v>0</v>
      </c>
      <c r="H742" s="2" t="n">
        <v>3317.45984131643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</v>
      </c>
      <c r="DI742" s="2" t="n">
        <v>0</v>
      </c>
      <c r="DJ742" s="2" t="n">
        <v>76.99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 customFormat="false" ht="15" hidden="false" customHeight="false" outlineLevel="0" collapsed="false">
      <c r="A743" s="2" t="n">
        <v>3</v>
      </c>
      <c r="B743" s="2" t="s">
        <v>1876</v>
      </c>
      <c r="C743" s="2" t="s">
        <v>1877</v>
      </c>
      <c r="D743" s="2" t="s">
        <v>1480</v>
      </c>
      <c r="E743" s="2" t="s">
        <v>1494</v>
      </c>
      <c r="F743" s="2" t="n">
        <v>39526.4662058715</v>
      </c>
      <c r="G743" s="2" t="n">
        <v>0</v>
      </c>
      <c r="H743" s="2" t="n">
        <v>39526.4662058715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</v>
      </c>
      <c r="DI743" s="2" t="n">
        <v>0</v>
      </c>
      <c r="DJ743" s="2" t="n">
        <v>76.99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 customFormat="false" ht="15" hidden="false" customHeight="false" outlineLevel="0" collapsed="false">
      <c r="A744" s="2" t="n">
        <v>4</v>
      </c>
      <c r="B744" s="2" t="s">
        <v>1878</v>
      </c>
      <c r="C744" s="2" t="s">
        <v>1877</v>
      </c>
      <c r="D744" s="2" t="s">
        <v>1480</v>
      </c>
      <c r="E744" s="2" t="s">
        <v>1494</v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</v>
      </c>
      <c r="DI744" s="2" t="n">
        <v>0</v>
      </c>
      <c r="DJ744" s="2" t="n">
        <v>76.99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 customFormat="false" ht="15" hidden="false" customHeight="false" outlineLevel="0" collapsed="false">
      <c r="A745" s="2" t="n">
        <v>4</v>
      </c>
      <c r="B745" s="2" t="s">
        <v>1879</v>
      </c>
      <c r="C745" s="2" t="s">
        <v>1880</v>
      </c>
      <c r="D745" s="2" t="s">
        <v>1480</v>
      </c>
      <c r="E745" s="2" t="s">
        <v>1494</v>
      </c>
      <c r="F745" s="2" t="n">
        <v>6168.8566635</v>
      </c>
      <c r="G745" s="2" t="n">
        <v>0</v>
      </c>
      <c r="H745" s="2" t="n">
        <v>6168.8566635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</v>
      </c>
      <c r="DI745" s="2" t="n">
        <v>0</v>
      </c>
      <c r="DJ745" s="2" t="n">
        <v>76.99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 customFormat="false" ht="15" hidden="false" customHeight="false" outlineLevel="0" collapsed="false">
      <c r="A746" s="2" t="n">
        <v>4</v>
      </c>
      <c r="B746" s="2" t="s">
        <v>1881</v>
      </c>
      <c r="C746" s="2" t="s">
        <v>1882</v>
      </c>
      <c r="D746" s="2" t="s">
        <v>1480</v>
      </c>
      <c r="E746" s="2" t="s">
        <v>1494</v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</v>
      </c>
      <c r="DI746" s="2" t="n">
        <v>0</v>
      </c>
      <c r="DJ746" s="2" t="n">
        <v>76.99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 customFormat="false" ht="15" hidden="false" customHeight="false" outlineLevel="0" collapsed="false">
      <c r="A747" s="2" t="n">
        <v>4</v>
      </c>
      <c r="B747" s="2" t="s">
        <v>1883</v>
      </c>
      <c r="C747" s="2" t="s">
        <v>1884</v>
      </c>
      <c r="D747" s="2" t="s">
        <v>1480</v>
      </c>
      <c r="E747" s="2" t="s">
        <v>1494</v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</v>
      </c>
      <c r="DI747" s="2" t="n">
        <v>0</v>
      </c>
      <c r="DJ747" s="2" t="n">
        <v>76.99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 customFormat="false" ht="15" hidden="false" customHeight="false" outlineLevel="0" collapsed="false">
      <c r="A748" s="2" t="n">
        <v>4</v>
      </c>
      <c r="B748" s="2" t="s">
        <v>1885</v>
      </c>
      <c r="C748" s="2" t="s">
        <v>1886</v>
      </c>
      <c r="D748" s="2" t="s">
        <v>1480</v>
      </c>
      <c r="E748" s="2" t="s">
        <v>1494</v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</v>
      </c>
      <c r="DI748" s="2" t="n">
        <v>0</v>
      </c>
      <c r="DJ748" s="2" t="n">
        <v>76.99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 customFormat="false" ht="15" hidden="false" customHeight="false" outlineLevel="0" collapsed="false">
      <c r="A749" s="2" t="n">
        <v>4</v>
      </c>
      <c r="B749" s="2" t="s">
        <v>1887</v>
      </c>
      <c r="C749" s="2" t="s">
        <v>1827</v>
      </c>
      <c r="D749" s="2" t="s">
        <v>1480</v>
      </c>
      <c r="E749" s="2" t="s">
        <v>1494</v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</v>
      </c>
      <c r="DI749" s="2" t="n">
        <v>0</v>
      </c>
      <c r="DJ749" s="2" t="n">
        <v>76.99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 customFormat="false" ht="15" hidden="false" customHeight="false" outlineLevel="0" collapsed="false">
      <c r="A750" s="2" t="n">
        <v>4</v>
      </c>
      <c r="B750" s="2" t="s">
        <v>1888</v>
      </c>
      <c r="C750" s="2" t="s">
        <v>1829</v>
      </c>
      <c r="D750" s="2" t="s">
        <v>1480</v>
      </c>
      <c r="E750" s="2" t="s">
        <v>1494</v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</v>
      </c>
      <c r="DI750" s="2" t="n">
        <v>0</v>
      </c>
      <c r="DJ750" s="2" t="n">
        <v>76.99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 customFormat="false" ht="15" hidden="false" customHeight="false" outlineLevel="0" collapsed="false">
      <c r="A751" s="2" t="n">
        <v>4</v>
      </c>
      <c r="B751" s="2" t="s">
        <v>1889</v>
      </c>
      <c r="C751" s="2" t="s">
        <v>1831</v>
      </c>
      <c r="D751" s="2" t="s">
        <v>1480</v>
      </c>
      <c r="E751" s="2" t="s">
        <v>1494</v>
      </c>
      <c r="F751" s="2" t="n">
        <v>182.601852271451</v>
      </c>
      <c r="G751" s="2" t="n">
        <v>0</v>
      </c>
      <c r="H751" s="2" t="n">
        <v>182.601852271451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</v>
      </c>
      <c r="DI751" s="2" t="n">
        <v>0</v>
      </c>
      <c r="DJ751" s="2" t="n">
        <v>76.99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 customFormat="false" ht="15" hidden="false" customHeight="false" outlineLevel="0" collapsed="false">
      <c r="A752" s="2" t="n">
        <v>3</v>
      </c>
      <c r="B752" s="2" t="s">
        <v>1890</v>
      </c>
      <c r="C752" s="2" t="s">
        <v>1891</v>
      </c>
      <c r="D752" s="2" t="s">
        <v>1480</v>
      </c>
      <c r="E752" s="2" t="s">
        <v>1494</v>
      </c>
      <c r="F752" s="2" t="n">
        <v>664517.239809137</v>
      </c>
      <c r="G752" s="2" t="n">
        <v>0</v>
      </c>
      <c r="H752" s="2" t="n">
        <v>664517.239809137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</v>
      </c>
      <c r="DI752" s="2" t="n">
        <v>0</v>
      </c>
      <c r="DJ752" s="2" t="n">
        <v>76.99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 customFormat="false" ht="15" hidden="false" customHeight="false" outlineLevel="0" collapsed="false">
      <c r="A753" s="2" t="n">
        <v>4</v>
      </c>
      <c r="B753" s="2" t="s">
        <v>1892</v>
      </c>
      <c r="C753" s="2" t="s">
        <v>1893</v>
      </c>
      <c r="D753" s="2" t="s">
        <v>1480</v>
      </c>
      <c r="E753" s="2" t="s">
        <v>1494</v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</v>
      </c>
      <c r="DI753" s="2" t="n">
        <v>0</v>
      </c>
      <c r="DJ753" s="2" t="n">
        <v>76.99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 customFormat="false" ht="15" hidden="false" customHeight="false" outlineLevel="0" collapsed="false">
      <c r="A754" s="2" t="n">
        <v>4</v>
      </c>
      <c r="B754" s="2" t="s">
        <v>1894</v>
      </c>
      <c r="C754" s="2" t="s">
        <v>1895</v>
      </c>
      <c r="D754" s="2" t="s">
        <v>1480</v>
      </c>
      <c r="E754" s="2" t="s">
        <v>1494</v>
      </c>
      <c r="F754" s="2" t="n">
        <v>129151.745410194</v>
      </c>
      <c r="G754" s="2" t="n">
        <v>0</v>
      </c>
      <c r="H754" s="2" t="n">
        <v>129151.745410194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</v>
      </c>
      <c r="DI754" s="2" t="n">
        <v>0</v>
      </c>
      <c r="DJ754" s="2" t="n">
        <v>76.99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 customFormat="false" ht="15" hidden="false" customHeight="false" outlineLevel="0" collapsed="false">
      <c r="A755" s="2" t="n">
        <v>4</v>
      </c>
      <c r="B755" s="2" t="s">
        <v>1896</v>
      </c>
      <c r="C755" s="2" t="s">
        <v>1897</v>
      </c>
      <c r="D755" s="2" t="s">
        <v>1480</v>
      </c>
      <c r="E755" s="2" t="s">
        <v>1494</v>
      </c>
      <c r="F755" s="2" t="n">
        <v>233222.09355033</v>
      </c>
      <c r="G755" s="2" t="n">
        <v>0</v>
      </c>
      <c r="H755" s="2" t="n">
        <v>233222.09355033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</v>
      </c>
      <c r="DI755" s="2" t="n">
        <v>0</v>
      </c>
      <c r="DJ755" s="2" t="n">
        <v>76.99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 customFormat="false" ht="15" hidden="false" customHeight="false" outlineLevel="0" collapsed="false">
      <c r="A756" s="2" t="n">
        <v>4</v>
      </c>
      <c r="B756" s="2" t="s">
        <v>1898</v>
      </c>
      <c r="C756" s="2" t="s">
        <v>1899</v>
      </c>
      <c r="D756" s="2" t="s">
        <v>1480</v>
      </c>
      <c r="E756" s="2" t="s">
        <v>1494</v>
      </c>
      <c r="F756" s="2" t="n">
        <v>1148.83286356015</v>
      </c>
      <c r="G756" s="2" t="n">
        <v>0</v>
      </c>
      <c r="H756" s="2" t="n">
        <v>1148.83286356015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</v>
      </c>
      <c r="DI756" s="2" t="n">
        <v>0</v>
      </c>
      <c r="DJ756" s="2" t="n">
        <v>76.99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 customFormat="false" ht="15" hidden="false" customHeight="false" outlineLevel="0" collapsed="false">
      <c r="A757" s="2" t="n">
        <v>4</v>
      </c>
      <c r="B757" s="2" t="s">
        <v>1900</v>
      </c>
      <c r="C757" s="2" t="s">
        <v>1901</v>
      </c>
      <c r="D757" s="2" t="s">
        <v>1480</v>
      </c>
      <c r="E757" s="2" t="s">
        <v>1494</v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</v>
      </c>
      <c r="DI757" s="2" t="n">
        <v>0</v>
      </c>
      <c r="DJ757" s="2" t="n">
        <v>76.99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 customFormat="false" ht="15" hidden="false" customHeight="false" outlineLevel="0" collapsed="false">
      <c r="A758" s="2" t="n">
        <v>4</v>
      </c>
      <c r="B758" s="2" t="s">
        <v>1902</v>
      </c>
      <c r="C758" s="2" t="s">
        <v>1903</v>
      </c>
      <c r="D758" s="2" t="s">
        <v>1480</v>
      </c>
      <c r="E758" s="2" t="s">
        <v>1494</v>
      </c>
      <c r="F758" s="2" t="n">
        <v>1339.80377150797</v>
      </c>
      <c r="G758" s="2" t="n">
        <v>0</v>
      </c>
      <c r="H758" s="2" t="n">
        <v>1339.80377150797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</v>
      </c>
      <c r="DI758" s="2" t="n">
        <v>0</v>
      </c>
      <c r="DJ758" s="2" t="n">
        <v>76.99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 customFormat="false" ht="15" hidden="false" customHeight="false" outlineLevel="0" collapsed="false">
      <c r="A759" s="2" t="n">
        <v>4</v>
      </c>
      <c r="B759" s="2" t="s">
        <v>1904</v>
      </c>
      <c r="C759" s="2" t="s">
        <v>1905</v>
      </c>
      <c r="D759" s="2" t="s">
        <v>1480</v>
      </c>
      <c r="E759" s="2" t="s">
        <v>1494</v>
      </c>
      <c r="F759" s="2" t="n">
        <v>714.2612698836</v>
      </c>
      <c r="G759" s="2" t="n">
        <v>0</v>
      </c>
      <c r="H759" s="2" t="n">
        <v>714.2612698836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</v>
      </c>
      <c r="DI759" s="2" t="n">
        <v>0</v>
      </c>
      <c r="DJ759" s="2" t="n">
        <v>76.99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 customFormat="false" ht="15" hidden="false" customHeight="false" outlineLevel="0" collapsed="false">
      <c r="A760" s="2" t="n">
        <v>4</v>
      </c>
      <c r="B760" s="2" t="s">
        <v>1906</v>
      </c>
      <c r="C760" s="2" t="s">
        <v>1907</v>
      </c>
      <c r="D760" s="2" t="s">
        <v>1480</v>
      </c>
      <c r="E760" s="2" t="s">
        <v>1494</v>
      </c>
      <c r="F760" s="2" t="n">
        <v>141411.528847047</v>
      </c>
      <c r="G760" s="2" t="n">
        <v>0</v>
      </c>
      <c r="H760" s="2" t="n">
        <v>141411.528847047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</v>
      </c>
      <c r="DI760" s="2" t="n">
        <v>0</v>
      </c>
      <c r="DJ760" s="2" t="n">
        <v>76.99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 customFormat="false" ht="15" hidden="false" customHeight="false" outlineLevel="0" collapsed="false">
      <c r="A761" s="2" t="n">
        <v>4</v>
      </c>
      <c r="B761" s="2" t="s">
        <v>1908</v>
      </c>
      <c r="C761" s="2" t="s">
        <v>1909</v>
      </c>
      <c r="D761" s="2" t="s">
        <v>1480</v>
      </c>
      <c r="E761" s="2" t="s">
        <v>1494</v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</v>
      </c>
      <c r="DI761" s="2" t="n">
        <v>0</v>
      </c>
      <c r="DJ761" s="2" t="n">
        <v>76.99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 customFormat="false" ht="15" hidden="false" customHeight="false" outlineLevel="0" collapsed="false">
      <c r="A762" s="2" t="n">
        <v>4</v>
      </c>
      <c r="B762" s="2" t="s">
        <v>1910</v>
      </c>
      <c r="C762" s="2" t="s">
        <v>1911</v>
      </c>
      <c r="D762" s="2" t="s">
        <v>1480</v>
      </c>
      <c r="E762" s="2" t="s">
        <v>1494</v>
      </c>
      <c r="F762" s="2" t="n">
        <v>10166.9807258101</v>
      </c>
      <c r="G762" s="2" t="n">
        <v>0</v>
      </c>
      <c r="H762" s="2" t="n">
        <v>10166.9807258101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</v>
      </c>
      <c r="DI762" s="2" t="n">
        <v>0</v>
      </c>
      <c r="DJ762" s="2" t="n">
        <v>76.99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 customFormat="false" ht="15" hidden="false" customHeight="false" outlineLevel="0" collapsed="false">
      <c r="A763" s="2" t="n">
        <v>4</v>
      </c>
      <c r="B763" s="2" t="s">
        <v>1912</v>
      </c>
      <c r="C763" s="2" t="s">
        <v>1913</v>
      </c>
      <c r="D763" s="2" t="s">
        <v>1480</v>
      </c>
      <c r="E763" s="2" t="s">
        <v>1494</v>
      </c>
      <c r="F763" s="2" t="n">
        <v>10792.5979896098</v>
      </c>
      <c r="G763" s="2" t="n">
        <v>0</v>
      </c>
      <c r="H763" s="2" t="n">
        <v>10792.5979896098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</v>
      </c>
      <c r="DI763" s="2" t="n">
        <v>0</v>
      </c>
      <c r="DJ763" s="2" t="n">
        <v>76.99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 customFormat="false" ht="15" hidden="false" customHeight="false" outlineLevel="0" collapsed="false">
      <c r="A764" s="2" t="n">
        <v>2</v>
      </c>
      <c r="B764" s="2" t="s">
        <v>1914</v>
      </c>
      <c r="C764" s="2" t="s">
        <v>1915</v>
      </c>
      <c r="D764" s="2" t="s">
        <v>440</v>
      </c>
      <c r="E764" s="2" t="s">
        <v>1765</v>
      </c>
      <c r="F764" s="2" t="n">
        <v>117842.089278532</v>
      </c>
      <c r="G764" s="2" t="n">
        <v>0</v>
      </c>
      <c r="H764" s="2" t="n">
        <v>117842.089278532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 customFormat="false" ht="15" hidden="false" customHeight="false" outlineLevel="0" collapsed="false">
      <c r="A765" s="2" t="n">
        <v>3</v>
      </c>
      <c r="B765" s="2" t="s">
        <v>1916</v>
      </c>
      <c r="C765" s="2" t="s">
        <v>1917</v>
      </c>
      <c r="D765" s="2" t="s">
        <v>440</v>
      </c>
      <c r="E765" s="2" t="s">
        <v>1765</v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 customFormat="false" ht="15" hidden="false" customHeight="false" outlineLevel="0" collapsed="false">
      <c r="A766" s="2" t="n">
        <v>4</v>
      </c>
      <c r="B766" s="2" t="s">
        <v>1918</v>
      </c>
      <c r="C766" s="2" t="s">
        <v>1666</v>
      </c>
      <c r="D766" s="2" t="s">
        <v>440</v>
      </c>
      <c r="E766" s="2" t="s">
        <v>1765</v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 customFormat="false" ht="15" hidden="false" customHeight="false" outlineLevel="0" collapsed="false">
      <c r="A767" s="2" t="n">
        <v>4</v>
      </c>
      <c r="B767" s="2" t="s">
        <v>1919</v>
      </c>
      <c r="C767" s="2" t="s">
        <v>1668</v>
      </c>
      <c r="D767" s="2" t="s">
        <v>440</v>
      </c>
      <c r="E767" s="2" t="s">
        <v>1765</v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 customFormat="false" ht="15" hidden="false" customHeight="false" outlineLevel="0" collapsed="false">
      <c r="A768" s="2" t="n">
        <v>4</v>
      </c>
      <c r="B768" s="2" t="s">
        <v>1920</v>
      </c>
      <c r="C768" s="2" t="s">
        <v>1921</v>
      </c>
      <c r="D768" s="2" t="s">
        <v>440</v>
      </c>
      <c r="E768" s="2" t="s">
        <v>1765</v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 customFormat="false" ht="15" hidden="false" customHeight="false" outlineLevel="0" collapsed="false">
      <c r="A769" s="2" t="n">
        <v>3</v>
      </c>
      <c r="B769" s="2" t="s">
        <v>1922</v>
      </c>
      <c r="C769" s="2" t="s">
        <v>1923</v>
      </c>
      <c r="D769" s="2" t="s">
        <v>440</v>
      </c>
      <c r="E769" s="2" t="s">
        <v>1765</v>
      </c>
      <c r="F769" s="2" t="n">
        <v>52689.621071927</v>
      </c>
      <c r="G769" s="2" t="n">
        <v>0</v>
      </c>
      <c r="H769" s="2" t="n">
        <v>52689.621071927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 customFormat="false" ht="15" hidden="false" customHeight="false" outlineLevel="0" collapsed="false">
      <c r="A770" s="2" t="n">
        <v>4</v>
      </c>
      <c r="B770" s="2" t="s">
        <v>1924</v>
      </c>
      <c r="C770" s="2" t="s">
        <v>1925</v>
      </c>
      <c r="D770" s="2" t="s">
        <v>440</v>
      </c>
      <c r="E770" s="2" t="s">
        <v>1765</v>
      </c>
      <c r="F770" s="2" t="n">
        <v>52689.621071927</v>
      </c>
      <c r="G770" s="2" t="n">
        <v>0</v>
      </c>
      <c r="H770" s="2" t="n">
        <v>52689.621071927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 customFormat="false" ht="15" hidden="false" customHeight="false" outlineLevel="0" collapsed="false">
      <c r="A771" s="2" t="n">
        <v>3</v>
      </c>
      <c r="B771" s="2" t="s">
        <v>1926</v>
      </c>
      <c r="C771" s="2" t="s">
        <v>1927</v>
      </c>
      <c r="D771" s="2" t="s">
        <v>440</v>
      </c>
      <c r="E771" s="2" t="s">
        <v>1765</v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 customFormat="false" ht="15" hidden="false" customHeight="false" outlineLevel="0" collapsed="false">
      <c r="A772" s="2" t="n">
        <v>4</v>
      </c>
      <c r="B772" s="2" t="s">
        <v>1928</v>
      </c>
      <c r="C772" s="2" t="s">
        <v>1929</v>
      </c>
      <c r="D772" s="2" t="s">
        <v>440</v>
      </c>
      <c r="E772" s="2" t="s">
        <v>1765</v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 customFormat="false" ht="15" hidden="false" customHeight="false" outlineLevel="0" collapsed="false">
      <c r="A773" s="2" t="n">
        <v>1</v>
      </c>
      <c r="B773" s="2" t="s">
        <v>208</v>
      </c>
      <c r="C773" s="2" t="s">
        <v>210</v>
      </c>
      <c r="D773" s="2" t="s">
        <v>434</v>
      </c>
      <c r="E773" s="2" t="s">
        <v>1930</v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 customFormat="false" ht="15" hidden="false" customHeight="false" outlineLevel="0" collapsed="false">
      <c r="A774" s="2" t="n">
        <v>2</v>
      </c>
      <c r="B774" s="2" t="s">
        <v>1931</v>
      </c>
      <c r="C774" s="2" t="s">
        <v>1932</v>
      </c>
      <c r="D774" s="2" t="s">
        <v>434</v>
      </c>
      <c r="E774" s="2" t="s">
        <v>1930</v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 customFormat="false" ht="15" hidden="false" customHeight="false" outlineLevel="0" collapsed="false">
      <c r="A775" s="2" t="n">
        <v>3</v>
      </c>
      <c r="B775" s="2" t="s">
        <v>1933</v>
      </c>
      <c r="C775" s="2" t="s">
        <v>1934</v>
      </c>
      <c r="D775" s="2" t="s">
        <v>434</v>
      </c>
      <c r="E775" s="2" t="s">
        <v>1930</v>
      </c>
      <c r="F775" s="2" t="n">
        <v>43494.9280422761</v>
      </c>
      <c r="G775" s="2" t="n">
        <v>0</v>
      </c>
      <c r="H775" s="2" t="n">
        <v>43494.9280422761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 customFormat="false" ht="15" hidden="false" customHeight="false" outlineLevel="0" collapsed="false">
      <c r="A776" s="2" t="n">
        <v>3</v>
      </c>
      <c r="B776" s="2" t="s">
        <v>1935</v>
      </c>
      <c r="C776" s="2" t="s">
        <v>1936</v>
      </c>
      <c r="D776" s="2" t="s">
        <v>434</v>
      </c>
      <c r="E776" s="2" t="s">
        <v>1930</v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 customFormat="false" ht="15" hidden="false" customHeight="false" outlineLevel="0" collapsed="false">
      <c r="A777" s="2" t="n">
        <v>3</v>
      </c>
      <c r="B777" s="2" t="s">
        <v>1937</v>
      </c>
      <c r="C777" s="2" t="s">
        <v>1938</v>
      </c>
      <c r="D777" s="2" t="s">
        <v>434</v>
      </c>
      <c r="E777" s="2" t="s">
        <v>1930</v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 customFormat="false" ht="15" hidden="false" customHeight="false" outlineLevel="0" collapsed="false">
      <c r="A778" s="2" t="n">
        <v>3</v>
      </c>
      <c r="B778" s="2" t="s">
        <v>1939</v>
      </c>
      <c r="C778" s="2" t="s">
        <v>1940</v>
      </c>
      <c r="D778" s="2" t="s">
        <v>434</v>
      </c>
      <c r="E778" s="2" t="s">
        <v>1930</v>
      </c>
      <c r="F778" s="2" t="n">
        <v>3498.52838588359</v>
      </c>
      <c r="G778" s="2" t="n">
        <v>0</v>
      </c>
      <c r="H778" s="2" t="n">
        <v>3498.52838588359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 customFormat="false" ht="15" hidden="false" customHeight="false" outlineLevel="0" collapsed="false">
      <c r="A779" s="2" t="n">
        <v>3</v>
      </c>
      <c r="B779" s="2" t="s">
        <v>1941</v>
      </c>
      <c r="C779" s="2" t="s">
        <v>1942</v>
      </c>
      <c r="D779" s="2" t="s">
        <v>434</v>
      </c>
      <c r="E779" s="2" t="s">
        <v>1930</v>
      </c>
      <c r="F779" s="2" t="n">
        <v>32045.5684444329</v>
      </c>
      <c r="G779" s="2" t="n">
        <v>0</v>
      </c>
      <c r="H779" s="2" t="n">
        <v>32045.5684444329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 customFormat="false" ht="15" hidden="false" customHeight="false" outlineLevel="0" collapsed="false">
      <c r="A780" s="2" t="n">
        <v>3</v>
      </c>
      <c r="B780" s="2" t="s">
        <v>1943</v>
      </c>
      <c r="C780" s="2" t="s">
        <v>1944</v>
      </c>
      <c r="D780" s="2" t="s">
        <v>434</v>
      </c>
      <c r="E780" s="2" t="s">
        <v>1930</v>
      </c>
      <c r="F780" s="2" t="n">
        <v>15246.6388960504</v>
      </c>
      <c r="G780" s="2" t="n">
        <v>0</v>
      </c>
      <c r="H780" s="2" t="n">
        <v>15246.6388960504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 customFormat="false" ht="15" hidden="false" customHeight="false" outlineLevel="0" collapsed="false">
      <c r="A781" s="2" t="n">
        <v>3</v>
      </c>
      <c r="B781" s="2" t="s">
        <v>1945</v>
      </c>
      <c r="C781" s="2" t="s">
        <v>1946</v>
      </c>
      <c r="D781" s="2" t="s">
        <v>434</v>
      </c>
      <c r="E781" s="2" t="s">
        <v>1930</v>
      </c>
      <c r="F781" s="2" t="n">
        <v>5078.06050243927</v>
      </c>
      <c r="G781" s="2" t="n">
        <v>0</v>
      </c>
      <c r="H781" s="2" t="n">
        <v>5078.06050243927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 customFormat="false" ht="15" hidden="false" customHeight="false" outlineLevel="0" collapsed="false">
      <c r="A782" s="2" t="n">
        <v>1</v>
      </c>
      <c r="B782" s="2" t="s">
        <v>212</v>
      </c>
      <c r="C782" s="2" t="s">
        <v>213</v>
      </c>
      <c r="D782" s="2" t="s">
        <v>1947</v>
      </c>
      <c r="E782" s="2" t="s">
        <v>1948</v>
      </c>
      <c r="F782" s="2" t="n">
        <v>5055622.29590512</v>
      </c>
      <c r="G782" s="2" t="n">
        <v>0</v>
      </c>
      <c r="H782" s="2" t="n">
        <v>5055622.29590512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93.35</v>
      </c>
      <c r="DW782" s="2" t="n">
        <v>93.4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 customFormat="false" ht="15" hidden="false" customHeight="false" outlineLevel="0" collapsed="false">
      <c r="A783" s="2" t="n">
        <v>2</v>
      </c>
      <c r="B783" s="2" t="s">
        <v>1949</v>
      </c>
      <c r="C783" s="2" t="s">
        <v>1917</v>
      </c>
      <c r="D783" s="2" t="s">
        <v>1947</v>
      </c>
      <c r="E783" s="2" t="s">
        <v>1950</v>
      </c>
      <c r="F783" s="2" t="n">
        <v>708626.130255267</v>
      </c>
      <c r="G783" s="2" t="n">
        <v>0</v>
      </c>
      <c r="H783" s="2" t="n">
        <v>708626.130255267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 customFormat="false" ht="15" hidden="false" customHeight="false" outlineLevel="0" collapsed="false">
      <c r="A784" s="2" t="n">
        <v>3</v>
      </c>
      <c r="B784" s="2" t="s">
        <v>1951</v>
      </c>
      <c r="C784" s="2" t="s">
        <v>1952</v>
      </c>
      <c r="D784" s="2" t="s">
        <v>1947</v>
      </c>
      <c r="E784" s="2" t="s">
        <v>1950</v>
      </c>
      <c r="F784" s="2" t="n">
        <v>32138.5213843716</v>
      </c>
      <c r="G784" s="2" t="n">
        <v>0</v>
      </c>
      <c r="H784" s="2" t="n">
        <v>32138.5213843716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 customFormat="false" ht="15" hidden="false" customHeight="false" outlineLevel="0" collapsed="false">
      <c r="A785" s="2" t="n">
        <v>3</v>
      </c>
      <c r="B785" s="2" t="s">
        <v>1953</v>
      </c>
      <c r="C785" s="2" t="s">
        <v>1666</v>
      </c>
      <c r="D785" s="2" t="s">
        <v>1947</v>
      </c>
      <c r="E785" s="2" t="s">
        <v>1950</v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 customFormat="false" ht="15" hidden="false" customHeight="false" outlineLevel="0" collapsed="false">
      <c r="A786" s="2" t="n">
        <v>3</v>
      </c>
      <c r="B786" s="2" t="s">
        <v>1954</v>
      </c>
      <c r="C786" s="2" t="s">
        <v>1668</v>
      </c>
      <c r="D786" s="2" t="s">
        <v>1947</v>
      </c>
      <c r="E786" s="2" t="s">
        <v>1950</v>
      </c>
      <c r="F786" s="2" t="n">
        <v>73379.8365454784</v>
      </c>
      <c r="G786" s="2" t="n">
        <v>0</v>
      </c>
      <c r="H786" s="2" t="n">
        <v>73379.8365454784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 customFormat="false" ht="15" hidden="false" customHeight="false" outlineLevel="0" collapsed="false">
      <c r="A787" s="2" t="n">
        <v>3</v>
      </c>
      <c r="B787" s="2" t="s">
        <v>1955</v>
      </c>
      <c r="C787" s="2" t="s">
        <v>1956</v>
      </c>
      <c r="D787" s="2" t="s">
        <v>1947</v>
      </c>
      <c r="E787" s="2" t="s">
        <v>1950</v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 customFormat="false" ht="15" hidden="false" customHeight="false" outlineLevel="0" collapsed="false">
      <c r="A788" s="2" t="n">
        <v>3</v>
      </c>
      <c r="B788" s="2" t="s">
        <v>1957</v>
      </c>
      <c r="C788" s="2" t="s">
        <v>1675</v>
      </c>
      <c r="D788" s="2" t="s">
        <v>1947</v>
      </c>
      <c r="E788" s="2" t="s">
        <v>1950</v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 customFormat="false" ht="15" hidden="false" customHeight="false" outlineLevel="0" collapsed="false">
      <c r="A789" s="2" t="n">
        <v>3</v>
      </c>
      <c r="B789" s="2" t="s">
        <v>1958</v>
      </c>
      <c r="C789" s="2" t="s">
        <v>1959</v>
      </c>
      <c r="D789" s="2" t="s">
        <v>1947</v>
      </c>
      <c r="E789" s="2" t="s">
        <v>1950</v>
      </c>
      <c r="F789" s="2" t="n">
        <v>17442.7396796026</v>
      </c>
      <c r="G789" s="2" t="n">
        <v>0</v>
      </c>
      <c r="H789" s="2" t="n">
        <v>17442.7396796026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 customFormat="false" ht="15" hidden="false" customHeight="false" outlineLevel="0" collapsed="false">
      <c r="A790" s="2" t="n">
        <v>2</v>
      </c>
      <c r="B790" s="2" t="s">
        <v>1960</v>
      </c>
      <c r="C790" s="2" t="s">
        <v>1683</v>
      </c>
      <c r="D790" s="2" t="s">
        <v>1961</v>
      </c>
      <c r="E790" s="2" t="s">
        <v>1962</v>
      </c>
      <c r="F790" s="2" t="n">
        <v>2297085.76710703</v>
      </c>
      <c r="G790" s="2" t="n">
        <v>0</v>
      </c>
      <c r="H790" s="2" t="n">
        <v>2297085.76710703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91.6</v>
      </c>
      <c r="DB790" s="2" t="n">
        <v>93.6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 customFormat="false" ht="15" hidden="false" customHeight="false" outlineLevel="0" collapsed="false">
      <c r="A791" s="2" t="n">
        <v>3</v>
      </c>
      <c r="B791" s="2" t="s">
        <v>1963</v>
      </c>
      <c r="C791" s="2" t="s">
        <v>1964</v>
      </c>
      <c r="D791" s="2" t="s">
        <v>1961</v>
      </c>
      <c r="E791" s="2" t="s">
        <v>1962</v>
      </c>
      <c r="F791" s="2" t="n">
        <v>2016285.13130603</v>
      </c>
      <c r="G791" s="2" t="n">
        <v>0</v>
      </c>
      <c r="H791" s="2" t="n">
        <v>2016285.13130603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91.6</v>
      </c>
      <c r="DB791" s="2" t="n">
        <v>93.6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 customFormat="false" ht="15" hidden="false" customHeight="false" outlineLevel="0" collapsed="false">
      <c r="A792" s="2" t="n">
        <v>3</v>
      </c>
      <c r="B792" s="2" t="s">
        <v>1965</v>
      </c>
      <c r="C792" s="2" t="s">
        <v>1966</v>
      </c>
      <c r="D792" s="2" t="s">
        <v>1961</v>
      </c>
      <c r="E792" s="2" t="s">
        <v>1962</v>
      </c>
      <c r="F792" s="2" t="n">
        <v>280800.635801</v>
      </c>
      <c r="G792" s="2" t="n">
        <v>0</v>
      </c>
      <c r="H792" s="2" t="n">
        <v>280800.635801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91.6</v>
      </c>
      <c r="DB792" s="2" t="n">
        <v>93.6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 customFormat="false" ht="15" hidden="false" customHeight="false" outlineLevel="0" collapsed="false">
      <c r="A793" s="2" t="n">
        <v>2</v>
      </c>
      <c r="B793" s="2" t="s">
        <v>1967</v>
      </c>
      <c r="C793" s="2" t="s">
        <v>1968</v>
      </c>
      <c r="D793" s="2" t="s">
        <v>1969</v>
      </c>
      <c r="E793" s="2" t="s">
        <v>1970</v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 customFormat="false" ht="15" hidden="false" customHeight="false" outlineLevel="0" collapsed="false">
      <c r="A794" s="2" t="n">
        <v>3</v>
      </c>
      <c r="B794" s="2" t="s">
        <v>1971</v>
      </c>
      <c r="C794" s="2" t="s">
        <v>1972</v>
      </c>
      <c r="D794" s="2" t="s">
        <v>1969</v>
      </c>
      <c r="E794" s="2" t="s">
        <v>1970</v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 customFormat="false" ht="15" hidden="false" customHeight="false" outlineLevel="0" collapsed="false">
      <c r="A795" s="2" t="n">
        <v>3</v>
      </c>
      <c r="B795" s="2" t="s">
        <v>1973</v>
      </c>
      <c r="C795" s="2" t="s">
        <v>1974</v>
      </c>
      <c r="D795" s="2" t="s">
        <v>1969</v>
      </c>
      <c r="E795" s="2" t="s">
        <v>1970</v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 customFormat="false" ht="15" hidden="false" customHeight="false" outlineLevel="0" collapsed="false">
      <c r="A796" s="2" t="n">
        <v>2</v>
      </c>
      <c r="B796" s="2" t="s">
        <v>1975</v>
      </c>
      <c r="C796" s="2" t="s">
        <v>1976</v>
      </c>
      <c r="D796" s="2" t="s">
        <v>1977</v>
      </c>
      <c r="E796" s="2" t="s">
        <v>1948</v>
      </c>
      <c r="F796" s="2" t="n">
        <v>103212.806476839</v>
      </c>
      <c r="G796" s="2" t="n">
        <v>0</v>
      </c>
      <c r="H796" s="2" t="n">
        <v>103212.806476839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 customFormat="false" ht="15" hidden="false" customHeight="false" outlineLevel="0" collapsed="false">
      <c r="A797" s="2" t="n">
        <v>3</v>
      </c>
      <c r="B797" s="2" t="s">
        <v>1978</v>
      </c>
      <c r="C797" s="2" t="s">
        <v>1979</v>
      </c>
      <c r="D797" s="2" t="s">
        <v>1977</v>
      </c>
      <c r="E797" s="2" t="s">
        <v>1948</v>
      </c>
      <c r="F797" s="2" t="n">
        <v>72838.0209981556</v>
      </c>
      <c r="G797" s="2" t="n">
        <v>0</v>
      </c>
      <c r="H797" s="2" t="n">
        <v>72838.0209981556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 customFormat="false" ht="15" hidden="false" customHeight="false" outlineLevel="0" collapsed="false">
      <c r="A798" s="2" t="n">
        <v>3</v>
      </c>
      <c r="B798" s="2" t="s">
        <v>1980</v>
      </c>
      <c r="C798" s="2" t="s">
        <v>1981</v>
      </c>
      <c r="D798" s="2" t="s">
        <v>1977</v>
      </c>
      <c r="E798" s="2" t="s">
        <v>1948</v>
      </c>
      <c r="F798" s="2" t="n">
        <v>9629.88401336782</v>
      </c>
      <c r="G798" s="2" t="n">
        <v>0</v>
      </c>
      <c r="H798" s="2" t="n">
        <v>9629.88401336782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 customFormat="false" ht="15" hidden="false" customHeight="false" outlineLevel="0" collapsed="false">
      <c r="A799" s="2" t="n">
        <v>3</v>
      </c>
      <c r="B799" s="2" t="s">
        <v>1982</v>
      </c>
      <c r="C799" s="2" t="s">
        <v>1983</v>
      </c>
      <c r="D799" s="2" t="s">
        <v>1977</v>
      </c>
      <c r="E799" s="2" t="s">
        <v>1948</v>
      </c>
      <c r="F799" s="2" t="n">
        <v>20744.901465316</v>
      </c>
      <c r="G799" s="2" t="n">
        <v>0</v>
      </c>
      <c r="H799" s="2" t="n">
        <v>20744.901465316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 customFormat="false" ht="15" hidden="false" customHeight="false" outlineLevel="0" collapsed="false">
      <c r="A800" s="2" t="n">
        <v>2</v>
      </c>
      <c r="B800" s="2" t="s">
        <v>1984</v>
      </c>
      <c r="C800" s="2" t="s">
        <v>1600</v>
      </c>
      <c r="D800" s="2" t="s">
        <v>1947</v>
      </c>
      <c r="E800" s="2" t="s">
        <v>1950</v>
      </c>
      <c r="F800" s="2" t="n">
        <v>177406.461861941</v>
      </c>
      <c r="G800" s="2" t="n">
        <v>0</v>
      </c>
      <c r="H800" s="2" t="n">
        <v>177406.461861941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 customFormat="false" ht="15" hidden="false" customHeight="false" outlineLevel="0" collapsed="false">
      <c r="A801" s="2" t="n">
        <v>3</v>
      </c>
      <c r="B801" s="2" t="s">
        <v>1985</v>
      </c>
      <c r="C801" s="2" t="s">
        <v>1986</v>
      </c>
      <c r="D801" s="2" t="s">
        <v>1947</v>
      </c>
      <c r="E801" s="2" t="s">
        <v>1950</v>
      </c>
      <c r="F801" s="2" t="n">
        <v>135433.238960221</v>
      </c>
      <c r="G801" s="2" t="n">
        <v>0</v>
      </c>
      <c r="H801" s="2" t="n">
        <v>135433.238960221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 customFormat="false" ht="15" hidden="false" customHeight="false" outlineLevel="0" collapsed="false">
      <c r="A802" s="2" t="n">
        <v>3</v>
      </c>
      <c r="B802" s="2" t="s">
        <v>1987</v>
      </c>
      <c r="C802" s="2" t="s">
        <v>1988</v>
      </c>
      <c r="D802" s="2" t="s">
        <v>1947</v>
      </c>
      <c r="E802" s="2" t="s">
        <v>1950</v>
      </c>
      <c r="F802" s="2" t="n">
        <v>12979.784297588</v>
      </c>
      <c r="G802" s="2" t="n">
        <v>0</v>
      </c>
      <c r="H802" s="2" t="n">
        <v>12979.784297588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 customFormat="false" ht="15" hidden="false" customHeight="false" outlineLevel="0" collapsed="false">
      <c r="A803" s="2" t="n">
        <v>3</v>
      </c>
      <c r="B803" s="2" t="s">
        <v>1989</v>
      </c>
      <c r="C803" s="2" t="s">
        <v>1990</v>
      </c>
      <c r="D803" s="2" t="s">
        <v>1947</v>
      </c>
      <c r="E803" s="2" t="s">
        <v>1950</v>
      </c>
      <c r="F803" s="2" t="n">
        <v>28993.4386041319</v>
      </c>
      <c r="G803" s="2" t="n">
        <v>0</v>
      </c>
      <c r="H803" s="2" t="n">
        <v>28993.4386041319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 customFormat="false" ht="15" hidden="false" customHeight="false" outlineLevel="0" collapsed="false">
      <c r="A804" s="2" t="n">
        <v>2</v>
      </c>
      <c r="B804" s="2" t="s">
        <v>1991</v>
      </c>
      <c r="C804" s="2" t="s">
        <v>1992</v>
      </c>
      <c r="D804" s="2" t="s">
        <v>434</v>
      </c>
      <c r="E804" s="2" t="s">
        <v>1930</v>
      </c>
      <c r="F804" s="2" t="n">
        <v>320257.630204048</v>
      </c>
      <c r="G804" s="2" t="n">
        <v>0</v>
      </c>
      <c r="H804" s="2" t="n">
        <v>320257.630204048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 customFormat="false" ht="15" hidden="false" customHeight="false" outlineLevel="0" collapsed="false">
      <c r="A805" s="2" t="n">
        <v>3</v>
      </c>
      <c r="B805" s="2" t="s">
        <v>1993</v>
      </c>
      <c r="C805" s="2" t="s">
        <v>1994</v>
      </c>
      <c r="D805" s="2" t="s">
        <v>434</v>
      </c>
      <c r="E805" s="2" t="s">
        <v>1930</v>
      </c>
      <c r="F805" s="2" t="n">
        <v>67765.5769095293</v>
      </c>
      <c r="G805" s="2" t="n">
        <v>0</v>
      </c>
      <c r="H805" s="2" t="n">
        <v>67765.5769095293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 customFormat="false" ht="15" hidden="false" customHeight="false" outlineLevel="0" collapsed="false">
      <c r="A806" s="2" t="n">
        <v>4</v>
      </c>
      <c r="B806" s="2" t="s">
        <v>1995</v>
      </c>
      <c r="C806" s="2" t="s">
        <v>1996</v>
      </c>
      <c r="D806" s="2" t="s">
        <v>434</v>
      </c>
      <c r="E806" s="2" t="s">
        <v>1930</v>
      </c>
      <c r="F806" s="2" t="n">
        <v>33358.2248159163</v>
      </c>
      <c r="G806" s="2" t="n">
        <v>0</v>
      </c>
      <c r="H806" s="2" t="n">
        <v>33358.2248159163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 customFormat="false" ht="15" hidden="false" customHeight="false" outlineLevel="0" collapsed="false">
      <c r="A807" s="2" t="n">
        <v>4</v>
      </c>
      <c r="B807" s="2" t="s">
        <v>1997</v>
      </c>
      <c r="C807" s="2" t="s">
        <v>1998</v>
      </c>
      <c r="D807" s="2" t="s">
        <v>434</v>
      </c>
      <c r="E807" s="2" t="s">
        <v>1930</v>
      </c>
      <c r="F807" s="2" t="n">
        <v>3819.80837869636</v>
      </c>
      <c r="G807" s="2" t="n">
        <v>0</v>
      </c>
      <c r="H807" s="2" t="n">
        <v>3819.80837869636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 customFormat="false" ht="15" hidden="false" customHeight="false" outlineLevel="0" collapsed="false">
      <c r="A808" s="2" t="n">
        <v>4</v>
      </c>
      <c r="B808" s="2" t="s">
        <v>1999</v>
      </c>
      <c r="C808" s="2" t="s">
        <v>2000</v>
      </c>
      <c r="D808" s="2" t="s">
        <v>434</v>
      </c>
      <c r="E808" s="2" t="s">
        <v>1930</v>
      </c>
      <c r="F808" s="2" t="n">
        <v>30587.5437149167</v>
      </c>
      <c r="G808" s="2" t="n">
        <v>0</v>
      </c>
      <c r="H808" s="2" t="n">
        <v>30587.5437149167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 customFormat="false" ht="15" hidden="false" customHeight="false" outlineLevel="0" collapsed="false">
      <c r="A809" s="2" t="n">
        <v>3</v>
      </c>
      <c r="B809" s="2" t="s">
        <v>2001</v>
      </c>
      <c r="C809" s="2" t="s">
        <v>2002</v>
      </c>
      <c r="D809" s="2" t="s">
        <v>434</v>
      </c>
      <c r="E809" s="2" t="s">
        <v>1930</v>
      </c>
      <c r="F809" s="2" t="n">
        <v>113433.577052099</v>
      </c>
      <c r="G809" s="2" t="n">
        <v>0</v>
      </c>
      <c r="H809" s="2" t="n">
        <v>113433.577052099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 customFormat="false" ht="15" hidden="false" customHeight="false" outlineLevel="0" collapsed="false">
      <c r="A810" s="2" t="n">
        <v>4</v>
      </c>
      <c r="B810" s="2" t="s">
        <v>2003</v>
      </c>
      <c r="C810" s="2" t="s">
        <v>1160</v>
      </c>
      <c r="D810" s="2" t="s">
        <v>434</v>
      </c>
      <c r="E810" s="2" t="s">
        <v>1930</v>
      </c>
      <c r="F810" s="2" t="n">
        <v>113433.577052099</v>
      </c>
      <c r="G810" s="2" t="n">
        <v>0</v>
      </c>
      <c r="H810" s="2" t="n">
        <v>113433.577052099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 customFormat="false" ht="15" hidden="false" customHeight="false" outlineLevel="0" collapsed="false">
      <c r="A811" s="2" t="n">
        <v>3</v>
      </c>
      <c r="B811" s="2" t="s">
        <v>2004</v>
      </c>
      <c r="C811" s="2" t="s">
        <v>2005</v>
      </c>
      <c r="D811" s="2" t="s">
        <v>434</v>
      </c>
      <c r="E811" s="2" t="s">
        <v>1930</v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 customFormat="false" ht="15" hidden="false" customHeight="false" outlineLevel="0" collapsed="false">
      <c r="A812" s="2" t="n">
        <v>4</v>
      </c>
      <c r="B812" s="2" t="s">
        <v>2006</v>
      </c>
      <c r="C812" s="2" t="s">
        <v>1666</v>
      </c>
      <c r="D812" s="2" t="s">
        <v>434</v>
      </c>
      <c r="E812" s="2" t="s">
        <v>1930</v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 customFormat="false" ht="15" hidden="false" customHeight="false" outlineLevel="0" collapsed="false">
      <c r="A813" s="2" t="n">
        <v>4</v>
      </c>
      <c r="B813" s="2" t="s">
        <v>2007</v>
      </c>
      <c r="C813" s="2" t="s">
        <v>1668</v>
      </c>
      <c r="D813" s="2" t="s">
        <v>434</v>
      </c>
      <c r="E813" s="2" t="s">
        <v>1930</v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 customFormat="false" ht="15" hidden="false" customHeight="false" outlineLevel="0" collapsed="false">
      <c r="A814" s="2" t="n">
        <v>4</v>
      </c>
      <c r="B814" s="2" t="s">
        <v>2008</v>
      </c>
      <c r="C814" s="2" t="s">
        <v>2009</v>
      </c>
      <c r="D814" s="2" t="s">
        <v>434</v>
      </c>
      <c r="E814" s="2" t="s">
        <v>1930</v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 customFormat="false" ht="15" hidden="false" customHeight="false" outlineLevel="0" collapsed="false">
      <c r="A815" s="2" t="n">
        <v>1</v>
      </c>
      <c r="B815" s="2" t="s">
        <v>215</v>
      </c>
      <c r="C815" s="2" t="s">
        <v>217</v>
      </c>
      <c r="D815" s="2" t="s">
        <v>2010</v>
      </c>
      <c r="E815" s="2" t="s">
        <v>2011</v>
      </c>
      <c r="F815" s="2" t="n">
        <v>1690544.87722637</v>
      </c>
      <c r="G815" s="2" t="n">
        <v>0</v>
      </c>
      <c r="H815" s="2" t="n">
        <v>1690544.87722637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9.78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69.74</v>
      </c>
      <c r="DK815" s="2" t="n">
        <v>71.51</v>
      </c>
      <c r="DL815" s="2" t="n">
        <v>0</v>
      </c>
      <c r="DM815" s="2" t="n">
        <v>77.18</v>
      </c>
      <c r="DN815" s="2" t="n">
        <v>79.36</v>
      </c>
      <c r="DO815" s="2" t="n">
        <v>0</v>
      </c>
      <c r="DP815" s="2" t="n">
        <v>85.03</v>
      </c>
      <c r="DQ815" s="2" t="n">
        <v>86.85</v>
      </c>
      <c r="DR815" s="2" t="n">
        <v>0</v>
      </c>
      <c r="DS815" s="2" t="n">
        <v>92.65</v>
      </c>
      <c r="DT815" s="2" t="n">
        <v>95.1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 customFormat="false" ht="15" hidden="false" customHeight="false" outlineLevel="0" collapsed="false">
      <c r="A816" s="2" t="n">
        <v>2</v>
      </c>
      <c r="B816" s="2" t="s">
        <v>2012</v>
      </c>
      <c r="C816" s="2" t="s">
        <v>2013</v>
      </c>
      <c r="D816" s="2" t="s">
        <v>2010</v>
      </c>
      <c r="E816" s="2" t="s">
        <v>2011</v>
      </c>
      <c r="F816" s="2" t="n">
        <v>1690544.87722637</v>
      </c>
      <c r="G816" s="2" t="n">
        <v>0</v>
      </c>
      <c r="H816" s="2" t="n">
        <v>1690544.87722637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9.78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69.74</v>
      </c>
      <c r="DK816" s="2" t="n">
        <v>71.51</v>
      </c>
      <c r="DL816" s="2" t="n">
        <v>0</v>
      </c>
      <c r="DM816" s="2" t="n">
        <v>77.18</v>
      </c>
      <c r="DN816" s="2" t="n">
        <v>79.36</v>
      </c>
      <c r="DO816" s="2" t="n">
        <v>0</v>
      </c>
      <c r="DP816" s="2" t="n">
        <v>85.03</v>
      </c>
      <c r="DQ816" s="2" t="n">
        <v>86.85</v>
      </c>
      <c r="DR816" s="2" t="n">
        <v>0</v>
      </c>
      <c r="DS816" s="2" t="n">
        <v>92.65</v>
      </c>
      <c r="DT816" s="2" t="n">
        <v>95.1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 customFormat="false" ht="15" hidden="false" customHeight="false" outlineLevel="0" collapsed="false">
      <c r="A817" s="2" t="n">
        <v>3</v>
      </c>
      <c r="B817" s="2" t="s">
        <v>2014</v>
      </c>
      <c r="C817" s="2" t="s">
        <v>2015</v>
      </c>
      <c r="D817" s="2" t="s">
        <v>2010</v>
      </c>
      <c r="E817" s="2" t="s">
        <v>2011</v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9.78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69.74</v>
      </c>
      <c r="DK817" s="2" t="n">
        <v>71.51</v>
      </c>
      <c r="DL817" s="2" t="n">
        <v>0</v>
      </c>
      <c r="DM817" s="2" t="n">
        <v>77.18</v>
      </c>
      <c r="DN817" s="2" t="n">
        <v>79.36</v>
      </c>
      <c r="DO817" s="2" t="n">
        <v>0</v>
      </c>
      <c r="DP817" s="2" t="n">
        <v>85.03</v>
      </c>
      <c r="DQ817" s="2" t="n">
        <v>86.85</v>
      </c>
      <c r="DR817" s="2" t="n">
        <v>0</v>
      </c>
      <c r="DS817" s="2" t="n">
        <v>92.65</v>
      </c>
      <c r="DT817" s="2" t="n">
        <v>95.1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 customFormat="false" ht="15" hidden="false" customHeight="false" outlineLevel="0" collapsed="false">
      <c r="A818" s="2" t="n">
        <v>3</v>
      </c>
      <c r="B818" s="2" t="s">
        <v>2016</v>
      </c>
      <c r="C818" s="2" t="s">
        <v>2017</v>
      </c>
      <c r="D818" s="2" t="s">
        <v>2010</v>
      </c>
      <c r="E818" s="2" t="s">
        <v>2011</v>
      </c>
      <c r="F818" s="2" t="n">
        <v>453.110929049066</v>
      </c>
      <c r="G818" s="2" t="n">
        <v>0</v>
      </c>
      <c r="H818" s="2" t="n">
        <v>453.110929049066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9.78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69.74</v>
      </c>
      <c r="DK818" s="2" t="n">
        <v>71.51</v>
      </c>
      <c r="DL818" s="2" t="n">
        <v>0</v>
      </c>
      <c r="DM818" s="2" t="n">
        <v>77.18</v>
      </c>
      <c r="DN818" s="2" t="n">
        <v>79.36</v>
      </c>
      <c r="DO818" s="2" t="n">
        <v>0</v>
      </c>
      <c r="DP818" s="2" t="n">
        <v>85.03</v>
      </c>
      <c r="DQ818" s="2" t="n">
        <v>86.85</v>
      </c>
      <c r="DR818" s="2" t="n">
        <v>0</v>
      </c>
      <c r="DS818" s="2" t="n">
        <v>92.65</v>
      </c>
      <c r="DT818" s="2" t="n">
        <v>95.1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 customFormat="false" ht="15" hidden="false" customHeight="false" outlineLevel="0" collapsed="false">
      <c r="A819" s="2" t="n">
        <v>3</v>
      </c>
      <c r="B819" s="2" t="s">
        <v>2018</v>
      </c>
      <c r="C819" s="2" t="s">
        <v>2019</v>
      </c>
      <c r="D819" s="2" t="s">
        <v>2010</v>
      </c>
      <c r="E819" s="2" t="s">
        <v>2011</v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9.78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69.74</v>
      </c>
      <c r="DK819" s="2" t="n">
        <v>71.51</v>
      </c>
      <c r="DL819" s="2" t="n">
        <v>0</v>
      </c>
      <c r="DM819" s="2" t="n">
        <v>77.18</v>
      </c>
      <c r="DN819" s="2" t="n">
        <v>79.36</v>
      </c>
      <c r="DO819" s="2" t="n">
        <v>0</v>
      </c>
      <c r="DP819" s="2" t="n">
        <v>85.03</v>
      </c>
      <c r="DQ819" s="2" t="n">
        <v>86.85</v>
      </c>
      <c r="DR819" s="2" t="n">
        <v>0</v>
      </c>
      <c r="DS819" s="2" t="n">
        <v>92.65</v>
      </c>
      <c r="DT819" s="2" t="n">
        <v>95.1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 customFormat="false" ht="15" hidden="false" customHeight="false" outlineLevel="0" collapsed="false">
      <c r="A820" s="2" t="n">
        <v>3</v>
      </c>
      <c r="B820" s="2" t="s">
        <v>2020</v>
      </c>
      <c r="C820" s="2" t="s">
        <v>2021</v>
      </c>
      <c r="D820" s="2" t="s">
        <v>2010</v>
      </c>
      <c r="E820" s="2" t="s">
        <v>2011</v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9.78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69.74</v>
      </c>
      <c r="DK820" s="2" t="n">
        <v>71.51</v>
      </c>
      <c r="DL820" s="2" t="n">
        <v>0</v>
      </c>
      <c r="DM820" s="2" t="n">
        <v>77.18</v>
      </c>
      <c r="DN820" s="2" t="n">
        <v>79.36</v>
      </c>
      <c r="DO820" s="2" t="n">
        <v>0</v>
      </c>
      <c r="DP820" s="2" t="n">
        <v>85.03</v>
      </c>
      <c r="DQ820" s="2" t="n">
        <v>86.85</v>
      </c>
      <c r="DR820" s="2" t="n">
        <v>0</v>
      </c>
      <c r="DS820" s="2" t="n">
        <v>92.65</v>
      </c>
      <c r="DT820" s="2" t="n">
        <v>95.1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 customFormat="false" ht="15" hidden="false" customHeight="false" outlineLevel="0" collapsed="false">
      <c r="A821" s="2" t="n">
        <v>3</v>
      </c>
      <c r="B821" s="2" t="s">
        <v>2022</v>
      </c>
      <c r="C821" s="2" t="s">
        <v>2023</v>
      </c>
      <c r="D821" s="2" t="s">
        <v>2010</v>
      </c>
      <c r="E821" s="2" t="s">
        <v>2011</v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9.78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69.74</v>
      </c>
      <c r="DK821" s="2" t="n">
        <v>71.51</v>
      </c>
      <c r="DL821" s="2" t="n">
        <v>0</v>
      </c>
      <c r="DM821" s="2" t="n">
        <v>77.18</v>
      </c>
      <c r="DN821" s="2" t="n">
        <v>79.36</v>
      </c>
      <c r="DO821" s="2" t="n">
        <v>0</v>
      </c>
      <c r="DP821" s="2" t="n">
        <v>85.03</v>
      </c>
      <c r="DQ821" s="2" t="n">
        <v>86.85</v>
      </c>
      <c r="DR821" s="2" t="n">
        <v>0</v>
      </c>
      <c r="DS821" s="2" t="n">
        <v>92.65</v>
      </c>
      <c r="DT821" s="2" t="n">
        <v>95.1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 customFormat="false" ht="15" hidden="false" customHeight="false" outlineLevel="0" collapsed="false">
      <c r="A822" s="2" t="n">
        <v>3</v>
      </c>
      <c r="B822" s="2" t="s">
        <v>2024</v>
      </c>
      <c r="C822" s="2" t="s">
        <v>2025</v>
      </c>
      <c r="D822" s="2" t="s">
        <v>2010</v>
      </c>
      <c r="E822" s="2" t="s">
        <v>2011</v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9.78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69.74</v>
      </c>
      <c r="DK822" s="2" t="n">
        <v>71.51</v>
      </c>
      <c r="DL822" s="2" t="n">
        <v>0</v>
      </c>
      <c r="DM822" s="2" t="n">
        <v>77.18</v>
      </c>
      <c r="DN822" s="2" t="n">
        <v>79.36</v>
      </c>
      <c r="DO822" s="2" t="n">
        <v>0</v>
      </c>
      <c r="DP822" s="2" t="n">
        <v>85.03</v>
      </c>
      <c r="DQ822" s="2" t="n">
        <v>86.85</v>
      </c>
      <c r="DR822" s="2" t="n">
        <v>0</v>
      </c>
      <c r="DS822" s="2" t="n">
        <v>92.65</v>
      </c>
      <c r="DT822" s="2" t="n">
        <v>95.1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 customFormat="false" ht="15" hidden="false" customHeight="false" outlineLevel="0" collapsed="false">
      <c r="A823" s="2" t="n">
        <v>1</v>
      </c>
      <c r="B823" s="2" t="s">
        <v>219</v>
      </c>
      <c r="C823" s="2" t="s">
        <v>221</v>
      </c>
      <c r="D823" s="2" t="s">
        <v>1331</v>
      </c>
      <c r="E823" s="2" t="s">
        <v>1446</v>
      </c>
      <c r="F823" s="2" t="n">
        <v>2050613.49696548</v>
      </c>
      <c r="G823" s="2" t="n">
        <v>0</v>
      </c>
      <c r="H823" s="2" t="n">
        <v>2050613.49696548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66.21</v>
      </c>
      <c r="DX823" s="2" t="n">
        <v>0</v>
      </c>
      <c r="DY823" s="2" t="n">
        <v>72.79</v>
      </c>
      <c r="DZ823" s="2" t="n">
        <v>75.18</v>
      </c>
      <c r="EA823" s="2" t="n">
        <v>0</v>
      </c>
      <c r="EB823" s="2" t="n">
        <v>80.93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 customFormat="false" ht="15" hidden="false" customHeight="false" outlineLevel="0" collapsed="false">
      <c r="A824" s="2" t="n">
        <v>2</v>
      </c>
      <c r="B824" s="2" t="s">
        <v>2026</v>
      </c>
      <c r="C824" s="2" t="s">
        <v>2027</v>
      </c>
      <c r="D824" s="2" t="s">
        <v>1331</v>
      </c>
      <c r="E824" s="2" t="s">
        <v>1446</v>
      </c>
      <c r="F824" s="2" t="n">
        <v>759214.824978242</v>
      </c>
      <c r="G824" s="2" t="n">
        <v>0</v>
      </c>
      <c r="H824" s="2" t="n">
        <v>759214.824978242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66.21</v>
      </c>
      <c r="DX824" s="2" t="n">
        <v>0</v>
      </c>
      <c r="DY824" s="2" t="n">
        <v>72.79</v>
      </c>
      <c r="DZ824" s="2" t="n">
        <v>75.18</v>
      </c>
      <c r="EA824" s="2" t="n">
        <v>0</v>
      </c>
      <c r="EB824" s="2" t="n">
        <v>80.93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 customFormat="false" ht="15" hidden="false" customHeight="false" outlineLevel="0" collapsed="false">
      <c r="A825" s="2" t="n">
        <v>3</v>
      </c>
      <c r="B825" s="2" t="s">
        <v>2028</v>
      </c>
      <c r="C825" s="2" t="s">
        <v>2029</v>
      </c>
      <c r="D825" s="2" t="s">
        <v>1331</v>
      </c>
      <c r="E825" s="2" t="s">
        <v>1446</v>
      </c>
      <c r="F825" s="2" t="n">
        <v>414156.843985855</v>
      </c>
      <c r="G825" s="2" t="n">
        <v>0</v>
      </c>
      <c r="H825" s="2" t="n">
        <v>414156.843985855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66.21</v>
      </c>
      <c r="DX825" s="2" t="n">
        <v>0</v>
      </c>
      <c r="DY825" s="2" t="n">
        <v>72.79</v>
      </c>
      <c r="DZ825" s="2" t="n">
        <v>75.18</v>
      </c>
      <c r="EA825" s="2" t="n">
        <v>0</v>
      </c>
      <c r="EB825" s="2" t="n">
        <v>80.93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 customFormat="false" ht="15" hidden="false" customHeight="false" outlineLevel="0" collapsed="false">
      <c r="A826" s="2" t="n">
        <v>3</v>
      </c>
      <c r="B826" s="2" t="s">
        <v>2030</v>
      </c>
      <c r="C826" s="2" t="s">
        <v>2031</v>
      </c>
      <c r="D826" s="2" t="s">
        <v>1331</v>
      </c>
      <c r="E826" s="2" t="s">
        <v>1446</v>
      </c>
      <c r="F826" s="2" t="n">
        <v>84463.8486525359</v>
      </c>
      <c r="G826" s="2" t="n">
        <v>0</v>
      </c>
      <c r="H826" s="2" t="n">
        <v>84463.8486525359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66.21</v>
      </c>
      <c r="DX826" s="2" t="n">
        <v>0</v>
      </c>
      <c r="DY826" s="2" t="n">
        <v>72.79</v>
      </c>
      <c r="DZ826" s="2" t="n">
        <v>75.18</v>
      </c>
      <c r="EA826" s="2" t="n">
        <v>0</v>
      </c>
      <c r="EB826" s="2" t="n">
        <v>80.93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 customFormat="false" ht="15" hidden="false" customHeight="false" outlineLevel="0" collapsed="false">
      <c r="A827" s="2" t="n">
        <v>3</v>
      </c>
      <c r="B827" s="2" t="s">
        <v>2032</v>
      </c>
      <c r="C827" s="2" t="s">
        <v>2033</v>
      </c>
      <c r="D827" s="2" t="s">
        <v>1331</v>
      </c>
      <c r="E827" s="2" t="s">
        <v>1446</v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66.21</v>
      </c>
      <c r="DX827" s="2" t="n">
        <v>0</v>
      </c>
      <c r="DY827" s="2" t="n">
        <v>72.79</v>
      </c>
      <c r="DZ827" s="2" t="n">
        <v>75.18</v>
      </c>
      <c r="EA827" s="2" t="n">
        <v>0</v>
      </c>
      <c r="EB827" s="2" t="n">
        <v>80.93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 customFormat="false" ht="15" hidden="false" customHeight="false" outlineLevel="0" collapsed="false">
      <c r="A828" s="2" t="n">
        <v>3</v>
      </c>
      <c r="B828" s="2" t="s">
        <v>2034</v>
      </c>
      <c r="C828" s="2" t="s">
        <v>2035</v>
      </c>
      <c r="D828" s="2" t="s">
        <v>1331</v>
      </c>
      <c r="E828" s="2" t="s">
        <v>1446</v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66.21</v>
      </c>
      <c r="DX828" s="2" t="n">
        <v>0</v>
      </c>
      <c r="DY828" s="2" t="n">
        <v>72.79</v>
      </c>
      <c r="DZ828" s="2" t="n">
        <v>75.18</v>
      </c>
      <c r="EA828" s="2" t="n">
        <v>0</v>
      </c>
      <c r="EB828" s="2" t="n">
        <v>80.93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 customFormat="false" ht="15" hidden="false" customHeight="false" outlineLevel="0" collapsed="false">
      <c r="A829" s="2" t="n">
        <v>3</v>
      </c>
      <c r="B829" s="2" t="s">
        <v>2036</v>
      </c>
      <c r="C829" s="2" t="s">
        <v>2037</v>
      </c>
      <c r="D829" s="2" t="s">
        <v>1331</v>
      </c>
      <c r="E829" s="2" t="s">
        <v>1446</v>
      </c>
      <c r="F829" s="2" t="n">
        <v>16065.833328911</v>
      </c>
      <c r="G829" s="2" t="n">
        <v>0</v>
      </c>
      <c r="H829" s="2" t="n">
        <v>16065.833328911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66.21</v>
      </c>
      <c r="DX829" s="2" t="n">
        <v>0</v>
      </c>
      <c r="DY829" s="2" t="n">
        <v>72.79</v>
      </c>
      <c r="DZ829" s="2" t="n">
        <v>75.18</v>
      </c>
      <c r="EA829" s="2" t="n">
        <v>0</v>
      </c>
      <c r="EB829" s="2" t="n">
        <v>80.93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 customFormat="false" ht="15" hidden="false" customHeight="false" outlineLevel="0" collapsed="false">
      <c r="A830" s="2" t="n">
        <v>3</v>
      </c>
      <c r="B830" s="2" t="s">
        <v>2038</v>
      </c>
      <c r="C830" s="2" t="s">
        <v>2039</v>
      </c>
      <c r="D830" s="2" t="s">
        <v>1331</v>
      </c>
      <c r="E830" s="2" t="s">
        <v>1446</v>
      </c>
      <c r="F830" s="2" t="n">
        <v>167713.994621288</v>
      </c>
      <c r="G830" s="2" t="n">
        <v>0</v>
      </c>
      <c r="H830" s="2" t="n">
        <v>167713.994621288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66.21</v>
      </c>
      <c r="DX830" s="2" t="n">
        <v>0</v>
      </c>
      <c r="DY830" s="2" t="n">
        <v>72.79</v>
      </c>
      <c r="DZ830" s="2" t="n">
        <v>75.18</v>
      </c>
      <c r="EA830" s="2" t="n">
        <v>0</v>
      </c>
      <c r="EB830" s="2" t="n">
        <v>80.93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 customFormat="false" ht="15" hidden="false" customHeight="false" outlineLevel="0" collapsed="false">
      <c r="A831" s="2" t="n">
        <v>3</v>
      </c>
      <c r="B831" s="2" t="s">
        <v>2040</v>
      </c>
      <c r="C831" s="2" t="s">
        <v>2041</v>
      </c>
      <c r="D831" s="2" t="s">
        <v>1331</v>
      </c>
      <c r="E831" s="2" t="s">
        <v>1446</v>
      </c>
      <c r="F831" s="2" t="n">
        <v>673.550179201959</v>
      </c>
      <c r="G831" s="2" t="n">
        <v>0</v>
      </c>
      <c r="H831" s="2" t="n">
        <v>673.550179201959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66.21</v>
      </c>
      <c r="DX831" s="2" t="n">
        <v>0</v>
      </c>
      <c r="DY831" s="2" t="n">
        <v>72.79</v>
      </c>
      <c r="DZ831" s="2" t="n">
        <v>75.18</v>
      </c>
      <c r="EA831" s="2" t="n">
        <v>0</v>
      </c>
      <c r="EB831" s="2" t="n">
        <v>80.93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 customFormat="false" ht="15" hidden="false" customHeight="false" outlineLevel="0" collapsed="false">
      <c r="A832" s="2" t="n">
        <v>3</v>
      </c>
      <c r="B832" s="2" t="s">
        <v>2042</v>
      </c>
      <c r="C832" s="2" t="s">
        <v>2039</v>
      </c>
      <c r="D832" s="2" t="s">
        <v>1331</v>
      </c>
      <c r="E832" s="2" t="s">
        <v>1446</v>
      </c>
      <c r="F832" s="2" t="n">
        <v>70049.2186370037</v>
      </c>
      <c r="G832" s="2" t="n">
        <v>0</v>
      </c>
      <c r="H832" s="2" t="n">
        <v>70049.2186370037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66.21</v>
      </c>
      <c r="DX832" s="2" t="n">
        <v>0</v>
      </c>
      <c r="DY832" s="2" t="n">
        <v>72.79</v>
      </c>
      <c r="DZ832" s="2" t="n">
        <v>75.18</v>
      </c>
      <c r="EA832" s="2" t="n">
        <v>0</v>
      </c>
      <c r="EB832" s="2" t="n">
        <v>80.93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 customFormat="false" ht="15" hidden="false" customHeight="false" outlineLevel="0" collapsed="false">
      <c r="A833" s="2" t="n">
        <v>2</v>
      </c>
      <c r="B833" s="2" t="s">
        <v>2043</v>
      </c>
      <c r="C833" s="2" t="s">
        <v>2044</v>
      </c>
      <c r="D833" s="2" t="s">
        <v>1331</v>
      </c>
      <c r="E833" s="2" t="s">
        <v>1446</v>
      </c>
      <c r="F833" s="2" t="n">
        <v>575925.024710235</v>
      </c>
      <c r="G833" s="2" t="n">
        <v>0</v>
      </c>
      <c r="H833" s="2" t="n">
        <v>575925.024710235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66.21</v>
      </c>
      <c r="DX833" s="2" t="n">
        <v>0</v>
      </c>
      <c r="DY833" s="2" t="n">
        <v>72.79</v>
      </c>
      <c r="DZ833" s="2" t="n">
        <v>75.18</v>
      </c>
      <c r="EA833" s="2" t="n">
        <v>0</v>
      </c>
      <c r="EB833" s="2" t="n">
        <v>80.93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 customFormat="false" ht="15" hidden="false" customHeight="false" outlineLevel="0" collapsed="false">
      <c r="A834" s="2" t="n">
        <v>3</v>
      </c>
      <c r="B834" s="2" t="s">
        <v>2045</v>
      </c>
      <c r="C834" s="2" t="s">
        <v>2046</v>
      </c>
      <c r="D834" s="2" t="s">
        <v>1331</v>
      </c>
      <c r="E834" s="2" t="s">
        <v>1446</v>
      </c>
      <c r="F834" s="2" t="n">
        <v>694.321146892538</v>
      </c>
      <c r="G834" s="2" t="n">
        <v>0</v>
      </c>
      <c r="H834" s="2" t="n">
        <v>694.321146892538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66.21</v>
      </c>
      <c r="DX834" s="2" t="n">
        <v>0</v>
      </c>
      <c r="DY834" s="2" t="n">
        <v>72.79</v>
      </c>
      <c r="DZ834" s="2" t="n">
        <v>75.18</v>
      </c>
      <c r="EA834" s="2" t="n">
        <v>0</v>
      </c>
      <c r="EB834" s="2" t="n">
        <v>80.93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 customFormat="false" ht="15" hidden="false" customHeight="false" outlineLevel="0" collapsed="false">
      <c r="A835" s="2" t="n">
        <v>3</v>
      </c>
      <c r="B835" s="2" t="s">
        <v>2047</v>
      </c>
      <c r="C835" s="2" t="s">
        <v>2048</v>
      </c>
      <c r="D835" s="2" t="s">
        <v>1331</v>
      </c>
      <c r="E835" s="2" t="s">
        <v>1446</v>
      </c>
      <c r="F835" s="2" t="n">
        <v>18831.7361977344</v>
      </c>
      <c r="G835" s="2" t="n">
        <v>0</v>
      </c>
      <c r="H835" s="2" t="n">
        <v>18831.7361977344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66.21</v>
      </c>
      <c r="DX835" s="2" t="n">
        <v>0</v>
      </c>
      <c r="DY835" s="2" t="n">
        <v>72.79</v>
      </c>
      <c r="DZ835" s="2" t="n">
        <v>75.18</v>
      </c>
      <c r="EA835" s="2" t="n">
        <v>0</v>
      </c>
      <c r="EB835" s="2" t="n">
        <v>80.93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 customFormat="false" ht="15" hidden="false" customHeight="false" outlineLevel="0" collapsed="false">
      <c r="A836" s="2" t="n">
        <v>3</v>
      </c>
      <c r="B836" s="2" t="s">
        <v>2049</v>
      </c>
      <c r="C836" s="2" t="s">
        <v>2050</v>
      </c>
      <c r="D836" s="2" t="s">
        <v>1331</v>
      </c>
      <c r="E836" s="2" t="s">
        <v>1446</v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66.21</v>
      </c>
      <c r="DX836" s="2" t="n">
        <v>0</v>
      </c>
      <c r="DY836" s="2" t="n">
        <v>72.79</v>
      </c>
      <c r="DZ836" s="2" t="n">
        <v>75.18</v>
      </c>
      <c r="EA836" s="2" t="n">
        <v>0</v>
      </c>
      <c r="EB836" s="2" t="n">
        <v>80.93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 customFormat="false" ht="15" hidden="false" customHeight="false" outlineLevel="0" collapsed="false">
      <c r="A837" s="2" t="n">
        <v>3</v>
      </c>
      <c r="B837" s="2" t="s">
        <v>2051</v>
      </c>
      <c r="C837" s="2" t="s">
        <v>2052</v>
      </c>
      <c r="D837" s="2" t="s">
        <v>1331</v>
      </c>
      <c r="E837" s="2" t="s">
        <v>1446</v>
      </c>
      <c r="F837" s="2" t="n">
        <v>2305.92688135523</v>
      </c>
      <c r="G837" s="2" t="n">
        <v>0</v>
      </c>
      <c r="H837" s="2" t="n">
        <v>2305.92688135523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66.21</v>
      </c>
      <c r="DX837" s="2" t="n">
        <v>0</v>
      </c>
      <c r="DY837" s="2" t="n">
        <v>72.79</v>
      </c>
      <c r="DZ837" s="2" t="n">
        <v>75.18</v>
      </c>
      <c r="EA837" s="2" t="n">
        <v>0</v>
      </c>
      <c r="EB837" s="2" t="n">
        <v>80.93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 customFormat="false" ht="15" hidden="false" customHeight="false" outlineLevel="0" collapsed="false">
      <c r="A838" s="2" t="n">
        <v>3</v>
      </c>
      <c r="B838" s="2" t="s">
        <v>2053</v>
      </c>
      <c r="C838" s="2" t="s">
        <v>2054</v>
      </c>
      <c r="D838" s="2" t="s">
        <v>1331</v>
      </c>
      <c r="E838" s="2" t="s">
        <v>1446</v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66.21</v>
      </c>
      <c r="DX838" s="2" t="n">
        <v>0</v>
      </c>
      <c r="DY838" s="2" t="n">
        <v>72.79</v>
      </c>
      <c r="DZ838" s="2" t="n">
        <v>75.18</v>
      </c>
      <c r="EA838" s="2" t="n">
        <v>0</v>
      </c>
      <c r="EB838" s="2" t="n">
        <v>80.93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 customFormat="false" ht="15" hidden="false" customHeight="false" outlineLevel="0" collapsed="false">
      <c r="A839" s="2" t="n">
        <v>3</v>
      </c>
      <c r="B839" s="2" t="s">
        <v>2055</v>
      </c>
      <c r="C839" s="2" t="s">
        <v>2056</v>
      </c>
      <c r="D839" s="2" t="s">
        <v>1331</v>
      </c>
      <c r="E839" s="2" t="s">
        <v>1446</v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66.21</v>
      </c>
      <c r="DX839" s="2" t="n">
        <v>0</v>
      </c>
      <c r="DY839" s="2" t="n">
        <v>72.79</v>
      </c>
      <c r="DZ839" s="2" t="n">
        <v>75.18</v>
      </c>
      <c r="EA839" s="2" t="n">
        <v>0</v>
      </c>
      <c r="EB839" s="2" t="n">
        <v>80.93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 customFormat="false" ht="15" hidden="false" customHeight="false" outlineLevel="0" collapsed="false">
      <c r="A840" s="2" t="n">
        <v>3</v>
      </c>
      <c r="B840" s="2" t="s">
        <v>2057</v>
      </c>
      <c r="C840" s="2" t="s">
        <v>2058</v>
      </c>
      <c r="D840" s="2" t="s">
        <v>1331</v>
      </c>
      <c r="E840" s="2" t="s">
        <v>1446</v>
      </c>
      <c r="F840" s="2" t="n">
        <v>54051.917561792</v>
      </c>
      <c r="G840" s="2" t="n">
        <v>0</v>
      </c>
      <c r="H840" s="2" t="n">
        <v>54051.917561792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66.21</v>
      </c>
      <c r="DX840" s="2" t="n">
        <v>0</v>
      </c>
      <c r="DY840" s="2" t="n">
        <v>72.79</v>
      </c>
      <c r="DZ840" s="2" t="n">
        <v>75.18</v>
      </c>
      <c r="EA840" s="2" t="n">
        <v>0</v>
      </c>
      <c r="EB840" s="2" t="n">
        <v>80.93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 customFormat="false" ht="15" hidden="false" customHeight="false" outlineLevel="0" collapsed="false">
      <c r="A841" s="2" t="n">
        <v>3</v>
      </c>
      <c r="B841" s="2" t="s">
        <v>2059</v>
      </c>
      <c r="C841" s="2" t="s">
        <v>2060</v>
      </c>
      <c r="D841" s="2" t="s">
        <v>1331</v>
      </c>
      <c r="E841" s="2" t="s">
        <v>1446</v>
      </c>
      <c r="F841" s="2" t="n">
        <v>315.550179201959</v>
      </c>
      <c r="G841" s="2" t="n">
        <v>0</v>
      </c>
      <c r="H841" s="2" t="n">
        <v>315.550179201959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66.21</v>
      </c>
      <c r="DX841" s="2" t="n">
        <v>0</v>
      </c>
      <c r="DY841" s="2" t="n">
        <v>72.79</v>
      </c>
      <c r="DZ841" s="2" t="n">
        <v>75.18</v>
      </c>
      <c r="EA841" s="2" t="n">
        <v>0</v>
      </c>
      <c r="EB841" s="2" t="n">
        <v>80.93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 customFormat="false" ht="15" hidden="false" customHeight="false" outlineLevel="0" collapsed="false">
      <c r="A842" s="2" t="n">
        <v>3</v>
      </c>
      <c r="B842" s="2" t="s">
        <v>2061</v>
      </c>
      <c r="C842" s="2" t="s">
        <v>2062</v>
      </c>
      <c r="D842" s="2" t="s">
        <v>1331</v>
      </c>
      <c r="E842" s="2" t="s">
        <v>1446</v>
      </c>
      <c r="F842" s="2" t="n">
        <v>30923.917561792</v>
      </c>
      <c r="G842" s="2" t="n">
        <v>0</v>
      </c>
      <c r="H842" s="2" t="n">
        <v>30923.917561792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66.21</v>
      </c>
      <c r="DX842" s="2" t="n">
        <v>0</v>
      </c>
      <c r="DY842" s="2" t="n">
        <v>72.79</v>
      </c>
      <c r="DZ842" s="2" t="n">
        <v>75.18</v>
      </c>
      <c r="EA842" s="2" t="n">
        <v>0</v>
      </c>
      <c r="EB842" s="2" t="n">
        <v>80.93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 customFormat="false" ht="15" hidden="false" customHeight="false" outlineLevel="0" collapsed="false">
      <c r="A843" s="2" t="n">
        <v>3</v>
      </c>
      <c r="B843" s="2" t="s">
        <v>2063</v>
      </c>
      <c r="C843" s="2" t="s">
        <v>2064</v>
      </c>
      <c r="D843" s="2" t="s">
        <v>1331</v>
      </c>
      <c r="E843" s="2" t="s">
        <v>1446</v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66.21</v>
      </c>
      <c r="DX843" s="2" t="n">
        <v>0</v>
      </c>
      <c r="DY843" s="2" t="n">
        <v>72.79</v>
      </c>
      <c r="DZ843" s="2" t="n">
        <v>75.18</v>
      </c>
      <c r="EA843" s="2" t="n">
        <v>0</v>
      </c>
      <c r="EB843" s="2" t="n">
        <v>80.93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 customFormat="false" ht="15" hidden="false" customHeight="false" outlineLevel="0" collapsed="false">
      <c r="A844" s="2" t="n">
        <v>3</v>
      </c>
      <c r="B844" s="2" t="s">
        <v>2065</v>
      </c>
      <c r="C844" s="2" t="s">
        <v>2066</v>
      </c>
      <c r="D844" s="2" t="s">
        <v>1331</v>
      </c>
      <c r="E844" s="2" t="s">
        <v>1446</v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66.21</v>
      </c>
      <c r="DX844" s="2" t="n">
        <v>0</v>
      </c>
      <c r="DY844" s="2" t="n">
        <v>72.79</v>
      </c>
      <c r="DZ844" s="2" t="n">
        <v>75.18</v>
      </c>
      <c r="EA844" s="2" t="n">
        <v>0</v>
      </c>
      <c r="EB844" s="2" t="n">
        <v>80.93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 customFormat="false" ht="15" hidden="false" customHeight="false" outlineLevel="0" collapsed="false">
      <c r="A845" s="2" t="n">
        <v>3</v>
      </c>
      <c r="B845" s="2" t="s">
        <v>2067</v>
      </c>
      <c r="C845" s="2" t="s">
        <v>2068</v>
      </c>
      <c r="D845" s="2" t="s">
        <v>1331</v>
      </c>
      <c r="E845" s="2" t="s">
        <v>1446</v>
      </c>
      <c r="F845" s="2" t="n">
        <v>119656.994621288</v>
      </c>
      <c r="G845" s="2" t="n">
        <v>0</v>
      </c>
      <c r="H845" s="2" t="n">
        <v>119656.994621288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66.21</v>
      </c>
      <c r="DX845" s="2" t="n">
        <v>0</v>
      </c>
      <c r="DY845" s="2" t="n">
        <v>72.79</v>
      </c>
      <c r="DZ845" s="2" t="n">
        <v>75.18</v>
      </c>
      <c r="EA845" s="2" t="n">
        <v>0</v>
      </c>
      <c r="EB845" s="2" t="n">
        <v>80.93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 customFormat="false" ht="15" hidden="false" customHeight="false" outlineLevel="0" collapsed="false">
      <c r="A846" s="2" t="n">
        <v>3</v>
      </c>
      <c r="B846" s="2" t="s">
        <v>2069</v>
      </c>
      <c r="C846" s="2" t="s">
        <v>2037</v>
      </c>
      <c r="D846" s="2" t="s">
        <v>1331</v>
      </c>
      <c r="E846" s="2" t="s">
        <v>1446</v>
      </c>
      <c r="F846" s="2" t="n">
        <v>16065.833328911</v>
      </c>
      <c r="G846" s="2" t="n">
        <v>0</v>
      </c>
      <c r="H846" s="2" t="n">
        <v>16065.833328911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66.21</v>
      </c>
      <c r="DX846" s="2" t="n">
        <v>0</v>
      </c>
      <c r="DY846" s="2" t="n">
        <v>72.79</v>
      </c>
      <c r="DZ846" s="2" t="n">
        <v>75.18</v>
      </c>
      <c r="EA846" s="2" t="n">
        <v>0</v>
      </c>
      <c r="EB846" s="2" t="n">
        <v>80.93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 customFormat="false" ht="15" hidden="false" customHeight="false" outlineLevel="0" collapsed="false">
      <c r="A847" s="2" t="n">
        <v>3</v>
      </c>
      <c r="B847" s="2" t="s">
        <v>2070</v>
      </c>
      <c r="C847" s="2" t="s">
        <v>2071</v>
      </c>
      <c r="D847" s="2" t="s">
        <v>1331</v>
      </c>
      <c r="E847" s="2" t="s">
        <v>1446</v>
      </c>
      <c r="F847" s="2" t="n">
        <v>53496.5322536992</v>
      </c>
      <c r="G847" s="2" t="n">
        <v>0</v>
      </c>
      <c r="H847" s="2" t="n">
        <v>53496.5322536992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66.21</v>
      </c>
      <c r="DX847" s="2" t="n">
        <v>0</v>
      </c>
      <c r="DY847" s="2" t="n">
        <v>72.79</v>
      </c>
      <c r="DZ847" s="2" t="n">
        <v>75.18</v>
      </c>
      <c r="EA847" s="2" t="n">
        <v>0</v>
      </c>
      <c r="EB847" s="2" t="n">
        <v>80.93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 customFormat="false" ht="15" hidden="false" customHeight="false" outlineLevel="0" collapsed="false">
      <c r="A848" s="2" t="n">
        <v>3</v>
      </c>
      <c r="B848" s="2" t="s">
        <v>2072</v>
      </c>
      <c r="C848" s="2" t="s">
        <v>2073</v>
      </c>
      <c r="D848" s="2" t="s">
        <v>1331</v>
      </c>
      <c r="E848" s="2" t="s">
        <v>1446</v>
      </c>
      <c r="F848" s="2" t="n">
        <v>699.301075211754</v>
      </c>
      <c r="G848" s="2" t="n">
        <v>0</v>
      </c>
      <c r="H848" s="2" t="n">
        <v>699.301075211754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66.21</v>
      </c>
      <c r="DX848" s="2" t="n">
        <v>0</v>
      </c>
      <c r="DY848" s="2" t="n">
        <v>72.79</v>
      </c>
      <c r="DZ848" s="2" t="n">
        <v>75.18</v>
      </c>
      <c r="EA848" s="2" t="n">
        <v>0</v>
      </c>
      <c r="EB848" s="2" t="n">
        <v>80.93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 customFormat="false" ht="15" hidden="false" customHeight="false" outlineLevel="0" collapsed="false">
      <c r="A849" s="2" t="n">
        <v>3</v>
      </c>
      <c r="B849" s="2" t="s">
        <v>2074</v>
      </c>
      <c r="C849" s="2" t="s">
        <v>2075</v>
      </c>
      <c r="D849" s="2" t="s">
        <v>1331</v>
      </c>
      <c r="E849" s="2" t="s">
        <v>1446</v>
      </c>
      <c r="F849" s="2" t="n">
        <v>51201.5322536992</v>
      </c>
      <c r="G849" s="2" t="n">
        <v>0</v>
      </c>
      <c r="H849" s="2" t="n">
        <v>51201.5322536992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66.21</v>
      </c>
      <c r="DX849" s="2" t="n">
        <v>0</v>
      </c>
      <c r="DY849" s="2" t="n">
        <v>72.79</v>
      </c>
      <c r="DZ849" s="2" t="n">
        <v>75.18</v>
      </c>
      <c r="EA849" s="2" t="n">
        <v>0</v>
      </c>
      <c r="EB849" s="2" t="n">
        <v>80.93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 customFormat="false" ht="15" hidden="false" customHeight="false" outlineLevel="0" collapsed="false">
      <c r="A850" s="2" t="n">
        <v>3</v>
      </c>
      <c r="B850" s="2" t="s">
        <v>2076</v>
      </c>
      <c r="C850" s="2" t="s">
        <v>2077</v>
      </c>
      <c r="D850" s="2" t="s">
        <v>1331</v>
      </c>
      <c r="E850" s="2" t="s">
        <v>1446</v>
      </c>
      <c r="F850" s="2" t="n">
        <v>669.301075211754</v>
      </c>
      <c r="G850" s="2" t="n">
        <v>0</v>
      </c>
      <c r="H850" s="2" t="n">
        <v>669.301075211754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66.21</v>
      </c>
      <c r="DX850" s="2" t="n">
        <v>0</v>
      </c>
      <c r="DY850" s="2" t="n">
        <v>72.79</v>
      </c>
      <c r="DZ850" s="2" t="n">
        <v>75.18</v>
      </c>
      <c r="EA850" s="2" t="n">
        <v>0</v>
      </c>
      <c r="EB850" s="2" t="n">
        <v>80.93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 customFormat="false" ht="15" hidden="false" customHeight="false" outlineLevel="0" collapsed="false">
      <c r="A851" s="2" t="n">
        <v>2</v>
      </c>
      <c r="B851" s="2" t="s">
        <v>2078</v>
      </c>
      <c r="C851" s="2" t="s">
        <v>2079</v>
      </c>
      <c r="D851" s="2" t="s">
        <v>1331</v>
      </c>
      <c r="E851" s="2" t="s">
        <v>1446</v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66.21</v>
      </c>
      <c r="DX851" s="2" t="n">
        <v>0</v>
      </c>
      <c r="DY851" s="2" t="n">
        <v>72.79</v>
      </c>
      <c r="DZ851" s="2" t="n">
        <v>75.18</v>
      </c>
      <c r="EA851" s="2" t="n">
        <v>0</v>
      </c>
      <c r="EB851" s="2" t="n">
        <v>80.93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 customFormat="false" ht="15" hidden="false" customHeight="false" outlineLevel="0" collapsed="false">
      <c r="A852" s="2" t="n">
        <v>3</v>
      </c>
      <c r="B852" s="2" t="s">
        <v>2080</v>
      </c>
      <c r="C852" s="2" t="s">
        <v>2081</v>
      </c>
      <c r="D852" s="2" t="s">
        <v>1331</v>
      </c>
      <c r="E852" s="2" t="s">
        <v>1446</v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66.21</v>
      </c>
      <c r="DX852" s="2" t="n">
        <v>0</v>
      </c>
      <c r="DY852" s="2" t="n">
        <v>72.79</v>
      </c>
      <c r="DZ852" s="2" t="n">
        <v>75.18</v>
      </c>
      <c r="EA852" s="2" t="n">
        <v>0</v>
      </c>
      <c r="EB852" s="2" t="n">
        <v>80.93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 customFormat="false" ht="15" hidden="false" customHeight="false" outlineLevel="0" collapsed="false">
      <c r="A853" s="2" t="n">
        <v>3</v>
      </c>
      <c r="B853" s="2" t="s">
        <v>2082</v>
      </c>
      <c r="C853" s="2" t="s">
        <v>2083</v>
      </c>
      <c r="D853" s="2" t="s">
        <v>1331</v>
      </c>
      <c r="E853" s="2" t="s">
        <v>1446</v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66.21</v>
      </c>
      <c r="DX853" s="2" t="n">
        <v>0</v>
      </c>
      <c r="DY853" s="2" t="n">
        <v>72.79</v>
      </c>
      <c r="DZ853" s="2" t="n">
        <v>75.18</v>
      </c>
      <c r="EA853" s="2" t="n">
        <v>0</v>
      </c>
      <c r="EB853" s="2" t="n">
        <v>80.93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 customFormat="false" ht="15" hidden="false" customHeight="false" outlineLevel="0" collapsed="false">
      <c r="A854" s="2" t="n">
        <v>3</v>
      </c>
      <c r="B854" s="2" t="s">
        <v>2084</v>
      </c>
      <c r="C854" s="2" t="s">
        <v>2085</v>
      </c>
      <c r="D854" s="2" t="s">
        <v>1331</v>
      </c>
      <c r="E854" s="2" t="s">
        <v>1446</v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66.21</v>
      </c>
      <c r="DX854" s="2" t="n">
        <v>0</v>
      </c>
      <c r="DY854" s="2" t="n">
        <v>72.79</v>
      </c>
      <c r="DZ854" s="2" t="n">
        <v>75.18</v>
      </c>
      <c r="EA854" s="2" t="n">
        <v>0</v>
      </c>
      <c r="EB854" s="2" t="n">
        <v>80.93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 customFormat="false" ht="15" hidden="false" customHeight="false" outlineLevel="0" collapsed="false">
      <c r="A855" s="2" t="n">
        <v>3</v>
      </c>
      <c r="B855" s="2" t="s">
        <v>2086</v>
      </c>
      <c r="C855" s="2" t="s">
        <v>2087</v>
      </c>
      <c r="D855" s="2" t="s">
        <v>1331</v>
      </c>
      <c r="E855" s="2" t="s">
        <v>1446</v>
      </c>
      <c r="F855" s="2" t="n">
        <v>51039.467740994</v>
      </c>
      <c r="G855" s="2" t="n">
        <v>0</v>
      </c>
      <c r="H855" s="2" t="n">
        <v>51039.467740994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66.21</v>
      </c>
      <c r="DX855" s="2" t="n">
        <v>0</v>
      </c>
      <c r="DY855" s="2" t="n">
        <v>72.79</v>
      </c>
      <c r="DZ855" s="2" t="n">
        <v>75.18</v>
      </c>
      <c r="EA855" s="2" t="n">
        <v>0</v>
      </c>
      <c r="EB855" s="2" t="n">
        <v>80.93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 customFormat="false" ht="15" hidden="false" customHeight="false" outlineLevel="0" collapsed="false">
      <c r="A856" s="2" t="n">
        <v>3</v>
      </c>
      <c r="B856" s="2" t="s">
        <v>2088</v>
      </c>
      <c r="C856" s="2" t="s">
        <v>2089</v>
      </c>
      <c r="D856" s="2" t="s">
        <v>1331</v>
      </c>
      <c r="E856" s="2" t="s">
        <v>1446</v>
      </c>
      <c r="F856" s="2" t="n">
        <v>415.550179201959</v>
      </c>
      <c r="G856" s="2" t="n">
        <v>0</v>
      </c>
      <c r="H856" s="2" t="n">
        <v>415.550179201959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66.21</v>
      </c>
      <c r="DX856" s="2" t="n">
        <v>0</v>
      </c>
      <c r="DY856" s="2" t="n">
        <v>72.79</v>
      </c>
      <c r="DZ856" s="2" t="n">
        <v>75.18</v>
      </c>
      <c r="EA856" s="2" t="n">
        <v>0</v>
      </c>
      <c r="EB856" s="2" t="n">
        <v>80.93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 customFormat="false" ht="15" hidden="false" customHeight="false" outlineLevel="0" collapsed="false">
      <c r="A857" s="2" t="n">
        <v>3</v>
      </c>
      <c r="B857" s="2" t="s">
        <v>2090</v>
      </c>
      <c r="C857" s="2" t="s">
        <v>2091</v>
      </c>
      <c r="D857" s="2" t="s">
        <v>1331</v>
      </c>
      <c r="E857" s="2" t="s">
        <v>1446</v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66.21</v>
      </c>
      <c r="DX857" s="2" t="n">
        <v>0</v>
      </c>
      <c r="DY857" s="2" t="n">
        <v>72.79</v>
      </c>
      <c r="DZ857" s="2" t="n">
        <v>75.18</v>
      </c>
      <c r="EA857" s="2" t="n">
        <v>0</v>
      </c>
      <c r="EB857" s="2" t="n">
        <v>80.93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 customFormat="false" ht="15" hidden="false" customHeight="false" outlineLevel="0" collapsed="false">
      <c r="A858" s="2" t="n">
        <v>3</v>
      </c>
      <c r="B858" s="2" t="s">
        <v>2092</v>
      </c>
      <c r="C858" s="2" t="s">
        <v>2037</v>
      </c>
      <c r="D858" s="2" t="s">
        <v>1331</v>
      </c>
      <c r="E858" s="2" t="s">
        <v>1446</v>
      </c>
      <c r="F858" s="2" t="n">
        <v>3627.7688162057</v>
      </c>
      <c r="G858" s="2" t="n">
        <v>0</v>
      </c>
      <c r="H858" s="2" t="n">
        <v>3627.7688162057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66.21</v>
      </c>
      <c r="DX858" s="2" t="n">
        <v>0</v>
      </c>
      <c r="DY858" s="2" t="n">
        <v>72.79</v>
      </c>
      <c r="DZ858" s="2" t="n">
        <v>75.18</v>
      </c>
      <c r="EA858" s="2" t="n">
        <v>0</v>
      </c>
      <c r="EB858" s="2" t="n">
        <v>80.93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 customFormat="false" ht="15" hidden="false" customHeight="false" outlineLevel="0" collapsed="false">
      <c r="A859" s="2" t="n">
        <v>3</v>
      </c>
      <c r="B859" s="2" t="s">
        <v>2093</v>
      </c>
      <c r="C859" s="2" t="s">
        <v>2094</v>
      </c>
      <c r="D859" s="2" t="s">
        <v>1331</v>
      </c>
      <c r="E859" s="2" t="s">
        <v>1446</v>
      </c>
      <c r="F859" s="2" t="n">
        <v>8562.7688162057</v>
      </c>
      <c r="G859" s="2" t="n">
        <v>0</v>
      </c>
      <c r="H859" s="2" t="n">
        <v>8562.7688162057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66.21</v>
      </c>
      <c r="DX859" s="2" t="n">
        <v>0</v>
      </c>
      <c r="DY859" s="2" t="n">
        <v>72.79</v>
      </c>
      <c r="DZ859" s="2" t="n">
        <v>75.18</v>
      </c>
      <c r="EA859" s="2" t="n">
        <v>0</v>
      </c>
      <c r="EB859" s="2" t="n">
        <v>80.93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 customFormat="false" ht="15" hidden="false" customHeight="false" outlineLevel="0" collapsed="false">
      <c r="A860" s="2" t="n">
        <v>3</v>
      </c>
      <c r="B860" s="2" t="s">
        <v>2095</v>
      </c>
      <c r="C860" s="2" t="s">
        <v>2096</v>
      </c>
      <c r="D860" s="2" t="s">
        <v>1331</v>
      </c>
      <c r="E860" s="2" t="s">
        <v>1446</v>
      </c>
      <c r="F860" s="2" t="n">
        <v>11155.0179201959</v>
      </c>
      <c r="G860" s="2" t="n">
        <v>0</v>
      </c>
      <c r="H860" s="2" t="n">
        <v>11155.0179201959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66.21</v>
      </c>
      <c r="DX860" s="2" t="n">
        <v>0</v>
      </c>
      <c r="DY860" s="2" t="n">
        <v>72.79</v>
      </c>
      <c r="DZ860" s="2" t="n">
        <v>75.18</v>
      </c>
      <c r="EA860" s="2" t="n">
        <v>0</v>
      </c>
      <c r="EB860" s="2" t="n">
        <v>80.93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 customFormat="false" ht="15" hidden="false" customHeight="false" outlineLevel="0" collapsed="false">
      <c r="A861" s="2" t="n">
        <v>3</v>
      </c>
      <c r="B861" s="2" t="s">
        <v>2097</v>
      </c>
      <c r="C861" s="2" t="s">
        <v>2098</v>
      </c>
      <c r="D861" s="2" t="s">
        <v>1331</v>
      </c>
      <c r="E861" s="2" t="s">
        <v>1446</v>
      </c>
      <c r="F861" s="2" t="n">
        <v>557.750896009795</v>
      </c>
      <c r="G861" s="2" t="n">
        <v>0</v>
      </c>
      <c r="H861" s="2" t="n">
        <v>557.750896009795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66.21</v>
      </c>
      <c r="DX861" s="2" t="n">
        <v>0</v>
      </c>
      <c r="DY861" s="2" t="n">
        <v>72.79</v>
      </c>
      <c r="DZ861" s="2" t="n">
        <v>75.18</v>
      </c>
      <c r="EA861" s="2" t="n">
        <v>0</v>
      </c>
      <c r="EB861" s="2" t="n">
        <v>80.93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 customFormat="false" ht="15" hidden="false" customHeight="false" outlineLevel="0" collapsed="false">
      <c r="A862" s="2" t="n">
        <v>2</v>
      </c>
      <c r="B862" s="2" t="s">
        <v>2099</v>
      </c>
      <c r="C862" s="2" t="s">
        <v>2100</v>
      </c>
      <c r="D862" s="2" t="s">
        <v>1331</v>
      </c>
      <c r="E862" s="2" t="s">
        <v>1446</v>
      </c>
      <c r="F862" s="2" t="n">
        <v>145390.412180426</v>
      </c>
      <c r="G862" s="2" t="n">
        <v>0</v>
      </c>
      <c r="H862" s="2" t="n">
        <v>145390.412180426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66.21</v>
      </c>
      <c r="DX862" s="2" t="n">
        <v>0</v>
      </c>
      <c r="DY862" s="2" t="n">
        <v>72.79</v>
      </c>
      <c r="DZ862" s="2" t="n">
        <v>75.18</v>
      </c>
      <c r="EA862" s="2" t="n">
        <v>0</v>
      </c>
      <c r="EB862" s="2" t="n">
        <v>80.93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 customFormat="false" ht="15" hidden="false" customHeight="false" outlineLevel="0" collapsed="false">
      <c r="A863" s="2" t="n">
        <v>3</v>
      </c>
      <c r="B863" s="2" t="s">
        <v>2101</v>
      </c>
      <c r="C863" s="2" t="s">
        <v>2102</v>
      </c>
      <c r="D863" s="2" t="s">
        <v>1331</v>
      </c>
      <c r="E863" s="2" t="s">
        <v>1446</v>
      </c>
      <c r="F863" s="2" t="n">
        <v>102621.736197734</v>
      </c>
      <c r="G863" s="2" t="n">
        <v>0</v>
      </c>
      <c r="H863" s="2" t="n">
        <v>102621.736197734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66.21</v>
      </c>
      <c r="DX863" s="2" t="n">
        <v>0</v>
      </c>
      <c r="DY863" s="2" t="n">
        <v>72.79</v>
      </c>
      <c r="DZ863" s="2" t="n">
        <v>75.18</v>
      </c>
      <c r="EA863" s="2" t="n">
        <v>0</v>
      </c>
      <c r="EB863" s="2" t="n">
        <v>80.93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 customFormat="false" ht="15" hidden="false" customHeight="false" outlineLevel="0" collapsed="false">
      <c r="A864" s="2" t="n">
        <v>3</v>
      </c>
      <c r="B864" s="2" t="s">
        <v>2103</v>
      </c>
      <c r="C864" s="2" t="s">
        <v>2104</v>
      </c>
      <c r="D864" s="2" t="s">
        <v>1331</v>
      </c>
      <c r="E864" s="2" t="s">
        <v>1446</v>
      </c>
      <c r="F864" s="2" t="n">
        <v>444.321146892538</v>
      </c>
      <c r="G864" s="2" t="n">
        <v>0</v>
      </c>
      <c r="H864" s="2" t="n">
        <v>444.321146892538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66.21</v>
      </c>
      <c r="DX864" s="2" t="n">
        <v>0</v>
      </c>
      <c r="DY864" s="2" t="n">
        <v>72.79</v>
      </c>
      <c r="DZ864" s="2" t="n">
        <v>75.18</v>
      </c>
      <c r="EA864" s="2" t="n">
        <v>0</v>
      </c>
      <c r="EB864" s="2" t="n">
        <v>80.93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 customFormat="false" ht="15" hidden="false" customHeight="false" outlineLevel="0" collapsed="false">
      <c r="A865" s="2" t="n">
        <v>3</v>
      </c>
      <c r="B865" s="2" t="s">
        <v>2105</v>
      </c>
      <c r="C865" s="2" t="s">
        <v>2087</v>
      </c>
      <c r="D865" s="2" t="s">
        <v>1331</v>
      </c>
      <c r="E865" s="2" t="s">
        <v>1446</v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66.21</v>
      </c>
      <c r="DX865" s="2" t="n">
        <v>0</v>
      </c>
      <c r="DY865" s="2" t="n">
        <v>72.79</v>
      </c>
      <c r="DZ865" s="2" t="n">
        <v>75.18</v>
      </c>
      <c r="EA865" s="2" t="n">
        <v>0</v>
      </c>
      <c r="EB865" s="2" t="n">
        <v>80.93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 customFormat="false" ht="15" hidden="false" customHeight="false" outlineLevel="0" collapsed="false">
      <c r="A866" s="2" t="n">
        <v>3</v>
      </c>
      <c r="B866" s="2" t="s">
        <v>2106</v>
      </c>
      <c r="C866" s="2" t="s">
        <v>2107</v>
      </c>
      <c r="D866" s="2" t="s">
        <v>1331</v>
      </c>
      <c r="E866" s="2" t="s">
        <v>1446</v>
      </c>
      <c r="F866" s="2" t="n">
        <v>203.100358403918</v>
      </c>
      <c r="G866" s="2" t="n">
        <v>0</v>
      </c>
      <c r="H866" s="2" t="n">
        <v>203.100358403918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66.21</v>
      </c>
      <c r="DX866" s="2" t="n">
        <v>0</v>
      </c>
      <c r="DY866" s="2" t="n">
        <v>72.79</v>
      </c>
      <c r="DZ866" s="2" t="n">
        <v>75.18</v>
      </c>
      <c r="EA866" s="2" t="n">
        <v>0</v>
      </c>
      <c r="EB866" s="2" t="n">
        <v>80.93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 customFormat="false" ht="15" hidden="false" customHeight="false" outlineLevel="0" collapsed="false">
      <c r="A867" s="2" t="n">
        <v>3</v>
      </c>
      <c r="B867" s="2" t="s">
        <v>2108</v>
      </c>
      <c r="C867" s="2" t="s">
        <v>2109</v>
      </c>
      <c r="D867" s="2" t="s">
        <v>1331</v>
      </c>
      <c r="E867" s="2" t="s">
        <v>1446</v>
      </c>
      <c r="F867" s="2" t="n">
        <v>4238.11827859983</v>
      </c>
      <c r="G867" s="2" t="n">
        <v>0</v>
      </c>
      <c r="H867" s="2" t="n">
        <v>4238.11827859983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66.21</v>
      </c>
      <c r="DX867" s="2" t="n">
        <v>0</v>
      </c>
      <c r="DY867" s="2" t="n">
        <v>72.79</v>
      </c>
      <c r="DZ867" s="2" t="n">
        <v>75.18</v>
      </c>
      <c r="EA867" s="2" t="n">
        <v>0</v>
      </c>
      <c r="EB867" s="2" t="n">
        <v>80.93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 customFormat="false" ht="15" hidden="false" customHeight="false" outlineLevel="0" collapsed="false">
      <c r="A868" s="2" t="n">
        <v>3</v>
      </c>
      <c r="B868" s="2" t="s">
        <v>2110</v>
      </c>
      <c r="C868" s="2" t="s">
        <v>2111</v>
      </c>
      <c r="D868" s="2" t="s">
        <v>1331</v>
      </c>
      <c r="E868" s="2" t="s">
        <v>1446</v>
      </c>
      <c r="F868" s="2" t="n">
        <v>11155.0179201959</v>
      </c>
      <c r="G868" s="2" t="n">
        <v>0</v>
      </c>
      <c r="H868" s="2" t="n">
        <v>11155.0179201959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66.21</v>
      </c>
      <c r="DX868" s="2" t="n">
        <v>0</v>
      </c>
      <c r="DY868" s="2" t="n">
        <v>72.79</v>
      </c>
      <c r="DZ868" s="2" t="n">
        <v>75.18</v>
      </c>
      <c r="EA868" s="2" t="n">
        <v>0</v>
      </c>
      <c r="EB868" s="2" t="n">
        <v>80.93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 customFormat="false" ht="15" hidden="false" customHeight="false" outlineLevel="0" collapsed="false">
      <c r="A869" s="2" t="n">
        <v>3</v>
      </c>
      <c r="B869" s="2" t="s">
        <v>2112</v>
      </c>
      <c r="C869" s="2" t="s">
        <v>2098</v>
      </c>
      <c r="D869" s="2" t="s">
        <v>1331</v>
      </c>
      <c r="E869" s="2" t="s">
        <v>1446</v>
      </c>
      <c r="F869" s="2" t="n">
        <v>73.1003584039181</v>
      </c>
      <c r="G869" s="2" t="n">
        <v>0</v>
      </c>
      <c r="H869" s="2" t="n">
        <v>73.1003584039181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66.21</v>
      </c>
      <c r="DX869" s="2" t="n">
        <v>0</v>
      </c>
      <c r="DY869" s="2" t="n">
        <v>72.79</v>
      </c>
      <c r="DZ869" s="2" t="n">
        <v>75.18</v>
      </c>
      <c r="EA869" s="2" t="n">
        <v>0</v>
      </c>
      <c r="EB869" s="2" t="n">
        <v>80.93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 customFormat="false" ht="15" hidden="false" customHeight="false" outlineLevel="0" collapsed="false">
      <c r="A870" s="2" t="n">
        <v>2</v>
      </c>
      <c r="B870" s="2" t="s">
        <v>2113</v>
      </c>
      <c r="C870" s="2" t="s">
        <v>2114</v>
      </c>
      <c r="D870" s="2" t="s">
        <v>1331</v>
      </c>
      <c r="E870" s="2" t="s">
        <v>1446</v>
      </c>
      <c r="F870" s="2" t="n">
        <v>163811.126771711</v>
      </c>
      <c r="G870" s="2" t="n">
        <v>0</v>
      </c>
      <c r="H870" s="2" t="n">
        <v>163811.126771711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66.21</v>
      </c>
      <c r="DX870" s="2" t="n">
        <v>0</v>
      </c>
      <c r="DY870" s="2" t="n">
        <v>72.79</v>
      </c>
      <c r="DZ870" s="2" t="n">
        <v>75.18</v>
      </c>
      <c r="EA870" s="2" t="n">
        <v>0</v>
      </c>
      <c r="EB870" s="2" t="n">
        <v>80.93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 customFormat="false" ht="15" hidden="false" customHeight="false" outlineLevel="0" collapsed="false">
      <c r="A871" s="2" t="n">
        <v>3</v>
      </c>
      <c r="B871" s="2" t="s">
        <v>2115</v>
      </c>
      <c r="C871" s="2" t="s">
        <v>2116</v>
      </c>
      <c r="D871" s="2" t="s">
        <v>1331</v>
      </c>
      <c r="E871" s="2" t="s">
        <v>1446</v>
      </c>
      <c r="F871" s="2" t="n">
        <v>306.550179201959</v>
      </c>
      <c r="G871" s="2" t="n">
        <v>0</v>
      </c>
      <c r="H871" s="2" t="n">
        <v>306.550179201959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66.21</v>
      </c>
      <c r="DX871" s="2" t="n">
        <v>0</v>
      </c>
      <c r="DY871" s="2" t="n">
        <v>72.79</v>
      </c>
      <c r="DZ871" s="2" t="n">
        <v>75.18</v>
      </c>
      <c r="EA871" s="2" t="n">
        <v>0</v>
      </c>
      <c r="EB871" s="2" t="n">
        <v>80.93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 customFormat="false" ht="15" hidden="false" customHeight="false" outlineLevel="0" collapsed="false">
      <c r="A872" s="2" t="n">
        <v>3</v>
      </c>
      <c r="B872" s="2" t="s">
        <v>2117</v>
      </c>
      <c r="C872" s="2" t="s">
        <v>2118</v>
      </c>
      <c r="D872" s="2" t="s">
        <v>1331</v>
      </c>
      <c r="E872" s="2" t="s">
        <v>1446</v>
      </c>
      <c r="F872" s="2" t="n">
        <v>657.750896009795</v>
      </c>
      <c r="G872" s="2" t="n">
        <v>0</v>
      </c>
      <c r="H872" s="2" t="n">
        <v>657.750896009795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66.21</v>
      </c>
      <c r="DX872" s="2" t="n">
        <v>0</v>
      </c>
      <c r="DY872" s="2" t="n">
        <v>72.79</v>
      </c>
      <c r="DZ872" s="2" t="n">
        <v>75.18</v>
      </c>
      <c r="EA872" s="2" t="n">
        <v>0</v>
      </c>
      <c r="EB872" s="2" t="n">
        <v>80.93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 customFormat="false" ht="15" hidden="false" customHeight="false" outlineLevel="0" collapsed="false">
      <c r="A873" s="2" t="n">
        <v>3</v>
      </c>
      <c r="B873" s="2" t="s">
        <v>2119</v>
      </c>
      <c r="C873" s="2" t="s">
        <v>2120</v>
      </c>
      <c r="D873" s="2" t="s">
        <v>1331</v>
      </c>
      <c r="E873" s="2" t="s">
        <v>1446</v>
      </c>
      <c r="F873" s="2" t="n">
        <v>369.301075211754</v>
      </c>
      <c r="G873" s="2" t="n">
        <v>0</v>
      </c>
      <c r="H873" s="2" t="n">
        <v>369.301075211754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66.21</v>
      </c>
      <c r="DX873" s="2" t="n">
        <v>0</v>
      </c>
      <c r="DY873" s="2" t="n">
        <v>72.79</v>
      </c>
      <c r="DZ873" s="2" t="n">
        <v>75.18</v>
      </c>
      <c r="EA873" s="2" t="n">
        <v>0</v>
      </c>
      <c r="EB873" s="2" t="n">
        <v>80.93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 customFormat="false" ht="15" hidden="false" customHeight="false" outlineLevel="0" collapsed="false">
      <c r="A874" s="2" t="n">
        <v>3</v>
      </c>
      <c r="B874" s="2" t="s">
        <v>2121</v>
      </c>
      <c r="C874" s="2" t="s">
        <v>2122</v>
      </c>
      <c r="D874" s="2" t="s">
        <v>1331</v>
      </c>
      <c r="E874" s="2" t="s">
        <v>1446</v>
      </c>
      <c r="F874" s="2" t="n">
        <v>162477.524621288</v>
      </c>
      <c r="G874" s="2" t="n">
        <v>0</v>
      </c>
      <c r="H874" s="2" t="n">
        <v>162477.524621288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66.21</v>
      </c>
      <c r="DX874" s="2" t="n">
        <v>0</v>
      </c>
      <c r="DY874" s="2" t="n">
        <v>72.79</v>
      </c>
      <c r="DZ874" s="2" t="n">
        <v>75.18</v>
      </c>
      <c r="EA874" s="2" t="n">
        <v>0</v>
      </c>
      <c r="EB874" s="2" t="n">
        <v>80.93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 customFormat="false" ht="15" hidden="false" customHeight="false" outlineLevel="0" collapsed="false">
      <c r="A875" s="2" t="n">
        <v>2</v>
      </c>
      <c r="B875" s="2" t="s">
        <v>2123</v>
      </c>
      <c r="C875" s="2" t="s">
        <v>2124</v>
      </c>
      <c r="D875" s="2" t="s">
        <v>1331</v>
      </c>
      <c r="E875" s="2" t="s">
        <v>1446</v>
      </c>
      <c r="F875" s="2" t="n">
        <v>25561.2891175961</v>
      </c>
      <c r="G875" s="2" t="n">
        <v>0</v>
      </c>
      <c r="H875" s="2" t="n">
        <v>25561.2891175961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66.21</v>
      </c>
      <c r="DX875" s="2" t="n">
        <v>0</v>
      </c>
      <c r="DY875" s="2" t="n">
        <v>72.79</v>
      </c>
      <c r="DZ875" s="2" t="n">
        <v>75.18</v>
      </c>
      <c r="EA875" s="2" t="n">
        <v>0</v>
      </c>
      <c r="EB875" s="2" t="n">
        <v>80.93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 customFormat="false" ht="15" hidden="false" customHeight="false" outlineLevel="0" collapsed="false">
      <c r="A876" s="2" t="n">
        <v>3</v>
      </c>
      <c r="B876" s="2" t="s">
        <v>2125</v>
      </c>
      <c r="C876" s="2" t="s">
        <v>2126</v>
      </c>
      <c r="D876" s="2" t="s">
        <v>1331</v>
      </c>
      <c r="E876" s="2" t="s">
        <v>1446</v>
      </c>
      <c r="F876" s="2" t="n">
        <v>8901.79159402301</v>
      </c>
      <c r="G876" s="2" t="n">
        <v>0</v>
      </c>
      <c r="H876" s="2" t="n">
        <v>8901.79159402301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66.21</v>
      </c>
      <c r="DX876" s="2" t="n">
        <v>0</v>
      </c>
      <c r="DY876" s="2" t="n">
        <v>72.79</v>
      </c>
      <c r="DZ876" s="2" t="n">
        <v>75.18</v>
      </c>
      <c r="EA876" s="2" t="n">
        <v>0</v>
      </c>
      <c r="EB876" s="2" t="n">
        <v>80.93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 customFormat="false" ht="15" hidden="false" customHeight="false" outlineLevel="0" collapsed="false">
      <c r="A877" s="2" t="n">
        <v>3</v>
      </c>
      <c r="B877" s="2" t="s">
        <v>2127</v>
      </c>
      <c r="C877" s="2" t="s">
        <v>2128</v>
      </c>
      <c r="D877" s="2" t="s">
        <v>1331</v>
      </c>
      <c r="E877" s="2" t="s">
        <v>1446</v>
      </c>
      <c r="F877" s="2" t="n">
        <v>5029.39044298195</v>
      </c>
      <c r="G877" s="2" t="n">
        <v>0</v>
      </c>
      <c r="H877" s="2" t="n">
        <v>5029.39044298195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66.21</v>
      </c>
      <c r="DX877" s="2" t="n">
        <v>0</v>
      </c>
      <c r="DY877" s="2" t="n">
        <v>72.79</v>
      </c>
      <c r="DZ877" s="2" t="n">
        <v>75.18</v>
      </c>
      <c r="EA877" s="2" t="n">
        <v>0</v>
      </c>
      <c r="EB877" s="2" t="n">
        <v>80.93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 customFormat="false" ht="15" hidden="false" customHeight="false" outlineLevel="0" collapsed="false">
      <c r="A878" s="2" t="n">
        <v>3</v>
      </c>
      <c r="B878" s="2" t="s">
        <v>2129</v>
      </c>
      <c r="C878" s="2" t="s">
        <v>2130</v>
      </c>
      <c r="D878" s="2" t="s">
        <v>1331</v>
      </c>
      <c r="E878" s="2" t="s">
        <v>1446</v>
      </c>
      <c r="F878" s="2" t="n">
        <v>8172.75946984567</v>
      </c>
      <c r="G878" s="2" t="n">
        <v>0</v>
      </c>
      <c r="H878" s="2" t="n">
        <v>8172.75946984567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66.21</v>
      </c>
      <c r="DX878" s="2" t="n">
        <v>0</v>
      </c>
      <c r="DY878" s="2" t="n">
        <v>72.79</v>
      </c>
      <c r="DZ878" s="2" t="n">
        <v>75.18</v>
      </c>
      <c r="EA878" s="2" t="n">
        <v>0</v>
      </c>
      <c r="EB878" s="2" t="n">
        <v>80.93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 customFormat="false" ht="15" hidden="false" customHeight="false" outlineLevel="0" collapsed="false">
      <c r="A879" s="2" t="n">
        <v>3</v>
      </c>
      <c r="B879" s="2" t="s">
        <v>2131</v>
      </c>
      <c r="C879" s="2" t="s">
        <v>2132</v>
      </c>
      <c r="D879" s="2" t="s">
        <v>1331</v>
      </c>
      <c r="E879" s="2" t="s">
        <v>1446</v>
      </c>
      <c r="F879" s="2" t="n">
        <v>3457.34761074549</v>
      </c>
      <c r="G879" s="2" t="n">
        <v>0</v>
      </c>
      <c r="H879" s="2" t="n">
        <v>3457.34761074549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66.21</v>
      </c>
      <c r="DX879" s="2" t="n">
        <v>0</v>
      </c>
      <c r="DY879" s="2" t="n">
        <v>72.79</v>
      </c>
      <c r="DZ879" s="2" t="n">
        <v>75.18</v>
      </c>
      <c r="EA879" s="2" t="n">
        <v>0</v>
      </c>
      <c r="EB879" s="2" t="n">
        <v>80.93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 customFormat="false" ht="15" hidden="false" customHeight="false" outlineLevel="0" collapsed="false">
      <c r="A880" s="2" t="n">
        <v>2</v>
      </c>
      <c r="B880" s="2" t="s">
        <v>2133</v>
      </c>
      <c r="C880" s="2" t="s">
        <v>1600</v>
      </c>
      <c r="D880" s="2" t="s">
        <v>1331</v>
      </c>
      <c r="E880" s="2" t="s">
        <v>1446</v>
      </c>
      <c r="F880" s="2" t="n">
        <v>239592.494838453</v>
      </c>
      <c r="G880" s="2" t="n">
        <v>0</v>
      </c>
      <c r="H880" s="2" t="n">
        <v>239592.494838453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66.21</v>
      </c>
      <c r="DX880" s="2" t="n">
        <v>0</v>
      </c>
      <c r="DY880" s="2" t="n">
        <v>72.79</v>
      </c>
      <c r="DZ880" s="2" t="n">
        <v>75.18</v>
      </c>
      <c r="EA880" s="2" t="n">
        <v>0</v>
      </c>
      <c r="EB880" s="2" t="n">
        <v>80.93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 customFormat="false" ht="15" hidden="false" customHeight="false" outlineLevel="0" collapsed="false">
      <c r="A881" s="2" t="n">
        <v>3</v>
      </c>
      <c r="B881" s="2" t="s">
        <v>2134</v>
      </c>
      <c r="C881" s="2" t="s">
        <v>2135</v>
      </c>
      <c r="D881" s="2" t="s">
        <v>1331</v>
      </c>
      <c r="E881" s="2" t="s">
        <v>1446</v>
      </c>
      <c r="F881" s="2" t="n">
        <v>2201.8548384529</v>
      </c>
      <c r="G881" s="2" t="n">
        <v>0</v>
      </c>
      <c r="H881" s="2" t="n">
        <v>2201.8548384529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66.21</v>
      </c>
      <c r="DX881" s="2" t="n">
        <v>0</v>
      </c>
      <c r="DY881" s="2" t="n">
        <v>72.79</v>
      </c>
      <c r="DZ881" s="2" t="n">
        <v>75.18</v>
      </c>
      <c r="EA881" s="2" t="n">
        <v>0</v>
      </c>
      <c r="EB881" s="2" t="n">
        <v>80.93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 customFormat="false" ht="15" hidden="false" customHeight="false" outlineLevel="0" collapsed="false">
      <c r="A882" s="2" t="n">
        <v>3</v>
      </c>
      <c r="B882" s="2" t="s">
        <v>2136</v>
      </c>
      <c r="C882" s="2" t="s">
        <v>2137</v>
      </c>
      <c r="D882" s="2" t="s">
        <v>1331</v>
      </c>
      <c r="E882" s="2" t="s">
        <v>1446</v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66.21</v>
      </c>
      <c r="DX882" s="2" t="n">
        <v>0</v>
      </c>
      <c r="DY882" s="2" t="n">
        <v>72.79</v>
      </c>
      <c r="DZ882" s="2" t="n">
        <v>75.18</v>
      </c>
      <c r="EA882" s="2" t="n">
        <v>0</v>
      </c>
      <c r="EB882" s="2" t="n">
        <v>80.93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 customFormat="false" ht="15" hidden="false" customHeight="false" outlineLevel="0" collapsed="false">
      <c r="A883" s="2" t="n">
        <v>3</v>
      </c>
      <c r="B883" s="2" t="s">
        <v>2138</v>
      </c>
      <c r="C883" s="2" t="s">
        <v>2139</v>
      </c>
      <c r="D883" s="2" t="s">
        <v>1331</v>
      </c>
      <c r="E883" s="2" t="s">
        <v>1446</v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66.21</v>
      </c>
      <c r="DX883" s="2" t="n">
        <v>0</v>
      </c>
      <c r="DY883" s="2" t="n">
        <v>72.79</v>
      </c>
      <c r="DZ883" s="2" t="n">
        <v>75.18</v>
      </c>
      <c r="EA883" s="2" t="n">
        <v>0</v>
      </c>
      <c r="EB883" s="2" t="n">
        <v>80.93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 customFormat="false" ht="15" hidden="false" customHeight="false" outlineLevel="0" collapsed="false">
      <c r="A884" s="2" t="n">
        <v>3</v>
      </c>
      <c r="B884" s="2" t="s">
        <v>2140</v>
      </c>
      <c r="C884" s="2" t="s">
        <v>2141</v>
      </c>
      <c r="D884" s="2" t="s">
        <v>1331</v>
      </c>
      <c r="E884" s="2" t="s">
        <v>1446</v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66.21</v>
      </c>
      <c r="DX884" s="2" t="n">
        <v>0</v>
      </c>
      <c r="DY884" s="2" t="n">
        <v>72.79</v>
      </c>
      <c r="DZ884" s="2" t="n">
        <v>75.18</v>
      </c>
      <c r="EA884" s="2" t="n">
        <v>0</v>
      </c>
      <c r="EB884" s="2" t="n">
        <v>80.93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 customFormat="false" ht="15" hidden="false" customHeight="false" outlineLevel="0" collapsed="false">
      <c r="A885" s="2" t="n">
        <v>3</v>
      </c>
      <c r="B885" s="2" t="s">
        <v>2142</v>
      </c>
      <c r="C885" s="2" t="s">
        <v>2143</v>
      </c>
      <c r="D885" s="2" t="s">
        <v>1331</v>
      </c>
      <c r="E885" s="2" t="s">
        <v>1446</v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66.21</v>
      </c>
      <c r="DX885" s="2" t="n">
        <v>0</v>
      </c>
      <c r="DY885" s="2" t="n">
        <v>72.79</v>
      </c>
      <c r="DZ885" s="2" t="n">
        <v>75.18</v>
      </c>
      <c r="EA885" s="2" t="n">
        <v>0</v>
      </c>
      <c r="EB885" s="2" t="n">
        <v>80.93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 customFormat="false" ht="15" hidden="false" customHeight="false" outlineLevel="0" collapsed="false">
      <c r="A886" s="2" t="n">
        <v>3</v>
      </c>
      <c r="B886" s="2" t="s">
        <v>2144</v>
      </c>
      <c r="C886" s="2" t="s">
        <v>2145</v>
      </c>
      <c r="D886" s="2" t="s">
        <v>1331</v>
      </c>
      <c r="E886" s="2" t="s">
        <v>1446</v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66.21</v>
      </c>
      <c r="DX886" s="2" t="n">
        <v>0</v>
      </c>
      <c r="DY886" s="2" t="n">
        <v>72.79</v>
      </c>
      <c r="DZ886" s="2" t="n">
        <v>75.18</v>
      </c>
      <c r="EA886" s="2" t="n">
        <v>0</v>
      </c>
      <c r="EB886" s="2" t="n">
        <v>80.93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 customFormat="false" ht="15" hidden="false" customHeight="false" outlineLevel="0" collapsed="false">
      <c r="A887" s="2" t="n">
        <v>3</v>
      </c>
      <c r="B887" s="2" t="s">
        <v>2146</v>
      </c>
      <c r="C887" s="2" t="s">
        <v>2147</v>
      </c>
      <c r="D887" s="2" t="s">
        <v>1331</v>
      </c>
      <c r="E887" s="2" t="s">
        <v>1446</v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66.21</v>
      </c>
      <c r="DX887" s="2" t="n">
        <v>0</v>
      </c>
      <c r="DY887" s="2" t="n">
        <v>72.79</v>
      </c>
      <c r="DZ887" s="2" t="n">
        <v>75.18</v>
      </c>
      <c r="EA887" s="2" t="n">
        <v>0</v>
      </c>
      <c r="EB887" s="2" t="n">
        <v>80.93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 customFormat="false" ht="15" hidden="false" customHeight="false" outlineLevel="0" collapsed="false">
      <c r="A888" s="2" t="n">
        <v>3</v>
      </c>
      <c r="B888" s="2" t="s">
        <v>2148</v>
      </c>
      <c r="C888" s="2" t="s">
        <v>2149</v>
      </c>
      <c r="D888" s="2" t="s">
        <v>1331</v>
      </c>
      <c r="E888" s="2" t="s">
        <v>1446</v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66.21</v>
      </c>
      <c r="DX888" s="2" t="n">
        <v>0</v>
      </c>
      <c r="DY888" s="2" t="n">
        <v>72.79</v>
      </c>
      <c r="DZ888" s="2" t="n">
        <v>75.18</v>
      </c>
      <c r="EA888" s="2" t="n">
        <v>0</v>
      </c>
      <c r="EB888" s="2" t="n">
        <v>80.93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 customFormat="false" ht="15" hidden="false" customHeight="false" outlineLevel="0" collapsed="false">
      <c r="A889" s="2" t="n">
        <v>3</v>
      </c>
      <c r="B889" s="2" t="s">
        <v>2150</v>
      </c>
      <c r="C889" s="2" t="s">
        <v>2151</v>
      </c>
      <c r="D889" s="2" t="s">
        <v>1331</v>
      </c>
      <c r="E889" s="2" t="s">
        <v>1446</v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66.21</v>
      </c>
      <c r="DX889" s="2" t="n">
        <v>0</v>
      </c>
      <c r="DY889" s="2" t="n">
        <v>72.79</v>
      </c>
      <c r="DZ889" s="2" t="n">
        <v>75.18</v>
      </c>
      <c r="EA889" s="2" t="n">
        <v>0</v>
      </c>
      <c r="EB889" s="2" t="n">
        <v>80.93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 customFormat="false" ht="15" hidden="false" customHeight="false" outlineLevel="0" collapsed="false">
      <c r="A890" s="2" t="n">
        <v>3</v>
      </c>
      <c r="B890" s="2" t="s">
        <v>2152</v>
      </c>
      <c r="C890" s="2" t="s">
        <v>2153</v>
      </c>
      <c r="D890" s="2" t="s">
        <v>1331</v>
      </c>
      <c r="E890" s="2" t="s">
        <v>1446</v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66.21</v>
      </c>
      <c r="DX890" s="2" t="n">
        <v>0</v>
      </c>
      <c r="DY890" s="2" t="n">
        <v>72.79</v>
      </c>
      <c r="DZ890" s="2" t="n">
        <v>75.18</v>
      </c>
      <c r="EA890" s="2" t="n">
        <v>0</v>
      </c>
      <c r="EB890" s="2" t="n">
        <v>80.93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 customFormat="false" ht="15" hidden="false" customHeight="false" outlineLevel="0" collapsed="false">
      <c r="A891" s="2" t="n">
        <v>3</v>
      </c>
      <c r="B891" s="2" t="s">
        <v>2154</v>
      </c>
      <c r="C891" s="2" t="s">
        <v>2155</v>
      </c>
      <c r="D891" s="2" t="s">
        <v>1331</v>
      </c>
      <c r="E891" s="2" t="s">
        <v>1446</v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66.21</v>
      </c>
      <c r="DX891" s="2" t="n">
        <v>0</v>
      </c>
      <c r="DY891" s="2" t="n">
        <v>72.79</v>
      </c>
      <c r="DZ891" s="2" t="n">
        <v>75.18</v>
      </c>
      <c r="EA891" s="2" t="n">
        <v>0</v>
      </c>
      <c r="EB891" s="2" t="n">
        <v>80.93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 customFormat="false" ht="15" hidden="false" customHeight="false" outlineLevel="0" collapsed="false">
      <c r="A892" s="2" t="n">
        <v>1</v>
      </c>
      <c r="B892" s="2" t="s">
        <v>223</v>
      </c>
      <c r="C892" s="2" t="s">
        <v>225</v>
      </c>
      <c r="D892" s="2" t="s">
        <v>949</v>
      </c>
      <c r="E892" s="2" t="s">
        <v>2156</v>
      </c>
      <c r="F892" s="2" t="n">
        <v>3676746.93263781</v>
      </c>
      <c r="G892" s="2" t="n">
        <v>0</v>
      </c>
      <c r="H892" s="2" t="n">
        <v>3676746.93263781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</v>
      </c>
      <c r="ED892" s="2" t="n">
        <v>0</v>
      </c>
      <c r="EE892" s="2" t="n">
        <v>78.14</v>
      </c>
      <c r="EF892" s="2" t="n">
        <v>81.96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98.46</v>
      </c>
      <c r="ER892" s="2" t="n">
        <v>98.46</v>
      </c>
      <c r="ES892" s="2" t="n">
        <v>0</v>
      </c>
    </row>
    <row r="893" customFormat="false" ht="15" hidden="false" customHeight="false" outlineLevel="0" collapsed="false">
      <c r="A893" s="2" t="n">
        <v>2</v>
      </c>
      <c r="B893" s="2" t="s">
        <v>2157</v>
      </c>
      <c r="C893" s="2" t="s">
        <v>2158</v>
      </c>
      <c r="D893" s="2" t="s">
        <v>2159</v>
      </c>
      <c r="E893" s="2" t="s">
        <v>2156</v>
      </c>
      <c r="F893" s="2" t="n">
        <v>2249424.42009264</v>
      </c>
      <c r="G893" s="2" t="n">
        <v>0</v>
      </c>
      <c r="H893" s="2" t="n">
        <v>2249424.42009264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8.86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</v>
      </c>
      <c r="EA893" s="2" t="n">
        <v>0</v>
      </c>
      <c r="EB893" s="2" t="n">
        <v>76.32</v>
      </c>
      <c r="EC893" s="2" t="n">
        <v>78.27</v>
      </c>
      <c r="ED893" s="2" t="n">
        <v>0</v>
      </c>
      <c r="EE893" s="2" t="n">
        <v>82.22</v>
      </c>
      <c r="EF893" s="2" t="n">
        <v>84.26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96.85</v>
      </c>
      <c r="EM893" s="2" t="n">
        <v>0</v>
      </c>
      <c r="EN893" s="2" t="n">
        <v>99.82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 customFormat="false" ht="15" hidden="false" customHeight="false" outlineLevel="0" collapsed="false">
      <c r="A894" s="2" t="n">
        <v>3</v>
      </c>
      <c r="B894" s="2" t="s">
        <v>2160</v>
      </c>
      <c r="C894" s="2" t="s">
        <v>1808</v>
      </c>
      <c r="D894" s="2" t="s">
        <v>2159</v>
      </c>
      <c r="E894" s="2" t="s">
        <v>2156</v>
      </c>
      <c r="F894" s="2" t="n">
        <v>553494.836813028</v>
      </c>
      <c r="G894" s="2" t="n">
        <v>0</v>
      </c>
      <c r="H894" s="2" t="n">
        <v>553494.836813028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8.86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</v>
      </c>
      <c r="EA894" s="2" t="n">
        <v>0</v>
      </c>
      <c r="EB894" s="2" t="n">
        <v>76.32</v>
      </c>
      <c r="EC894" s="2" t="n">
        <v>78.27</v>
      </c>
      <c r="ED894" s="2" t="n">
        <v>0</v>
      </c>
      <c r="EE894" s="2" t="n">
        <v>82.22</v>
      </c>
      <c r="EF894" s="2" t="n">
        <v>84.26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96.85</v>
      </c>
      <c r="EM894" s="2" t="n">
        <v>0</v>
      </c>
      <c r="EN894" s="2" t="n">
        <v>99.82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 customFormat="false" ht="15" hidden="false" customHeight="false" outlineLevel="0" collapsed="false">
      <c r="A895" s="2" t="n">
        <v>3</v>
      </c>
      <c r="B895" s="2" t="s">
        <v>2161</v>
      </c>
      <c r="C895" s="2" t="s">
        <v>1808</v>
      </c>
      <c r="D895" s="2" t="s">
        <v>2159</v>
      </c>
      <c r="E895" s="2" t="s">
        <v>2156</v>
      </c>
      <c r="F895" s="2" t="n">
        <v>553494.836813028</v>
      </c>
      <c r="G895" s="2" t="n">
        <v>0</v>
      </c>
      <c r="H895" s="2" t="n">
        <v>553494.836813028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8.86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</v>
      </c>
      <c r="EA895" s="2" t="n">
        <v>0</v>
      </c>
      <c r="EB895" s="2" t="n">
        <v>76.32</v>
      </c>
      <c r="EC895" s="2" t="n">
        <v>78.27</v>
      </c>
      <c r="ED895" s="2" t="n">
        <v>0</v>
      </c>
      <c r="EE895" s="2" t="n">
        <v>82.22</v>
      </c>
      <c r="EF895" s="2" t="n">
        <v>84.26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96.85</v>
      </c>
      <c r="EM895" s="2" t="n">
        <v>0</v>
      </c>
      <c r="EN895" s="2" t="n">
        <v>99.82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 customFormat="false" ht="15" hidden="false" customHeight="false" outlineLevel="0" collapsed="false">
      <c r="A896" s="2" t="n">
        <v>3</v>
      </c>
      <c r="B896" s="2" t="s">
        <v>2162</v>
      </c>
      <c r="C896" s="2" t="s">
        <v>2163</v>
      </c>
      <c r="D896" s="2" t="s">
        <v>2159</v>
      </c>
      <c r="E896" s="2" t="s">
        <v>2156</v>
      </c>
      <c r="F896" s="2" t="n">
        <v>65171.2591944181</v>
      </c>
      <c r="G896" s="2" t="n">
        <v>0</v>
      </c>
      <c r="H896" s="2" t="n">
        <v>65171.2591944181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8.86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</v>
      </c>
      <c r="EA896" s="2" t="n">
        <v>0</v>
      </c>
      <c r="EB896" s="2" t="n">
        <v>76.32</v>
      </c>
      <c r="EC896" s="2" t="n">
        <v>78.27</v>
      </c>
      <c r="ED896" s="2" t="n">
        <v>0</v>
      </c>
      <c r="EE896" s="2" t="n">
        <v>82.22</v>
      </c>
      <c r="EF896" s="2" t="n">
        <v>84.26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96.85</v>
      </c>
      <c r="EM896" s="2" t="n">
        <v>0</v>
      </c>
      <c r="EN896" s="2" t="n">
        <v>99.82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 customFormat="false" ht="15" hidden="false" customHeight="false" outlineLevel="0" collapsed="false">
      <c r="A897" s="2" t="n">
        <v>3</v>
      </c>
      <c r="B897" s="2" t="s">
        <v>2164</v>
      </c>
      <c r="C897" s="2" t="s">
        <v>2165</v>
      </c>
      <c r="D897" s="2" t="s">
        <v>2159</v>
      </c>
      <c r="E897" s="2" t="s">
        <v>2156</v>
      </c>
      <c r="F897" s="2" t="n">
        <v>267773.268185259</v>
      </c>
      <c r="G897" s="2" t="n">
        <v>0</v>
      </c>
      <c r="H897" s="2" t="n">
        <v>267773.268185259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8.86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</v>
      </c>
      <c r="EA897" s="2" t="n">
        <v>0</v>
      </c>
      <c r="EB897" s="2" t="n">
        <v>76.32</v>
      </c>
      <c r="EC897" s="2" t="n">
        <v>78.27</v>
      </c>
      <c r="ED897" s="2" t="n">
        <v>0</v>
      </c>
      <c r="EE897" s="2" t="n">
        <v>82.22</v>
      </c>
      <c r="EF897" s="2" t="n">
        <v>84.26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96.85</v>
      </c>
      <c r="EM897" s="2" t="n">
        <v>0</v>
      </c>
      <c r="EN897" s="2" t="n">
        <v>99.82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 customFormat="false" ht="15" hidden="false" customHeight="false" outlineLevel="0" collapsed="false">
      <c r="A898" s="2" t="n">
        <v>3</v>
      </c>
      <c r="B898" s="2" t="s">
        <v>2166</v>
      </c>
      <c r="C898" s="2" t="s">
        <v>2167</v>
      </c>
      <c r="D898" s="2" t="s">
        <v>2159</v>
      </c>
      <c r="E898" s="2" t="s">
        <v>2156</v>
      </c>
      <c r="F898" s="2" t="n">
        <v>461539.426822117</v>
      </c>
      <c r="G898" s="2" t="n">
        <v>0</v>
      </c>
      <c r="H898" s="2" t="n">
        <v>461539.426822117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8.86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</v>
      </c>
      <c r="EA898" s="2" t="n">
        <v>0</v>
      </c>
      <c r="EB898" s="2" t="n">
        <v>76.32</v>
      </c>
      <c r="EC898" s="2" t="n">
        <v>78.27</v>
      </c>
      <c r="ED898" s="2" t="n">
        <v>0</v>
      </c>
      <c r="EE898" s="2" t="n">
        <v>82.22</v>
      </c>
      <c r="EF898" s="2" t="n">
        <v>84.26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96.85</v>
      </c>
      <c r="EM898" s="2" t="n">
        <v>0</v>
      </c>
      <c r="EN898" s="2" t="n">
        <v>99.82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 customFormat="false" ht="15" hidden="false" customHeight="false" outlineLevel="0" collapsed="false">
      <c r="A899" s="2" t="n">
        <v>3</v>
      </c>
      <c r="B899" s="2" t="s">
        <v>2168</v>
      </c>
      <c r="C899" s="2" t="s">
        <v>2169</v>
      </c>
      <c r="D899" s="2" t="s">
        <v>2159</v>
      </c>
      <c r="E899" s="2" t="s">
        <v>2156</v>
      </c>
      <c r="F899" s="2" t="n">
        <v>51391.6537527863</v>
      </c>
      <c r="G899" s="2" t="n">
        <v>0</v>
      </c>
      <c r="H899" s="2" t="n">
        <v>51391.6537527863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8.86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</v>
      </c>
      <c r="EA899" s="2" t="n">
        <v>0</v>
      </c>
      <c r="EB899" s="2" t="n">
        <v>76.32</v>
      </c>
      <c r="EC899" s="2" t="n">
        <v>78.27</v>
      </c>
      <c r="ED899" s="2" t="n">
        <v>0</v>
      </c>
      <c r="EE899" s="2" t="n">
        <v>82.22</v>
      </c>
      <c r="EF899" s="2" t="n">
        <v>84.26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96.85</v>
      </c>
      <c r="EM899" s="2" t="n">
        <v>0</v>
      </c>
      <c r="EN899" s="2" t="n">
        <v>99.82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 customFormat="false" ht="15" hidden="false" customHeight="false" outlineLevel="0" collapsed="false">
      <c r="A900" s="2" t="n">
        <v>3</v>
      </c>
      <c r="B900" s="2" t="s">
        <v>2170</v>
      </c>
      <c r="C900" s="2" t="s">
        <v>2171</v>
      </c>
      <c r="D900" s="2" t="s">
        <v>2159</v>
      </c>
      <c r="E900" s="2" t="s">
        <v>2156</v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8.86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</v>
      </c>
      <c r="EA900" s="2" t="n">
        <v>0</v>
      </c>
      <c r="EB900" s="2" t="n">
        <v>76.32</v>
      </c>
      <c r="EC900" s="2" t="n">
        <v>78.27</v>
      </c>
      <c r="ED900" s="2" t="n">
        <v>0</v>
      </c>
      <c r="EE900" s="2" t="n">
        <v>82.22</v>
      </c>
      <c r="EF900" s="2" t="n">
        <v>84.26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96.85</v>
      </c>
      <c r="EM900" s="2" t="n">
        <v>0</v>
      </c>
      <c r="EN900" s="2" t="n">
        <v>99.82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 customFormat="false" ht="15" hidden="false" customHeight="false" outlineLevel="0" collapsed="false">
      <c r="A901" s="2" t="n">
        <v>3</v>
      </c>
      <c r="B901" s="2" t="s">
        <v>2172</v>
      </c>
      <c r="C901" s="2" t="s">
        <v>2173</v>
      </c>
      <c r="D901" s="2" t="s">
        <v>2159</v>
      </c>
      <c r="E901" s="2" t="s">
        <v>2156</v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8.86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</v>
      </c>
      <c r="EA901" s="2" t="n">
        <v>0</v>
      </c>
      <c r="EB901" s="2" t="n">
        <v>76.32</v>
      </c>
      <c r="EC901" s="2" t="n">
        <v>78.27</v>
      </c>
      <c r="ED901" s="2" t="n">
        <v>0</v>
      </c>
      <c r="EE901" s="2" t="n">
        <v>82.22</v>
      </c>
      <c r="EF901" s="2" t="n">
        <v>84.26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96.85</v>
      </c>
      <c r="EM901" s="2" t="n">
        <v>0</v>
      </c>
      <c r="EN901" s="2" t="n">
        <v>99.82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 customFormat="false" ht="15" hidden="false" customHeight="false" outlineLevel="0" collapsed="false">
      <c r="A902" s="2" t="n">
        <v>2</v>
      </c>
      <c r="B902" s="2" t="s">
        <v>2174</v>
      </c>
      <c r="C902" s="2" t="s">
        <v>2175</v>
      </c>
      <c r="D902" s="2" t="s">
        <v>2176</v>
      </c>
      <c r="E902" s="2" t="s">
        <v>2177</v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70.57</v>
      </c>
      <c r="EC902" s="2" t="n">
        <v>82.91</v>
      </c>
      <c r="ED902" s="2" t="n">
        <v>0</v>
      </c>
      <c r="EE902" s="2" t="n">
        <v>78.17</v>
      </c>
      <c r="EF902" s="2" t="n">
        <v>90.51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 customFormat="false" ht="15" hidden="false" customHeight="false" outlineLevel="0" collapsed="false">
      <c r="A903" s="2" t="n">
        <v>3</v>
      </c>
      <c r="B903" s="2" t="s">
        <v>2178</v>
      </c>
      <c r="C903" s="2" t="s">
        <v>2179</v>
      </c>
      <c r="D903" s="2" t="s">
        <v>2180</v>
      </c>
      <c r="E903" s="2" t="s">
        <v>1442</v>
      </c>
      <c r="F903" s="2" t="n">
        <v>56263.5590914807</v>
      </c>
      <c r="G903" s="2" t="n">
        <v>0</v>
      </c>
      <c r="H903" s="2" t="n">
        <v>56263.5590914807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 customFormat="false" ht="15" hidden="false" customHeight="false" outlineLevel="0" collapsed="false">
      <c r="A904" s="2" t="n">
        <v>3</v>
      </c>
      <c r="B904" s="2" t="s">
        <v>2181</v>
      </c>
      <c r="C904" s="2" t="s">
        <v>2182</v>
      </c>
      <c r="D904" s="2" t="s">
        <v>2176</v>
      </c>
      <c r="E904" s="2" t="s">
        <v>2177</v>
      </c>
      <c r="F904" s="2" t="n">
        <v>205944.008066164</v>
      </c>
      <c r="G904" s="2" t="n">
        <v>0</v>
      </c>
      <c r="H904" s="2" t="n">
        <v>205944.008066164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78.24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 customFormat="false" ht="15" hidden="false" customHeight="false" outlineLevel="0" collapsed="false">
      <c r="A905" s="2" t="n">
        <v>2</v>
      </c>
      <c r="B905" s="2" t="s">
        <v>2183</v>
      </c>
      <c r="C905" s="2" t="s">
        <v>2184</v>
      </c>
      <c r="D905" s="2" t="s">
        <v>2176</v>
      </c>
      <c r="E905" s="2" t="s">
        <v>2185</v>
      </c>
      <c r="F905" s="2" t="n">
        <v>170242.556070503</v>
      </c>
      <c r="G905" s="2" t="n">
        <v>0</v>
      </c>
      <c r="H905" s="2" t="n">
        <v>170242.556070503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 customFormat="false" ht="15" hidden="false" customHeight="false" outlineLevel="0" collapsed="false">
      <c r="A906" s="2" t="n">
        <v>3</v>
      </c>
      <c r="B906" s="2" t="s">
        <v>2186</v>
      </c>
      <c r="C906" s="2" t="s">
        <v>2187</v>
      </c>
      <c r="D906" s="2" t="s">
        <v>2176</v>
      </c>
      <c r="E906" s="2" t="s">
        <v>2185</v>
      </c>
      <c r="F906" s="2" t="n">
        <v>135146.813370503</v>
      </c>
      <c r="G906" s="2" t="n">
        <v>0</v>
      </c>
      <c r="H906" s="2" t="n">
        <v>135146.813370503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 customFormat="false" ht="15" hidden="false" customHeight="false" outlineLevel="0" collapsed="false">
      <c r="A907" s="2" t="n">
        <v>3</v>
      </c>
      <c r="B907" s="2" t="s">
        <v>2188</v>
      </c>
      <c r="C907" s="2" t="s">
        <v>2189</v>
      </c>
      <c r="D907" s="2" t="s">
        <v>2176</v>
      </c>
      <c r="E907" s="2" t="s">
        <v>2185</v>
      </c>
      <c r="F907" s="2" t="n">
        <v>30991.3242</v>
      </c>
      <c r="G907" s="2" t="n">
        <v>0</v>
      </c>
      <c r="H907" s="2" t="n">
        <v>30991.3242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 customFormat="false" ht="15" hidden="false" customHeight="false" outlineLevel="0" collapsed="false">
      <c r="A908" s="2" t="n">
        <v>3</v>
      </c>
      <c r="B908" s="2" t="s">
        <v>2190</v>
      </c>
      <c r="C908" s="2" t="s">
        <v>2191</v>
      </c>
      <c r="D908" s="2" t="s">
        <v>2176</v>
      </c>
      <c r="E908" s="2" t="s">
        <v>2185</v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 customFormat="false" ht="15" hidden="false" customHeight="false" outlineLevel="0" collapsed="false">
      <c r="A909" s="2" t="n">
        <v>2</v>
      </c>
      <c r="B909" s="2" t="s">
        <v>2192</v>
      </c>
      <c r="C909" s="2" t="s">
        <v>2193</v>
      </c>
      <c r="D909" s="2" t="s">
        <v>1461</v>
      </c>
      <c r="E909" s="2" t="s">
        <v>2194</v>
      </c>
      <c r="F909" s="2" t="n">
        <v>121225.172471232</v>
      </c>
      <c r="G909" s="2" t="n">
        <v>0</v>
      </c>
      <c r="H909" s="2" t="n">
        <v>121225.172471232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</v>
      </c>
      <c r="EG909" s="2" t="n">
        <v>0</v>
      </c>
      <c r="EH909" s="2" t="n">
        <v>66.46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 customFormat="false" ht="15" hidden="false" customHeight="false" outlineLevel="0" collapsed="false">
      <c r="A910" s="2" t="n">
        <v>3</v>
      </c>
      <c r="B910" s="2" t="s">
        <v>2195</v>
      </c>
      <c r="C910" s="2" t="s">
        <v>2196</v>
      </c>
      <c r="D910" s="2" t="s">
        <v>1461</v>
      </c>
      <c r="E910" s="2" t="s">
        <v>2194</v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</v>
      </c>
      <c r="EG910" s="2" t="n">
        <v>0</v>
      </c>
      <c r="EH910" s="2" t="n">
        <v>66.46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 customFormat="false" ht="15" hidden="false" customHeight="false" outlineLevel="0" collapsed="false">
      <c r="A911" s="2" t="n">
        <v>3</v>
      </c>
      <c r="B911" s="2" t="s">
        <v>2197</v>
      </c>
      <c r="C911" s="2" t="s">
        <v>2198</v>
      </c>
      <c r="D911" s="2" t="s">
        <v>1461</v>
      </c>
      <c r="E911" s="2" t="s">
        <v>2194</v>
      </c>
      <c r="F911" s="2" t="n">
        <v>38106.4224712322</v>
      </c>
      <c r="G911" s="2" t="n">
        <v>0</v>
      </c>
      <c r="H911" s="2" t="n">
        <v>38106.4224712322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</v>
      </c>
      <c r="EG911" s="2" t="n">
        <v>0</v>
      </c>
      <c r="EH911" s="2" t="n">
        <v>66.46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 customFormat="false" ht="15" hidden="false" customHeight="false" outlineLevel="0" collapsed="false">
      <c r="A912" s="2" t="n">
        <v>2</v>
      </c>
      <c r="B912" s="2" t="s">
        <v>2199</v>
      </c>
      <c r="C912" s="2" t="s">
        <v>2200</v>
      </c>
      <c r="D912" s="2" t="s">
        <v>1461</v>
      </c>
      <c r="E912" s="2" t="s">
        <v>1521</v>
      </c>
      <c r="F912" s="2" t="n">
        <v>46607.9987841015</v>
      </c>
      <c r="G912" s="2" t="n">
        <v>0</v>
      </c>
      <c r="H912" s="2" t="n">
        <v>46607.9987841015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73.74</v>
      </c>
      <c r="DU912" s="2" t="n">
        <v>0</v>
      </c>
      <c r="DV912" s="2" t="n">
        <v>81.82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 customFormat="false" ht="15" hidden="false" customHeight="false" outlineLevel="0" collapsed="false">
      <c r="A913" s="2" t="n">
        <v>3</v>
      </c>
      <c r="B913" s="2" t="s">
        <v>2201</v>
      </c>
      <c r="C913" s="2" t="s">
        <v>2202</v>
      </c>
      <c r="D913" s="2" t="s">
        <v>1461</v>
      </c>
      <c r="E913" s="2" t="s">
        <v>1521</v>
      </c>
      <c r="F913" s="2" t="n">
        <v>46607.9987841015</v>
      </c>
      <c r="G913" s="2" t="n">
        <v>0</v>
      </c>
      <c r="H913" s="2" t="n">
        <v>46607.9987841015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73.74</v>
      </c>
      <c r="DU913" s="2" t="n">
        <v>0</v>
      </c>
      <c r="DV913" s="2" t="n">
        <v>81.82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 customFormat="false" ht="15" hidden="false" customHeight="false" outlineLevel="0" collapsed="false">
      <c r="A914" s="2" t="n">
        <v>2</v>
      </c>
      <c r="B914" s="2" t="s">
        <v>2203</v>
      </c>
      <c r="C914" s="2" t="s">
        <v>2204</v>
      </c>
      <c r="D914" s="2" t="s">
        <v>949</v>
      </c>
      <c r="E914" s="2" t="s">
        <v>2205</v>
      </c>
      <c r="F914" s="2" t="n">
        <v>551081.820587944</v>
      </c>
      <c r="G914" s="2" t="n">
        <v>0</v>
      </c>
      <c r="H914" s="2" t="n">
        <v>551081.820587944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</v>
      </c>
      <c r="BV914" s="2" t="n">
        <v>0</v>
      </c>
      <c r="BW914" s="2" t="n">
        <v>92.75</v>
      </c>
      <c r="BX914" s="2" t="n">
        <v>94.82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 customFormat="false" ht="15" hidden="false" customHeight="false" outlineLevel="0" collapsed="false">
      <c r="A915" s="2" t="n">
        <v>3</v>
      </c>
      <c r="B915" s="2" t="s">
        <v>2206</v>
      </c>
      <c r="C915" s="2" t="s">
        <v>1990</v>
      </c>
      <c r="D915" s="2" t="s">
        <v>949</v>
      </c>
      <c r="E915" s="2" t="s">
        <v>2205</v>
      </c>
      <c r="F915" s="2" t="n">
        <v>551081.820587944</v>
      </c>
      <c r="G915" s="2" t="n">
        <v>0</v>
      </c>
      <c r="H915" s="2" t="n">
        <v>551081.820587944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</v>
      </c>
      <c r="BV915" s="2" t="n">
        <v>0</v>
      </c>
      <c r="BW915" s="2" t="n">
        <v>92.75</v>
      </c>
      <c r="BX915" s="2" t="n">
        <v>94.82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 customFormat="false" ht="15" hidden="false" customHeight="false" outlineLevel="0" collapsed="false">
      <c r="A916" s="2" t="n">
        <v>2</v>
      </c>
      <c r="B916" s="2" t="s">
        <v>2207</v>
      </c>
      <c r="C916" s="2" t="s">
        <v>2208</v>
      </c>
      <c r="D916" s="2" t="s">
        <v>2209</v>
      </c>
      <c r="E916" s="2" t="s">
        <v>2185</v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</v>
      </c>
      <c r="EJ916" s="2" t="n">
        <v>0</v>
      </c>
      <c r="EK916" s="2" t="n">
        <v>69.18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 customFormat="false" ht="15" hidden="false" customHeight="false" outlineLevel="0" collapsed="false">
      <c r="A917" s="2" t="n">
        <v>3</v>
      </c>
      <c r="B917" s="2" t="s">
        <v>2210</v>
      </c>
      <c r="C917" s="2" t="s">
        <v>2211</v>
      </c>
      <c r="D917" s="2" t="s">
        <v>2209</v>
      </c>
      <c r="E917" s="2" t="s">
        <v>2185</v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</v>
      </c>
      <c r="EJ917" s="2" t="n">
        <v>0</v>
      </c>
      <c r="EK917" s="2" t="n">
        <v>69.18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 customFormat="false" ht="15" hidden="false" customHeight="false" outlineLevel="0" collapsed="false">
      <c r="A918" s="2" t="n">
        <v>3</v>
      </c>
      <c r="B918" s="2" t="s">
        <v>2212</v>
      </c>
      <c r="C918" s="2" t="s">
        <v>2213</v>
      </c>
      <c r="D918" s="2" t="s">
        <v>2209</v>
      </c>
      <c r="E918" s="2" t="s">
        <v>2185</v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</v>
      </c>
      <c r="EJ918" s="2" t="n">
        <v>0</v>
      </c>
      <c r="EK918" s="2" t="n">
        <v>69.18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 customFormat="false" ht="15" hidden="false" customHeight="false" outlineLevel="0" collapsed="false">
      <c r="A919" s="2" t="n">
        <v>1</v>
      </c>
      <c r="B919" s="2" t="s">
        <v>227</v>
      </c>
      <c r="C919" s="2" t="s">
        <v>228</v>
      </c>
      <c r="D919" s="2" t="s">
        <v>2214</v>
      </c>
      <c r="E919" s="2" t="s">
        <v>2215</v>
      </c>
      <c r="F919" s="2" t="n">
        <v>1116999.59818417</v>
      </c>
      <c r="G919" s="2" t="n">
        <v>0</v>
      </c>
      <c r="H919" s="2" t="n">
        <v>1116999.59818417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98.1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 customFormat="false" ht="15" hidden="false" customHeight="false" outlineLevel="0" collapsed="false">
      <c r="A920" s="2" t="n">
        <v>2</v>
      </c>
      <c r="B920" s="2" t="s">
        <v>2216</v>
      </c>
      <c r="C920" s="2" t="s">
        <v>2217</v>
      </c>
      <c r="D920" s="2" t="s">
        <v>2214</v>
      </c>
      <c r="E920" s="2" t="s">
        <v>2215</v>
      </c>
      <c r="F920" s="2" t="n">
        <v>1116999.59818417</v>
      </c>
      <c r="G920" s="2" t="n">
        <v>0</v>
      </c>
      <c r="H920" s="2" t="n">
        <v>1116999.59818417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98.1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 customFormat="false" ht="15" hidden="false" customHeight="false" outlineLevel="0" collapsed="false">
      <c r="A921" s="2" t="n">
        <v>3</v>
      </c>
      <c r="B921" s="2" t="s">
        <v>2218</v>
      </c>
      <c r="C921" s="2" t="s">
        <v>2219</v>
      </c>
      <c r="D921" s="2" t="s">
        <v>2214</v>
      </c>
      <c r="E921" s="2" t="s">
        <v>2215</v>
      </c>
      <c r="F921" s="2" t="n">
        <v>40149.5981841665</v>
      </c>
      <c r="G921" s="2" t="n">
        <v>0</v>
      </c>
      <c r="H921" s="2" t="n">
        <v>40149.5981841665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87.24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 customFormat="false" ht="15" hidden="false" customHeight="false" outlineLevel="0" collapsed="false">
      <c r="A922" s="2" t="n">
        <v>3</v>
      </c>
      <c r="B922" s="2" t="s">
        <v>2220</v>
      </c>
      <c r="C922" s="2" t="s">
        <v>2221</v>
      </c>
      <c r="D922" s="2" t="s">
        <v>2214</v>
      </c>
      <c r="E922" s="2" t="s">
        <v>2215</v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87.24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 customFormat="false" ht="15" hidden="false" customHeight="false" outlineLevel="0" collapsed="false">
      <c r="A923" s="2" t="n">
        <v>3</v>
      </c>
      <c r="B923" s="2" t="s">
        <v>2222</v>
      </c>
      <c r="C923" s="2" t="s">
        <v>2223</v>
      </c>
      <c r="D923" s="2" t="s">
        <v>2214</v>
      </c>
      <c r="E923" s="2" t="s">
        <v>2215</v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87.24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 customFormat="false" ht="15" hidden="false" customHeight="false" outlineLevel="0" collapsed="false">
      <c r="A924" s="2" t="n">
        <v>3</v>
      </c>
      <c r="B924" s="2" t="s">
        <v>2224</v>
      </c>
      <c r="C924" s="2" t="s">
        <v>2225</v>
      </c>
      <c r="D924" s="2" t="s">
        <v>2226</v>
      </c>
      <c r="E924" s="2" t="s">
        <v>1342</v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 customFormat="false" ht="15" hidden="false" customHeight="false" outlineLevel="0" collapsed="false">
      <c r="A925" s="2" t="n">
        <v>3</v>
      </c>
      <c r="B925" s="2" t="s">
        <v>2227</v>
      </c>
      <c r="C925" s="2" t="s">
        <v>2228</v>
      </c>
      <c r="D925" s="2" t="s">
        <v>2214</v>
      </c>
      <c r="E925" s="2" t="s">
        <v>2215</v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87.24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 customFormat="false" ht="15" hidden="false" customHeight="false" outlineLevel="0" collapsed="false">
      <c r="A926" s="2" t="n">
        <v>3</v>
      </c>
      <c r="B926" s="2" t="s">
        <v>2229</v>
      </c>
      <c r="C926" s="2" t="s">
        <v>2230</v>
      </c>
      <c r="D926" s="2" t="s">
        <v>2214</v>
      </c>
      <c r="E926" s="2" t="s">
        <v>2215</v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87.24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 customFormat="false" ht="15" hidden="false" customHeight="false" outlineLevel="0" collapsed="false">
      <c r="A927" s="2" t="n">
        <v>1</v>
      </c>
      <c r="B927" s="2" t="s">
        <v>230</v>
      </c>
      <c r="C927" s="2" t="s">
        <v>231</v>
      </c>
      <c r="D927" s="2" t="s">
        <v>2231</v>
      </c>
      <c r="E927" s="2" t="s">
        <v>2232</v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</v>
      </c>
      <c r="EJ927" s="2" t="n">
        <v>0</v>
      </c>
      <c r="EK927" s="2" t="n">
        <v>88.23</v>
      </c>
      <c r="EL927" s="2" t="n">
        <v>91.26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 customFormat="false" ht="15" hidden="false" customHeight="false" outlineLevel="0" collapsed="false">
      <c r="A928" s="2" t="n">
        <v>2</v>
      </c>
      <c r="B928" s="2" t="s">
        <v>2233</v>
      </c>
      <c r="C928" s="2" t="s">
        <v>2234</v>
      </c>
      <c r="D928" s="2" t="s">
        <v>445</v>
      </c>
      <c r="E928" s="2" t="s">
        <v>2232</v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</v>
      </c>
      <c r="EO928" s="2" t="n">
        <v>91.76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 customFormat="false" ht="15" hidden="false" customHeight="false" outlineLevel="0" collapsed="false">
      <c r="A929" s="2" t="n">
        <v>3</v>
      </c>
      <c r="B929" s="2" t="s">
        <v>2235</v>
      </c>
      <c r="C929" s="2" t="s">
        <v>2236</v>
      </c>
      <c r="D929" s="2" t="s">
        <v>445</v>
      </c>
      <c r="E929" s="2" t="s">
        <v>2232</v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</v>
      </c>
      <c r="EO929" s="2" t="n">
        <v>91.76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 customFormat="false" ht="15" hidden="false" customHeight="false" outlineLevel="0" collapsed="false">
      <c r="A930" s="2" t="n">
        <v>3</v>
      </c>
      <c r="B930" s="2" t="s">
        <v>2237</v>
      </c>
      <c r="C930" s="2" t="s">
        <v>2238</v>
      </c>
      <c r="D930" s="2" t="s">
        <v>445</v>
      </c>
      <c r="E930" s="2" t="s">
        <v>2232</v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</v>
      </c>
      <c r="EO930" s="2" t="n">
        <v>91.76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 customFormat="false" ht="15" hidden="false" customHeight="false" outlineLevel="0" collapsed="false">
      <c r="A931" s="2" t="n">
        <v>3</v>
      </c>
      <c r="B931" s="2" t="s">
        <v>2239</v>
      </c>
      <c r="C931" s="2" t="s">
        <v>2240</v>
      </c>
      <c r="D931" s="2" t="s">
        <v>445</v>
      </c>
      <c r="E931" s="2" t="s">
        <v>2232</v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</v>
      </c>
      <c r="EO931" s="2" t="n">
        <v>91.76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 customFormat="false" ht="15" hidden="false" customHeight="false" outlineLevel="0" collapsed="false">
      <c r="A932" s="2" t="n">
        <v>2</v>
      </c>
      <c r="B932" s="2" t="s">
        <v>2241</v>
      </c>
      <c r="C932" s="2" t="s">
        <v>2242</v>
      </c>
      <c r="D932" s="2" t="s">
        <v>2243</v>
      </c>
      <c r="E932" s="2" t="s">
        <v>2244</v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66.57</v>
      </c>
      <c r="EC932" s="2" t="n">
        <v>68.84</v>
      </c>
      <c r="ED932" s="2" t="n">
        <v>0</v>
      </c>
      <c r="EE932" s="2" t="n">
        <v>72.46</v>
      </c>
      <c r="EF932" s="2" t="n">
        <v>75.79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 customFormat="false" ht="15" hidden="false" customHeight="false" outlineLevel="0" collapsed="false">
      <c r="A933" s="2" t="n">
        <v>3</v>
      </c>
      <c r="B933" s="2" t="s">
        <v>2245</v>
      </c>
      <c r="C933" s="2" t="s">
        <v>2246</v>
      </c>
      <c r="D933" s="2" t="s">
        <v>2243</v>
      </c>
      <c r="E933" s="2" t="s">
        <v>2244</v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66.57</v>
      </c>
      <c r="EC933" s="2" t="n">
        <v>68.84</v>
      </c>
      <c r="ED933" s="2" t="n">
        <v>0</v>
      </c>
      <c r="EE933" s="2" t="n">
        <v>72.46</v>
      </c>
      <c r="EF933" s="2" t="n">
        <v>75.79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 customFormat="false" ht="15" hidden="false" customHeight="false" outlineLevel="0" collapsed="false">
      <c r="A934" s="2" t="n">
        <v>3</v>
      </c>
      <c r="B934" s="2" t="s">
        <v>2247</v>
      </c>
      <c r="C934" s="2" t="s">
        <v>2248</v>
      </c>
      <c r="D934" s="2" t="s">
        <v>2243</v>
      </c>
      <c r="E934" s="2" t="s">
        <v>2244</v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66.57</v>
      </c>
      <c r="EC934" s="2" t="n">
        <v>68.84</v>
      </c>
      <c r="ED934" s="2" t="n">
        <v>0</v>
      </c>
      <c r="EE934" s="2" t="n">
        <v>72.46</v>
      </c>
      <c r="EF934" s="2" t="n">
        <v>75.79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 customFormat="false" ht="15" hidden="false" customHeight="false" outlineLevel="0" collapsed="false">
      <c r="A935" s="2" t="n">
        <v>3</v>
      </c>
      <c r="B935" s="2" t="s">
        <v>2249</v>
      </c>
      <c r="C935" s="2" t="s">
        <v>2250</v>
      </c>
      <c r="D935" s="2" t="s">
        <v>2243</v>
      </c>
      <c r="E935" s="2" t="s">
        <v>2244</v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66.57</v>
      </c>
      <c r="EC935" s="2" t="n">
        <v>68.84</v>
      </c>
      <c r="ED935" s="2" t="n">
        <v>0</v>
      </c>
      <c r="EE935" s="2" t="n">
        <v>72.46</v>
      </c>
      <c r="EF935" s="2" t="n">
        <v>75.79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 customFormat="false" ht="15" hidden="false" customHeight="false" outlineLevel="0" collapsed="false">
      <c r="A936" s="2" t="n">
        <v>3</v>
      </c>
      <c r="B936" s="2" t="s">
        <v>2251</v>
      </c>
      <c r="C936" s="2" t="s">
        <v>2252</v>
      </c>
      <c r="D936" s="2" t="s">
        <v>2243</v>
      </c>
      <c r="E936" s="2" t="s">
        <v>2244</v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66.57</v>
      </c>
      <c r="EC936" s="2" t="n">
        <v>68.84</v>
      </c>
      <c r="ED936" s="2" t="n">
        <v>0</v>
      </c>
      <c r="EE936" s="2" t="n">
        <v>72.46</v>
      </c>
      <c r="EF936" s="2" t="n">
        <v>75.79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 customFormat="false" ht="15" hidden="false" customHeight="false" outlineLevel="0" collapsed="false">
      <c r="A937" s="2" t="n">
        <v>3</v>
      </c>
      <c r="B937" s="2" t="s">
        <v>2253</v>
      </c>
      <c r="C937" s="2" t="s">
        <v>2254</v>
      </c>
      <c r="D937" s="2" t="s">
        <v>2243</v>
      </c>
      <c r="E937" s="2" t="s">
        <v>2244</v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66.57</v>
      </c>
      <c r="EC937" s="2" t="n">
        <v>68.84</v>
      </c>
      <c r="ED937" s="2" t="n">
        <v>0</v>
      </c>
      <c r="EE937" s="2" t="n">
        <v>72.46</v>
      </c>
      <c r="EF937" s="2" t="n">
        <v>75.79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 customFormat="false" ht="15" hidden="false" customHeight="false" outlineLevel="0" collapsed="false">
      <c r="A938" s="2" t="n">
        <v>2</v>
      </c>
      <c r="B938" s="2" t="s">
        <v>2255</v>
      </c>
      <c r="C938" s="2" t="s">
        <v>2256</v>
      </c>
      <c r="D938" s="2" t="s">
        <v>2231</v>
      </c>
      <c r="E938" s="2" t="s">
        <v>2232</v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</v>
      </c>
      <c r="EA938" s="2" t="n">
        <v>0</v>
      </c>
      <c r="EB938" s="2" t="n">
        <v>71.21</v>
      </c>
      <c r="EC938" s="2" t="n">
        <v>73.67</v>
      </c>
      <c r="ED938" s="2" t="n">
        <v>0</v>
      </c>
      <c r="EE938" s="2" t="n">
        <v>77.6</v>
      </c>
      <c r="EF938" s="2" t="n">
        <v>80.43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 customFormat="false" ht="15" hidden="false" customHeight="false" outlineLevel="0" collapsed="false">
      <c r="A939" s="2" t="n">
        <v>3</v>
      </c>
      <c r="B939" s="2" t="s">
        <v>2257</v>
      </c>
      <c r="C939" s="2" t="s">
        <v>2258</v>
      </c>
      <c r="D939" s="2" t="s">
        <v>2231</v>
      </c>
      <c r="E939" s="2" t="s">
        <v>2232</v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</v>
      </c>
      <c r="EA939" s="2" t="n">
        <v>0</v>
      </c>
      <c r="EB939" s="2" t="n">
        <v>71.21</v>
      </c>
      <c r="EC939" s="2" t="n">
        <v>73.67</v>
      </c>
      <c r="ED939" s="2" t="n">
        <v>0</v>
      </c>
      <c r="EE939" s="2" t="n">
        <v>77.6</v>
      </c>
      <c r="EF939" s="2" t="n">
        <v>80.43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 customFormat="false" ht="15" hidden="false" customHeight="false" outlineLevel="0" collapsed="false">
      <c r="A940" s="2" t="n">
        <v>3</v>
      </c>
      <c r="B940" s="2" t="s">
        <v>2259</v>
      </c>
      <c r="C940" s="2" t="s">
        <v>2260</v>
      </c>
      <c r="D940" s="2" t="s">
        <v>2231</v>
      </c>
      <c r="E940" s="2" t="s">
        <v>2232</v>
      </c>
      <c r="F940" s="2" t="n">
        <v>162790.2082</v>
      </c>
      <c r="G940" s="2" t="n">
        <v>0</v>
      </c>
      <c r="H940" s="2" t="n">
        <v>162790.2082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</v>
      </c>
      <c r="EA940" s="2" t="n">
        <v>0</v>
      </c>
      <c r="EB940" s="2" t="n">
        <v>71.21</v>
      </c>
      <c r="EC940" s="2" t="n">
        <v>73.67</v>
      </c>
      <c r="ED940" s="2" t="n">
        <v>0</v>
      </c>
      <c r="EE940" s="2" t="n">
        <v>77.6</v>
      </c>
      <c r="EF940" s="2" t="n">
        <v>80.43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 customFormat="false" ht="15" hidden="false" customHeight="false" outlineLevel="0" collapsed="false">
      <c r="A941" s="2" t="n">
        <v>3</v>
      </c>
      <c r="B941" s="2" t="s">
        <v>2261</v>
      </c>
      <c r="C941" s="2" t="s">
        <v>1952</v>
      </c>
      <c r="D941" s="2" t="s">
        <v>2231</v>
      </c>
      <c r="E941" s="2" t="s">
        <v>2232</v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</v>
      </c>
      <c r="EA941" s="2" t="n">
        <v>0</v>
      </c>
      <c r="EB941" s="2" t="n">
        <v>71.21</v>
      </c>
      <c r="EC941" s="2" t="n">
        <v>73.67</v>
      </c>
      <c r="ED941" s="2" t="n">
        <v>0</v>
      </c>
      <c r="EE941" s="2" t="n">
        <v>77.6</v>
      </c>
      <c r="EF941" s="2" t="n">
        <v>80.43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 customFormat="false" ht="15" hidden="false" customHeight="false" outlineLevel="0" collapsed="false">
      <c r="A942" s="2" t="n">
        <v>3</v>
      </c>
      <c r="B942" s="2" t="s">
        <v>2262</v>
      </c>
      <c r="C942" s="2" t="s">
        <v>2263</v>
      </c>
      <c r="D942" s="2" t="s">
        <v>2231</v>
      </c>
      <c r="E942" s="2" t="s">
        <v>2232</v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</v>
      </c>
      <c r="EA942" s="2" t="n">
        <v>0</v>
      </c>
      <c r="EB942" s="2" t="n">
        <v>71.21</v>
      </c>
      <c r="EC942" s="2" t="n">
        <v>73.67</v>
      </c>
      <c r="ED942" s="2" t="n">
        <v>0</v>
      </c>
      <c r="EE942" s="2" t="n">
        <v>77.6</v>
      </c>
      <c r="EF942" s="2" t="n">
        <v>80.43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 customFormat="false" ht="15" hidden="false" customHeight="false" outlineLevel="0" collapsed="false">
      <c r="A943" s="2" t="n">
        <v>3</v>
      </c>
      <c r="B943" s="2" t="s">
        <v>2264</v>
      </c>
      <c r="C943" s="2" t="s">
        <v>2265</v>
      </c>
      <c r="D943" s="2" t="s">
        <v>2231</v>
      </c>
      <c r="E943" s="2" t="s">
        <v>2232</v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</v>
      </c>
      <c r="EA943" s="2" t="n">
        <v>0</v>
      </c>
      <c r="EB943" s="2" t="n">
        <v>71.21</v>
      </c>
      <c r="EC943" s="2" t="n">
        <v>73.67</v>
      </c>
      <c r="ED943" s="2" t="n">
        <v>0</v>
      </c>
      <c r="EE943" s="2" t="n">
        <v>77.6</v>
      </c>
      <c r="EF943" s="2" t="n">
        <v>80.43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 customFormat="false" ht="15" hidden="false" customHeight="false" outlineLevel="0" collapsed="false">
      <c r="A944" s="2" t="n">
        <v>3</v>
      </c>
      <c r="B944" s="2" t="s">
        <v>2266</v>
      </c>
      <c r="C944" s="2" t="s">
        <v>2267</v>
      </c>
      <c r="D944" s="2" t="s">
        <v>2231</v>
      </c>
      <c r="E944" s="2" t="s">
        <v>2232</v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</v>
      </c>
      <c r="EA944" s="2" t="n">
        <v>0</v>
      </c>
      <c r="EB944" s="2" t="n">
        <v>71.21</v>
      </c>
      <c r="EC944" s="2" t="n">
        <v>73.67</v>
      </c>
      <c r="ED944" s="2" t="n">
        <v>0</v>
      </c>
      <c r="EE944" s="2" t="n">
        <v>77.6</v>
      </c>
      <c r="EF944" s="2" t="n">
        <v>80.43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 customFormat="false" ht="15" hidden="false" customHeight="false" outlineLevel="0" collapsed="false">
      <c r="A945" s="2" t="n">
        <v>2</v>
      </c>
      <c r="B945" s="2" t="s">
        <v>2268</v>
      </c>
      <c r="C945" s="2" t="s">
        <v>2269</v>
      </c>
      <c r="D945" s="2" t="s">
        <v>2270</v>
      </c>
      <c r="E945" s="2" t="s">
        <v>2156</v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 customFormat="false" ht="15" hidden="false" customHeight="false" outlineLevel="0" collapsed="false">
      <c r="A946" s="2" t="n">
        <v>3</v>
      </c>
      <c r="B946" s="2" t="s">
        <v>2271</v>
      </c>
      <c r="C946" s="2" t="s">
        <v>2272</v>
      </c>
      <c r="D946" s="2" t="s">
        <v>2270</v>
      </c>
      <c r="E946" s="2" t="s">
        <v>2156</v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2273</v>
      </c>
      <c r="M1" s="123" t="s">
        <v>2274</v>
      </c>
    </row>
    <row r="2" customFormat="false" ht="15" hidden="false" customHeight="false" outlineLevel="0" collapsed="false">
      <c r="A2" s="4" t="s">
        <v>2275</v>
      </c>
      <c r="M2" s="2" t="s">
        <v>2276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2277</v>
      </c>
      <c r="M3" s="5" t="str">
        <f aca="false">"Data do retrato: "&amp;TEXT(DAY('RETRATO 2027'!$K$5),"00")&amp;"/"&amp;TEXT(MONTH('RETRATO 2027'!$K$5),"00")&amp;"/"&amp;YEAR('RETRATO 2027'!$K$5)</f>
        <v>Data do retrato: 31/12/2027</v>
      </c>
      <c r="R3" s="3" t="s">
        <v>2278</v>
      </c>
    </row>
    <row r="4" customFormat="false" ht="31.5" hidden="false" customHeight="true" outlineLevel="0" collapsed="false">
      <c r="B4" s="4" t="s">
        <v>2279</v>
      </c>
      <c r="C4" s="4" t="s">
        <v>2280</v>
      </c>
      <c r="D4" s="4" t="s">
        <v>2281</v>
      </c>
      <c r="E4" s="4" t="s">
        <v>2282</v>
      </c>
      <c r="F4" s="4" t="s">
        <v>2283</v>
      </c>
      <c r="G4" s="4" t="s">
        <v>2284</v>
      </c>
      <c r="H4" s="4" t="s">
        <v>2285</v>
      </c>
      <c r="I4" s="4" t="s">
        <v>460</v>
      </c>
      <c r="J4" s="4" t="s">
        <v>461</v>
      </c>
      <c r="K4" s="4" t="s">
        <v>462</v>
      </c>
      <c r="M4" s="54" t="s">
        <v>115</v>
      </c>
      <c r="N4" s="54" t="s">
        <v>2286</v>
      </c>
      <c r="O4" s="54" t="s">
        <v>2287</v>
      </c>
      <c r="R4" s="54" t="s">
        <v>2288</v>
      </c>
      <c r="S4" s="54" t="s">
        <v>115</v>
      </c>
      <c r="T4" s="54" t="s">
        <v>2289</v>
      </c>
      <c r="U4" s="54" t="s">
        <v>2290</v>
      </c>
      <c r="V4" s="54" t="s">
        <v>2291</v>
      </c>
      <c r="W4" s="54" t="s">
        <v>2292</v>
      </c>
      <c r="X4" s="54" t="s">
        <v>2293</v>
      </c>
      <c r="Y4" s="54" t="s">
        <v>2294</v>
      </c>
      <c r="Z4" s="54" t="s">
        <v>2295</v>
      </c>
      <c r="AA4" s="54" t="s">
        <v>2296</v>
      </c>
    </row>
    <row r="5" customFormat="false" ht="15" hidden="false" customHeight="false" outlineLevel="0" collapsed="false">
      <c r="B5" s="4" t="n">
        <v>33897908</v>
      </c>
      <c r="C5" s="4" t="s">
        <v>2297</v>
      </c>
      <c r="D5" s="4" t="s">
        <v>463</v>
      </c>
      <c r="E5" s="4" t="s">
        <v>81</v>
      </c>
      <c r="F5" s="127" t="n">
        <v>45831</v>
      </c>
      <c r="G5" s="127" t="n">
        <v>45842</v>
      </c>
      <c r="H5" s="127" t="n">
        <v>46289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2297</v>
      </c>
      <c r="S5" s="4" t="s">
        <v>153</v>
      </c>
      <c r="T5" s="4" t="s">
        <v>2298</v>
      </c>
      <c r="U5" s="4" t="s">
        <v>2299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Locação de obra: concluído</v>
      </c>
    </row>
    <row r="6" customFormat="false" ht="15" hidden="false" customHeight="false" outlineLevel="0" collapsed="false">
      <c r="B6" s="4" t="n">
        <v>33897907</v>
      </c>
      <c r="C6" s="4" t="s">
        <v>312</v>
      </c>
      <c r="D6" s="4" t="s">
        <v>463</v>
      </c>
      <c r="E6" s="4" t="s">
        <v>81</v>
      </c>
      <c r="F6" s="127" t="n">
        <v>45845</v>
      </c>
      <c r="G6" s="127" t="n">
        <v>45863</v>
      </c>
      <c r="H6" s="127" t="n">
        <v>46289</v>
      </c>
      <c r="I6" s="4" t="n">
        <v>100</v>
      </c>
      <c r="J6" s="4" t="n">
        <v>100</v>
      </c>
      <c r="K6" s="4" t="n">
        <v>100</v>
      </c>
      <c r="M6" s="2" t="str">
        <f aca="false">IF(C6="","",IFERROR(INDEX($S$5:$S$304,MATCH(C6,$R$5:$R$304,0))&amp;"","?"))</f>
        <v>12</v>
      </c>
      <c r="N6" s="2" t="str">
        <f aca="false">IF(E6="","",IF(ISNUMBER(SEARCH("SUBSOLO",E6)),IFERROR(-VALUE(LEFT(E6,FIND("º",SUBSTITUTE(E6,"°","º"))-1)),-1),IF(LEFT(E6,6)="TÉRREO",0,IFERROR(VALUE(LEFT(E6,FIND("º",SUBSTITUTE(E6,"°","º"))-1)),""))))</f>
        <v/>
      </c>
      <c r="O6" s="2" t="str">
        <f aca="false">IF(OR(F6="",G6=""),"",IF(G6&lt;='RETRATO 2027'!$K$5,"CONCLUÍDA",IF(F6&lt;='RETRATO 2027'!$K$5,"EM ANDAMENTO","A INICIAR")))</f>
        <v>CONCLUÍDA</v>
      </c>
      <c r="R6" s="4" t="s">
        <v>312</v>
      </c>
      <c r="S6" s="4" t="s">
        <v>153</v>
      </c>
      <c r="T6" s="4" t="s">
        <v>2300</v>
      </c>
      <c r="U6" s="4" t="s">
        <v>2299</v>
      </c>
      <c r="V6" s="2" t="n">
        <f aca="false">IF(R6="","",COUNTIF($C$5:$C$6004,R6))</f>
        <v>1</v>
      </c>
      <c r="W6" s="2" t="n">
        <f aca="false">IF(R6="","",COUNTIFS($C$5:$C$6004,R6,$O$5:$O$6004,"CONCLUÍDA"))</f>
        <v>1</v>
      </c>
      <c r="X6" s="2" t="n">
        <f aca="false">IF(R6="","",COUNTIFS($C$5:$C$6004,R6,$O$5:$O$6004,"EM ANDAMENTO"))</f>
        <v>0</v>
      </c>
      <c r="Y6" s="2" t="str">
        <f aca="false">IF(R6="","",IF(COUNTIFS($C$5:$C$6004,R6,$O$5:$O$6004,"CONCLUÍDA",$N$5:$N$6004,"&gt;=-99")=0,"",_xlfn.MAXIFS($N$5:$N$6004,$C$5:$C$6004,R6,$O$5:$O$6004,"CONCLUÍDA")))</f>
        <v/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Demolição: concluído</v>
      </c>
    </row>
    <row r="7" customFormat="false" ht="15" hidden="false" customHeight="false" outlineLevel="0" collapsed="false">
      <c r="B7" s="4" t="n">
        <v>29933153</v>
      </c>
      <c r="C7" s="4" t="s">
        <v>2301</v>
      </c>
      <c r="D7" s="4" t="s">
        <v>463</v>
      </c>
      <c r="E7" s="4" t="s">
        <v>81</v>
      </c>
      <c r="F7" s="127" t="n">
        <v>45859</v>
      </c>
      <c r="G7" s="127" t="n">
        <v>45883</v>
      </c>
      <c r="H7" s="127" t="n">
        <v>46289</v>
      </c>
      <c r="I7" s="4" t="n">
        <v>100</v>
      </c>
      <c r="J7" s="4" t="n">
        <v>100</v>
      </c>
      <c r="K7" s="4" t="n">
        <v>97</v>
      </c>
      <c r="M7" s="2" t="str">
        <f aca="false">IF(C7="","",IFERROR(INDEX($S$5:$S$304,MATCH(C7,$R$5:$R$304,0))&amp;"","?"))</f>
        <v>13</v>
      </c>
      <c r="N7" s="2" t="str">
        <f aca="false">IF(E7="","",IF(ISNUMBER(SEARCH("SUBSOLO",E7)),IFERROR(-VALUE(LEFT(E7,FIND("º",SUBSTITUTE(E7,"°","º"))-1)),-1),IF(LEFT(E7,6)="TÉRREO",0,IFERROR(VALUE(LEFT(E7,FIND("º",SUBSTITUTE(E7,"°","º"))-1)),""))))</f>
        <v/>
      </c>
      <c r="O7" s="2" t="str">
        <f aca="false">IF(OR(F7="",G7=""),"",IF(G7&lt;='RETRATO 2027'!$K$5,"CONCLUÍDA",IF(F7&lt;='RETRATO 2027'!$K$5,"EM ANDAMENTO","A INICIAR")))</f>
        <v>CONCLUÍDA</v>
      </c>
      <c r="R7" s="4" t="s">
        <v>2301</v>
      </c>
      <c r="S7" s="4" t="s">
        <v>156</v>
      </c>
      <c r="T7" s="4" t="s">
        <v>2302</v>
      </c>
      <c r="U7" s="4" t="s">
        <v>2299</v>
      </c>
      <c r="V7" s="2" t="n">
        <f aca="false">IF(R7="","",COUNTIF($C$5:$C$6004,R7))</f>
        <v>1</v>
      </c>
      <c r="W7" s="2" t="n">
        <f aca="false">IF(R7="","",COUNTIFS($C$5:$C$6004,R7,$O$5:$O$6004,"CONCLUÍDA"))</f>
        <v>1</v>
      </c>
      <c r="X7" s="2" t="n">
        <f aca="false">IF(R7="","",COUNTIFS($C$5:$C$6004,R7,$O$5:$O$6004,"EM ANDAMENTO"))</f>
        <v>0</v>
      </c>
      <c r="Y7" s="2" t="str">
        <f aca="false">IF(R7="","",IF(COUNTIFS($C$5:$C$6004,R7,$O$5:$O$6004,"CONCLUÍDA",$N$5:$N$6004,"&gt;=-99")=0,"",_xlfn.MAXIFS($N$5:$N$6004,$C$5:$C$6004,R7,$O$5:$O$6004,"CONCLUÍDA")))</f>
        <v/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Contenções em estacas: concluído</v>
      </c>
    </row>
    <row r="8" customFormat="false" ht="15" hidden="false" customHeight="false" outlineLevel="0" collapsed="false">
      <c r="B8" s="4" t="n">
        <v>33143217</v>
      </c>
      <c r="C8" s="4" t="s">
        <v>2303</v>
      </c>
      <c r="D8" s="4" t="s">
        <v>463</v>
      </c>
      <c r="E8" s="4" t="s">
        <v>81</v>
      </c>
      <c r="F8" s="127" t="n">
        <v>45901</v>
      </c>
      <c r="G8" s="127" t="n">
        <v>45918</v>
      </c>
      <c r="H8" s="127" t="n">
        <v>46289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15</v>
      </c>
      <c r="N8" s="2" t="str">
        <f aca="false">IF(E8="","",IF(ISNUMBER(SEARCH("SUBSOLO",E8)),IFERROR(-VALUE(LEFT(E8,FIND("º",SUBSTITUTE(E8,"°","º"))-1)),-1),IF(LEFT(E8,6)="TÉRREO",0,IFERROR(VALUE(LEFT(E8,FIND("º",SUBSTITUTE(E8,"°","º"))-1)),""))))</f>
        <v/>
      </c>
      <c r="O8" s="2" t="str">
        <f aca="false">IF(OR(F8="",G8=""),"",IF(G8&lt;='RETRATO 2027'!$K$5,"CONCLUÍDA",IF(F8&lt;='RETRATO 2027'!$K$5,"EM ANDAMENTO","A INICIAR")))</f>
        <v>CONCLUÍDA</v>
      </c>
      <c r="R8" s="4" t="s">
        <v>2303</v>
      </c>
      <c r="S8" s="4" t="s">
        <v>161</v>
      </c>
      <c r="T8" s="4" t="s">
        <v>2304</v>
      </c>
      <c r="U8" s="4" t="s">
        <v>2305</v>
      </c>
      <c r="V8" s="2" t="n">
        <f aca="false">IF(R8="","",COUNTIF($C$5:$C$6004,R8))</f>
        <v>6</v>
      </c>
      <c r="W8" s="2" t="n">
        <f aca="false">IF(R8="","",COUNTIFS($C$5:$C$6004,R8,$O$5:$O$6004,"CONCLUÍDA"))</f>
        <v>6</v>
      </c>
      <c r="X8" s="2" t="n">
        <f aca="false">IF(R8="","",COUNTIFS($C$5:$C$6004,R8,$O$5:$O$6004,"EM ANDAMENTO"))</f>
        <v>0</v>
      </c>
      <c r="Y8" s="2" t="str">
        <f aca="false">IF(R8="","",IF(COUNTIFS($C$5:$C$6004,R8,$O$5:$O$6004,"CONCLUÍDA",$N$5:$N$6004,"&gt;=-99")=0,"",_xlfn.MAXIFS($N$5:$N$6004,$C$5:$C$6004,R8,$O$5:$O$6004,"CONCLUÍDA")))</f>
        <v/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 customFormat="false" ht="15" hidden="false" customHeight="false" outlineLevel="0" collapsed="false">
      <c r="B9" s="4" t="n">
        <v>13543135</v>
      </c>
      <c r="C9" s="4" t="s">
        <v>2303</v>
      </c>
      <c r="D9" s="4" t="s">
        <v>2306</v>
      </c>
      <c r="E9" s="4" t="s">
        <v>81</v>
      </c>
      <c r="F9" s="127" t="n">
        <v>45901</v>
      </c>
      <c r="G9" s="127" t="n">
        <v>45905</v>
      </c>
      <c r="H9" s="127" t="n">
        <v>46289</v>
      </c>
      <c r="I9" s="4" t="n">
        <v>100</v>
      </c>
      <c r="J9" s="4" t="n">
        <v>100</v>
      </c>
      <c r="K9" s="4" t="n">
        <v>100</v>
      </c>
      <c r="M9" s="2" t="str">
        <f aca="false">IF(C9="","",IFERROR(INDEX($S$5:$S$304,MATCH(C9,$R$5:$R$304,0))&amp;"","?"))</f>
        <v>15</v>
      </c>
      <c r="N9" s="2" t="str">
        <f aca="false">IF(E9="","",IF(ISNUMBER(SEARCH("SUBSOLO",E9)),IFERROR(-VALUE(LEFT(E9,FIND("º",SUBSTITUTE(E9,"°","º"))-1)),-1),IF(LEFT(E9,6)="TÉRREO",0,IFERROR(VALUE(LEFT(E9,FIND("º",SUBSTITUTE(E9,"°","º"))-1)),""))))</f>
        <v/>
      </c>
      <c r="O9" s="2" t="str">
        <f aca="false">IF(OR(F9="",G9=""),"",IF(G9&lt;='RETRATO 2027'!$K$5,"CONCLUÍDA",IF(F9&lt;='RETRATO 2027'!$K$5,"EM ANDAMENTO","A INICIAR")))</f>
        <v>CONCLUÍDA</v>
      </c>
      <c r="R9" s="4" t="s">
        <v>2307</v>
      </c>
      <c r="S9" s="4" t="s">
        <v>161</v>
      </c>
      <c r="T9" s="4" t="s">
        <v>2308</v>
      </c>
      <c r="U9" s="4" t="s">
        <v>2305</v>
      </c>
      <c r="V9" s="2" t="n">
        <f aca="false">IF(R9="","",COUNTIF($C$5:$C$6004,R9))</f>
        <v>6</v>
      </c>
      <c r="W9" s="2" t="n">
        <f aca="false">IF(R9="","",COUNTIFS($C$5:$C$6004,R9,$O$5:$O$6004,"CONCLUÍDA"))</f>
        <v>6</v>
      </c>
      <c r="X9" s="2" t="n">
        <f aca="false">IF(R9="","",COUNTIFS($C$5:$C$6004,R9,$O$5:$O$6004,"EM ANDAMENTO"))</f>
        <v>0</v>
      </c>
      <c r="Y9" s="2" t="str">
        <f aca="false">IF(R9="","",IF(COUNTIFS($C$5:$C$6004,R9,$O$5:$O$6004,"CONCLUÍDA",$N$5:$N$6004,"&gt;=-99")=0,"",_xlfn.MAXIFS($N$5:$N$6004,$C$5:$C$6004,R9,$O$5:$O$6004,"CONCLUÍDA")))</f>
        <v/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 customFormat="false" ht="15" hidden="false" customHeight="false" outlineLevel="0" collapsed="false">
      <c r="B10" s="4" t="n">
        <v>13543136</v>
      </c>
      <c r="C10" s="4" t="s">
        <v>2303</v>
      </c>
      <c r="D10" s="4" t="s">
        <v>2309</v>
      </c>
      <c r="E10" s="4" t="s">
        <v>81</v>
      </c>
      <c r="F10" s="127" t="n">
        <v>45911</v>
      </c>
      <c r="G10" s="127" t="n">
        <v>45915</v>
      </c>
      <c r="H10" s="127" t="n">
        <v>46289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15</v>
      </c>
      <c r="N10" s="2" t="str">
        <f aca="false">IF(E10="","",IF(ISNUMBER(SEARCH("SUBSOLO",E10)),IFERROR(-VALUE(LEFT(E10,FIND("º",SUBSTITUTE(E10,"°","º"))-1)),-1),IF(LEFT(E10,6)="TÉRREO",0,IFERROR(VALUE(LEFT(E10,FIND("º",SUBSTITUTE(E10,"°","º"))-1)),""))))</f>
        <v/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2310</v>
      </c>
      <c r="S10" s="4" t="s">
        <v>161</v>
      </c>
      <c r="T10" s="4" t="s">
        <v>2311</v>
      </c>
      <c r="U10" s="4" t="s">
        <v>2305</v>
      </c>
      <c r="V10" s="2" t="n">
        <f aca="false">IF(R10="","",COUNTIF($C$5:$C$6004,R10))</f>
        <v>6</v>
      </c>
      <c r="W10" s="2" t="n">
        <f aca="false">IF(R10="","",COUNTIFS($C$5:$C$6004,R10,$O$5:$O$6004,"CONCLUÍDA"))</f>
        <v>6</v>
      </c>
      <c r="X10" s="2" t="n">
        <f aca="false">IF(R10="","",COUNTIFS($C$5:$C$6004,R10,$O$5:$O$6004,"EM ANDAMENTO"))</f>
        <v>0</v>
      </c>
      <c r="Y10" s="2" t="str">
        <f aca="false">IF(R10="","",IF(COUNTIFS($C$5:$C$6004,R10,$O$5:$O$6004,"CONCLUÍDA",$N$5:$N$6004,"&gt;=-99")=0,"",_xlfn.MAXIFS($N$5:$N$6004,$C$5:$C$6004,R10,$O$5:$O$6004,"CONCLUÍDA")))</f>
        <v/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 customFormat="false" ht="15" hidden="false" customHeight="false" outlineLevel="0" collapsed="false">
      <c r="B11" s="4" t="n">
        <v>13543137</v>
      </c>
      <c r="C11" s="4" t="s">
        <v>2303</v>
      </c>
      <c r="D11" s="4" t="s">
        <v>2312</v>
      </c>
      <c r="E11" s="4" t="s">
        <v>81</v>
      </c>
      <c r="F11" s="127" t="n">
        <v>45915</v>
      </c>
      <c r="G11" s="127" t="n">
        <v>45916</v>
      </c>
      <c r="H11" s="127" t="n">
        <v>46289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15</v>
      </c>
      <c r="N11" s="2" t="str">
        <f aca="false">IF(E11="","",IF(ISNUMBER(SEARCH("SUBSOLO",E11)),IFERROR(-VALUE(LEFT(E11,FIND("º",SUBSTITUTE(E11,"°","º"))-1)),-1),IF(LEFT(E11,6)="TÉRREO",0,IFERROR(VALUE(LEFT(E11,FIND("º",SUBSTITUTE(E11,"°","º"))-1)),""))))</f>
        <v/>
      </c>
      <c r="O11" s="2" t="str">
        <f aca="false">IF(OR(F11="",G11=""),"",IF(G11&lt;='RETRATO 2027'!$K$5,"CONCLUÍDA",IF(F11&lt;='RETRATO 2027'!$K$5,"EM ANDAMENTO","A INICIAR")))</f>
        <v>CONCLUÍDA</v>
      </c>
      <c r="R11" s="4" t="s">
        <v>73</v>
      </c>
      <c r="S11" s="4" t="s">
        <v>161</v>
      </c>
      <c r="T11" s="4" t="s">
        <v>2313</v>
      </c>
      <c r="U11" s="4" t="s">
        <v>2299</v>
      </c>
      <c r="V11" s="2" t="n">
        <f aca="false">IF(R11="","",COUNTIF($C$5:$C$6004,R11))</f>
        <v>91</v>
      </c>
      <c r="W11" s="2" t="n">
        <f aca="false">IF(R11="","",COUNTIFS($C$5:$C$6004,R11,$O$5:$O$6004,"CONCLUÍDA"))</f>
        <v>91</v>
      </c>
      <c r="X11" s="2" t="n">
        <f aca="false">IF(R11="","",COUNTIFS($C$5:$C$6004,R11,$O$5:$O$6004,"EM ANDAMENTO"))</f>
        <v>0</v>
      </c>
      <c r="Y11" s="2" t="str">
        <f aca="false">IF(R11="","",IF(COUNTIFS($C$5:$C$6004,R11,$O$5:$O$6004,"CONCLUÍDA",$N$5:$N$6004,"&gt;=-99")=0,"",_xlfn.MAXIFS($N$5:$N$6004,$C$5:$C$6004,R11,$O$5:$O$6004,"CONCLUÍDA")))</f>
        <v/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>Fundação profunda: concluído</v>
      </c>
    </row>
    <row r="12" customFormat="false" ht="15" hidden="false" customHeight="false" outlineLevel="0" collapsed="false">
      <c r="B12" s="4" t="n">
        <v>13543138</v>
      </c>
      <c r="C12" s="4" t="s">
        <v>2303</v>
      </c>
      <c r="D12" s="4" t="s">
        <v>2314</v>
      </c>
      <c r="E12" s="4" t="s">
        <v>81</v>
      </c>
      <c r="F12" s="127" t="n">
        <v>45917</v>
      </c>
      <c r="G12" s="127" t="n">
        <v>45917</v>
      </c>
      <c r="H12" s="127" t="n">
        <v>46289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15</v>
      </c>
      <c r="N12" s="2" t="str">
        <f aca="false">IF(E12="","",IF(ISNUMBER(SEARCH("SUBSOLO",E12)),IFERROR(-VALUE(LEFT(E12,FIND("º",SUBSTITUTE(E12,"°","º"))-1)),-1),IF(LEFT(E12,6)="TÉRREO",0,IFERROR(VALUE(LEFT(E12,FIND("º",SUBSTITUTE(E12,"°","º"))-1)),""))))</f>
        <v/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2315</v>
      </c>
      <c r="S12" s="4" t="s">
        <v>161</v>
      </c>
      <c r="T12" s="4" t="s">
        <v>2316</v>
      </c>
      <c r="U12" s="4" t="s">
        <v>2305</v>
      </c>
      <c r="V12" s="2" t="n">
        <f aca="false">IF(R12="","",COUNTIF($C$5:$C$6004,R12))</f>
        <v>6</v>
      </c>
      <c r="W12" s="2" t="n">
        <f aca="false">IF(R12="","",COUNTIFS($C$5:$C$6004,R12,$O$5:$O$6004,"CONCLUÍDA"))</f>
        <v>6</v>
      </c>
      <c r="X12" s="2" t="n">
        <f aca="false">IF(R12="","",COUNTIFS($C$5:$C$6004,R12,$O$5:$O$6004,"EM ANDAMENTO"))</f>
        <v>0</v>
      </c>
      <c r="Y12" s="2" t="str">
        <f aca="false">IF(R12="","",IF(COUNTIFS($C$5:$C$6004,R12,$O$5:$O$6004,"CONCLUÍDA",$N$5:$N$6004,"&gt;=-99")=0,"",_xlfn.MAXIFS($N$5:$N$6004,$C$5:$C$6004,R12,$O$5:$O$6004,"CONCLUÍDA")))</f>
        <v/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 customFormat="false" ht="15" hidden="false" customHeight="false" outlineLevel="0" collapsed="false">
      <c r="B13" s="4" t="n">
        <v>13543139</v>
      </c>
      <c r="C13" s="4" t="s">
        <v>2303</v>
      </c>
      <c r="D13" s="4" t="s">
        <v>2317</v>
      </c>
      <c r="E13" s="4" t="s">
        <v>81</v>
      </c>
      <c r="F13" s="127" t="n">
        <v>45918</v>
      </c>
      <c r="G13" s="127" t="n">
        <v>45918</v>
      </c>
      <c r="H13" s="127" t="n">
        <v>46289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15</v>
      </c>
      <c r="N13" s="2" t="str">
        <f aca="false">IF(E13="","",IF(ISNUMBER(SEARCH("SUBSOLO",E13)),IFERROR(-VALUE(LEFT(E13,FIND("º",SUBSTITUTE(E13,"°","º"))-1)),-1),IF(LEFT(E13,6)="TÉRREO",0,IFERROR(VALUE(LEFT(E13,FIND("º",SUBSTITUTE(E13,"°","º"))-1)),""))))</f>
        <v/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2318</v>
      </c>
      <c r="S13" s="4" t="s">
        <v>161</v>
      </c>
      <c r="T13" s="4" t="s">
        <v>2319</v>
      </c>
      <c r="U13" s="4" t="s">
        <v>2305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str">
        <f aca="false">IF(R13="","",IF(COUNTIFS($C$5:$C$6004,R13,$O$5:$O$6004,"CONCLUÍDA",$N$5:$N$6004,"&gt;=-99")=0,"",_xlfn.MAXIFS($N$5:$N$6004,$C$5:$C$6004,R13,$O$5:$O$6004,"CONCLUÍDA")))</f>
        <v/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 customFormat="false" ht="15" hidden="false" customHeight="false" outlineLevel="0" collapsed="false">
      <c r="B14" s="4" t="n">
        <v>33143218</v>
      </c>
      <c r="C14" s="4" t="s">
        <v>2307</v>
      </c>
      <c r="D14" s="4" t="s">
        <v>463</v>
      </c>
      <c r="E14" s="4" t="s">
        <v>81</v>
      </c>
      <c r="F14" s="127" t="n">
        <v>45908</v>
      </c>
      <c r="G14" s="127" t="n">
        <v>45933</v>
      </c>
      <c r="H14" s="127" t="n">
        <v>46289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15</v>
      </c>
      <c r="N14" s="2" t="str">
        <f aca="false">IF(E14="","",IF(ISNUMBER(SEARCH("SUBSOLO",E14)),IFERROR(-VALUE(LEFT(E14,FIND("º",SUBSTITUTE(E14,"°","º"))-1)),-1),IF(LEFT(E14,6)="TÉRREO",0,IFERROR(VALUE(LEFT(E14,FIND("º",SUBSTITUTE(E14,"°","º"))-1)),""))))</f>
        <v/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2320</v>
      </c>
      <c r="S14" s="4" t="s">
        <v>161</v>
      </c>
      <c r="T14" s="4" t="s">
        <v>2321</v>
      </c>
      <c r="U14" s="4" t="s">
        <v>2305</v>
      </c>
      <c r="V14" s="2" t="n">
        <f aca="false">IF(R14="","",COUNTIF($C$5:$C$6004,R14))</f>
        <v>6</v>
      </c>
      <c r="W14" s="2" t="n">
        <f aca="false">IF(R14="","",COUNTIFS($C$5:$C$6004,R14,$O$5:$O$6004,"CONCLUÍDA"))</f>
        <v>6</v>
      </c>
      <c r="X14" s="2" t="n">
        <f aca="false">IF(R14="","",COUNTIFS($C$5:$C$6004,R14,$O$5:$O$6004,"EM ANDAMENTO"))</f>
        <v>0</v>
      </c>
      <c r="Y14" s="2" t="str">
        <f aca="false">IF(R14="","",IF(COUNTIFS($C$5:$C$6004,R14,$O$5:$O$6004,"CONCLUÍDA",$N$5:$N$6004,"&gt;=-99")=0,"",_xlfn.MAXIFS($N$5:$N$6004,$C$5:$C$6004,R14,$O$5:$O$6004,"CONCLUÍDA")))</f>
        <v/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 customFormat="false" ht="15" hidden="false" customHeight="false" outlineLevel="0" collapsed="false">
      <c r="B15" s="4" t="n">
        <v>13543236</v>
      </c>
      <c r="C15" s="4" t="s">
        <v>2307</v>
      </c>
      <c r="D15" s="4" t="s">
        <v>2306</v>
      </c>
      <c r="E15" s="4" t="s">
        <v>81</v>
      </c>
      <c r="F15" s="127" t="n">
        <v>45908</v>
      </c>
      <c r="G15" s="127" t="n">
        <v>45912</v>
      </c>
      <c r="H15" s="127" t="n">
        <v>46289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15</v>
      </c>
      <c r="N15" s="2" t="str">
        <f aca="false">IF(E15="","",IF(ISNUMBER(SEARCH("SUBSOLO",E15)),IFERROR(-VALUE(LEFT(E15,FIND("º",SUBSTITUTE(E15,"°","º"))-1)),-1),IF(LEFT(E15,6)="TÉRREO",0,IFERROR(VALUE(LEFT(E15,FIND("º",SUBSTITUTE(E15,"°","º"))-1)),""))))</f>
        <v/>
      </c>
      <c r="O15" s="2" t="str">
        <f aca="false">IF(OR(F15="",G15=""),"",IF(G15&lt;='RETRATO 2027'!$K$5,"CONCLUÍDA",IF(F15&lt;='RETRATO 2027'!$K$5,"EM ANDAMENTO","A INICIAR")))</f>
        <v>CONCLUÍDA</v>
      </c>
      <c r="R15" s="4" t="s">
        <v>2322</v>
      </c>
      <c r="S15" s="4" t="s">
        <v>161</v>
      </c>
      <c r="T15" s="4" t="s">
        <v>2323</v>
      </c>
      <c r="U15" s="4" t="s">
        <v>2305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str">
        <f aca="false">IF(R15="","",IF(COUNTIFS($C$5:$C$6004,R15,$O$5:$O$6004,"CONCLUÍDA",$N$5:$N$6004,"&gt;=-99")=0,"",_xlfn.MAXIFS($N$5:$N$6004,$C$5:$C$6004,R15,$O$5:$O$6004,"CONCLUÍDA")))</f>
        <v/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13543237</v>
      </c>
      <c r="C16" s="4" t="s">
        <v>2307</v>
      </c>
      <c r="D16" s="4" t="s">
        <v>2309</v>
      </c>
      <c r="E16" s="4" t="s">
        <v>81</v>
      </c>
      <c r="F16" s="127" t="n">
        <v>45916</v>
      </c>
      <c r="G16" s="127" t="n">
        <v>45919</v>
      </c>
      <c r="H16" s="127" t="n">
        <v>46289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15</v>
      </c>
      <c r="N16" s="2" t="str">
        <f aca="false">IF(E16="","",IF(ISNUMBER(SEARCH("SUBSOLO",E16)),IFERROR(-VALUE(LEFT(E16,FIND("º",SUBSTITUTE(E16,"°","º"))-1)),-1),IF(LEFT(E16,6)="TÉRREO",0,IFERROR(VALUE(LEFT(E16,FIND("º",SUBSTITUTE(E16,"°","º"))-1)),""))))</f>
        <v/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2324</v>
      </c>
      <c r="S16" s="4" t="s">
        <v>161</v>
      </c>
      <c r="T16" s="4" t="s">
        <v>2325</v>
      </c>
      <c r="U16" s="4" t="s">
        <v>2305</v>
      </c>
      <c r="V16" s="2" t="n">
        <f aca="false">IF(R16="","",COUNTIF($C$5:$C$6004,R16))</f>
        <v>5</v>
      </c>
      <c r="W16" s="2" t="n">
        <f aca="false">IF(R16="","",COUNTIFS($C$5:$C$6004,R16,$O$5:$O$6004,"CONCLUÍDA"))</f>
        <v>5</v>
      </c>
      <c r="X16" s="2" t="n">
        <f aca="false">IF(R16="","",COUNTIFS($C$5:$C$6004,R16,$O$5:$O$6004,"EM ANDAMENTO"))</f>
        <v>0</v>
      </c>
      <c r="Y16" s="2" t="str">
        <f aca="false">IF(R16="","",IF(COUNTIFS($C$5:$C$6004,R16,$O$5:$O$6004,"CONCLUÍDA",$N$5:$N$6004,"&gt;=-99")=0,"",_xlfn.MAXIFS($N$5:$N$6004,$C$5:$C$6004,R16,$O$5:$O$6004,"CONCLUÍDA")))</f>
        <v/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 customFormat="false" ht="15" hidden="false" customHeight="false" outlineLevel="0" collapsed="false">
      <c r="B17" s="4" t="n">
        <v>13543238</v>
      </c>
      <c r="C17" s="4" t="s">
        <v>2307</v>
      </c>
      <c r="D17" s="4" t="s">
        <v>2312</v>
      </c>
      <c r="E17" s="4" t="s">
        <v>81</v>
      </c>
      <c r="F17" s="127" t="n">
        <v>45917</v>
      </c>
      <c r="G17" s="127" t="n">
        <v>45919</v>
      </c>
      <c r="H17" s="127" t="n">
        <v>46289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15</v>
      </c>
      <c r="N17" s="2" t="str">
        <f aca="false">IF(E17="","",IF(ISNUMBER(SEARCH("SUBSOLO",E17)),IFERROR(-VALUE(LEFT(E17,FIND("º",SUBSTITUTE(E17,"°","º"))-1)),-1),IF(LEFT(E17,6)="TÉRREO",0,IFERROR(VALUE(LEFT(E17,FIND("º",SUBSTITUTE(E17,"°","º"))-1)),""))))</f>
        <v/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2326</v>
      </c>
      <c r="S17" s="4" t="s">
        <v>159</v>
      </c>
      <c r="T17" s="4" t="s">
        <v>2327</v>
      </c>
      <c r="U17" s="4" t="s">
        <v>2299</v>
      </c>
      <c r="V17" s="2" t="n">
        <f aca="false">IF(R17="","",COUNTIF($C$5:$C$6004,R17))</f>
        <v>1</v>
      </c>
      <c r="W17" s="2" t="n">
        <f aca="false">IF(R17="","",COUNTIFS($C$5:$C$6004,R17,$O$5:$O$6004,"CONCLUÍDA"))</f>
        <v>1</v>
      </c>
      <c r="X17" s="2" t="n">
        <f aca="false">IF(R17="","",COUNTIFS($C$5:$C$6004,R17,$O$5:$O$6004,"EM ANDAMENTO"))</f>
        <v>0</v>
      </c>
      <c r="Y17" s="2" t="str">
        <f aca="false">IF(R17="","",IF(COUNTIFS($C$5:$C$6004,R17,$O$5:$O$6004,"CONCLUÍDA",$N$5:$N$6004,"&gt;=-99")=0,"",_xlfn.MAXIFS($N$5:$N$6004,$C$5:$C$6004,R17,$O$5:$O$6004,"CONCLUÍDA")))</f>
        <v/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>Terraplenagem (fase 1): concluído</v>
      </c>
    </row>
    <row r="18" customFormat="false" ht="15" hidden="false" customHeight="false" outlineLevel="0" collapsed="false">
      <c r="B18" s="4" t="n">
        <v>13543239</v>
      </c>
      <c r="C18" s="4" t="s">
        <v>2307</v>
      </c>
      <c r="D18" s="4" t="s">
        <v>2314</v>
      </c>
      <c r="E18" s="4" t="s">
        <v>81</v>
      </c>
      <c r="F18" s="127" t="n">
        <v>45922</v>
      </c>
      <c r="G18" s="127" t="n">
        <v>45922</v>
      </c>
      <c r="H18" s="127" t="n">
        <v>46289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str">
        <f aca="false">IF(E18="","",IF(ISNUMBER(SEARCH("SUBSOLO",E18)),IFERROR(-VALUE(LEFT(E18,FIND("º",SUBSTITUTE(E18,"°","º"))-1)),-1),IF(LEFT(E18,6)="TÉRREO",0,IFERROR(VALUE(LEFT(E18,FIND("º",SUBSTITUTE(E18,"°","º"))-1)),""))))</f>
        <v/>
      </c>
      <c r="O18" s="2" t="str">
        <f aca="false">IF(OR(F18="",G18=""),"",IF(G18&lt;='RETRATO 2027'!$K$5,"CONCLUÍDA",IF(F18&lt;='RETRATO 2027'!$K$5,"EM ANDAMENTO","A INICIAR")))</f>
        <v>CONCLUÍDA</v>
      </c>
      <c r="R18" s="4" t="s">
        <v>74</v>
      </c>
      <c r="S18" s="4" t="s">
        <v>163</v>
      </c>
      <c r="T18" s="4" t="s">
        <v>2328</v>
      </c>
      <c r="U18" s="4" t="s">
        <v>2305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str">
        <f aca="false">IF(R18="","",IF(COUNTIFS($C$5:$C$6004,R18,$O$5:$O$6004,"CONCLUÍDA",$N$5:$N$6004,"&gt;=-99")=0,"",_xlfn.MAXIFS($N$5:$N$6004,$C$5:$C$6004,R18,$O$5:$O$6004,"CONCLUÍDA")))</f>
        <v/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13543240</v>
      </c>
      <c r="C19" s="4" t="s">
        <v>2307</v>
      </c>
      <c r="D19" s="4" t="s">
        <v>2317</v>
      </c>
      <c r="E19" s="4" t="s">
        <v>81</v>
      </c>
      <c r="F19" s="127" t="n">
        <v>45933</v>
      </c>
      <c r="G19" s="127" t="n">
        <v>45933</v>
      </c>
      <c r="H19" s="127" t="n">
        <v>46289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str">
        <f aca="false">IF(E19="","",IF(ISNUMBER(SEARCH("SUBSOLO",E19)),IFERROR(-VALUE(LEFT(E19,FIND("º",SUBSTITUTE(E19,"°","º"))-1)),-1),IF(LEFT(E19,6)="TÉRREO",0,IFERROR(VALUE(LEFT(E19,FIND("º",SUBSTITUTE(E19,"°","º"))-1)),""))))</f>
        <v/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2329</v>
      </c>
      <c r="S19" s="4" t="s">
        <v>163</v>
      </c>
      <c r="T19" s="4" t="s">
        <v>2330</v>
      </c>
      <c r="U19" s="4" t="s">
        <v>2305</v>
      </c>
      <c r="V19" s="2" t="n">
        <f aca="false">IF(R19="","",COUNTIF($C$5:$C$6004,R19))</f>
        <v>6</v>
      </c>
      <c r="W19" s="2" t="n">
        <f aca="false">IF(R19="","",COUNTIFS($C$5:$C$6004,R19,$O$5:$O$6004,"CONCLUÍDA"))</f>
        <v>6</v>
      </c>
      <c r="X19" s="2" t="n">
        <f aca="false">IF(R19="","",COUNTIFS($C$5:$C$6004,R19,$O$5:$O$6004,"EM ANDAMENTO"))</f>
        <v>0</v>
      </c>
      <c r="Y19" s="2" t="str">
        <f aca="false">IF(R19="","",IF(COUNTIFS($C$5:$C$6004,R19,$O$5:$O$6004,"CONCLUÍDA",$N$5:$N$6004,"&gt;=-99")=0,"",_xlfn.MAXIFS($N$5:$N$6004,$C$5:$C$6004,R19,$O$5:$O$6004,"CONCLUÍDA")))</f>
        <v/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 customFormat="false" ht="15" hidden="false" customHeight="false" outlineLevel="0" collapsed="false">
      <c r="B20" s="4" t="n">
        <v>33143219</v>
      </c>
      <c r="C20" s="4" t="s">
        <v>2310</v>
      </c>
      <c r="D20" s="4" t="s">
        <v>463</v>
      </c>
      <c r="E20" s="4" t="s">
        <v>81</v>
      </c>
      <c r="F20" s="127" t="n">
        <v>45915</v>
      </c>
      <c r="G20" s="127" t="n">
        <v>45936</v>
      </c>
      <c r="H20" s="127" t="n">
        <v>46289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15</v>
      </c>
      <c r="N20" s="2" t="str">
        <f aca="false">IF(E20="","",IF(ISNUMBER(SEARCH("SUBSOLO",E20)),IFERROR(-VALUE(LEFT(E20,FIND("º",SUBSTITUTE(E20,"°","º"))-1)),-1),IF(LEFT(E20,6)="TÉRREO",0,IFERROR(VALUE(LEFT(E20,FIND("º",SUBSTITUTE(E20,"°","º"))-1)),""))))</f>
        <v/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2331</v>
      </c>
      <c r="S20" s="4" t="s">
        <v>163</v>
      </c>
      <c r="T20" s="4" t="s">
        <v>2332</v>
      </c>
      <c r="U20" s="4" t="s">
        <v>2299</v>
      </c>
      <c r="V20" s="2" t="n">
        <f aca="false">IF(R20="","",COUNTIF($C$5:$C$6004,R20))</f>
        <v>12</v>
      </c>
      <c r="W20" s="2" t="n">
        <f aca="false">IF(R20="","",COUNTIFS($C$5:$C$6004,R20,$O$5:$O$6004,"CONCLUÍDA"))</f>
        <v>12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>Fundação superficial - fase 2: concluído</v>
      </c>
    </row>
    <row r="21" customFormat="false" ht="15" hidden="false" customHeight="false" outlineLevel="0" collapsed="false">
      <c r="B21" s="4" t="n">
        <v>13543287</v>
      </c>
      <c r="C21" s="4" t="s">
        <v>2310</v>
      </c>
      <c r="D21" s="4" t="s">
        <v>2306</v>
      </c>
      <c r="E21" s="4" t="s">
        <v>81</v>
      </c>
      <c r="F21" s="127" t="n">
        <v>45915</v>
      </c>
      <c r="G21" s="127" t="n">
        <v>45919</v>
      </c>
      <c r="H21" s="127" t="n">
        <v>46289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15</v>
      </c>
      <c r="N21" s="2" t="str">
        <f aca="false">IF(E21="","",IF(ISNUMBER(SEARCH("SUBSOLO",E21)),IFERROR(-VALUE(LEFT(E21,FIND("º",SUBSTITUTE(E21,"°","º"))-1)),-1),IF(LEFT(E21,6)="TÉRREO",0,IFERROR(VALUE(LEFT(E21,FIND("º",SUBSTITUTE(E21,"°","º"))-1)),""))))</f>
        <v/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2333</v>
      </c>
      <c r="S21" s="4" t="s">
        <v>156</v>
      </c>
      <c r="T21" s="4" t="s">
        <v>2334</v>
      </c>
      <c r="U21" s="4" t="s">
        <v>2299</v>
      </c>
      <c r="V21" s="2" t="n">
        <f aca="false">IF(R21="","",COUNTIF($C$5:$C$6004,R21))</f>
        <v>1</v>
      </c>
      <c r="W21" s="2" t="n">
        <f aca="false">IF(R21="","",COUNTIFS($C$5:$C$6004,R21,$O$5:$O$6004,"CONCLUÍDA"))</f>
        <v>1</v>
      </c>
      <c r="X21" s="2" t="n">
        <f aca="false">IF(R21="","",COUNTIFS($C$5:$C$6004,R21,$O$5:$O$6004,"EM ANDAMENTO"))</f>
        <v>0</v>
      </c>
      <c r="Y21" s="2" t="str">
        <f aca="false">IF(R21="","",IF(COUNTIFS($C$5:$C$6004,R21,$O$5:$O$6004,"CONCLUÍDA",$N$5:$N$6004,"&gt;=-99")=0,"",_xlfn.MAXIFS($N$5:$N$6004,$C$5:$C$6004,R21,$O$5:$O$6004,"CONCLUÍDA")))</f>
        <v/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>Contenção - bloco do elevador: concluído</v>
      </c>
    </row>
    <row r="22" customFormat="false" ht="15" hidden="false" customHeight="false" outlineLevel="0" collapsed="false">
      <c r="B22" s="4" t="n">
        <v>13543288</v>
      </c>
      <c r="C22" s="4" t="s">
        <v>2310</v>
      </c>
      <c r="D22" s="4" t="s">
        <v>2309</v>
      </c>
      <c r="E22" s="4" t="s">
        <v>81</v>
      </c>
      <c r="F22" s="127" t="n">
        <v>45922</v>
      </c>
      <c r="G22" s="127" t="n">
        <v>45925</v>
      </c>
      <c r="H22" s="127" t="n">
        <v>46289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15</v>
      </c>
      <c r="N22" s="2" t="str">
        <f aca="false">IF(E22="","",IF(ISNUMBER(SEARCH("SUBSOLO",E22)),IFERROR(-VALUE(LEFT(E22,FIND("º",SUBSTITUTE(E22,"°","º"))-1)),-1),IF(LEFT(E22,6)="TÉRREO",0,IFERROR(VALUE(LEFT(E22,FIND("º",SUBSTITUTE(E22,"°","º"))-1)),""))))</f>
        <v/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2335</v>
      </c>
      <c r="S22" s="4" t="s">
        <v>163</v>
      </c>
      <c r="T22" s="4" t="s">
        <v>2336</v>
      </c>
      <c r="U22" s="4" t="s">
        <v>2299</v>
      </c>
      <c r="V22" s="2" t="n">
        <f aca="false">IF(R22="","",COUNTIF($C$5:$C$6004,R22))</f>
        <v>11</v>
      </c>
      <c r="W22" s="2" t="n">
        <f aca="false">IF(R22="","",COUNTIFS($C$5:$C$6004,R22,$O$5:$O$6004,"CONCLUÍDA"))</f>
        <v>11</v>
      </c>
      <c r="X22" s="2" t="n">
        <f aca="false">IF(R22="","",COUNTIFS($C$5:$C$6004,R22,$O$5:$O$6004,"EM ANDAMENTO"))</f>
        <v>0</v>
      </c>
      <c r="Y22" s="2" t="str">
        <f aca="false">IF(R22="","",IF(COUNTIFS($C$5:$C$6004,R22,$O$5:$O$6004,"CONCLUÍDA",$N$5:$N$6004,"&gt;=-99")=0,"",_xlfn.MAXIFS($N$5:$N$6004,$C$5:$C$6004,R22,$O$5:$O$6004,"CONCLUÍDA")))</f>
        <v/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Fundação superficial - fase 3: concluído</v>
      </c>
    </row>
    <row r="23" customFormat="false" ht="15" hidden="false" customHeight="false" outlineLevel="0" collapsed="false">
      <c r="B23" s="4" t="n">
        <v>13543289</v>
      </c>
      <c r="C23" s="4" t="s">
        <v>2310</v>
      </c>
      <c r="D23" s="4" t="s">
        <v>2312</v>
      </c>
      <c r="E23" s="4" t="s">
        <v>81</v>
      </c>
      <c r="F23" s="127" t="n">
        <v>45923</v>
      </c>
      <c r="G23" s="127" t="n">
        <v>45925</v>
      </c>
      <c r="H23" s="127" t="n">
        <v>46289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15</v>
      </c>
      <c r="N23" s="2" t="str">
        <f aca="false">IF(E23="","",IF(ISNUMBER(SEARCH("SUBSOLO",E23)),IFERROR(-VALUE(LEFT(E23,FIND("º",SUBSTITUTE(E23,"°","º"))-1)),-1),IF(LEFT(E23,6)="TÉRREO",0,IFERROR(VALUE(LEFT(E23,FIND("º",SUBSTITUTE(E23,"°","º"))-1)),""))))</f>
        <v/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2337</v>
      </c>
      <c r="S23" s="4" t="s">
        <v>163</v>
      </c>
      <c r="T23" s="4" t="s">
        <v>2338</v>
      </c>
      <c r="U23" s="4" t="s">
        <v>2305</v>
      </c>
      <c r="V23" s="2" t="n">
        <f aca="false">IF(R23="","",COUNTIF($C$5:$C$6004,R23))</f>
        <v>6</v>
      </c>
      <c r="W23" s="2" t="n">
        <f aca="false">IF(R23="","",COUNTIFS($C$5:$C$6004,R23,$O$5:$O$6004,"CONCLUÍDA"))</f>
        <v>6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-1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 customFormat="false" ht="15" hidden="false" customHeight="false" outlineLevel="0" collapsed="false">
      <c r="B24" s="4" t="n">
        <v>13543290</v>
      </c>
      <c r="C24" s="4" t="s">
        <v>2310</v>
      </c>
      <c r="D24" s="4" t="s">
        <v>2314</v>
      </c>
      <c r="E24" s="4" t="s">
        <v>81</v>
      </c>
      <c r="F24" s="127" t="n">
        <v>45926</v>
      </c>
      <c r="G24" s="127" t="n">
        <v>45933</v>
      </c>
      <c r="H24" s="127" t="n">
        <v>46289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15</v>
      </c>
      <c r="N24" s="2" t="str">
        <f aca="false">IF(E24="","",IF(ISNUMBER(SEARCH("SUBSOLO",E24)),IFERROR(-VALUE(LEFT(E24,FIND("º",SUBSTITUTE(E24,"°","º"))-1)),-1),IF(LEFT(E24,6)="TÉRREO",0,IFERROR(VALUE(LEFT(E24,FIND("º",SUBSTITUTE(E24,"°","º"))-1)),""))))</f>
        <v/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2339</v>
      </c>
      <c r="S24" s="4" t="s">
        <v>163</v>
      </c>
      <c r="T24" s="4" t="s">
        <v>2340</v>
      </c>
      <c r="U24" s="4" t="s">
        <v>2305</v>
      </c>
      <c r="V24" s="2" t="n">
        <f aca="false">IF(R24="","",COUNTIF($C$5:$C$6004,R24))</f>
        <v>8</v>
      </c>
      <c r="W24" s="2" t="n">
        <f aca="false">IF(R24="","",COUNTIFS($C$5:$C$6004,R24,$O$5:$O$6004,"CONCLUÍDA"))</f>
        <v>8</v>
      </c>
      <c r="X24" s="2" t="n">
        <f aca="false">IF(R24="","",COUNTIFS($C$5:$C$6004,R24,$O$5:$O$6004,"EM ANDAMENTO"))</f>
        <v>0</v>
      </c>
      <c r="Y24" s="2" t="str">
        <f aca="false">IF(R24="","",IF(COUNTIFS($C$5:$C$6004,R24,$O$5:$O$6004,"CONCLUÍDA",$N$5:$N$6004,"&gt;=-99")=0,"",_xlfn.MAXIFS($N$5:$N$6004,$C$5:$C$6004,R24,$O$5:$O$6004,"CONCLUÍDA")))</f>
        <v/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 customFormat="false" ht="15" hidden="false" customHeight="false" outlineLevel="0" collapsed="false">
      <c r="B25" s="4" t="n">
        <v>13543291</v>
      </c>
      <c r="C25" s="4" t="s">
        <v>2310</v>
      </c>
      <c r="D25" s="4" t="s">
        <v>2317</v>
      </c>
      <c r="E25" s="4" t="s">
        <v>81</v>
      </c>
      <c r="F25" s="127" t="n">
        <v>45936</v>
      </c>
      <c r="G25" s="127" t="n">
        <v>45936</v>
      </c>
      <c r="H25" s="127" t="n">
        <v>46289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15</v>
      </c>
      <c r="N25" s="2" t="str">
        <f aca="false">IF(E25="","",IF(ISNUMBER(SEARCH("SUBSOLO",E25)),IFERROR(-VALUE(LEFT(E25,FIND("º",SUBSTITUTE(E25,"°","º"))-1)),-1),IF(LEFT(E25,6)="TÉRREO",0,IFERROR(VALUE(LEFT(E25,FIND("º",SUBSTITUTE(E25,"°","º"))-1)),""))))</f>
        <v/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2341</v>
      </c>
      <c r="S25" s="4" t="s">
        <v>165</v>
      </c>
      <c r="T25" s="4" t="s">
        <v>2342</v>
      </c>
      <c r="U25" s="4" t="s">
        <v>2299</v>
      </c>
      <c r="V25" s="2" t="n">
        <f aca="false">IF(R25="","",COUNTIF($C$5:$C$6004,R25))</f>
        <v>175</v>
      </c>
      <c r="W25" s="2" t="n">
        <f aca="false">IF(R25="","",COUNTIFS($C$5:$C$6004,R25,$O$5:$O$6004,"CONCLUÍDA"))</f>
        <v>161</v>
      </c>
      <c r="X25" s="2" t="n">
        <f aca="false">IF(R25="","",COUNTIFS($C$5:$C$6004,R25,$O$5:$O$6004,"EM ANDAMENTO"))</f>
        <v>2</v>
      </c>
      <c r="Y25" s="2" t="n">
        <f aca="false">IF(R25="","",IF(COUNTIFS($C$5:$C$6004,R25,$O$5:$O$6004,"CONCLUÍDA",$N$5:$N$6004,"&gt;=-99")=0,"",_xlfn.MAXIFS($N$5:$N$6004,$C$5:$C$6004,R25,$O$5:$O$6004,"CONCLUÍDA")))</f>
        <v>32</v>
      </c>
      <c r="Z25" s="2" t="n">
        <f aca="false">IF(R25="","",IF(COUNTIFS($C$5:$C$6004,R25,$O$5:$O$6004,"EM ANDAMENTO",$N$5:$N$6004,"&gt;=-99")=0,"",_xlfn.MAXIFS($N$5:$N$6004,$C$5:$C$6004,R25,$O$5:$O$6004,"EM ANDAMENTO")))</f>
        <v>32</v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>Estrutura: até 32º pav. (restam serviços no 32º pav.)</v>
      </c>
    </row>
    <row r="26" customFormat="false" ht="15" hidden="false" customHeight="false" outlineLevel="0" collapsed="false">
      <c r="B26" s="4" t="n">
        <v>29933210</v>
      </c>
      <c r="C26" s="4" t="s">
        <v>73</v>
      </c>
      <c r="D26" s="4" t="s">
        <v>463</v>
      </c>
      <c r="E26" s="4" t="s">
        <v>81</v>
      </c>
      <c r="F26" s="127" t="n">
        <v>45918</v>
      </c>
      <c r="G26" s="127" t="n">
        <v>46083</v>
      </c>
      <c r="H26" s="127" t="n">
        <v>46289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15</v>
      </c>
      <c r="N26" s="2" t="str">
        <f aca="false">IF(E26="","",IF(ISNUMBER(SEARCH("SUBSOLO",E26)),IFERROR(-VALUE(LEFT(E26,FIND("º",SUBSTITUTE(E26,"°","º"))-1)),-1),IF(LEFT(E26,6)="TÉRREO",0,IFERROR(VALUE(LEFT(E26,FIND("º",SUBSTITUTE(E26,"°","º"))-1)),""))))</f>
        <v/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2343</v>
      </c>
      <c r="S26" s="4" t="s">
        <v>163</v>
      </c>
      <c r="T26" s="4" t="s">
        <v>2344</v>
      </c>
      <c r="U26" s="4" t="s">
        <v>2299</v>
      </c>
      <c r="V26" s="2" t="n">
        <f aca="false">IF(R26="","",COUNTIF($C$5:$C$6004,R26))</f>
        <v>11</v>
      </c>
      <c r="W26" s="2" t="n">
        <f aca="false">IF(R26="","",COUNTIFS($C$5:$C$6004,R26,$O$5:$O$6004,"CONCLUÍDA"))</f>
        <v>11</v>
      </c>
      <c r="X26" s="2" t="n">
        <f aca="false">IF(R26="","",COUNTIFS($C$5:$C$6004,R26,$O$5:$O$6004,"EM ANDAMENTO"))</f>
        <v>0</v>
      </c>
      <c r="Y26" s="2" t="str">
        <f aca="false">IF(R26="","",IF(COUNTIFS($C$5:$C$6004,R26,$O$5:$O$6004,"CONCLUÍDA",$N$5:$N$6004,"&gt;=-99")=0,"",_xlfn.MAXIFS($N$5:$N$6004,$C$5:$C$6004,R26,$O$5:$O$6004,"CONCLUÍDA")))</f>
        <v/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>Fundação superficial - fase 5: concluído</v>
      </c>
    </row>
    <row r="27" customFormat="false" ht="15" hidden="false" customHeight="false" outlineLevel="0" collapsed="false">
      <c r="B27" s="4" t="n">
        <v>13543844</v>
      </c>
      <c r="C27" s="4" t="s">
        <v>73</v>
      </c>
      <c r="D27" s="4" t="s">
        <v>2345</v>
      </c>
      <c r="E27" s="4" t="s">
        <v>81</v>
      </c>
      <c r="F27" s="127" t="n">
        <v>45918</v>
      </c>
      <c r="G27" s="127" t="n">
        <v>45918</v>
      </c>
      <c r="H27" s="127" t="n">
        <v>46289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15</v>
      </c>
      <c r="N27" s="2" t="str">
        <f aca="false">IF(E27="","",IF(ISNUMBER(SEARCH("SUBSOLO",E27)),IFERROR(-VALUE(LEFT(E27,FIND("º",SUBSTITUTE(E27,"°","º"))-1)),-1),IF(LEFT(E27,6)="TÉRREO",0,IFERROR(VALUE(LEFT(E27,FIND("º",SUBSTITUTE(E27,"°","º"))-1)),""))))</f>
        <v/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2346</v>
      </c>
      <c r="S27" s="4" t="s">
        <v>163</v>
      </c>
      <c r="T27" s="4" t="s">
        <v>2347</v>
      </c>
      <c r="U27" s="4" t="s">
        <v>2305</v>
      </c>
      <c r="V27" s="2" t="n">
        <f aca="false">IF(R27="","",COUNTIF($C$5:$C$6004,R27))</f>
        <v>6</v>
      </c>
      <c r="W27" s="2" t="n">
        <f aca="false">IF(R27="","",COUNTIFS($C$5:$C$6004,R27,$O$5:$O$6004,"CONCLUÍDA"))</f>
        <v>6</v>
      </c>
      <c r="X27" s="2" t="n">
        <f aca="false">IF(R27="","",COUNTIFS($C$5:$C$6004,R27,$O$5:$O$6004,"EM ANDAMENTO"))</f>
        <v>0</v>
      </c>
      <c r="Y27" s="2" t="str">
        <f aca="false">IF(R27="","",IF(COUNTIFS($C$5:$C$6004,R27,$O$5:$O$6004,"CONCLUÍDA",$N$5:$N$6004,"&gt;=-99")=0,"",_xlfn.MAXIFS($N$5:$N$6004,$C$5:$C$6004,R27,$O$5:$O$6004,"CONCLUÍDA")))</f>
        <v/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13543845</v>
      </c>
      <c r="C28" s="4" t="s">
        <v>73</v>
      </c>
      <c r="D28" s="4" t="s">
        <v>2348</v>
      </c>
      <c r="E28" s="4" t="s">
        <v>81</v>
      </c>
      <c r="F28" s="127" t="n">
        <v>45929</v>
      </c>
      <c r="G28" s="127" t="n">
        <v>45929</v>
      </c>
      <c r="H28" s="127" t="n">
        <v>46289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15</v>
      </c>
      <c r="N28" s="2" t="str">
        <f aca="false">IF(E28="","",IF(ISNUMBER(SEARCH("SUBSOLO",E28)),IFERROR(-VALUE(LEFT(E28,FIND("º",SUBSTITUTE(E28,"°","º"))-1)),-1),IF(LEFT(E28,6)="TÉRREO",0,IFERROR(VALUE(LEFT(E28,FIND("º",SUBSTITUTE(E28,"°","º"))-1)),""))))</f>
        <v/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2349</v>
      </c>
      <c r="S28" s="4" t="s">
        <v>165</v>
      </c>
      <c r="T28" s="4" t="s">
        <v>2350</v>
      </c>
      <c r="U28" s="4" t="s">
        <v>2305</v>
      </c>
      <c r="V28" s="2" t="n">
        <f aca="false">IF(R28="","",COUNTIF($C$5:$C$6004,R28))</f>
        <v>6</v>
      </c>
      <c r="W28" s="2" t="n">
        <f aca="false">IF(R28="","",COUNTIFS($C$5:$C$6004,R28,$O$5:$O$6004,"CONCLUÍDA"))</f>
        <v>6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0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13543846</v>
      </c>
      <c r="C29" s="4" t="s">
        <v>73</v>
      </c>
      <c r="D29" s="4" t="s">
        <v>2351</v>
      </c>
      <c r="E29" s="4" t="s">
        <v>81</v>
      </c>
      <c r="F29" s="127" t="n">
        <v>45930</v>
      </c>
      <c r="G29" s="127" t="n">
        <v>45930</v>
      </c>
      <c r="H29" s="127" t="n">
        <v>46289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15</v>
      </c>
      <c r="N29" s="2" t="str">
        <f aca="false">IF(E29="","",IF(ISNUMBER(SEARCH("SUBSOLO",E29)),IFERROR(-VALUE(LEFT(E29,FIND("º",SUBSTITUTE(E29,"°","º"))-1)),-1),IF(LEFT(E29,6)="TÉRREO",0,IFERROR(VALUE(LEFT(E29,FIND("º",SUBSTITUTE(E29,"°","º"))-1)),""))))</f>
        <v/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2352</v>
      </c>
      <c r="S29" s="4" t="s">
        <v>165</v>
      </c>
      <c r="T29" s="4" t="s">
        <v>2353</v>
      </c>
      <c r="U29" s="4" t="s">
        <v>2305</v>
      </c>
      <c r="V29" s="2" t="n">
        <f aca="false">IF(R29="","",COUNTIF($C$5:$C$6004,R29))</f>
        <v>6</v>
      </c>
      <c r="W29" s="2" t="n">
        <f aca="false">IF(R29="","",COUNTIFS($C$5:$C$6004,R29,$O$5:$O$6004,"CONCLUÍDA"))</f>
        <v>6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0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 customFormat="false" ht="15" hidden="false" customHeight="false" outlineLevel="0" collapsed="false">
      <c r="B30" s="4" t="n">
        <v>13543847</v>
      </c>
      <c r="C30" s="4" t="s">
        <v>73</v>
      </c>
      <c r="D30" s="4" t="s">
        <v>2354</v>
      </c>
      <c r="E30" s="4" t="s">
        <v>81</v>
      </c>
      <c r="F30" s="127" t="n">
        <v>45931</v>
      </c>
      <c r="G30" s="127" t="n">
        <v>45931</v>
      </c>
      <c r="H30" s="127" t="n">
        <v>46289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15</v>
      </c>
      <c r="N30" s="2" t="str">
        <f aca="false">IF(E30="","",IF(ISNUMBER(SEARCH("SUBSOLO",E30)),IFERROR(-VALUE(LEFT(E30,FIND("º",SUBSTITUTE(E30,"°","º"))-1)),-1),IF(LEFT(E30,6)="TÉRREO",0,IFERROR(VALUE(LEFT(E30,FIND("º",SUBSTITUTE(E30,"°","º"))-1)),""))))</f>
        <v/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2355</v>
      </c>
      <c r="S30" s="4" t="s">
        <v>165</v>
      </c>
      <c r="T30" s="4" t="s">
        <v>2356</v>
      </c>
      <c r="U30" s="4" t="s">
        <v>2305</v>
      </c>
      <c r="V30" s="2" t="n">
        <f aca="false">IF(R30="","",COUNTIF($C$5:$C$6004,R30))</f>
        <v>8</v>
      </c>
      <c r="W30" s="2" t="n">
        <f aca="false">IF(R30="","",COUNTIFS($C$5:$C$6004,R30,$O$5:$O$6004,"CONCLUÍDA"))</f>
        <v>8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0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13543848</v>
      </c>
      <c r="C31" s="4" t="s">
        <v>73</v>
      </c>
      <c r="D31" s="4" t="s">
        <v>2357</v>
      </c>
      <c r="E31" s="4" t="s">
        <v>81</v>
      </c>
      <c r="F31" s="127" t="n">
        <v>45932</v>
      </c>
      <c r="G31" s="127" t="n">
        <v>45932</v>
      </c>
      <c r="H31" s="127" t="n">
        <v>46289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15</v>
      </c>
      <c r="N31" s="2" t="str">
        <f aca="false">IF(E31="","",IF(ISNUMBER(SEARCH("SUBSOLO",E31)),IFERROR(-VALUE(LEFT(E31,FIND("º",SUBSTITUTE(E31,"°","º"))-1)),-1),IF(LEFT(E31,6)="TÉRREO",0,IFERROR(VALUE(LEFT(E31,FIND("º",SUBSTITUTE(E31,"°","º"))-1)),""))))</f>
        <v/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2358</v>
      </c>
      <c r="S31" s="4" t="s">
        <v>165</v>
      </c>
      <c r="T31" s="4" t="s">
        <v>2359</v>
      </c>
      <c r="U31" s="4" t="s">
        <v>2305</v>
      </c>
      <c r="V31" s="2" t="n">
        <f aca="false">IF(R31="","",COUNTIF($C$5:$C$6004,R31))</f>
        <v>8</v>
      </c>
      <c r="W31" s="2" t="n">
        <f aca="false">IF(R31="","",COUNTIFS($C$5:$C$6004,R31,$O$5:$O$6004,"CONCLUÍDA"))</f>
        <v>8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1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 customFormat="false" ht="15" hidden="false" customHeight="false" outlineLevel="0" collapsed="false">
      <c r="B32" s="4" t="n">
        <v>13543849</v>
      </c>
      <c r="C32" s="4" t="s">
        <v>73</v>
      </c>
      <c r="D32" s="4" t="s">
        <v>2360</v>
      </c>
      <c r="E32" s="4" t="s">
        <v>81</v>
      </c>
      <c r="F32" s="127" t="n">
        <v>45933</v>
      </c>
      <c r="G32" s="127" t="n">
        <v>45933</v>
      </c>
      <c r="H32" s="127" t="n">
        <v>46289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str">
        <f aca="false">IF(E32="","",IF(ISNUMBER(SEARCH("SUBSOLO",E32)),IFERROR(-VALUE(LEFT(E32,FIND("º",SUBSTITUTE(E32,"°","º"))-1)),-1),IF(LEFT(E32,6)="TÉRREO",0,IFERROR(VALUE(LEFT(E32,FIND("º",SUBSTITUTE(E32,"°","º"))-1)),""))))</f>
        <v/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2361</v>
      </c>
      <c r="S32" s="4" t="s">
        <v>165</v>
      </c>
      <c r="T32" s="4" t="s">
        <v>2362</v>
      </c>
      <c r="U32" s="4" t="s">
        <v>2305</v>
      </c>
      <c r="V32" s="2" t="n">
        <f aca="false">IF(R32="","",COUNTIF($C$5:$C$6004,R32))</f>
        <v>7</v>
      </c>
      <c r="W32" s="2" t="n">
        <f aca="false">IF(R32="","",COUNTIFS($C$5:$C$6004,R32,$O$5:$O$6004,"CONCLUÍDA"))</f>
        <v>7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2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13543850</v>
      </c>
      <c r="C33" s="4" t="s">
        <v>73</v>
      </c>
      <c r="D33" s="4" t="s">
        <v>2363</v>
      </c>
      <c r="E33" s="4" t="s">
        <v>81</v>
      </c>
      <c r="F33" s="127" t="n">
        <v>45936</v>
      </c>
      <c r="G33" s="127" t="n">
        <v>45936</v>
      </c>
      <c r="H33" s="127" t="n">
        <v>46289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str">
        <f aca="false">IF(E33="","",IF(ISNUMBER(SEARCH("SUBSOLO",E33)),IFERROR(-VALUE(LEFT(E33,FIND("º",SUBSTITUTE(E33,"°","º"))-1)),-1),IF(LEFT(E33,6)="TÉRREO",0,IFERROR(VALUE(LEFT(E33,FIND("º",SUBSTITUTE(E33,"°","º"))-1)),""))))</f>
        <v/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2364</v>
      </c>
      <c r="S33" s="4" t="s">
        <v>159</v>
      </c>
      <c r="T33" s="4" t="s">
        <v>2365</v>
      </c>
      <c r="U33" s="4" t="s">
        <v>2299</v>
      </c>
      <c r="V33" s="2" t="n">
        <f aca="false">IF(R33="","",COUNTIF($C$5:$C$6004,R33))</f>
        <v>1</v>
      </c>
      <c r="W33" s="2" t="n">
        <f aca="false">IF(R33="","",COUNTIFS($C$5:$C$6004,R33,$O$5:$O$6004,"CONCLUÍDA"))</f>
        <v>1</v>
      </c>
      <c r="X33" s="2" t="n">
        <f aca="false">IF(R33="","",COUNTIFS($C$5:$C$6004,R33,$O$5:$O$6004,"EM ANDAMENTO"))</f>
        <v>0</v>
      </c>
      <c r="Y33" s="2" t="str">
        <f aca="false">IF(R33="","",IF(COUNTIFS($C$5:$C$6004,R33,$O$5:$O$6004,"CONCLUÍDA",$N$5:$N$6004,"&gt;=-99")=0,"",_xlfn.MAXIFS($N$5:$N$6004,$C$5:$C$6004,R33,$O$5:$O$6004,"CONCLUÍDA")))</f>
        <v/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>Terraplenagem (fase 2): concluído</v>
      </c>
    </row>
    <row r="34" customFormat="false" ht="15" hidden="false" customHeight="false" outlineLevel="0" collapsed="false">
      <c r="B34" s="4" t="n">
        <v>13543851</v>
      </c>
      <c r="C34" s="4" t="s">
        <v>73</v>
      </c>
      <c r="D34" s="4" t="s">
        <v>2366</v>
      </c>
      <c r="E34" s="4" t="s">
        <v>81</v>
      </c>
      <c r="F34" s="127" t="n">
        <v>45937</v>
      </c>
      <c r="G34" s="127" t="n">
        <v>45937</v>
      </c>
      <c r="H34" s="127" t="n">
        <v>46289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str">
        <f aca="false">IF(E34="","",IF(ISNUMBER(SEARCH("SUBSOLO",E34)),IFERROR(-VALUE(LEFT(E34,FIND("º",SUBSTITUTE(E34,"°","º"))-1)),-1),IF(LEFT(E34,6)="TÉRREO",0,IFERROR(VALUE(LEFT(E34,FIND("º",SUBSTITUTE(E34,"°","º"))-1)),""))))</f>
        <v/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2367</v>
      </c>
      <c r="S34" s="4" t="s">
        <v>163</v>
      </c>
      <c r="T34" s="4" t="s">
        <v>2368</v>
      </c>
      <c r="U34" s="4" t="s">
        <v>2305</v>
      </c>
      <c r="V34" s="2" t="n">
        <f aca="false">IF(R34="","",COUNTIF($C$5:$C$6004,R34))</f>
        <v>4</v>
      </c>
      <c r="W34" s="2" t="n">
        <f aca="false">IF(R34="","",COUNTIFS($C$5:$C$6004,R34,$O$5:$O$6004,"CONCLUÍDA"))</f>
        <v>4</v>
      </c>
      <c r="X34" s="2" t="n">
        <f aca="false">IF(R34="","",COUNTIFS($C$5:$C$6004,R34,$O$5:$O$6004,"EM ANDAMENTO"))</f>
        <v>0</v>
      </c>
      <c r="Y34" s="2" t="str">
        <f aca="false">IF(R34="","",IF(COUNTIFS($C$5:$C$6004,R34,$O$5:$O$6004,"CONCLUÍDA",$N$5:$N$6004,"&gt;=-99")=0,"",_xlfn.MAXIFS($N$5:$N$6004,$C$5:$C$6004,R34,$O$5:$O$6004,"CONCLUÍDA")))</f>
        <v/>
      </c>
      <c r="Z34" s="2" t="str">
        <f aca="false">IF(R34="","",IF(COUNTIFS($C$5:$C$6004,R34,$O$5:$O$6004,"EM ANDAMENTO",$N$5:$N$6004,"&gt;=-99")=0,"",_xlfn.MAXIFS($N$5:$N$6004,$C$5:$C$6004,R34,$O$5:$O$6004,"EM ANDAMENTO")))</f>
        <v/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 customFormat="false" ht="15" hidden="false" customHeight="false" outlineLevel="0" collapsed="false">
      <c r="B35" s="4" t="n">
        <v>13543852</v>
      </c>
      <c r="C35" s="4" t="s">
        <v>73</v>
      </c>
      <c r="D35" s="4" t="s">
        <v>2369</v>
      </c>
      <c r="E35" s="4" t="s">
        <v>81</v>
      </c>
      <c r="F35" s="127" t="n">
        <v>45938</v>
      </c>
      <c r="G35" s="127" t="n">
        <v>45938</v>
      </c>
      <c r="H35" s="127" t="n">
        <v>46289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str">
        <f aca="false">IF(E35="","",IF(ISNUMBER(SEARCH("SUBSOLO",E35)),IFERROR(-VALUE(LEFT(E35,FIND("º",SUBSTITUTE(E35,"°","º"))-1)),-1),IF(LEFT(E35,6)="TÉRREO",0,IFERROR(VALUE(LEFT(E35,FIND("º",SUBSTITUTE(E35,"°","º"))-1)),""))))</f>
        <v/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2370</v>
      </c>
      <c r="S35" s="4" t="s">
        <v>163</v>
      </c>
      <c r="T35" s="4" t="s">
        <v>2371</v>
      </c>
      <c r="U35" s="4" t="s">
        <v>2305</v>
      </c>
      <c r="V35" s="2" t="n">
        <f aca="false">IF(R35="","",COUNTIF($C$5:$C$6004,R35))</f>
        <v>4</v>
      </c>
      <c r="W35" s="2" t="n">
        <f aca="false">IF(R35="","",COUNTIFS($C$5:$C$6004,R35,$O$5:$O$6004,"CONCLUÍDA"))</f>
        <v>4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13543853</v>
      </c>
      <c r="C36" s="4" t="s">
        <v>73</v>
      </c>
      <c r="D36" s="4" t="s">
        <v>2372</v>
      </c>
      <c r="E36" s="4" t="s">
        <v>81</v>
      </c>
      <c r="F36" s="127" t="n">
        <v>45939</v>
      </c>
      <c r="G36" s="127" t="n">
        <v>45939</v>
      </c>
      <c r="H36" s="127" t="n">
        <v>46289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str">
        <f aca="false">IF(E36="","",IF(ISNUMBER(SEARCH("SUBSOLO",E36)),IFERROR(-VALUE(LEFT(E36,FIND("º",SUBSTITUTE(E36,"°","º"))-1)),-1),IF(LEFT(E36,6)="TÉRREO",0,IFERROR(VALUE(LEFT(E36,FIND("º",SUBSTITUTE(E36,"°","º"))-1)),""))))</f>
        <v/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2373</v>
      </c>
      <c r="S36" s="4" t="s">
        <v>156</v>
      </c>
      <c r="T36" s="4" t="s">
        <v>2374</v>
      </c>
      <c r="U36" s="4" t="s">
        <v>2299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str">
        <f aca="false">IF(R36="","",IF(COUNTIFS($C$5:$C$6004,R36,$O$5:$O$6004,"CONCLUÍDA",$N$5:$N$6004,"&gt;=-99")=0,"",_xlfn.MAXIFS($N$5:$N$6004,$C$5:$C$6004,R36,$O$5:$O$6004,"CONCLUÍDA")))</f>
        <v/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>Fechamento de cortina - contenções: concluído</v>
      </c>
    </row>
    <row r="37" customFormat="false" ht="15" hidden="false" customHeight="false" outlineLevel="0" collapsed="false">
      <c r="B37" s="4" t="n">
        <v>13543854</v>
      </c>
      <c r="C37" s="4" t="s">
        <v>73</v>
      </c>
      <c r="D37" s="4" t="s">
        <v>2375</v>
      </c>
      <c r="E37" s="4" t="s">
        <v>81</v>
      </c>
      <c r="F37" s="127" t="n">
        <v>45940</v>
      </c>
      <c r="G37" s="127" t="n">
        <v>45940</v>
      </c>
      <c r="H37" s="127" t="n">
        <v>46289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str">
        <f aca="false">IF(E37="","",IF(ISNUMBER(SEARCH("SUBSOLO",E37)),IFERROR(-VALUE(LEFT(E37,FIND("º",SUBSTITUTE(E37,"°","º"))-1)),-1),IF(LEFT(E37,6)="TÉRREO",0,IFERROR(VALUE(LEFT(E37,FIND("º",SUBSTITUTE(E37,"°","º"))-1)),""))))</f>
        <v/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2376</v>
      </c>
      <c r="S37" s="4" t="s">
        <v>163</v>
      </c>
      <c r="T37" s="4" t="s">
        <v>2377</v>
      </c>
      <c r="U37" s="4" t="s">
        <v>2305</v>
      </c>
      <c r="V37" s="2" t="n">
        <f aca="false">IF(R37="","",COUNTIF($C$5:$C$6004,R37))</f>
        <v>4</v>
      </c>
      <c r="W37" s="2" t="n">
        <f aca="false">IF(R37="","",COUNTIFS($C$5:$C$6004,R37,$O$5:$O$6004,"CONCLUÍDA"))</f>
        <v>4</v>
      </c>
      <c r="X37" s="2" t="n">
        <f aca="false">IF(R37="","",COUNTIFS($C$5:$C$6004,R37,$O$5:$O$6004,"EM ANDAMENTO"))</f>
        <v>0</v>
      </c>
      <c r="Y37" s="2" t="str">
        <f aca="false">IF(R37="","",IF(COUNTIFS($C$5:$C$6004,R37,$O$5:$O$6004,"CONCLUÍDA",$N$5:$N$6004,"&gt;=-99")=0,"",_xlfn.MAXIFS($N$5:$N$6004,$C$5:$C$6004,R37,$O$5:$O$6004,"CONCLUÍDA")))</f>
        <v/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13543855</v>
      </c>
      <c r="C38" s="4" t="s">
        <v>73</v>
      </c>
      <c r="D38" s="4" t="s">
        <v>2378</v>
      </c>
      <c r="E38" s="4" t="s">
        <v>81</v>
      </c>
      <c r="F38" s="127" t="n">
        <v>45943</v>
      </c>
      <c r="G38" s="127" t="n">
        <v>45943</v>
      </c>
      <c r="H38" s="127" t="n">
        <v>46289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str">
        <f aca="false">IF(E38="","",IF(ISNUMBER(SEARCH("SUBSOLO",E38)),IFERROR(-VALUE(LEFT(E38,FIND("º",SUBSTITUTE(E38,"°","º"))-1)),-1),IF(LEFT(E38,6)="TÉRREO",0,IFERROR(VALUE(LEFT(E38,FIND("º",SUBSTITUTE(E38,"°","º"))-1)),""))))</f>
        <v/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2379</v>
      </c>
      <c r="S38" s="4" t="s">
        <v>163</v>
      </c>
      <c r="T38" s="4" t="s">
        <v>2380</v>
      </c>
      <c r="U38" s="4" t="s">
        <v>2305</v>
      </c>
      <c r="V38" s="2" t="n">
        <f aca="false">IF(R38="","",COUNTIF($C$5:$C$6004,R38))</f>
        <v>4</v>
      </c>
      <c r="W38" s="2" t="n">
        <f aca="false">IF(R38="","",COUNTIFS($C$5:$C$6004,R38,$O$5:$O$6004,"CONCLUÍDA"))</f>
        <v>4</v>
      </c>
      <c r="X38" s="2" t="n">
        <f aca="false">IF(R38="","",COUNTIFS($C$5:$C$6004,R38,$O$5:$O$6004,"EM ANDAMENTO"))</f>
        <v>0</v>
      </c>
      <c r="Y38" s="2" t="str">
        <f aca="false">IF(R38="","",IF(COUNTIFS($C$5:$C$6004,R38,$O$5:$O$6004,"CONCLUÍDA",$N$5:$N$6004,"&gt;=-99")=0,"",_xlfn.MAXIFS($N$5:$N$6004,$C$5:$C$6004,R38,$O$5:$O$6004,"CONCLUÍDA")))</f>
        <v/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13543856</v>
      </c>
      <c r="C39" s="4" t="s">
        <v>73</v>
      </c>
      <c r="D39" s="4" t="s">
        <v>2381</v>
      </c>
      <c r="E39" s="4" t="s">
        <v>81</v>
      </c>
      <c r="F39" s="127" t="n">
        <v>45944</v>
      </c>
      <c r="G39" s="127" t="n">
        <v>45944</v>
      </c>
      <c r="H39" s="127" t="n">
        <v>46289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str">
        <f aca="false">IF(E39="","",IF(ISNUMBER(SEARCH("SUBSOLO",E39)),IFERROR(-VALUE(LEFT(E39,FIND("º",SUBSTITUTE(E39,"°","º"))-1)),-1),IF(LEFT(E39,6)="TÉRREO",0,IFERROR(VALUE(LEFT(E39,FIND("º",SUBSTITUTE(E39,"°","º"))-1)),""))))</f>
        <v/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2382</v>
      </c>
      <c r="S39" s="4" t="s">
        <v>223</v>
      </c>
      <c r="T39" s="4" t="s">
        <v>2383</v>
      </c>
      <c r="U39" s="4" t="s">
        <v>2305</v>
      </c>
      <c r="V39" s="2" t="n">
        <f aca="false">IF(R39="","",COUNTIF($C$5:$C$6004,R39))</f>
        <v>5</v>
      </c>
      <c r="W39" s="2" t="n">
        <f aca="false">IF(R39="","",COUNTIFS($C$5:$C$6004,R39,$O$5:$O$6004,"CONCLUÍDA"))</f>
        <v>5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5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13543857</v>
      </c>
      <c r="C40" s="4" t="s">
        <v>73</v>
      </c>
      <c r="D40" s="4" t="s">
        <v>2384</v>
      </c>
      <c r="E40" s="4" t="s">
        <v>81</v>
      </c>
      <c r="F40" s="127" t="n">
        <v>45945</v>
      </c>
      <c r="G40" s="127" t="n">
        <v>45945</v>
      </c>
      <c r="H40" s="127" t="n">
        <v>46289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str">
        <f aca="false">IF(E40="","",IF(ISNUMBER(SEARCH("SUBSOLO",E40)),IFERROR(-VALUE(LEFT(E40,FIND("º",SUBSTITUTE(E40,"°","º"))-1)),-1),IF(LEFT(E40,6)="TÉRREO",0,IFERROR(VALUE(LEFT(E40,FIND("º",SUBSTITUTE(E40,"°","º"))-1)),""))))</f>
        <v/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2385</v>
      </c>
      <c r="S40" s="4" t="s">
        <v>156</v>
      </c>
      <c r="T40" s="4" t="s">
        <v>955</v>
      </c>
      <c r="U40" s="4" t="s">
        <v>2299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str">
        <f aca="false">IF(R40="","",IF(COUNTIFS($C$5:$C$6004,R40,$O$5:$O$6004,"CONCLUÍDA",$N$5:$N$6004,"&gt;=-99")=0,"",_xlfn.MAXIFS($N$5:$N$6004,$C$5:$C$6004,R40,$O$5:$O$6004,"CONCLUÍDA")))</f>
        <v/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>Tratamento de contenções: concluído</v>
      </c>
    </row>
    <row r="41" customFormat="false" ht="15" hidden="false" customHeight="false" outlineLevel="0" collapsed="false">
      <c r="B41" s="4" t="n">
        <v>13543858</v>
      </c>
      <c r="C41" s="4" t="s">
        <v>73</v>
      </c>
      <c r="D41" s="4" t="s">
        <v>2386</v>
      </c>
      <c r="E41" s="4" t="s">
        <v>81</v>
      </c>
      <c r="F41" s="127" t="n">
        <v>45946</v>
      </c>
      <c r="G41" s="127" t="n">
        <v>45946</v>
      </c>
      <c r="H41" s="127" t="n">
        <v>46289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str">
        <f aca="false">IF(E41="","",IF(ISNUMBER(SEARCH("SUBSOLO",E41)),IFERROR(-VALUE(LEFT(E41,FIND("º",SUBSTITUTE(E41,"°","º"))-1)),-1),IF(LEFT(E41,6)="TÉRREO",0,IFERROR(VALUE(LEFT(E41,FIND("º",SUBSTITUTE(E41,"°","º"))-1)),""))))</f>
        <v/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2387</v>
      </c>
      <c r="S41" s="4" t="s">
        <v>176</v>
      </c>
      <c r="T41" s="4" t="s">
        <v>2388</v>
      </c>
      <c r="U41" s="4" t="s">
        <v>2305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-1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13543859</v>
      </c>
      <c r="C42" s="4" t="s">
        <v>73</v>
      </c>
      <c r="D42" s="4" t="s">
        <v>2389</v>
      </c>
      <c r="E42" s="4" t="s">
        <v>81</v>
      </c>
      <c r="F42" s="127" t="n">
        <v>45947</v>
      </c>
      <c r="G42" s="127" t="n">
        <v>45950</v>
      </c>
      <c r="H42" s="127" t="n">
        <v>46289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15</v>
      </c>
      <c r="N42" s="2" t="str">
        <f aca="false">IF(E42="","",IF(ISNUMBER(SEARCH("SUBSOLO",E42)),IFERROR(-VALUE(LEFT(E42,FIND("º",SUBSTITUTE(E42,"°","º"))-1)),-1),IF(LEFT(E42,6)="TÉRREO",0,IFERROR(VALUE(LEFT(E42,FIND("º",SUBSTITUTE(E42,"°","º"))-1)),""))))</f>
        <v/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2390</v>
      </c>
      <c r="S42" s="4" t="s">
        <v>173</v>
      </c>
      <c r="T42" s="4" t="s">
        <v>2391</v>
      </c>
      <c r="U42" s="4" t="s">
        <v>2305</v>
      </c>
      <c r="V42" s="2" t="n">
        <f aca="false">IF(R42="","",COUNTIF($C$5:$C$6004,R42))</f>
        <v>1</v>
      </c>
      <c r="W42" s="2" t="n">
        <f aca="false">IF(R42="","",COUNTIFS($C$5:$C$6004,R42,$O$5:$O$6004,"CONCLUÍDA"))</f>
        <v>1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-1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13543860</v>
      </c>
      <c r="C43" s="4" t="s">
        <v>73</v>
      </c>
      <c r="D43" s="4" t="s">
        <v>2392</v>
      </c>
      <c r="E43" s="4" t="s">
        <v>81</v>
      </c>
      <c r="F43" s="127" t="n">
        <v>45951</v>
      </c>
      <c r="G43" s="127" t="n">
        <v>45951</v>
      </c>
      <c r="H43" s="127" t="n">
        <v>46289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15</v>
      </c>
      <c r="N43" s="2" t="str">
        <f aca="false">IF(E43="","",IF(ISNUMBER(SEARCH("SUBSOLO",E43)),IFERROR(-VALUE(LEFT(E43,FIND("º",SUBSTITUTE(E43,"°","º"))-1)),-1),IF(LEFT(E43,6)="TÉRREO",0,IFERROR(VALUE(LEFT(E43,FIND("º",SUBSTITUTE(E43,"°","º"))-1)),""))))</f>
        <v/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2393</v>
      </c>
      <c r="S43" s="4" t="s">
        <v>165</v>
      </c>
      <c r="T43" s="4" t="s">
        <v>2394</v>
      </c>
      <c r="U43" s="4" t="s">
        <v>2305</v>
      </c>
      <c r="V43" s="2" t="n">
        <f aca="false">IF(R43="","",COUNTIF($C$5:$C$6004,R43))</f>
        <v>6</v>
      </c>
      <c r="W43" s="2" t="n">
        <f aca="false">IF(R43="","",COUNTIFS($C$5:$C$6004,R43,$O$5:$O$6004,"CONCLUÍDA"))</f>
        <v>6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6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13543861</v>
      </c>
      <c r="C44" s="4" t="s">
        <v>73</v>
      </c>
      <c r="D44" s="4" t="s">
        <v>2395</v>
      </c>
      <c r="E44" s="4" t="s">
        <v>81</v>
      </c>
      <c r="F44" s="127" t="n">
        <v>45952</v>
      </c>
      <c r="G44" s="127" t="n">
        <v>45952</v>
      </c>
      <c r="H44" s="127" t="n">
        <v>46289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15</v>
      </c>
      <c r="N44" s="2" t="str">
        <f aca="false">IF(E44="","",IF(ISNUMBER(SEARCH("SUBSOLO",E44)),IFERROR(-VALUE(LEFT(E44,FIND("º",SUBSTITUTE(E44,"°","º"))-1)),-1),IF(LEFT(E44,6)="TÉRREO",0,IFERROR(VALUE(LEFT(E44,FIND("º",SUBSTITUTE(E44,"°","º"))-1)),""))))</f>
        <v/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2396</v>
      </c>
      <c r="S44" s="4" t="s">
        <v>173</v>
      </c>
      <c r="T44" s="4" t="s">
        <v>2397</v>
      </c>
      <c r="U44" s="4" t="s">
        <v>2305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5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13543862</v>
      </c>
      <c r="C45" s="4" t="s">
        <v>73</v>
      </c>
      <c r="D45" s="4" t="s">
        <v>2398</v>
      </c>
      <c r="E45" s="4" t="s">
        <v>81</v>
      </c>
      <c r="F45" s="127" t="n">
        <v>45953</v>
      </c>
      <c r="G45" s="127" t="n">
        <v>45953</v>
      </c>
      <c r="H45" s="127" t="n">
        <v>46289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15</v>
      </c>
      <c r="N45" s="2" t="str">
        <f aca="false">IF(E45="","",IF(ISNUMBER(SEARCH("SUBSOLO",E45)),IFERROR(-VALUE(LEFT(E45,FIND("º",SUBSTITUTE(E45,"°","º"))-1)),-1),IF(LEFT(E45,6)="TÉRREO",0,IFERROR(VALUE(LEFT(E45,FIND("º",SUBSTITUTE(E45,"°","º"))-1)),""))))</f>
        <v/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2399</v>
      </c>
      <c r="S45" s="4" t="s">
        <v>165</v>
      </c>
      <c r="T45" s="4" t="s">
        <v>2400</v>
      </c>
      <c r="U45" s="4" t="s">
        <v>2305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-1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13543863</v>
      </c>
      <c r="C46" s="4" t="s">
        <v>73</v>
      </c>
      <c r="D46" s="4" t="s">
        <v>2401</v>
      </c>
      <c r="E46" s="4" t="s">
        <v>81</v>
      </c>
      <c r="F46" s="127" t="n">
        <v>45954</v>
      </c>
      <c r="G46" s="127" t="n">
        <v>45954</v>
      </c>
      <c r="H46" s="127" t="n">
        <v>46289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15</v>
      </c>
      <c r="N46" s="2" t="str">
        <f aca="false">IF(E46="","",IF(ISNUMBER(SEARCH("SUBSOLO",E46)),IFERROR(-VALUE(LEFT(E46,FIND("º",SUBSTITUTE(E46,"°","º"))-1)),-1),IF(LEFT(E46,6)="TÉRREO",0,IFERROR(VALUE(LEFT(E46,FIND("º",SUBSTITUTE(E46,"°","º"))-1)),""))))</f>
        <v/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2402</v>
      </c>
      <c r="S46" s="4" t="s">
        <v>163</v>
      </c>
      <c r="T46" s="4" t="s">
        <v>2403</v>
      </c>
      <c r="U46" s="4" t="s">
        <v>2305</v>
      </c>
      <c r="V46" s="2" t="n">
        <f aca="false">IF(R46="","",COUNTIF($C$5:$C$6004,R46))</f>
        <v>4</v>
      </c>
      <c r="W46" s="2" t="n">
        <f aca="false">IF(R46="","",COUNTIFS($C$5:$C$6004,R46,$O$5:$O$6004,"CONCLUÍDA"))</f>
        <v>4</v>
      </c>
      <c r="X46" s="2" t="n">
        <f aca="false">IF(R46="","",COUNTIFS($C$5:$C$6004,R46,$O$5:$O$6004,"EM ANDAMENTO"))</f>
        <v>0</v>
      </c>
      <c r="Y46" s="2" t="str">
        <f aca="false">IF(R46="","",IF(COUNTIFS($C$5:$C$6004,R46,$O$5:$O$6004,"CONCLUÍDA",$N$5:$N$6004,"&gt;=-99")=0,"",_xlfn.MAXIFS($N$5:$N$6004,$C$5:$C$6004,R46,$O$5:$O$6004,"CONCLUÍDA")))</f>
        <v/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13543864</v>
      </c>
      <c r="C47" s="4" t="s">
        <v>73</v>
      </c>
      <c r="D47" s="4" t="s">
        <v>2404</v>
      </c>
      <c r="E47" s="4" t="s">
        <v>81</v>
      </c>
      <c r="F47" s="127" t="n">
        <v>45957</v>
      </c>
      <c r="G47" s="127" t="n">
        <v>45957</v>
      </c>
      <c r="H47" s="127" t="n">
        <v>46289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15</v>
      </c>
      <c r="N47" s="2" t="str">
        <f aca="false">IF(E47="","",IF(ISNUMBER(SEARCH("SUBSOLO",E47)),IFERROR(-VALUE(LEFT(E47,FIND("º",SUBSTITUTE(E47,"°","º"))-1)),-1),IF(LEFT(E47,6)="TÉRREO",0,IFERROR(VALUE(LEFT(E47,FIND("º",SUBSTITUTE(E47,"°","º"))-1)),""))))</f>
        <v/>
      </c>
      <c r="O47" s="2" t="str">
        <f aca="false">IF(OR(F47="",G47=""),"",IF(G47&lt;='RETRATO 2027'!$K$5,"CONCLUÍDA",IF(F47&lt;='RETRATO 2027'!$K$5,"EM ANDAMENTO","A INICIAR")))</f>
        <v>CONCLUÍDA</v>
      </c>
      <c r="R47" s="4" t="s">
        <v>168</v>
      </c>
      <c r="S47" s="4" t="s">
        <v>167</v>
      </c>
      <c r="T47" s="4" t="s">
        <v>2405</v>
      </c>
      <c r="U47" s="4" t="s">
        <v>2299</v>
      </c>
      <c r="V47" s="2" t="n">
        <f aca="false">IF(R47="","",COUNTIF($C$5:$C$6004,R47))</f>
        <v>50</v>
      </c>
      <c r="W47" s="2" t="n">
        <f aca="false">IF(R47="","",COUNTIFS($C$5:$C$6004,R47,$O$5:$O$6004,"CONCLUÍDA"))</f>
        <v>36</v>
      </c>
      <c r="X47" s="2" t="n">
        <f aca="false">IF(R47="","",COUNTIFS($C$5:$C$6004,R47,$O$5:$O$6004,"EM ANDAMENTO"))</f>
        <v>7</v>
      </c>
      <c r="Y47" s="2" t="n">
        <f aca="false">IF(R47="","",IF(COUNTIFS($C$5:$C$6004,R47,$O$5:$O$6004,"CONCLUÍDA",$N$5:$N$6004,"&gt;=-99")=0,"",_xlfn.MAXIFS($N$5:$N$6004,$C$5:$C$6004,R47,$O$5:$O$6004,"CONCLUÍDA")))</f>
        <v>28</v>
      </c>
      <c r="Z47" s="2" t="n">
        <f aca="false">IF(R47="","",IF(COUNTIFS($C$5:$C$6004,R47,$O$5:$O$6004,"EM ANDAMENTO",$N$5:$N$6004,"&gt;=-99")=0,"",_xlfn.MAXIFS($N$5:$N$6004,$C$5:$C$6004,R47,$O$5:$O$6004,"EM ANDAMENTO")))</f>
        <v>29</v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>Alvenaria: até 28º pav., executando 29º pav.</v>
      </c>
    </row>
    <row r="48" customFormat="false" ht="15" hidden="false" customHeight="false" outlineLevel="0" collapsed="false">
      <c r="B48" s="4" t="n">
        <v>13543865</v>
      </c>
      <c r="C48" s="4" t="s">
        <v>73</v>
      </c>
      <c r="D48" s="4" t="s">
        <v>2406</v>
      </c>
      <c r="E48" s="4" t="s">
        <v>81</v>
      </c>
      <c r="F48" s="127" t="n">
        <v>45958</v>
      </c>
      <c r="G48" s="127" t="n">
        <v>45958</v>
      </c>
      <c r="H48" s="127" t="n">
        <v>46289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15</v>
      </c>
      <c r="N48" s="2" t="str">
        <f aca="false">IF(E48="","",IF(ISNUMBER(SEARCH("SUBSOLO",E48)),IFERROR(-VALUE(LEFT(E48,FIND("º",SUBSTITUTE(E48,"°","º"))-1)),-1),IF(LEFT(E48,6)="TÉRREO",0,IFERROR(VALUE(LEFT(E48,FIND("º",SUBSTITUTE(E48,"°","º"))-1)),""))))</f>
        <v/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2407</v>
      </c>
      <c r="S48" s="4" t="s">
        <v>163</v>
      </c>
      <c r="T48" s="4" t="s">
        <v>2408</v>
      </c>
      <c r="U48" s="4" t="s">
        <v>2305</v>
      </c>
      <c r="V48" s="2" t="n">
        <f aca="false">IF(R48="","",COUNTIF($C$5:$C$6004,R48))</f>
        <v>1</v>
      </c>
      <c r="W48" s="2" t="n">
        <f aca="false">IF(R48="","",COUNTIFS($C$5:$C$6004,R48,$O$5:$O$6004,"CONCLUÍDA"))</f>
        <v>1</v>
      </c>
      <c r="X48" s="2" t="n">
        <f aca="false">IF(R48="","",COUNTIFS($C$5:$C$6004,R48,$O$5:$O$6004,"EM ANDAMENTO"))</f>
        <v>0</v>
      </c>
      <c r="Y48" s="2" t="str">
        <f aca="false">IF(R48="","",IF(COUNTIFS($C$5:$C$6004,R48,$O$5:$O$6004,"CONCLUÍDA",$N$5:$N$6004,"&gt;=-99")=0,"",_xlfn.MAXIFS($N$5:$N$6004,$C$5:$C$6004,R48,$O$5:$O$6004,"CONCLUÍDA")))</f>
        <v/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13584629</v>
      </c>
      <c r="C49" s="4" t="s">
        <v>73</v>
      </c>
      <c r="D49" s="4" t="s">
        <v>2409</v>
      </c>
      <c r="E49" s="4" t="s">
        <v>81</v>
      </c>
      <c r="F49" s="127" t="n">
        <v>45959</v>
      </c>
      <c r="G49" s="127" t="n">
        <v>45959</v>
      </c>
      <c r="H49" s="127" t="n">
        <v>46289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15</v>
      </c>
      <c r="N49" s="2" t="str">
        <f aca="false">IF(E49="","",IF(ISNUMBER(SEARCH("SUBSOLO",E49)),IFERROR(-VALUE(LEFT(E49,FIND("º",SUBSTITUTE(E49,"°","º"))-1)),-1),IF(LEFT(E49,6)="TÉRREO",0,IFERROR(VALUE(LEFT(E49,FIND("º",SUBSTITUTE(E49,"°","º"))-1)),""))))</f>
        <v/>
      </c>
      <c r="O49" s="2" t="str">
        <f aca="false">IF(OR(F49="",G49=""),"",IF(G49&lt;='RETRATO 2027'!$K$5,"CONCLUÍDA",IF(F49&lt;='RETRATO 2027'!$K$5,"EM ANDAMENTO","A INICIAR")))</f>
        <v>CONCLUÍDA</v>
      </c>
      <c r="R49" s="4" t="s">
        <v>2410</v>
      </c>
      <c r="S49" s="4" t="s">
        <v>179</v>
      </c>
      <c r="T49" s="4" t="s">
        <v>2411</v>
      </c>
      <c r="U49" s="4" t="s">
        <v>2299</v>
      </c>
      <c r="V49" s="2" t="n">
        <f aca="false">IF(R49="","",COUNTIF($C$5:$C$6004,R49))</f>
        <v>35</v>
      </c>
      <c r="W49" s="2" t="n">
        <f aca="false">IF(R49="","",COUNTIFS($C$5:$C$6004,R49,$O$5:$O$6004,"CONCLUÍDA"))</f>
        <v>29</v>
      </c>
      <c r="X49" s="2" t="n">
        <f aca="false">IF(R49="","",COUNTIFS($C$5:$C$6004,R49,$O$5:$O$6004,"EM ANDAMENTO"))</f>
        <v>1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n">
        <f aca="false">IF(R49="","",IF(COUNTIFS($C$5:$C$6004,R49,$O$5:$O$6004,"EM ANDAMENTO",$N$5:$N$6004,"&gt;=-99")=0,"",_xlfn.MAXIFS($N$5:$N$6004,$C$5:$C$6004,R49,$O$5:$O$6004,"EM ANDAMENTO")))</f>
        <v>28</v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Prumada de incêndio: até 27º pav., executando 28º pav.</v>
      </c>
    </row>
    <row r="50" customFormat="false" ht="15" hidden="false" customHeight="false" outlineLevel="0" collapsed="false">
      <c r="B50" s="4" t="n">
        <v>13584630</v>
      </c>
      <c r="C50" s="4" t="s">
        <v>73</v>
      </c>
      <c r="D50" s="4" t="s">
        <v>2412</v>
      </c>
      <c r="E50" s="4" t="s">
        <v>81</v>
      </c>
      <c r="F50" s="127" t="n">
        <v>45960</v>
      </c>
      <c r="G50" s="127" t="n">
        <v>45960</v>
      </c>
      <c r="H50" s="127" t="n">
        <v>46289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15</v>
      </c>
      <c r="N50" s="2" t="str">
        <f aca="false">IF(E50="","",IF(ISNUMBER(SEARCH("SUBSOLO",E50)),IFERROR(-VALUE(LEFT(E50,FIND("º",SUBSTITUTE(E50,"°","º"))-1)),-1),IF(LEFT(E50,6)="TÉRREO",0,IFERROR(VALUE(LEFT(E50,FIND("º",SUBSTITUTE(E50,"°","º"))-1)),""))))</f>
        <v/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2413</v>
      </c>
      <c r="S50" s="4" t="s">
        <v>176</v>
      </c>
      <c r="T50" s="4" t="s">
        <v>2414</v>
      </c>
      <c r="U50" s="4" t="s">
        <v>2299</v>
      </c>
      <c r="V50" s="2" t="n">
        <f aca="false">IF(R50="","",COUNTIF($C$5:$C$6004,R50))</f>
        <v>46</v>
      </c>
      <c r="W50" s="2" t="n">
        <f aca="false">IF(R50="","",COUNTIFS($C$5:$C$6004,R50,$O$5:$O$6004,"CONCLUÍDA"))</f>
        <v>32</v>
      </c>
      <c r="X50" s="2" t="n">
        <f aca="false">IF(R50="","",COUNTIFS($C$5:$C$6004,R50,$O$5:$O$6004,"EM ANDAMENTO"))</f>
        <v>2</v>
      </c>
      <c r="Y50" s="2" t="n">
        <f aca="false">IF(R50="","",IF(COUNTIFS($C$5:$C$6004,R50,$O$5:$O$6004,"CONCLUÍDA",$N$5:$N$6004,"&gt;=-99")=0,"",_xlfn.MAXIFS($N$5:$N$6004,$C$5:$C$6004,R50,$O$5:$O$6004,"CONCLUÍDA")))</f>
        <v>27</v>
      </c>
      <c r="Z50" s="2" t="n">
        <f aca="false">IF(R50="","",IF(COUNTIFS($C$5:$C$6004,R50,$O$5:$O$6004,"EM ANDAMENTO",$N$5:$N$6004,"&gt;=-99")=0,"",_xlfn.MAXIFS($N$5:$N$6004,$C$5:$C$6004,R50,$O$5:$O$6004,"EM ANDAMENTO")))</f>
        <v>28</v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Prumada hidrossanitária: até 27º pav., executando 28º pav.</v>
      </c>
    </row>
    <row r="51" customFormat="false" ht="15" hidden="false" customHeight="false" outlineLevel="0" collapsed="false">
      <c r="B51" s="4" t="n">
        <v>13584631</v>
      </c>
      <c r="C51" s="4" t="s">
        <v>73</v>
      </c>
      <c r="D51" s="4" t="s">
        <v>2415</v>
      </c>
      <c r="E51" s="4" t="s">
        <v>81</v>
      </c>
      <c r="F51" s="127" t="n">
        <v>45961</v>
      </c>
      <c r="G51" s="127" t="n">
        <v>45961</v>
      </c>
      <c r="H51" s="127" t="n">
        <v>46289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15</v>
      </c>
      <c r="N51" s="2" t="str">
        <f aca="false">IF(E51="","",IF(ISNUMBER(SEARCH("SUBSOLO",E51)),IFERROR(-VALUE(LEFT(E51,FIND("º",SUBSTITUTE(E51,"°","º"))-1)),-1),IF(LEFT(E51,6)="TÉRREO",0,IFERROR(VALUE(LEFT(E51,FIND("º",SUBSTITUTE(E51,"°","º"))-1)),""))))</f>
        <v/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2416</v>
      </c>
      <c r="S51" s="4" t="s">
        <v>167</v>
      </c>
      <c r="T51" s="4" t="s">
        <v>2417</v>
      </c>
      <c r="U51" s="4" t="s">
        <v>2299</v>
      </c>
      <c r="V51" s="2" t="n">
        <f aca="false">IF(R51="","",COUNTIF($C$5:$C$6004,R51))</f>
        <v>46</v>
      </c>
      <c r="W51" s="2" t="n">
        <f aca="false">IF(R51="","",COUNTIFS($C$5:$C$6004,R51,$O$5:$O$6004,"CONCLUÍDA"))</f>
        <v>34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27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>Encunhamento: até 27º pav.</v>
      </c>
    </row>
    <row r="52" customFormat="false" ht="15" hidden="false" customHeight="false" outlineLevel="0" collapsed="false">
      <c r="B52" s="4" t="n">
        <v>13584632</v>
      </c>
      <c r="C52" s="4" t="s">
        <v>73</v>
      </c>
      <c r="D52" s="4" t="s">
        <v>2418</v>
      </c>
      <c r="E52" s="4" t="s">
        <v>81</v>
      </c>
      <c r="F52" s="127" t="n">
        <v>45964</v>
      </c>
      <c r="G52" s="127" t="n">
        <v>45964</v>
      </c>
      <c r="H52" s="127" t="n">
        <v>46289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15</v>
      </c>
      <c r="N52" s="2" t="str">
        <f aca="false">IF(E52="","",IF(ISNUMBER(SEARCH("SUBSOLO",E52)),IFERROR(-VALUE(LEFT(E52,FIND("º",SUBSTITUTE(E52,"°","º"))-1)),-1),IF(LEFT(E52,6)="TÉRREO",0,IFERROR(VALUE(LEFT(E52,FIND("º",SUBSTITUTE(E52,"°","º"))-1)),""))))</f>
        <v/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2419</v>
      </c>
      <c r="S52" s="4" t="s">
        <v>167</v>
      </c>
      <c r="T52" s="4" t="s">
        <v>2420</v>
      </c>
      <c r="U52" s="4" t="s">
        <v>2305</v>
      </c>
      <c r="V52" s="2" t="n">
        <f aca="false">IF(R52="","",COUNTIF($C$5:$C$6004,R52))</f>
        <v>1</v>
      </c>
      <c r="W52" s="2" t="n">
        <f aca="false">IF(R52="","",COUNTIFS($C$5:$C$6004,R52,$O$5:$O$6004,"CONCLUÍDA"))</f>
        <v>1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13584633</v>
      </c>
      <c r="C53" s="4" t="s">
        <v>73</v>
      </c>
      <c r="D53" s="4" t="s">
        <v>2421</v>
      </c>
      <c r="E53" s="4" t="s">
        <v>81</v>
      </c>
      <c r="F53" s="127" t="n">
        <v>45965</v>
      </c>
      <c r="G53" s="127" t="n">
        <v>45965</v>
      </c>
      <c r="H53" s="127" t="n">
        <v>46289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15</v>
      </c>
      <c r="N53" s="2" t="str">
        <f aca="false">IF(E53="","",IF(ISNUMBER(SEARCH("SUBSOLO",E53)),IFERROR(-VALUE(LEFT(E53,FIND("º",SUBSTITUTE(E53,"°","º"))-1)),-1),IF(LEFT(E53,6)="TÉRREO",0,IFERROR(VALUE(LEFT(E53,FIND("º",SUBSTITUTE(E53,"°","º"))-1)),""))))</f>
        <v/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2422</v>
      </c>
      <c r="S53" s="4" t="s">
        <v>202</v>
      </c>
      <c r="T53" s="4" t="s">
        <v>2423</v>
      </c>
      <c r="U53" s="4" t="s">
        <v>2299</v>
      </c>
      <c r="V53" s="2" t="n">
        <f aca="false">IF(R53="","",COUNTIF($C$5:$C$6004,R53))</f>
        <v>46</v>
      </c>
      <c r="W53" s="2" t="n">
        <f aca="false">IF(R53="","",COUNTIFS($C$5:$C$6004,R53,$O$5:$O$6004,"CONCLUÍDA"))</f>
        <v>33</v>
      </c>
      <c r="X53" s="2" t="n">
        <f aca="false">IF(R53="","",COUNTIFS($C$5:$C$6004,R53,$O$5:$O$6004,"EM ANDAMENTO"))</f>
        <v>2</v>
      </c>
      <c r="Y53" s="2" t="n">
        <f aca="false">IF(R53="","",IF(COUNTIFS($C$5:$C$6004,R53,$O$5:$O$6004,"CONCLUÍDA",$N$5:$N$6004,"&gt;=-99")=0,"",_xlfn.MAXIFS($N$5:$N$6004,$C$5:$C$6004,R53,$O$5:$O$6004,"CONCLUÍDA")))</f>
        <v>26</v>
      </c>
      <c r="Z53" s="2" t="n">
        <f aca="false">IF(R53="","",IF(COUNTIFS($C$5:$C$6004,R53,$O$5:$O$6004,"EM ANDAMENTO",$N$5:$N$6004,"&gt;=-99")=0,"",_xlfn.MAXIFS($N$5:$N$6004,$C$5:$C$6004,R53,$O$5:$O$6004,"EM ANDAMENTO")))</f>
        <v>27</v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Taliscamento: até 26º pav., executando 27º pav.</v>
      </c>
    </row>
    <row r="54" customFormat="false" ht="15" hidden="false" customHeight="false" outlineLevel="0" collapsed="false">
      <c r="B54" s="4" t="n">
        <v>13584634</v>
      </c>
      <c r="C54" s="4" t="s">
        <v>73</v>
      </c>
      <c r="D54" s="4" t="s">
        <v>2424</v>
      </c>
      <c r="E54" s="4" t="s">
        <v>81</v>
      </c>
      <c r="F54" s="127" t="n">
        <v>45966</v>
      </c>
      <c r="G54" s="127" t="n">
        <v>45966</v>
      </c>
      <c r="H54" s="127" t="n">
        <v>46289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15</v>
      </c>
      <c r="N54" s="2" t="str">
        <f aca="false">IF(E54="","",IF(ISNUMBER(SEARCH("SUBSOLO",E54)),IFERROR(-VALUE(LEFT(E54,FIND("º",SUBSTITUTE(E54,"°","º"))-1)),-1),IF(LEFT(E54,6)="TÉRREO",0,IFERROR(VALUE(LEFT(E54,FIND("º",SUBSTITUTE(E54,"°","º"))-1)),""))))</f>
        <v/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2425</v>
      </c>
      <c r="S54" s="4" t="s">
        <v>176</v>
      </c>
      <c r="T54" s="4" t="s">
        <v>2426</v>
      </c>
      <c r="U54" s="4" t="s">
        <v>2299</v>
      </c>
      <c r="V54" s="2" t="n">
        <f aca="false">IF(R54="","",COUNTIF($C$5:$C$6004,R54))</f>
        <v>31</v>
      </c>
      <c r="W54" s="2" t="n">
        <f aca="false">IF(R54="","",COUNTIFS($C$5:$C$6004,R54,$O$5:$O$6004,"CONCLUÍDA"))</f>
        <v>18</v>
      </c>
      <c r="X54" s="2" t="n">
        <f aca="false">IF(R54="","",COUNTIFS($C$5:$C$6004,R54,$O$5:$O$6004,"EM ANDAMENTO"))</f>
        <v>1</v>
      </c>
      <c r="Y54" s="2" t="n">
        <f aca="false">IF(R54="","",IF(COUNTIFS($C$5:$C$6004,R54,$O$5:$O$6004,"CONCLUÍDA",$N$5:$N$6004,"&gt;=-99")=0,"",_xlfn.MAXIFS($N$5:$N$6004,$C$5:$C$6004,R54,$O$5:$O$6004,"CONCLUÍDA")))</f>
        <v>25</v>
      </c>
      <c r="Z54" s="2" t="n">
        <f aca="false">IF(R54="","",IF(COUNTIFS($C$5:$C$6004,R54,$O$5:$O$6004,"EM ANDAMENTO",$N$5:$N$6004,"&gt;=-99")=0,"",_xlfn.MAXIFS($N$5:$N$6004,$C$5:$C$6004,R54,$O$5:$O$6004,"EM ANDAMENTO")))</f>
        <v>26</v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>Distribuição hidrossanitária: até 25º pav., executando 26º pav.</v>
      </c>
    </row>
    <row r="55" customFormat="false" ht="15" hidden="false" customHeight="false" outlineLevel="0" collapsed="false">
      <c r="B55" s="4" t="n">
        <v>13584635</v>
      </c>
      <c r="C55" s="4" t="s">
        <v>73</v>
      </c>
      <c r="D55" s="4" t="s">
        <v>2427</v>
      </c>
      <c r="E55" s="4" t="s">
        <v>81</v>
      </c>
      <c r="F55" s="127" t="n">
        <v>45967</v>
      </c>
      <c r="G55" s="127" t="n">
        <v>45967</v>
      </c>
      <c r="H55" s="127" t="n">
        <v>46289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15</v>
      </c>
      <c r="N55" s="2" t="str">
        <f aca="false">IF(E55="","",IF(ISNUMBER(SEARCH("SUBSOLO",E55)),IFERROR(-VALUE(LEFT(E55,FIND("º",SUBSTITUTE(E55,"°","º"))-1)),-1),IF(LEFT(E55,6)="TÉRREO",0,IFERROR(VALUE(LEFT(E55,FIND("º",SUBSTITUTE(E55,"°","º"))-1)),""))))</f>
        <v/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2428</v>
      </c>
      <c r="S55" s="4" t="s">
        <v>173</v>
      </c>
      <c r="T55" s="4" t="s">
        <v>2429</v>
      </c>
      <c r="U55" s="4" t="s">
        <v>2299</v>
      </c>
      <c r="V55" s="2" t="n">
        <f aca="false">IF(R55="","",COUNTIF($C$5:$C$6004,R55))</f>
        <v>46</v>
      </c>
      <c r="W55" s="2" t="n">
        <f aca="false">IF(R55="","",COUNTIFS($C$5:$C$6004,R55,$O$5:$O$6004,"CONCLUÍDA"))</f>
        <v>31</v>
      </c>
      <c r="X55" s="2" t="n">
        <f aca="false">IF(R55="","",COUNTIFS($C$5:$C$6004,R55,$O$5:$O$6004,"EM ANDAMENTO"))</f>
        <v>2</v>
      </c>
      <c r="Y55" s="2" t="n">
        <f aca="false">IF(R55="","",IF(COUNTIFS($C$5:$C$6004,R55,$O$5:$O$6004,"CONCLUÍDA",$N$5:$N$6004,"&gt;=-99")=0,"",_xlfn.MAXIFS($N$5:$N$6004,$C$5:$C$6004,R55,$O$5:$O$6004,"CONCLUÍDA")))</f>
        <v>25</v>
      </c>
      <c r="Z55" s="2" t="n">
        <f aca="false">IF(R55="","",IF(COUNTIFS($C$5:$C$6004,R55,$O$5:$O$6004,"EM ANDAMENTO",$N$5:$N$6004,"&gt;=-99")=0,"",_xlfn.MAXIFS($N$5:$N$6004,$C$5:$C$6004,R55,$O$5:$O$6004,"EM ANDAMENTO")))</f>
        <v>26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Distribuição elétrica / quadro: até 25º pav., executando 26º pav.</v>
      </c>
    </row>
    <row r="56" customFormat="false" ht="15" hidden="false" customHeight="false" outlineLevel="0" collapsed="false">
      <c r="B56" s="4" t="n">
        <v>13584636</v>
      </c>
      <c r="C56" s="4" t="s">
        <v>73</v>
      </c>
      <c r="D56" s="4" t="s">
        <v>2430</v>
      </c>
      <c r="E56" s="4" t="s">
        <v>81</v>
      </c>
      <c r="F56" s="127" t="n">
        <v>45968</v>
      </c>
      <c r="G56" s="127" t="n">
        <v>45968</v>
      </c>
      <c r="H56" s="127" t="n">
        <v>46289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15</v>
      </c>
      <c r="N56" s="2" t="str">
        <f aca="false">IF(E56="","",IF(ISNUMBER(SEARCH("SUBSOLO",E56)),IFERROR(-VALUE(LEFT(E56,FIND("º",SUBSTITUTE(E56,"°","º"))-1)),-1),IF(LEFT(E56,6)="TÉRREO",0,IFERROR(VALUE(LEFT(E56,FIND("º",SUBSTITUTE(E56,"°","º"))-1)),""))))</f>
        <v/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2431</v>
      </c>
      <c r="S56" s="4" t="s">
        <v>176</v>
      </c>
      <c r="T56" s="4" t="s">
        <v>2432</v>
      </c>
      <c r="U56" s="4" t="s">
        <v>2299</v>
      </c>
      <c r="V56" s="2" t="n">
        <f aca="false">IF(R56="","",COUNTIF($C$5:$C$6004,R56))</f>
        <v>28</v>
      </c>
      <c r="W56" s="2" t="n">
        <f aca="false">IF(R56="","",COUNTIFS($C$5:$C$6004,R56,$O$5:$O$6004,"CONCLUÍDA"))</f>
        <v>18</v>
      </c>
      <c r="X56" s="2" t="n">
        <f aca="false">IF(R56="","",COUNTIFS($C$5:$C$6004,R56,$O$5:$O$6004,"EM ANDAMENTO"))</f>
        <v>1</v>
      </c>
      <c r="Y56" s="2" t="n">
        <f aca="false">IF(R56="","",IF(COUNTIFS($C$5:$C$6004,R56,$O$5:$O$6004,"CONCLUÍDA",$N$5:$N$6004,"&gt;=-99")=0,"",_xlfn.MAXIFS($N$5:$N$6004,$C$5:$C$6004,R56,$O$5:$O$6004,"CONCLUÍDA")))</f>
        <v>25</v>
      </c>
      <c r="Z56" s="2" t="n">
        <f aca="false">IF(R56="","",IF(COUNTIFS($C$5:$C$6004,R56,$O$5:$O$6004,"EM ANDAMENTO",$N$5:$N$6004,"&gt;=-99")=0,"",_xlfn.MAXIFS($N$5:$N$6004,$C$5:$C$6004,R56,$O$5:$O$6004,"EM ANDAMENTO")))</f>
        <v>26</v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>Distribuição de gás: até 25º pav., executando 26º pav.</v>
      </c>
    </row>
    <row r="57" customFormat="false" ht="15" hidden="false" customHeight="false" outlineLevel="0" collapsed="false">
      <c r="B57" s="4" t="n">
        <v>13584637</v>
      </c>
      <c r="C57" s="4" t="s">
        <v>73</v>
      </c>
      <c r="D57" s="4" t="s">
        <v>2433</v>
      </c>
      <c r="E57" s="4" t="s">
        <v>81</v>
      </c>
      <c r="F57" s="127" t="n">
        <v>45971</v>
      </c>
      <c r="G57" s="127" t="n">
        <v>45971</v>
      </c>
      <c r="H57" s="127" t="n">
        <v>46289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15</v>
      </c>
      <c r="N57" s="2" t="str">
        <f aca="false">IF(E57="","",IF(ISNUMBER(SEARCH("SUBSOLO",E57)),IFERROR(-VALUE(LEFT(E57,FIND("º",SUBSTITUTE(E57,"°","º"))-1)),-1),IF(LEFT(E57,6)="TÉRREO",0,IFERROR(VALUE(LEFT(E57,FIND("º",SUBSTITUTE(E57,"°","º"))-1)),""))))</f>
        <v/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2434</v>
      </c>
      <c r="S57" s="4" t="s">
        <v>189</v>
      </c>
      <c r="T57" s="4" t="s">
        <v>2435</v>
      </c>
      <c r="U57" s="4" t="s">
        <v>2299</v>
      </c>
      <c r="V57" s="2" t="n">
        <f aca="false">IF(R57="","",COUNTIF($C$5:$C$6004,R57))</f>
        <v>31</v>
      </c>
      <c r="W57" s="2" t="n">
        <f aca="false">IF(R57="","",COUNTIFS($C$5:$C$6004,R57,$O$5:$O$6004,"CONCLUÍDA"))</f>
        <v>17</v>
      </c>
      <c r="X57" s="2" t="n">
        <f aca="false">IF(R57="","",COUNTIFS($C$5:$C$6004,R57,$O$5:$O$6004,"EM ANDAMENTO"))</f>
        <v>1</v>
      </c>
      <c r="Y57" s="2" t="n">
        <f aca="false">IF(R57="","",IF(COUNTIFS($C$5:$C$6004,R57,$O$5:$O$6004,"CONCLUÍDA",$N$5:$N$6004,"&gt;=-99")=0,"",_xlfn.MAXIFS($N$5:$N$6004,$C$5:$C$6004,R57,$O$5:$O$6004,"CONCLUÍDA")))</f>
        <v>24</v>
      </c>
      <c r="Z57" s="2" t="n">
        <f aca="false">IF(R57="","",IF(COUNTIFS($C$5:$C$6004,R57,$O$5:$O$6004,"EM ANDAMENTO",$N$5:$N$6004,"&gt;=-99")=0,"",_xlfn.MAXIFS($N$5:$N$6004,$C$5:$C$6004,R57,$O$5:$O$6004,"EM ANDAMENTO")))</f>
        <v>25</v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Contramarco: até 24º pav., executando 25º pav.</v>
      </c>
    </row>
    <row r="58" customFormat="false" ht="15" hidden="false" customHeight="false" outlineLevel="0" collapsed="false">
      <c r="B58" s="4" t="n">
        <v>13584638</v>
      </c>
      <c r="C58" s="4" t="s">
        <v>73</v>
      </c>
      <c r="D58" s="4" t="s">
        <v>2436</v>
      </c>
      <c r="E58" s="4" t="s">
        <v>81</v>
      </c>
      <c r="F58" s="127" t="n">
        <v>45972</v>
      </c>
      <c r="G58" s="127" t="n">
        <v>45973</v>
      </c>
      <c r="H58" s="127" t="n">
        <v>46289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15</v>
      </c>
      <c r="N58" s="2" t="str">
        <f aca="false">IF(E58="","",IF(ISNUMBER(SEARCH("SUBSOLO",E58)),IFERROR(-VALUE(LEFT(E58,FIND("º",SUBSTITUTE(E58,"°","º"))-1)),-1),IF(LEFT(E58,6)="TÉRREO",0,IFERROR(VALUE(LEFT(E58,FIND("º",SUBSTITUTE(E58,"°","º"))-1)),""))))</f>
        <v/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2437</v>
      </c>
      <c r="S58" s="4" t="s">
        <v>202</v>
      </c>
      <c r="T58" s="4" t="s">
        <v>2438</v>
      </c>
      <c r="U58" s="4" t="s">
        <v>2299</v>
      </c>
      <c r="V58" s="2" t="n">
        <f aca="false">IF(R58="","",COUNTIF($C$5:$C$6004,R58))</f>
        <v>50</v>
      </c>
      <c r="W58" s="2" t="n">
        <f aca="false">IF(R58="","",COUNTIFS($C$5:$C$6004,R58,$O$5:$O$6004,"CONCLUÍDA"))</f>
        <v>26</v>
      </c>
      <c r="X58" s="2" t="n">
        <f aca="false">IF(R58="","",COUNTIFS($C$5:$C$6004,R58,$O$5:$O$6004,"EM ANDAMENTO"))</f>
        <v>5</v>
      </c>
      <c r="Y58" s="2" t="n">
        <f aca="false">IF(R58="","",IF(COUNTIFS($C$5:$C$6004,R58,$O$5:$O$6004,"CONCLUÍDA",$N$5:$N$6004,"&gt;=-99")=0,"",_xlfn.MAXIFS($N$5:$N$6004,$C$5:$C$6004,R58,$O$5:$O$6004,"CONCLUÍDA")))</f>
        <v>23</v>
      </c>
      <c r="Z58" s="2" t="n">
        <f aca="false">IF(R58="","",IF(COUNTIFS($C$5:$C$6004,R58,$O$5:$O$6004,"EM ANDAMENTO",$N$5:$N$6004,"&gt;=-99")=0,"",_xlfn.MAXIFS($N$5:$N$6004,$C$5:$C$6004,R58,$O$5:$O$6004,"EM ANDAMENTO")))</f>
        <v>24</v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>Reboco interno: até 23º pav., executando 24º pav.</v>
      </c>
    </row>
    <row r="59" customFormat="false" ht="15" hidden="false" customHeight="false" outlineLevel="0" collapsed="false">
      <c r="B59" s="4" t="n">
        <v>13584639</v>
      </c>
      <c r="C59" s="4" t="s">
        <v>73</v>
      </c>
      <c r="D59" s="4" t="s">
        <v>2439</v>
      </c>
      <c r="E59" s="4" t="s">
        <v>81</v>
      </c>
      <c r="F59" s="127" t="n">
        <v>45974</v>
      </c>
      <c r="G59" s="127" t="n">
        <v>45974</v>
      </c>
      <c r="H59" s="127" t="n">
        <v>46289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15</v>
      </c>
      <c r="N59" s="2" t="str">
        <f aca="false">IF(E59="","",IF(ISNUMBER(SEARCH("SUBSOLO",E59)),IFERROR(-VALUE(LEFT(E59,FIND("º",SUBSTITUTE(E59,"°","º"))-1)),-1),IF(LEFT(E59,6)="TÉRREO",0,IFERROR(VALUE(LEFT(E59,FIND("º",SUBSTITUTE(E59,"°","º"))-1)),""))))</f>
        <v/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2440</v>
      </c>
      <c r="S59" s="4" t="s">
        <v>176</v>
      </c>
      <c r="T59" s="4" t="s">
        <v>2441</v>
      </c>
      <c r="U59" s="4" t="s">
        <v>2299</v>
      </c>
      <c r="V59" s="2" t="n">
        <f aca="false">IF(R59="","",COUNTIF($C$5:$C$6004,R59))</f>
        <v>31</v>
      </c>
      <c r="W59" s="2" t="n">
        <f aca="false">IF(R59="","",COUNTIFS($C$5:$C$6004,R59,$O$5:$O$6004,"CONCLUÍDA"))</f>
        <v>15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22</v>
      </c>
      <c r="Z59" s="2" t="n">
        <f aca="false">IF(R59="","",IF(COUNTIFS($C$5:$C$6004,R59,$O$5:$O$6004,"EM ANDAMENTO",$N$5:$N$6004,"&gt;=-99")=0,"",_xlfn.MAXIFS($N$5:$N$6004,$C$5:$C$6004,R59,$O$5:$O$6004,"EM ANDAMENTO")))</f>
        <v>23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Shaft interno inst. hidraúlicas: até 22º pav., executando 23º pav.</v>
      </c>
    </row>
    <row r="60" customFormat="false" ht="15" hidden="false" customHeight="false" outlineLevel="0" collapsed="false">
      <c r="B60" s="4" t="n">
        <v>13584640</v>
      </c>
      <c r="C60" s="4" t="s">
        <v>73</v>
      </c>
      <c r="D60" s="4" t="s">
        <v>2442</v>
      </c>
      <c r="E60" s="4" t="s">
        <v>81</v>
      </c>
      <c r="F60" s="127" t="n">
        <v>45975</v>
      </c>
      <c r="G60" s="127" t="n">
        <v>45975</v>
      </c>
      <c r="H60" s="127" t="n">
        <v>46289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15</v>
      </c>
      <c r="N60" s="2" t="str">
        <f aca="false">IF(E60="","",IF(ISNUMBER(SEARCH("SUBSOLO",E60)),IFERROR(-VALUE(LEFT(E60,FIND("º",SUBSTITUTE(E60,"°","º"))-1)),-1),IF(LEFT(E60,6)="TÉRREO",0,IFERROR(VALUE(LEFT(E60,FIND("º",SUBSTITUTE(E60,"°","º"))-1)),""))))</f>
        <v/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2443</v>
      </c>
      <c r="S60" s="4" t="s">
        <v>173</v>
      </c>
      <c r="T60" s="4" t="s">
        <v>2444</v>
      </c>
      <c r="U60" s="4" t="s">
        <v>2299</v>
      </c>
      <c r="V60" s="2" t="n">
        <f aca="false">IF(R60="","",COUNTIF($C$5:$C$6004,R60))</f>
        <v>35</v>
      </c>
      <c r="W60" s="2" t="n">
        <f aca="false">IF(R60="","",COUNTIFS($C$5:$C$6004,R60,$O$5:$O$6004,"CONCLUÍDA"))</f>
        <v>18</v>
      </c>
      <c r="X60" s="2" t="n">
        <f aca="false">IF(R60="","",COUNTIFS($C$5:$C$6004,R60,$O$5:$O$6004,"EM ANDAMENTO"))</f>
        <v>2</v>
      </c>
      <c r="Y60" s="2" t="n">
        <f aca="false">IF(R60="","",IF(COUNTIFS($C$5:$C$6004,R60,$O$5:$O$6004,"CONCLUÍDA",$N$5:$N$6004,"&gt;=-99")=0,"",_xlfn.MAXIFS($N$5:$N$6004,$C$5:$C$6004,R60,$O$5:$O$6004,"CONCLUÍDA")))</f>
        <v>22</v>
      </c>
      <c r="Z60" s="2" t="n">
        <f aca="false">IF(R60="","",IF(COUNTIFS($C$5:$C$6004,R60,$O$5:$O$6004,"EM ANDAMENTO",$N$5:$N$6004,"&gt;=-99")=0,"",_xlfn.MAXIFS($N$5:$N$6004,$C$5:$C$6004,R60,$O$5:$O$6004,"EM ANDAMENTO")))</f>
        <v>23</v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>Prumada elétrica - infra: até 22º pav., executando 23º pav.</v>
      </c>
    </row>
    <row r="61" customFormat="false" ht="15" hidden="false" customHeight="false" outlineLevel="0" collapsed="false">
      <c r="B61" s="4" t="n">
        <v>13584641</v>
      </c>
      <c r="C61" s="4" t="s">
        <v>73</v>
      </c>
      <c r="D61" s="4" t="s">
        <v>2445</v>
      </c>
      <c r="E61" s="4" t="s">
        <v>81</v>
      </c>
      <c r="F61" s="127" t="n">
        <v>45978</v>
      </c>
      <c r="G61" s="127" t="n">
        <v>45978</v>
      </c>
      <c r="H61" s="127" t="n">
        <v>46289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15</v>
      </c>
      <c r="N61" s="2" t="str">
        <f aca="false">IF(E61="","",IF(ISNUMBER(SEARCH("SUBSOLO",E61)),IFERROR(-VALUE(LEFT(E61,FIND("º",SUBSTITUTE(E61,"°","º"))-1)),-1),IF(LEFT(E61,6)="TÉRREO",0,IFERROR(VALUE(LEFT(E61,FIND("º",SUBSTITUTE(E61,"°","º"))-1)),""))))</f>
        <v/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2446</v>
      </c>
      <c r="S61" s="4" t="s">
        <v>193</v>
      </c>
      <c r="T61" s="4" t="s">
        <v>2447</v>
      </c>
      <c r="U61" s="4" t="s">
        <v>2299</v>
      </c>
      <c r="V61" s="2" t="n">
        <f aca="false">IF(R61="","",COUNTIF($C$5:$C$6004,R61))</f>
        <v>5</v>
      </c>
      <c r="W61" s="2" t="n">
        <f aca="false">IF(R61="","",COUNTIFS($C$5:$C$6004,R61,$O$5:$O$6004,"CONCLUÍDA"))</f>
        <v>4</v>
      </c>
      <c r="X61" s="2" t="n">
        <f aca="false">IF(R61="","",COUNTIFS($C$5:$C$6004,R61,$O$5:$O$6004,"EM ANDAMENTO"))</f>
        <v>1</v>
      </c>
      <c r="Y61" s="2" t="n">
        <f aca="false">IF(R61="","",IF(COUNTIFS($C$5:$C$6004,R61,$O$5:$O$6004,"CONCLUÍDA",$N$5:$N$6004,"&gt;=-99")=0,"",_xlfn.MAXIFS($N$5:$N$6004,$C$5:$C$6004,R61,$O$5:$O$6004,"CONCLUÍDA")))</f>
        <v>4</v>
      </c>
      <c r="Z61" s="2" t="n">
        <f aca="false">IF(R61="","",IF(COUNTIFS($C$5:$C$6004,R61,$O$5:$O$6004,"EM ANDAMENTO",$N$5:$N$6004,"&gt;=-99")=0,"",_xlfn.MAXIFS($N$5:$N$6004,$C$5:$C$6004,R61,$O$5:$O$6004,"EM ANDAMENTO")))</f>
        <v>5</v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>Chumbamento de PCF: até 4º pav., executando 5º pav.</v>
      </c>
    </row>
    <row r="62" customFormat="false" ht="15" hidden="false" customHeight="false" outlineLevel="0" collapsed="false">
      <c r="B62" s="4" t="n">
        <v>13584642</v>
      </c>
      <c r="C62" s="4" t="s">
        <v>73</v>
      </c>
      <c r="D62" s="4" t="s">
        <v>2448</v>
      </c>
      <c r="E62" s="4" t="s">
        <v>81</v>
      </c>
      <c r="F62" s="127" t="n">
        <v>45979</v>
      </c>
      <c r="G62" s="127" t="n">
        <v>45979</v>
      </c>
      <c r="H62" s="127" t="n">
        <v>46289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15</v>
      </c>
      <c r="N62" s="2" t="str">
        <f aca="false">IF(E62="","",IF(ISNUMBER(SEARCH("SUBSOLO",E62)),IFERROR(-VALUE(LEFT(E62,FIND("º",SUBSTITUTE(E62,"°","º"))-1)),-1),IF(LEFT(E62,6)="TÉRREO",0,IFERROR(VALUE(LEFT(E62,FIND("º",SUBSTITUTE(E62,"°","º"))-1)),""))))</f>
        <v/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2449</v>
      </c>
      <c r="S62" s="4" t="s">
        <v>199</v>
      </c>
      <c r="T62" s="4" t="s">
        <v>2450</v>
      </c>
      <c r="U62" s="4" t="s">
        <v>2299</v>
      </c>
      <c r="V62" s="2" t="n">
        <f aca="false">IF(R62="","",COUNTIF($C$5:$C$6004,R62))</f>
        <v>47</v>
      </c>
      <c r="W62" s="2" t="n">
        <f aca="false">IF(R62="","",COUNTIFS($C$5:$C$6004,R62,$O$5:$O$6004,"CONCLUÍDA"))</f>
        <v>22</v>
      </c>
      <c r="X62" s="2" t="n">
        <f aca="false">IF(R62="","",COUNTIFS($C$5:$C$6004,R62,$O$5:$O$6004,"EM ANDAMENTO"))</f>
        <v>2</v>
      </c>
      <c r="Y62" s="2" t="n">
        <f aca="false">IF(R62="","",IF(COUNTIFS($C$5:$C$6004,R62,$O$5:$O$6004,"CONCLUÍDA",$N$5:$N$6004,"&gt;=-99")=0,"",_xlfn.MAXIFS($N$5:$N$6004,$C$5:$C$6004,R62,$O$5:$O$6004,"CONCLUÍDA")))</f>
        <v>21</v>
      </c>
      <c r="Z62" s="2" t="n">
        <f aca="false">IF(R62="","",IF(COUNTIFS($C$5:$C$6004,R62,$O$5:$O$6004,"EM ANDAMENTO",$N$5:$N$6004,"&gt;=-99")=0,"",_xlfn.MAXIFS($N$5:$N$6004,$C$5:$C$6004,R62,$O$5:$O$6004,"EM ANDAMENTO")))</f>
        <v>22</v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>Contrapiso: até 21º pav., executando 22º pav.</v>
      </c>
    </row>
    <row r="63" customFormat="false" ht="15" hidden="false" customHeight="false" outlineLevel="0" collapsed="false">
      <c r="B63" s="4" t="n">
        <v>13584643</v>
      </c>
      <c r="C63" s="4" t="s">
        <v>73</v>
      </c>
      <c r="D63" s="4" t="s">
        <v>2451</v>
      </c>
      <c r="E63" s="4" t="s">
        <v>81</v>
      </c>
      <c r="F63" s="127" t="n">
        <v>45980</v>
      </c>
      <c r="G63" s="127" t="n">
        <v>45980</v>
      </c>
      <c r="H63" s="127" t="n">
        <v>46289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15</v>
      </c>
      <c r="N63" s="2" t="str">
        <f aca="false">IF(E63="","",IF(ISNUMBER(SEARCH("SUBSOLO",E63)),IFERROR(-VALUE(LEFT(E63,FIND("º",SUBSTITUTE(E63,"°","º"))-1)),-1),IF(LEFT(E63,6)="TÉRREO",0,IFERROR(VALUE(LEFT(E63,FIND("º",SUBSTITUTE(E63,"°","º"))-1)),""))))</f>
        <v/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2452</v>
      </c>
      <c r="S63" s="4" t="s">
        <v>176</v>
      </c>
      <c r="T63" s="4" t="s">
        <v>2453</v>
      </c>
      <c r="U63" s="4" t="s">
        <v>2299</v>
      </c>
      <c r="V63" s="2" t="n">
        <f aca="false">IF(R63="","",COUNTIF($C$5:$C$6004,R63))</f>
        <v>15</v>
      </c>
      <c r="W63" s="2" t="n">
        <f aca="false">IF(R63="","",COUNTIFS($C$5:$C$6004,R63,$O$5:$O$6004,"CONCLUÍDA"))</f>
        <v>13</v>
      </c>
      <c r="X63" s="2" t="n">
        <f aca="false">IF(R63="","",COUNTIFS($C$5:$C$6004,R63,$O$5:$O$6004,"EM ANDAMENTO"))</f>
        <v>1</v>
      </c>
      <c r="Y63" s="2" t="n">
        <f aca="false">IF(R63="","",IF(COUNTIFS($C$5:$C$6004,R63,$O$5:$O$6004,"CONCLUÍDA",$N$5:$N$6004,"&gt;=-99")=0,"",_xlfn.MAXIFS($N$5:$N$6004,$C$5:$C$6004,R63,$O$5:$O$6004,"CONCLUÍDA")))</f>
        <v>4</v>
      </c>
      <c r="Z63" s="2" t="n">
        <f aca="false">IF(R63="","",IF(COUNTIFS($C$5:$C$6004,R63,$O$5:$O$6004,"EM ANDAMENTO",$N$5:$N$6004,"&gt;=-99")=0,"",_xlfn.MAXIFS($N$5:$N$6004,$C$5:$C$6004,R63,$O$5:$O$6004,"EM ANDAMENTO")))</f>
        <v>1</v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>Distribuição hidráulica: até 4º pav. (restam serviços no 1º pav.)</v>
      </c>
    </row>
    <row r="64" customFormat="false" ht="15" hidden="false" customHeight="false" outlineLevel="0" collapsed="false">
      <c r="B64" s="4" t="n">
        <v>13584644</v>
      </c>
      <c r="C64" s="4" t="s">
        <v>73</v>
      </c>
      <c r="D64" s="4" t="s">
        <v>2454</v>
      </c>
      <c r="E64" s="4" t="s">
        <v>81</v>
      </c>
      <c r="F64" s="127" t="n">
        <v>45982</v>
      </c>
      <c r="G64" s="127" t="n">
        <v>45982</v>
      </c>
      <c r="H64" s="127" t="n">
        <v>46289</v>
      </c>
      <c r="I64" s="4" t="n">
        <v>100</v>
      </c>
      <c r="J64" s="4" t="n">
        <v>100</v>
      </c>
      <c r="K64" s="4" t="n">
        <v>100</v>
      </c>
      <c r="M64" s="2" t="str">
        <f aca="false">IF(C64="","",IFERROR(INDEX($S$5:$S$304,MATCH(C64,$R$5:$R$304,0))&amp;"","?"))</f>
        <v>15</v>
      </c>
      <c r="N64" s="2" t="str">
        <f aca="false">IF(E64="","",IF(ISNUMBER(SEARCH("SUBSOLO",E64)),IFERROR(-VALUE(LEFT(E64,FIND("º",SUBSTITUTE(E64,"°","º"))-1)),-1),IF(LEFT(E64,6)="TÉRREO",0,IFERROR(VALUE(LEFT(E64,FIND("º",SUBSTITUTE(E64,"°","º"))-1)),""))))</f>
        <v/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2455</v>
      </c>
      <c r="S64" s="4" t="s">
        <v>167</v>
      </c>
      <c r="T64" s="4" t="s">
        <v>2456</v>
      </c>
      <c r="U64" s="4" t="s">
        <v>2299</v>
      </c>
      <c r="V64" s="2" t="n">
        <f aca="false">IF(R64="","",COUNTIF($C$5:$C$6004,R64))</f>
        <v>25</v>
      </c>
      <c r="W64" s="2" t="n">
        <f aca="false">IF(R64="","",COUNTIFS($C$5:$C$6004,R64,$O$5:$O$6004,"CONCLUÍDA"))</f>
        <v>13</v>
      </c>
      <c r="X64" s="2" t="n">
        <f aca="false">IF(R64="","",COUNTIFS($C$5:$C$6004,R64,$O$5:$O$6004,"EM ANDAMENTO"))</f>
        <v>1</v>
      </c>
      <c r="Y64" s="2" t="n">
        <f aca="false">IF(R64="","",IF(COUNTIFS($C$5:$C$6004,R64,$O$5:$O$6004,"CONCLUÍDA",$N$5:$N$6004,"&gt;=-99")=0,"",_xlfn.MAXIFS($N$5:$N$6004,$C$5:$C$6004,R64,$O$5:$O$6004,"CONCLUÍDA")))</f>
        <v>20</v>
      </c>
      <c r="Z64" s="2" t="n">
        <f aca="false">IF(R64="","",IF(COUNTIFS($C$5:$C$6004,R64,$O$5:$O$6004,"EM ANDAMENTO",$N$5:$N$6004,"&gt;=-99")=0,"",_xlfn.MAXIFS($N$5:$N$6004,$C$5:$C$6004,R64,$O$5:$O$6004,"EM ANDAMENTO")))</f>
        <v>21</v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>Drywall 1ª face: até 20º pav., executando 21º pav.</v>
      </c>
    </row>
    <row r="65" customFormat="false" ht="15" hidden="false" customHeight="false" outlineLevel="0" collapsed="false">
      <c r="B65" s="4" t="n">
        <v>13584645</v>
      </c>
      <c r="C65" s="4" t="s">
        <v>73</v>
      </c>
      <c r="D65" s="4" t="s">
        <v>2457</v>
      </c>
      <c r="E65" s="4" t="s">
        <v>81</v>
      </c>
      <c r="F65" s="127" t="n">
        <v>45985</v>
      </c>
      <c r="G65" s="127" t="n">
        <v>45985</v>
      </c>
      <c r="H65" s="127" t="n">
        <v>46289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15</v>
      </c>
      <c r="N65" s="2" t="str">
        <f aca="false">IF(E65="","",IF(ISNUMBER(SEARCH("SUBSOLO",E65)),IFERROR(-VALUE(LEFT(E65,FIND("º",SUBSTITUTE(E65,"°","º"))-1)),-1),IF(LEFT(E65,6)="TÉRREO",0,IFERROR(VALUE(LEFT(E65,FIND("º",SUBSTITUTE(E65,"°","º"))-1)),""))))</f>
        <v/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2458</v>
      </c>
      <c r="S65" s="4" t="s">
        <v>176</v>
      </c>
      <c r="T65" s="4" t="s">
        <v>2459</v>
      </c>
      <c r="U65" s="4" t="s">
        <v>2299</v>
      </c>
      <c r="V65" s="2" t="n">
        <f aca="false">IF(R65="","",COUNTIF($C$5:$C$6004,R65))</f>
        <v>26</v>
      </c>
      <c r="W65" s="2" t="n">
        <f aca="false">IF(R65="","",COUNTIFS($C$5:$C$6004,R65,$O$5:$O$6004,"CONCLUÍDA"))</f>
        <v>12</v>
      </c>
      <c r="X65" s="2" t="n">
        <f aca="false">IF(R65="","",COUNTIFS($C$5:$C$6004,R65,$O$5:$O$6004,"EM ANDAMENTO"))</f>
        <v>1</v>
      </c>
      <c r="Y65" s="2" t="n">
        <f aca="false">IF(R65="","",IF(COUNTIFS($C$5:$C$6004,R65,$O$5:$O$6004,"CONCLUÍDA",$N$5:$N$6004,"&gt;=-99")=0,"",_xlfn.MAXIFS($N$5:$N$6004,$C$5:$C$6004,R65,$O$5:$O$6004,"CONCLUÍDA")))</f>
        <v>18</v>
      </c>
      <c r="Z65" s="2" t="n">
        <f aca="false">IF(R65="","",IF(COUNTIFS($C$5:$C$6004,R65,$O$5:$O$6004,"EM ANDAMENTO",$N$5:$N$6004,"&gt;=-99")=0,"",_xlfn.MAXIFS($N$5:$N$6004,$C$5:$C$6004,R65,$O$5:$O$6004,"EM ANDAMENTO")))</f>
        <v>20</v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Distribuição de gás - drywall: até 18º pav., executando 20º pav.</v>
      </c>
    </row>
    <row r="66" customFormat="false" ht="15" hidden="false" customHeight="false" outlineLevel="0" collapsed="false">
      <c r="B66" s="4" t="n">
        <v>13584646</v>
      </c>
      <c r="C66" s="4" t="s">
        <v>73</v>
      </c>
      <c r="D66" s="4" t="s">
        <v>2460</v>
      </c>
      <c r="E66" s="4" t="s">
        <v>81</v>
      </c>
      <c r="F66" s="127" t="n">
        <v>45986</v>
      </c>
      <c r="G66" s="127" t="n">
        <v>45986</v>
      </c>
      <c r="H66" s="127" t="n">
        <v>46289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15</v>
      </c>
      <c r="N66" s="2" t="str">
        <f aca="false">IF(E66="","",IF(ISNUMBER(SEARCH("SUBSOLO",E66)),IFERROR(-VALUE(LEFT(E66,FIND("º",SUBSTITUTE(E66,"°","º"))-1)),-1),IF(LEFT(E66,6)="TÉRREO",0,IFERROR(VALUE(LEFT(E66,FIND("º",SUBSTITUTE(E66,"°","º"))-1)),""))))</f>
        <v/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2461</v>
      </c>
      <c r="S66" s="4" t="s">
        <v>173</v>
      </c>
      <c r="T66" s="4" t="s">
        <v>2462</v>
      </c>
      <c r="U66" s="4" t="s">
        <v>2299</v>
      </c>
      <c r="V66" s="2" t="n">
        <f aca="false">IF(R66="","",COUNTIF($C$5:$C$6004,R66))</f>
        <v>26</v>
      </c>
      <c r="W66" s="2" t="n">
        <f aca="false">IF(R66="","",COUNTIFS($C$5:$C$6004,R66,$O$5:$O$6004,"CONCLUÍDA"))</f>
        <v>12</v>
      </c>
      <c r="X66" s="2" t="n">
        <f aca="false">IF(R66="","",COUNTIFS($C$5:$C$6004,R66,$O$5:$O$6004,"EM ANDAMENTO"))</f>
        <v>1</v>
      </c>
      <c r="Y66" s="2" t="n">
        <f aca="false">IF(R66="","",IF(COUNTIFS($C$5:$C$6004,R66,$O$5:$O$6004,"CONCLUÍDA",$N$5:$N$6004,"&gt;=-99")=0,"",_xlfn.MAXIFS($N$5:$N$6004,$C$5:$C$6004,R66,$O$5:$O$6004,"CONCLUÍDA")))</f>
        <v>18</v>
      </c>
      <c r="Z66" s="2" t="n">
        <f aca="false">IF(R66="","",IF(COUNTIFS($C$5:$C$6004,R66,$O$5:$O$6004,"EM ANDAMENTO",$N$5:$N$6004,"&gt;=-99")=0,"",_xlfn.MAXIFS($N$5:$N$6004,$C$5:$C$6004,R66,$O$5:$O$6004,"EM ANDAMENTO")))</f>
        <v>20</v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>Distribuição elétrica/quadro - drywall: até 18º pav., executando 20º pav.</v>
      </c>
    </row>
    <row r="67" customFormat="false" ht="15" hidden="false" customHeight="false" outlineLevel="0" collapsed="false">
      <c r="B67" s="4" t="n">
        <v>13584647</v>
      </c>
      <c r="C67" s="4" t="s">
        <v>73</v>
      </c>
      <c r="D67" s="4" t="s">
        <v>2463</v>
      </c>
      <c r="E67" s="4" t="s">
        <v>81</v>
      </c>
      <c r="F67" s="127" t="n">
        <v>45987</v>
      </c>
      <c r="G67" s="127" t="n">
        <v>45987</v>
      </c>
      <c r="H67" s="127" t="n">
        <v>46289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15</v>
      </c>
      <c r="N67" s="2" t="str">
        <f aca="false">IF(E67="","",IF(ISNUMBER(SEARCH("SUBSOLO",E67)),IFERROR(-VALUE(LEFT(E67,FIND("º",SUBSTITUTE(E67,"°","º"))-1)),-1),IF(LEFT(E67,6)="TÉRREO",0,IFERROR(VALUE(LEFT(E67,FIND("º",SUBSTITUTE(E67,"°","º"))-1)),""))))</f>
        <v/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2464</v>
      </c>
      <c r="S67" s="4" t="s">
        <v>176</v>
      </c>
      <c r="T67" s="4" t="s">
        <v>2465</v>
      </c>
      <c r="U67" s="4" t="s">
        <v>2299</v>
      </c>
      <c r="V67" s="2" t="n">
        <f aca="false">IF(R67="","",COUNTIF($C$5:$C$6004,R67))</f>
        <v>26</v>
      </c>
      <c r="W67" s="2" t="n">
        <f aca="false">IF(R67="","",COUNTIFS($C$5:$C$6004,R67,$O$5:$O$6004,"CONCLUÍDA"))</f>
        <v>12</v>
      </c>
      <c r="X67" s="2" t="n">
        <f aca="false">IF(R67="","",COUNTIFS($C$5:$C$6004,R67,$O$5:$O$6004,"EM ANDAMENTO"))</f>
        <v>1</v>
      </c>
      <c r="Y67" s="2" t="n">
        <f aca="false">IF(R67="","",IF(COUNTIFS($C$5:$C$6004,R67,$O$5:$O$6004,"CONCLUÍDA",$N$5:$N$6004,"&gt;=-99")=0,"",_xlfn.MAXIFS($N$5:$N$6004,$C$5:$C$6004,R67,$O$5:$O$6004,"CONCLUÍDA")))</f>
        <v>18</v>
      </c>
      <c r="Z67" s="2" t="n">
        <f aca="false">IF(R67="","",IF(COUNTIFS($C$5:$C$6004,R67,$O$5:$O$6004,"EM ANDAMENTO",$N$5:$N$6004,"&gt;=-99")=0,"",_xlfn.MAXIFS($N$5:$N$6004,$C$5:$C$6004,R67,$O$5:$O$6004,"EM ANDAMENTO")))</f>
        <v>20</v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>Distribuição hidráulica - drywall: até 18º pav., executando 20º pav.</v>
      </c>
    </row>
    <row r="68" customFormat="false" ht="15" hidden="false" customHeight="false" outlineLevel="0" collapsed="false">
      <c r="B68" s="4" t="n">
        <v>13584648</v>
      </c>
      <c r="C68" s="4" t="s">
        <v>73</v>
      </c>
      <c r="D68" s="4" t="s">
        <v>2466</v>
      </c>
      <c r="E68" s="4" t="s">
        <v>81</v>
      </c>
      <c r="F68" s="127" t="n">
        <v>45988</v>
      </c>
      <c r="G68" s="127" t="n">
        <v>45988</v>
      </c>
      <c r="H68" s="127" t="n">
        <v>46289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15</v>
      </c>
      <c r="N68" s="2" t="str">
        <f aca="false">IF(E68="","",IF(ISNUMBER(SEARCH("SUBSOLO",E68)),IFERROR(-VALUE(LEFT(E68,FIND("º",SUBSTITUTE(E68,"°","º"))-1)),-1),IF(LEFT(E68,6)="TÉRREO",0,IFERROR(VALUE(LEFT(E68,FIND("º",SUBSTITUTE(E68,"°","º"))-1)),""))))</f>
        <v/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2467</v>
      </c>
      <c r="S68" s="4" t="s">
        <v>182</v>
      </c>
      <c r="T68" s="4" t="s">
        <v>2468</v>
      </c>
      <c r="U68" s="4" t="s">
        <v>2299</v>
      </c>
      <c r="V68" s="2" t="n">
        <f aca="false">IF(R68="","",COUNTIF($C$5:$C$6004,R68))</f>
        <v>28</v>
      </c>
      <c r="W68" s="2" t="n">
        <f aca="false">IF(R68="","",COUNTIFS($C$5:$C$6004,R68,$O$5:$O$6004,"CONCLUÍDA"))</f>
        <v>12</v>
      </c>
      <c r="X68" s="2" t="n">
        <f aca="false">IF(R68="","",COUNTIFS($C$5:$C$6004,R68,$O$5:$O$6004,"EM ANDAMENTO"))</f>
        <v>1</v>
      </c>
      <c r="Y68" s="2" t="n">
        <f aca="false">IF(R68="","",IF(COUNTIFS($C$5:$C$6004,R68,$O$5:$O$6004,"CONCLUÍDA",$N$5:$N$6004,"&gt;=-99")=0,"",_xlfn.MAXIFS($N$5:$N$6004,$C$5:$C$6004,R68,$O$5:$O$6004,"CONCLUÍDA")))</f>
        <v>18</v>
      </c>
      <c r="Z68" s="2" t="n">
        <f aca="false">IF(R68="","",IF(COUNTIFS($C$5:$C$6004,R68,$O$5:$O$6004,"EM ANDAMENTO",$N$5:$N$6004,"&gt;=-99")=0,"",_xlfn.MAXIFS($N$5:$N$6004,$C$5:$C$6004,R68,$O$5:$O$6004,"EM ANDAMENTO")))</f>
        <v>20</v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>Infraestrutura - ar condicionado: até 18º pav., executando 20º pav.</v>
      </c>
    </row>
    <row r="69" customFormat="false" ht="15" hidden="false" customHeight="false" outlineLevel="0" collapsed="false">
      <c r="B69" s="4" t="n">
        <v>13584649</v>
      </c>
      <c r="C69" s="4" t="s">
        <v>73</v>
      </c>
      <c r="D69" s="4" t="s">
        <v>2469</v>
      </c>
      <c r="E69" s="4" t="s">
        <v>81</v>
      </c>
      <c r="F69" s="127" t="n">
        <v>45989</v>
      </c>
      <c r="G69" s="127" t="n">
        <v>45989</v>
      </c>
      <c r="H69" s="127" t="n">
        <v>46289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15</v>
      </c>
      <c r="N69" s="2" t="str">
        <f aca="false">IF(E69="","",IF(ISNUMBER(SEARCH("SUBSOLO",E69)),IFERROR(-VALUE(LEFT(E69,FIND("º",SUBSTITUTE(E69,"°","º"))-1)),-1),IF(LEFT(E69,6)="TÉRREO",0,IFERROR(VALUE(LEFT(E69,FIND("º",SUBSTITUTE(E69,"°","º"))-1)),""))))</f>
        <v/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2470</v>
      </c>
      <c r="S69" s="4" t="s">
        <v>167</v>
      </c>
      <c r="T69" s="4" t="s">
        <v>2471</v>
      </c>
      <c r="U69" s="4" t="s">
        <v>2299</v>
      </c>
      <c r="V69" s="2" t="n">
        <f aca="false">IF(R69="","",COUNTIF($C$5:$C$6004,R69))</f>
        <v>26</v>
      </c>
      <c r="W69" s="2" t="n">
        <f aca="false">IF(R69="","",COUNTIFS($C$5:$C$6004,R69,$O$5:$O$6004,"CONCLUÍDA"))</f>
        <v>11</v>
      </c>
      <c r="X69" s="2" t="n">
        <f aca="false">IF(R69="","",COUNTIFS($C$5:$C$6004,R69,$O$5:$O$6004,"EM ANDAMENTO"))</f>
        <v>1</v>
      </c>
      <c r="Y69" s="2" t="n">
        <f aca="false">IF(R69="","",IF(COUNTIFS($C$5:$C$6004,R69,$O$5:$O$6004,"CONCLUÍDA",$N$5:$N$6004,"&gt;=-99")=0,"",_xlfn.MAXIFS($N$5:$N$6004,$C$5:$C$6004,R69,$O$5:$O$6004,"CONCLUÍDA")))</f>
        <v>17</v>
      </c>
      <c r="Z69" s="2" t="n">
        <f aca="false">IF(R69="","",IF(COUNTIFS($C$5:$C$6004,R69,$O$5:$O$6004,"EM ANDAMENTO",$N$5:$N$6004,"&gt;=-99")=0,"",_xlfn.MAXIFS($N$5:$N$6004,$C$5:$C$6004,R69,$O$5:$O$6004,"EM ANDAMENTO")))</f>
        <v>18</v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>Drywall 2ª face: até 17º pav., executando 18º pav.</v>
      </c>
    </row>
    <row r="70" customFormat="false" ht="15" hidden="false" customHeight="false" outlineLevel="0" collapsed="false">
      <c r="B70" s="4" t="n">
        <v>13584650</v>
      </c>
      <c r="C70" s="4" t="s">
        <v>73</v>
      </c>
      <c r="D70" s="4" t="s">
        <v>2472</v>
      </c>
      <c r="E70" s="4" t="s">
        <v>81</v>
      </c>
      <c r="F70" s="127" t="n">
        <v>45992</v>
      </c>
      <c r="G70" s="127" t="n">
        <v>45992</v>
      </c>
      <c r="H70" s="127" t="n">
        <v>46289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15</v>
      </c>
      <c r="N70" s="2" t="str">
        <f aca="false">IF(E70="","",IF(ISNUMBER(SEARCH("SUBSOLO",E70)),IFERROR(-VALUE(LEFT(E70,FIND("º",SUBSTITUTE(E70,"°","º"))-1)),-1),IF(LEFT(E70,6)="TÉRREO",0,IFERROR(VALUE(LEFT(E70,FIND("º",SUBSTITUTE(E70,"°","º"))-1)),""))))</f>
        <v/>
      </c>
      <c r="O70" s="2" t="str">
        <f aca="false">IF(OR(F70="",G70=""),"",IF(G70&lt;='RETRATO 2027'!$K$5,"CONCLUÍDA",IF(F70&lt;='RETRATO 2027'!$K$5,"EM ANDAMENTO","A INICIAR")))</f>
        <v>CONCLUÍDA</v>
      </c>
      <c r="R70" s="4" t="s">
        <v>194</v>
      </c>
      <c r="S70" s="4" t="s">
        <v>193</v>
      </c>
      <c r="T70" s="4" t="s">
        <v>2473</v>
      </c>
      <c r="U70" s="4" t="s">
        <v>2299</v>
      </c>
      <c r="V70" s="2" t="n">
        <f aca="false">IF(R70="","",COUNTIF($C$5:$C$6004,R70))</f>
        <v>8</v>
      </c>
      <c r="W70" s="2" t="n">
        <f aca="false">IF(R70="","",COUNTIFS($C$5:$C$6004,R70,$O$5:$O$6004,"CONCLUÍDA"))</f>
        <v>3</v>
      </c>
      <c r="X70" s="2" t="n">
        <f aca="false">IF(R70="","",COUNTIFS($C$5:$C$6004,R70,$O$5:$O$6004,"EM ANDAMENTO"))</f>
        <v>1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n">
        <f aca="false">IF(R70="","",IF(COUNTIFS($C$5:$C$6004,R70,$O$5:$O$6004,"EM ANDAMENTO",$N$5:$N$6004,"&gt;=-99")=0,"",_xlfn.MAXIFS($N$5:$N$6004,$C$5:$C$6004,R70,$O$5:$O$6004,"EM ANDAMENTO")))</f>
        <v>4</v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Serralheria: até 3º pav., executando 4º pav.</v>
      </c>
    </row>
    <row r="71" customFormat="false" ht="15" hidden="false" customHeight="false" outlineLevel="0" collapsed="false">
      <c r="B71" s="4" t="n">
        <v>13584651</v>
      </c>
      <c r="C71" s="4" t="s">
        <v>73</v>
      </c>
      <c r="D71" s="4" t="s">
        <v>2474</v>
      </c>
      <c r="E71" s="4" t="s">
        <v>81</v>
      </c>
      <c r="F71" s="127" t="n">
        <v>45993</v>
      </c>
      <c r="G71" s="127" t="n">
        <v>45993</v>
      </c>
      <c r="H71" s="127" t="n">
        <v>46289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15</v>
      </c>
      <c r="N71" s="2" t="str">
        <f aca="false">IF(E71="","",IF(ISNUMBER(SEARCH("SUBSOLO",E71)),IFERROR(-VALUE(LEFT(E71,FIND("º",SUBSTITUTE(E71,"°","º"))-1)),-1),IF(LEFT(E71,6)="TÉRREO",0,IFERROR(VALUE(LEFT(E71,FIND("º",SUBSTITUTE(E71,"°","º"))-1)),""))))</f>
        <v/>
      </c>
      <c r="O71" s="2" t="str">
        <f aca="false">IF(OR(F71="",G71=""),"",IF(G71&lt;='RETRATO 2027'!$K$5,"CONCLUÍDA",IF(F71&lt;='RETRATO 2027'!$K$5,"EM ANDAMENTO","A INICIAR")))</f>
        <v>CONCLUÍDA</v>
      </c>
      <c r="R71" s="4" t="s">
        <v>171</v>
      </c>
      <c r="S71" s="4" t="s">
        <v>170</v>
      </c>
      <c r="T71" s="4" t="s">
        <v>2475</v>
      </c>
      <c r="U71" s="4" t="s">
        <v>2299</v>
      </c>
      <c r="V71" s="2" t="n">
        <f aca="false">IF(R71="","",COUNTIF($C$5:$C$6004,R71))</f>
        <v>44</v>
      </c>
      <c r="W71" s="2" t="n">
        <f aca="false">IF(R71="","",COUNTIFS($C$5:$C$6004,R71,$O$5:$O$6004,"CONCLUÍDA"))</f>
        <v>12</v>
      </c>
      <c r="X71" s="2" t="n">
        <f aca="false">IF(R71="","",COUNTIFS($C$5:$C$6004,R71,$O$5:$O$6004,"EM ANDAMENTO"))</f>
        <v>2</v>
      </c>
      <c r="Y71" s="2" t="n">
        <f aca="false">IF(R71="","",IF(COUNTIFS($C$5:$C$6004,R71,$O$5:$O$6004,"CONCLUÍDA",$N$5:$N$6004,"&gt;=-99")=0,"",_xlfn.MAXIFS($N$5:$N$6004,$C$5:$C$6004,R71,$O$5:$O$6004,"CONCLUÍDA")))</f>
        <v>16</v>
      </c>
      <c r="Z71" s="2" t="n">
        <f aca="false">IF(R71="","",IF(COUNTIFS($C$5:$C$6004,R71,$O$5:$O$6004,"EM ANDAMENTO",$N$5:$N$6004,"&gt;=-99")=0,"",_xlfn.MAXIFS($N$5:$N$6004,$C$5:$C$6004,R71,$O$5:$O$6004,"EM ANDAMENTO")))</f>
        <v>17</v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Impermeabilização: até 16º pav., executando 17º pav.</v>
      </c>
    </row>
    <row r="72" customFormat="false" ht="15" hidden="false" customHeight="false" outlineLevel="0" collapsed="false">
      <c r="B72" s="4" t="n">
        <v>13584652</v>
      </c>
      <c r="C72" s="4" t="s">
        <v>73</v>
      </c>
      <c r="D72" s="4" t="s">
        <v>2476</v>
      </c>
      <c r="E72" s="4" t="s">
        <v>81</v>
      </c>
      <c r="F72" s="127" t="n">
        <v>45994</v>
      </c>
      <c r="G72" s="127" t="n">
        <v>45994</v>
      </c>
      <c r="H72" s="127" t="n">
        <v>46289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15</v>
      </c>
      <c r="N72" s="2" t="str">
        <f aca="false">IF(E72="","",IF(ISNUMBER(SEARCH("SUBSOLO",E72)),IFERROR(-VALUE(LEFT(E72,FIND("º",SUBSTITUTE(E72,"°","º"))-1)),-1),IF(LEFT(E72,6)="TÉRREO",0,IFERROR(VALUE(LEFT(E72,FIND("º",SUBSTITUTE(E72,"°","º"))-1)),""))))</f>
        <v/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2477</v>
      </c>
      <c r="S72" s="4" t="s">
        <v>212</v>
      </c>
      <c r="T72" s="4" t="s">
        <v>2478</v>
      </c>
      <c r="U72" s="4" t="s">
        <v>2299</v>
      </c>
      <c r="V72" s="2" t="n">
        <f aca="false">IF(R72="","",COUNTIF($C$5:$C$6004,R72))</f>
        <v>1</v>
      </c>
      <c r="W72" s="2" t="n">
        <f aca="false">IF(R72="","",COUNTIFS($C$5:$C$6004,R72,$O$5:$O$6004,"CONCLUÍDA"))</f>
        <v>1</v>
      </c>
      <c r="X72" s="2" t="n">
        <f aca="false">IF(R72="","",COUNTIFS($C$5:$C$6004,R72,$O$5:$O$6004,"EM ANDAMENTO"))</f>
        <v>0</v>
      </c>
      <c r="Y72" s="2" t="str">
        <f aca="false">IF(R72="","",IF(COUNTIFS($C$5:$C$6004,R72,$O$5:$O$6004,"CONCLUÍDA",$N$5:$N$6004,"&gt;=-99")=0,"",_xlfn.MAXIFS($N$5:$N$6004,$C$5:$C$6004,R72,$O$5:$O$6004,"CONCLUÍDA")))</f>
        <v/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Preparação para fachada aerada - F1 + F2 (1º etapa): concluído</v>
      </c>
    </row>
    <row r="73" customFormat="false" ht="15" hidden="false" customHeight="false" outlineLevel="0" collapsed="false">
      <c r="B73" s="4" t="n">
        <v>13584653</v>
      </c>
      <c r="C73" s="4" t="s">
        <v>73</v>
      </c>
      <c r="D73" s="4" t="s">
        <v>2479</v>
      </c>
      <c r="E73" s="4" t="s">
        <v>81</v>
      </c>
      <c r="F73" s="127" t="n">
        <v>45995</v>
      </c>
      <c r="G73" s="127" t="n">
        <v>45995</v>
      </c>
      <c r="H73" s="127" t="n">
        <v>46289</v>
      </c>
      <c r="I73" s="4" t="n">
        <v>100</v>
      </c>
      <c r="J73" s="4" t="n">
        <v>100</v>
      </c>
      <c r="K73" s="4" t="n">
        <v>100</v>
      </c>
      <c r="M73" s="2" t="str">
        <f aca="false">IF(C73="","",IFERROR(INDEX($S$5:$S$304,MATCH(C73,$R$5:$R$304,0))&amp;"","?"))</f>
        <v>15</v>
      </c>
      <c r="N73" s="2" t="str">
        <f aca="false">IF(E73="","",IF(ISNUMBER(SEARCH("SUBSOLO",E73)),IFERROR(-VALUE(LEFT(E73,FIND("º",SUBSTITUTE(E73,"°","º"))-1)),-1),IF(LEFT(E73,6)="TÉRREO",0,IFERROR(VALUE(LEFT(E73,FIND("º",SUBSTITUTE(E73,"°","º"))-1)),""))))</f>
        <v/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2480</v>
      </c>
      <c r="S73" s="4" t="s">
        <v>205</v>
      </c>
      <c r="T73" s="4" t="s">
        <v>2481</v>
      </c>
      <c r="U73" s="4" t="s">
        <v>2299</v>
      </c>
      <c r="V73" s="2" t="n">
        <f aca="false">IF(R73="","",COUNTIF($C$5:$C$6004,R73))</f>
        <v>41</v>
      </c>
      <c r="W73" s="2" t="n">
        <f aca="false">IF(R73="","",COUNTIFS($C$5:$C$6004,R73,$O$5:$O$6004,"CONCLUÍDA"))</f>
        <v>16</v>
      </c>
      <c r="X73" s="2" t="n">
        <f aca="false">IF(R73="","",COUNTIFS($C$5:$C$6004,R73,$O$5:$O$6004,"EM ANDAMENTO"))</f>
        <v>2</v>
      </c>
      <c r="Y73" s="2" t="n">
        <f aca="false">IF(R73="","",IF(COUNTIFS($C$5:$C$6004,R73,$O$5:$O$6004,"CONCLUÍDA",$N$5:$N$6004,"&gt;=-99")=0,"",_xlfn.MAXIFS($N$5:$N$6004,$C$5:$C$6004,R73,$O$5:$O$6004,"CONCLUÍDA")))</f>
        <v>15</v>
      </c>
      <c r="Z73" s="2" t="n">
        <f aca="false">IF(R73="","",IF(COUNTIFS($C$5:$C$6004,R73,$O$5:$O$6004,"EM ANDAMENTO",$N$5:$N$6004,"&gt;=-99")=0,"",_xlfn.MAXIFS($N$5:$N$6004,$C$5:$C$6004,R73,$O$5:$O$6004,"EM ANDAMENTO")))</f>
        <v>16</v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>Revestimento porcelanato parede: até 15º pav., executando 16º pav.</v>
      </c>
    </row>
    <row r="74" customFormat="false" ht="15" hidden="false" customHeight="false" outlineLevel="0" collapsed="false">
      <c r="B74" s="4" t="n">
        <v>13584654</v>
      </c>
      <c r="C74" s="4" t="s">
        <v>73</v>
      </c>
      <c r="D74" s="4" t="s">
        <v>2482</v>
      </c>
      <c r="E74" s="4" t="s">
        <v>81</v>
      </c>
      <c r="F74" s="127" t="n">
        <v>45996</v>
      </c>
      <c r="G74" s="127" t="n">
        <v>45996</v>
      </c>
      <c r="H74" s="127" t="n">
        <v>46289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15</v>
      </c>
      <c r="N74" s="2" t="str">
        <f aca="false">IF(E74="","",IF(ISNUMBER(SEARCH("SUBSOLO",E74)),IFERROR(-VALUE(LEFT(E74,FIND("º",SUBSTITUTE(E74,"°","º"))-1)),-1),IF(LEFT(E74,6)="TÉRREO",0,IFERROR(VALUE(LEFT(E74,FIND("º",SUBSTITUTE(E74,"°","º"))-1)),""))))</f>
        <v/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2483</v>
      </c>
      <c r="S74" s="4" t="s">
        <v>212</v>
      </c>
      <c r="T74" s="4" t="s">
        <v>2484</v>
      </c>
      <c r="U74" s="4" t="s">
        <v>2299</v>
      </c>
      <c r="V74" s="2" t="n">
        <f aca="false">IF(R74="","",COUNTIF($C$5:$C$6004,R74))</f>
        <v>7</v>
      </c>
      <c r="W74" s="2" t="n">
        <f aca="false">IF(R74="","",COUNTIFS($C$5:$C$6004,R74,$O$5:$O$6004,"CONCLUÍDA"))</f>
        <v>5</v>
      </c>
      <c r="X74" s="2" t="n">
        <f aca="false">IF(R74="","",COUNTIFS($C$5:$C$6004,R74,$O$5:$O$6004,"EM ANDAMENTO"))</f>
        <v>2</v>
      </c>
      <c r="Y74" s="2" t="n">
        <f aca="false">IF(R74="","",IF(COUNTIFS($C$5:$C$6004,R74,$O$5:$O$6004,"CONCLUÍDA",$N$5:$N$6004,"&gt;=-99")=0,"",_xlfn.MAXIFS($N$5:$N$6004,$C$5:$C$6004,R74,$O$5:$O$6004,"CONCLUÍDA")))</f>
        <v>0</v>
      </c>
      <c r="Z74" s="2" t="n">
        <f aca="false">IF(R74="","",IF(COUNTIFS($C$5:$C$6004,R74,$O$5:$O$6004,"EM ANDAMENTO",$N$5:$N$6004,"&gt;=-99")=0,"",_xlfn.MAXIFS($N$5:$N$6004,$C$5:$C$6004,R74,$O$5:$O$6004,"EM ANDAMENTO")))</f>
        <v>0</v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>Fachada loja: até térreo (restam serviços no térreo)</v>
      </c>
    </row>
    <row r="75" customFormat="false" ht="15" hidden="false" customHeight="false" outlineLevel="0" collapsed="false">
      <c r="B75" s="4" t="n">
        <v>13584655</v>
      </c>
      <c r="C75" s="4" t="s">
        <v>73</v>
      </c>
      <c r="D75" s="4" t="s">
        <v>2485</v>
      </c>
      <c r="E75" s="4" t="s">
        <v>81</v>
      </c>
      <c r="F75" s="127" t="n">
        <v>46000</v>
      </c>
      <c r="G75" s="127" t="n">
        <v>46000</v>
      </c>
      <c r="H75" s="127" t="n">
        <v>46289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15</v>
      </c>
      <c r="N75" s="2" t="str">
        <f aca="false">IF(E75="","",IF(ISNUMBER(SEARCH("SUBSOLO",E75)),IFERROR(-VALUE(LEFT(E75,FIND("º",SUBSTITUTE(E75,"°","º"))-1)),-1),IF(LEFT(E75,6)="TÉRREO",0,IFERROR(VALUE(LEFT(E75,FIND("º",SUBSTITUTE(E75,"°","º"))-1)),""))))</f>
        <v/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2486</v>
      </c>
      <c r="S75" s="4" t="s">
        <v>205</v>
      </c>
      <c r="T75" s="4" t="s">
        <v>2487</v>
      </c>
      <c r="U75" s="4" t="s">
        <v>2299</v>
      </c>
      <c r="V75" s="2" t="n">
        <f aca="false">IF(R75="","",COUNTIF($C$5:$C$6004,R75))</f>
        <v>42</v>
      </c>
      <c r="W75" s="2" t="n">
        <f aca="false">IF(R75="","",COUNTIFS($C$5:$C$6004,R75,$O$5:$O$6004,"CONCLUÍDA"))</f>
        <v>13</v>
      </c>
      <c r="X75" s="2" t="n">
        <f aca="false">IF(R75="","",COUNTIFS($C$5:$C$6004,R75,$O$5:$O$6004,"EM ANDAMENTO"))</f>
        <v>3</v>
      </c>
      <c r="Y75" s="2" t="n">
        <f aca="false">IF(R75="","",IF(COUNTIFS($C$5:$C$6004,R75,$O$5:$O$6004,"CONCLUÍDA",$N$5:$N$6004,"&gt;=-99")=0,"",_xlfn.MAXIFS($N$5:$N$6004,$C$5:$C$6004,R75,$O$5:$O$6004,"CONCLUÍDA")))</f>
        <v>14</v>
      </c>
      <c r="Z75" s="2" t="n">
        <f aca="false">IF(R75="","",IF(COUNTIFS($C$5:$C$6004,R75,$O$5:$O$6004,"EM ANDAMENTO",$N$5:$N$6004,"&gt;=-99")=0,"",_xlfn.MAXIFS($N$5:$N$6004,$C$5:$C$6004,R75,$O$5:$O$6004,"EM ANDAMENTO")))</f>
        <v>15</v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Revestimentos porcelanato piso: até 14º pav., executando 15º pav.</v>
      </c>
    </row>
    <row r="76" customFormat="false" ht="15" hidden="false" customHeight="false" outlineLevel="0" collapsed="false">
      <c r="B76" s="4" t="n">
        <v>13584656</v>
      </c>
      <c r="C76" s="4" t="s">
        <v>73</v>
      </c>
      <c r="D76" s="4" t="s">
        <v>2488</v>
      </c>
      <c r="E76" s="4" t="s">
        <v>81</v>
      </c>
      <c r="F76" s="127" t="n">
        <v>46001</v>
      </c>
      <c r="G76" s="127" t="n">
        <v>46001</v>
      </c>
      <c r="H76" s="127" t="n">
        <v>46289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15</v>
      </c>
      <c r="N76" s="2" t="str">
        <f aca="false">IF(E76="","",IF(ISNUMBER(SEARCH("SUBSOLO",E76)),IFERROR(-VALUE(LEFT(E76,FIND("º",SUBSTITUTE(E76,"°","º"))-1)),-1),IF(LEFT(E76,6)="TÉRREO",0,IFERROR(VALUE(LEFT(E76,FIND("º",SUBSTITUTE(E76,"°","º"))-1)),""))))</f>
        <v/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2489</v>
      </c>
      <c r="S76" s="4" t="s">
        <v>212</v>
      </c>
      <c r="T76" s="4" t="s">
        <v>2490</v>
      </c>
      <c r="U76" s="4" t="s">
        <v>2299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str">
        <f aca="false">IF(R76="","",IF(COUNTIFS($C$5:$C$6004,R76,$O$5:$O$6004,"CONCLUÍDA",$N$5:$N$6004,"&gt;=-99")=0,"",_xlfn.MAXIFS($N$5:$N$6004,$C$5:$C$6004,R76,$O$5:$O$6004,"CONCLUÍDA")))</f>
        <v/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>Fachada aerada - F1 + F2 (1º etapa): concluído</v>
      </c>
    </row>
    <row r="77" customFormat="false" ht="15" hidden="false" customHeight="false" outlineLevel="0" collapsed="false">
      <c r="B77" s="4" t="n">
        <v>13584657</v>
      </c>
      <c r="C77" s="4" t="s">
        <v>73</v>
      </c>
      <c r="D77" s="4" t="s">
        <v>2491</v>
      </c>
      <c r="E77" s="4" t="s">
        <v>81</v>
      </c>
      <c r="F77" s="127" t="n">
        <v>46002</v>
      </c>
      <c r="G77" s="127" t="n">
        <v>46002</v>
      </c>
      <c r="H77" s="127" t="n">
        <v>46289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15</v>
      </c>
      <c r="N77" s="2" t="str">
        <f aca="false">IF(E77="","",IF(ISNUMBER(SEARCH("SUBSOLO",E77)),IFERROR(-VALUE(LEFT(E77,FIND("º",SUBSTITUTE(E77,"°","º"))-1)),-1),IF(LEFT(E77,6)="TÉRREO",0,IFERROR(VALUE(LEFT(E77,FIND("º",SUBSTITUTE(E77,"°","º"))-1)),""))))</f>
        <v/>
      </c>
      <c r="O77" s="2" t="str">
        <f aca="false">IF(OR(F77="",G77=""),"",IF(G77&lt;='RETRATO 2027'!$K$5,"CONCLUÍDA",IF(F77&lt;='RETRATO 2027'!$K$5,"EM ANDAMENTO","A INICIAR")))</f>
        <v>CONCLUÍDA</v>
      </c>
      <c r="R77" s="4" t="s">
        <v>2492</v>
      </c>
      <c r="S77" s="4" t="s">
        <v>167</v>
      </c>
      <c r="T77" s="4" t="s">
        <v>2493</v>
      </c>
      <c r="U77" s="4" t="s">
        <v>2299</v>
      </c>
      <c r="V77" s="2" t="n">
        <f aca="false">IF(R77="","",COUNTIF($C$5:$C$6004,R77))</f>
        <v>10</v>
      </c>
      <c r="W77" s="2" t="n">
        <f aca="false">IF(R77="","",COUNTIFS($C$5:$C$6004,R77,$O$5:$O$6004,"CONCLUÍDA"))</f>
        <v>7</v>
      </c>
      <c r="X77" s="2" t="n">
        <f aca="false">IF(R77="","",COUNTIFS($C$5:$C$6004,R77,$O$5:$O$6004,"EM ANDAMENTO"))</f>
        <v>0</v>
      </c>
      <c r="Y77" s="2" t="n">
        <f aca="false">IF(R77="","",IF(COUNTIFS($C$5:$C$6004,R77,$O$5:$O$6004,"CONCLUÍDA",$N$5:$N$6004,"&gt;=-99")=0,"",_xlfn.MAXIFS($N$5:$N$6004,$C$5:$C$6004,R77,$O$5:$O$6004,"CONCLUÍDA")))</f>
        <v>0</v>
      </c>
      <c r="Z77" s="2" t="str">
        <f aca="false">IF(R77="","",IF(COUNTIFS($C$5:$C$6004,R77,$O$5:$O$6004,"EM ANDAMENTO",$N$5:$N$6004,"&gt;=-99")=0,"",_xlfn.MAXIFS($N$5:$N$6004,$C$5:$C$6004,R77,$O$5:$O$6004,"EM ANDAMENTO")))</f>
        <v/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>Drywall: até térreo</v>
      </c>
    </row>
    <row r="78" customFormat="false" ht="15" hidden="false" customHeight="false" outlineLevel="0" collapsed="false">
      <c r="B78" s="4" t="n">
        <v>13584658</v>
      </c>
      <c r="C78" s="4" t="s">
        <v>73</v>
      </c>
      <c r="D78" s="4" t="s">
        <v>2494</v>
      </c>
      <c r="E78" s="4" t="s">
        <v>81</v>
      </c>
      <c r="F78" s="127" t="n">
        <v>46003</v>
      </c>
      <c r="G78" s="127" t="n">
        <v>46003</v>
      </c>
      <c r="H78" s="127" t="n">
        <v>46289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15</v>
      </c>
      <c r="N78" s="2" t="str">
        <f aca="false">IF(E78="","",IF(ISNUMBER(SEARCH("SUBSOLO",E78)),IFERROR(-VALUE(LEFT(E78,FIND("º",SUBSTITUTE(E78,"°","º"))-1)),-1),IF(LEFT(E78,6)="TÉRREO",0,IFERROR(VALUE(LEFT(E78,FIND("º",SUBSTITUTE(E78,"°","º"))-1)),""))))</f>
        <v/>
      </c>
      <c r="O78" s="2" t="str">
        <f aca="false">IF(OR(F78="",G78=""),"",IF(G78&lt;='RETRATO 2027'!$K$5,"CONCLUÍDA",IF(F78&lt;='RETRATO 2027'!$K$5,"EM ANDAMENTO","A INICIAR")))</f>
        <v>CONCLUÍDA</v>
      </c>
      <c r="R78" s="4" t="s">
        <v>2495</v>
      </c>
      <c r="S78" s="4" t="s">
        <v>185</v>
      </c>
      <c r="T78" s="4" t="s">
        <v>2496</v>
      </c>
      <c r="U78" s="4" t="s">
        <v>2299</v>
      </c>
      <c r="V78" s="2" t="n">
        <f aca="false">IF(R78="","",COUNTIF($C$5:$C$6004,R78))</f>
        <v>2</v>
      </c>
      <c r="W78" s="2" t="n">
        <f aca="false">IF(R78="","",COUNTIFS($C$5:$C$6004,R78,$O$5:$O$6004,"CONCLUÍDA"))</f>
        <v>0</v>
      </c>
      <c r="X78" s="2" t="n">
        <f aca="false">IF(R78="","",COUNTIFS($C$5:$C$6004,R78,$O$5:$O$6004,"EM ANDAMENTO"))</f>
        <v>1</v>
      </c>
      <c r="Y78" s="2" t="str">
        <f aca="false">IF(R78="","",IF(COUNTIFS($C$5:$C$6004,R78,$O$5:$O$6004,"CONCLUÍDA",$N$5:$N$6004,"&gt;=-99")=0,"",_xlfn.MAXIFS($N$5:$N$6004,$C$5:$C$6004,R78,$O$5:$O$6004,"CONCLUÍDA")))</f>
        <v/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Aduelas (elevadores): em execução</v>
      </c>
    </row>
    <row r="79" customFormat="false" ht="15" hidden="false" customHeight="false" outlineLevel="0" collapsed="false">
      <c r="B79" s="4" t="n">
        <v>13584659</v>
      </c>
      <c r="C79" s="4" t="s">
        <v>73</v>
      </c>
      <c r="D79" s="4" t="s">
        <v>2497</v>
      </c>
      <c r="E79" s="4" t="s">
        <v>81</v>
      </c>
      <c r="F79" s="127" t="n">
        <v>46006</v>
      </c>
      <c r="G79" s="127" t="n">
        <v>46006</v>
      </c>
      <c r="H79" s="127" t="n">
        <v>46289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15</v>
      </c>
      <c r="N79" s="2" t="str">
        <f aca="false">IF(E79="","",IF(ISNUMBER(SEARCH("SUBSOLO",E79)),IFERROR(-VALUE(LEFT(E79,FIND("º",SUBSTITUTE(E79,"°","º"))-1)),-1),IF(LEFT(E79,6)="TÉRREO",0,IFERROR(VALUE(LEFT(E79,FIND("º",SUBSTITUTE(E79,"°","º"))-1)),""))))</f>
        <v/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2498</v>
      </c>
      <c r="S79" s="4" t="s">
        <v>205</v>
      </c>
      <c r="T79" s="4" t="s">
        <v>2499</v>
      </c>
      <c r="U79" s="4" t="s">
        <v>2305</v>
      </c>
      <c r="V79" s="2" t="n">
        <f aca="false">IF(R79="","",COUNTIF($C$5:$C$6004,R79))</f>
        <v>1</v>
      </c>
      <c r="W79" s="2" t="n">
        <f aca="false">IF(R79="","",COUNTIFS($C$5:$C$6004,R79,$O$5:$O$6004,"CONCLUÍDA"))</f>
        <v>0</v>
      </c>
      <c r="X79" s="2" t="n">
        <f aca="false">IF(R79="","",COUNTIFS($C$5:$C$6004,R79,$O$5:$O$6004,"EM ANDAMENTO"))</f>
        <v>1</v>
      </c>
      <c r="Y79" s="2" t="str">
        <f aca="false">IF(R79="","",IF(COUNTIFS($C$5:$C$6004,R79,$O$5:$O$6004,"CONCLUÍDA",$N$5:$N$6004,"&gt;=-99")=0,"",_xlfn.MAXIFS($N$5:$N$6004,$C$5:$C$6004,R79,$O$5:$O$6004,"CONCLUÍDA")))</f>
        <v/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 customFormat="false" ht="15" hidden="false" customHeight="false" outlineLevel="0" collapsed="false">
      <c r="B80" s="4" t="n">
        <v>13584660</v>
      </c>
      <c r="C80" s="4" t="s">
        <v>73</v>
      </c>
      <c r="D80" s="4" t="s">
        <v>2500</v>
      </c>
      <c r="E80" s="4" t="s">
        <v>81</v>
      </c>
      <c r="F80" s="127" t="n">
        <v>46007</v>
      </c>
      <c r="G80" s="127" t="n">
        <v>46007</v>
      </c>
      <c r="H80" s="127" t="n">
        <v>46289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15</v>
      </c>
      <c r="N80" s="2" t="str">
        <f aca="false">IF(E80="","",IF(ISNUMBER(SEARCH("SUBSOLO",E80)),IFERROR(-VALUE(LEFT(E80,FIND("º",SUBSTITUTE(E80,"°","º"))-1)),-1),IF(LEFT(E80,6)="TÉRREO",0,IFERROR(VALUE(LEFT(E80,FIND("º",SUBSTITUTE(E80,"°","º"))-1)),""))))</f>
        <v/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2501</v>
      </c>
      <c r="S80" s="4" t="s">
        <v>205</v>
      </c>
      <c r="T80" s="4" t="s">
        <v>1815</v>
      </c>
      <c r="U80" s="4" t="s">
        <v>2299</v>
      </c>
      <c r="V80" s="2" t="n">
        <f aca="false">IF(R80="","",COUNTIF($C$5:$C$6004,R80))</f>
        <v>40</v>
      </c>
      <c r="W80" s="2" t="n">
        <f aca="false">IF(R80="","",COUNTIFS($C$5:$C$6004,R80,$O$5:$O$6004,"CONCLUÍDA"))</f>
        <v>11</v>
      </c>
      <c r="X80" s="2" t="n">
        <f aca="false">IF(R80="","",COUNTIFS($C$5:$C$6004,R80,$O$5:$O$6004,"EM ANDAMENTO"))</f>
        <v>2</v>
      </c>
      <c r="Y80" s="2" t="n">
        <f aca="false">IF(R80="","",IF(COUNTIFS($C$5:$C$6004,R80,$O$5:$O$6004,"CONCLUÍDA",$N$5:$N$6004,"&gt;=-99")=0,"",_xlfn.MAXIFS($N$5:$N$6004,$C$5:$C$6004,R80,$O$5:$O$6004,"CONCLUÍDA")))</f>
        <v>13</v>
      </c>
      <c r="Z80" s="2" t="n">
        <f aca="false">IF(R80="","",IF(COUNTIFS($C$5:$C$6004,R80,$O$5:$O$6004,"EM ANDAMENTO",$N$5:$N$6004,"&gt;=-99")=0,"",_xlfn.MAXIFS($N$5:$N$6004,$C$5:$C$6004,R80,$O$5:$O$6004,"EM ANDAMENTO")))</f>
        <v>14</v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Bancadas: até 13º pav., executando 14º pav.</v>
      </c>
    </row>
    <row r="81" customFormat="false" ht="15" hidden="false" customHeight="false" outlineLevel="0" collapsed="false">
      <c r="B81" s="4" t="n">
        <v>13584661</v>
      </c>
      <c r="C81" s="4" t="s">
        <v>73</v>
      </c>
      <c r="D81" s="4" t="s">
        <v>2502</v>
      </c>
      <c r="E81" s="4" t="s">
        <v>81</v>
      </c>
      <c r="F81" s="127" t="n">
        <v>46008</v>
      </c>
      <c r="G81" s="127" t="n">
        <v>46010</v>
      </c>
      <c r="H81" s="127" t="n">
        <v>46289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15</v>
      </c>
      <c r="N81" s="2" t="str">
        <f aca="false">IF(E81="","",IF(ISNUMBER(SEARCH("SUBSOLO",E81)),IFERROR(-VALUE(LEFT(E81,FIND("º",SUBSTITUTE(E81,"°","º"))-1)),-1),IF(LEFT(E81,6)="TÉRREO",0,IFERROR(VALUE(LEFT(E81,FIND("º",SUBSTITUTE(E81,"°","º"))-1)),""))))</f>
        <v/>
      </c>
      <c r="O81" s="2" t="str">
        <f aca="false">IF(OR(F81="",G81=""),"",IF(G81&lt;='RETRATO 2027'!$K$5,"CONCLUÍDA",IF(F81&lt;='RETRATO 2027'!$K$5,"EM ANDAMENTO","A INICIAR")))</f>
        <v>CONCLUÍDA</v>
      </c>
      <c r="R81" s="4" t="s">
        <v>77</v>
      </c>
      <c r="S81" s="4" t="s">
        <v>173</v>
      </c>
      <c r="T81" s="4" t="s">
        <v>2503</v>
      </c>
      <c r="U81" s="4" t="s">
        <v>2305</v>
      </c>
      <c r="V81" s="2" t="n">
        <f aca="false">IF(R81="","",COUNTIF($C$5:$C$6004,R81))</f>
        <v>5</v>
      </c>
      <c r="W81" s="2" t="n">
        <f aca="false">IF(R81="","",COUNTIFS($C$5:$C$6004,R81,$O$5:$O$6004,"CONCLUÍDA"))</f>
        <v>2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13584662</v>
      </c>
      <c r="C82" s="4" t="s">
        <v>73</v>
      </c>
      <c r="D82" s="4" t="s">
        <v>2504</v>
      </c>
      <c r="E82" s="4" t="s">
        <v>81</v>
      </c>
      <c r="F82" s="127" t="n">
        <v>46027</v>
      </c>
      <c r="G82" s="127" t="n">
        <v>46027</v>
      </c>
      <c r="H82" s="127" t="n">
        <v>46289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15</v>
      </c>
      <c r="N82" s="2" t="str">
        <f aca="false">IF(E82="","",IF(ISNUMBER(SEARCH("SUBSOLO",E82)),IFERROR(-VALUE(LEFT(E82,FIND("º",SUBSTITUTE(E82,"°","º"))-1)),-1),IF(LEFT(E82,6)="TÉRREO",0,IFERROR(VALUE(LEFT(E82,FIND("º",SUBSTITUTE(E82,"°","º"))-1)),""))))</f>
        <v/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2505</v>
      </c>
      <c r="S82" s="4" t="s">
        <v>176</v>
      </c>
      <c r="T82" s="4" t="s">
        <v>2506</v>
      </c>
      <c r="U82" s="4" t="s">
        <v>2305</v>
      </c>
      <c r="V82" s="2" t="n">
        <f aca="false">IF(R82="","",COUNTIF($C$5:$C$6004,R82))</f>
        <v>6</v>
      </c>
      <c r="W82" s="2" t="n">
        <f aca="false">IF(R82="","",COUNTIFS($C$5:$C$6004,R82,$O$5:$O$6004,"CONCLUÍDA"))</f>
        <v>2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13584663</v>
      </c>
      <c r="C83" s="4" t="s">
        <v>73</v>
      </c>
      <c r="D83" s="4" t="s">
        <v>2507</v>
      </c>
      <c r="E83" s="4" t="s">
        <v>81</v>
      </c>
      <c r="F83" s="127" t="n">
        <v>46028</v>
      </c>
      <c r="G83" s="127" t="n">
        <v>46028</v>
      </c>
      <c r="H83" s="127" t="n">
        <v>46289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15</v>
      </c>
      <c r="N83" s="2" t="str">
        <f aca="false">IF(E83="","",IF(ISNUMBER(SEARCH("SUBSOLO",E83)),IFERROR(-VALUE(LEFT(E83,FIND("º",SUBSTITUTE(E83,"°","º"))-1)),-1),IF(LEFT(E83,6)="TÉRREO",0,IFERROR(VALUE(LEFT(E83,FIND("º",SUBSTITUTE(E83,"°","º"))-1)),""))))</f>
        <v/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2508</v>
      </c>
      <c r="S83" s="4" t="s">
        <v>173</v>
      </c>
      <c r="T83" s="4" t="s">
        <v>2509</v>
      </c>
      <c r="U83" s="4" t="s">
        <v>2299</v>
      </c>
      <c r="V83" s="2" t="n">
        <f aca="false">IF(R83="","",COUNTIF($C$5:$C$6004,R83))</f>
        <v>41</v>
      </c>
      <c r="W83" s="2" t="n">
        <f aca="false">IF(R83="","",COUNTIFS($C$5:$C$6004,R83,$O$5:$O$6004,"CONCLUÍDA"))</f>
        <v>6</v>
      </c>
      <c r="X83" s="2" t="n">
        <f aca="false">IF(R83="","",COUNTIFS($C$5:$C$6004,R83,$O$5:$O$6004,"EM ANDAMENTO"))</f>
        <v>2</v>
      </c>
      <c r="Y83" s="2" t="n">
        <f aca="false">IF(R83="","",IF(COUNTIFS($C$5:$C$6004,R83,$O$5:$O$6004,"CONCLUÍDA",$N$5:$N$6004,"&gt;=-99")=0,"",_xlfn.MAXIFS($N$5:$N$6004,$C$5:$C$6004,R83,$O$5:$O$6004,"CONCLUÍDA")))</f>
        <v>12</v>
      </c>
      <c r="Z83" s="2" t="n">
        <f aca="false">IF(R83="","",IF(COUNTIFS($C$5:$C$6004,R83,$O$5:$O$6004,"EM ANDAMENTO",$N$5:$N$6004,"&gt;=-99")=0,"",_xlfn.MAXIFS($N$5:$N$6004,$C$5:$C$6004,R83,$O$5:$O$6004,"EM ANDAMENTO")))</f>
        <v>13</v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Fiação elétrica: até 12º pav., executando 13º pav.</v>
      </c>
    </row>
    <row r="84" customFormat="false" ht="15" hidden="false" customHeight="false" outlineLevel="0" collapsed="false">
      <c r="B84" s="4" t="n">
        <v>13584664</v>
      </c>
      <c r="C84" s="4" t="s">
        <v>73</v>
      </c>
      <c r="D84" s="4" t="s">
        <v>2510</v>
      </c>
      <c r="E84" s="4" t="s">
        <v>81</v>
      </c>
      <c r="F84" s="127" t="n">
        <v>46029</v>
      </c>
      <c r="G84" s="127" t="n">
        <v>46029</v>
      </c>
      <c r="H84" s="127" t="n">
        <v>46289</v>
      </c>
      <c r="I84" s="4" t="n">
        <v>100</v>
      </c>
      <c r="J84" s="4" t="n">
        <v>100</v>
      </c>
      <c r="K84" s="4" t="n">
        <v>100</v>
      </c>
      <c r="M84" s="2" t="str">
        <f aca="false">IF(C84="","",IFERROR(INDEX($S$5:$S$304,MATCH(C84,$R$5:$R$304,0))&amp;"","?"))</f>
        <v>15</v>
      </c>
      <c r="N84" s="2" t="str">
        <f aca="false">IF(E84="","",IF(ISNUMBER(SEARCH("SUBSOLO",E84)),IFERROR(-VALUE(LEFT(E84,FIND("º",SUBSTITUTE(E84,"°","º"))-1)),-1),IF(LEFT(E84,6)="TÉRREO",0,IFERROR(VALUE(LEFT(E84,FIND("º",SUBSTITUTE(E84,"°","º"))-1)),""))))</f>
        <v/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2511</v>
      </c>
      <c r="S84" s="4" t="s">
        <v>173</v>
      </c>
      <c r="T84" s="4" t="s">
        <v>2512</v>
      </c>
      <c r="U84" s="4" t="s">
        <v>2299</v>
      </c>
      <c r="V84" s="2" t="n">
        <f aca="false">IF(R84="","",COUNTIF($C$5:$C$6004,R84))</f>
        <v>35</v>
      </c>
      <c r="W84" s="2" t="n">
        <f aca="false">IF(R84="","",COUNTIFS($C$5:$C$6004,R84,$O$5:$O$6004,"CONCLUÍDA"))</f>
        <v>6</v>
      </c>
      <c r="X84" s="2" t="n">
        <f aca="false">IF(R84="","",COUNTIFS($C$5:$C$6004,R84,$O$5:$O$6004,"EM ANDAMENTO"))</f>
        <v>2</v>
      </c>
      <c r="Y84" s="2" t="n">
        <f aca="false">IF(R84="","",IF(COUNTIFS($C$5:$C$6004,R84,$O$5:$O$6004,"CONCLUÍDA",$N$5:$N$6004,"&gt;=-99")=0,"",_xlfn.MAXIFS($N$5:$N$6004,$C$5:$C$6004,R84,$O$5:$O$6004,"CONCLUÍDA")))</f>
        <v>12</v>
      </c>
      <c r="Z84" s="2" t="n">
        <f aca="false">IF(R84="","",IF(COUNTIFS($C$5:$C$6004,R84,$O$5:$O$6004,"EM ANDAMENTO",$N$5:$N$6004,"&gt;=-99")=0,"",_xlfn.MAXIFS($N$5:$N$6004,$C$5:$C$6004,R84,$O$5:$O$6004,"EM ANDAMENTO")))</f>
        <v>13</v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>Prumada elétrica - cabos: até 12º pav., executando 13º pav.</v>
      </c>
    </row>
    <row r="85" customFormat="false" ht="15" hidden="false" customHeight="false" outlineLevel="0" collapsed="false">
      <c r="B85" s="4" t="n">
        <v>13584665</v>
      </c>
      <c r="C85" s="4" t="s">
        <v>73</v>
      </c>
      <c r="D85" s="4" t="s">
        <v>2513</v>
      </c>
      <c r="E85" s="4" t="s">
        <v>81</v>
      </c>
      <c r="F85" s="127" t="n">
        <v>46030</v>
      </c>
      <c r="G85" s="127" t="n">
        <v>46030</v>
      </c>
      <c r="H85" s="127" t="n">
        <v>46289</v>
      </c>
      <c r="I85" s="4" t="n">
        <v>100</v>
      </c>
      <c r="J85" s="4" t="n">
        <v>100</v>
      </c>
      <c r="K85" s="4" t="n">
        <v>100</v>
      </c>
      <c r="M85" s="2" t="str">
        <f aca="false">IF(C85="","",IFERROR(INDEX($S$5:$S$304,MATCH(C85,$R$5:$R$304,0))&amp;"","?"))</f>
        <v>15</v>
      </c>
      <c r="N85" s="2" t="str">
        <f aca="false">IF(E85="","",IF(ISNUMBER(SEARCH("SUBSOLO",E85)),IFERROR(-VALUE(LEFT(E85,FIND("º",SUBSTITUTE(E85,"°","º"))-1)),-1),IF(LEFT(E85,6)="TÉRREO",0,IFERROR(VALUE(LEFT(E85,FIND("º",SUBSTITUTE(E85,"°","º"))-1)),""))))</f>
        <v/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2514</v>
      </c>
      <c r="S85" s="4" t="s">
        <v>173</v>
      </c>
      <c r="T85" s="4" t="s">
        <v>2515</v>
      </c>
      <c r="U85" s="4" t="s">
        <v>2299</v>
      </c>
      <c r="V85" s="2" t="n">
        <f aca="false">IF(R85="","",COUNTIF($C$5:$C$6004,R85))</f>
        <v>39</v>
      </c>
      <c r="W85" s="2" t="n">
        <f aca="false">IF(R85="","",COUNTIFS($C$5:$C$6004,R85,$O$5:$O$6004,"CONCLUÍDA"))</f>
        <v>7</v>
      </c>
      <c r="X85" s="2" t="n">
        <f aca="false">IF(R85="","",COUNTIFS($C$5:$C$6004,R85,$O$5:$O$6004,"EM ANDAMENTO"))</f>
        <v>2</v>
      </c>
      <c r="Y85" s="2" t="n">
        <f aca="false">IF(R85="","",IF(COUNTIFS($C$5:$C$6004,R85,$O$5:$O$6004,"CONCLUÍDA",$N$5:$N$6004,"&gt;=-99")=0,"",_xlfn.MAXIFS($N$5:$N$6004,$C$5:$C$6004,R85,$O$5:$O$6004,"CONCLUÍDA")))</f>
        <v>12</v>
      </c>
      <c r="Z85" s="2" t="n">
        <f aca="false">IF(R85="","",IF(COUNTIFS($C$5:$C$6004,R85,$O$5:$O$6004,"EM ANDAMENTO",$N$5:$N$6004,"&gt;=-99")=0,"",_xlfn.MAXIFS($N$5:$N$6004,$C$5:$C$6004,R85,$O$5:$O$6004,"EM ANDAMENTO")))</f>
        <v>13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Fiação telecom/dados: até 12º pav., executando 13º pav.</v>
      </c>
    </row>
    <row r="86" customFormat="false" ht="15" hidden="false" customHeight="false" outlineLevel="0" collapsed="false">
      <c r="B86" s="4" t="n">
        <v>13584666</v>
      </c>
      <c r="C86" s="4" t="s">
        <v>73</v>
      </c>
      <c r="D86" s="4" t="s">
        <v>2516</v>
      </c>
      <c r="E86" s="4" t="s">
        <v>81</v>
      </c>
      <c r="F86" s="127" t="n">
        <v>46031</v>
      </c>
      <c r="G86" s="127" t="n">
        <v>46031</v>
      </c>
      <c r="H86" s="127" t="n">
        <v>46289</v>
      </c>
      <c r="I86" s="4" t="n">
        <v>100</v>
      </c>
      <c r="J86" s="4" t="n">
        <v>100</v>
      </c>
      <c r="K86" s="4" t="n">
        <v>100</v>
      </c>
      <c r="M86" s="2" t="str">
        <f aca="false">IF(C86="","",IFERROR(INDEX($S$5:$S$304,MATCH(C86,$R$5:$R$304,0))&amp;"","?"))</f>
        <v>15</v>
      </c>
      <c r="N86" s="2" t="str">
        <f aca="false">IF(E86="","",IF(ISNUMBER(SEARCH("SUBSOLO",E86)),IFERROR(-VALUE(LEFT(E86,FIND("º",SUBSTITUTE(E86,"°","º"))-1)),-1),IF(LEFT(E86,6)="TÉRREO",0,IFERROR(VALUE(LEFT(E86,FIND("º",SUBSTITUTE(E86,"°","º"))-1)),""))))</f>
        <v/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2517</v>
      </c>
      <c r="S86" s="4" t="s">
        <v>179</v>
      </c>
      <c r="T86" s="4" t="s">
        <v>2518</v>
      </c>
      <c r="U86" s="4" t="s">
        <v>2305</v>
      </c>
      <c r="V86" s="2" t="n">
        <f aca="false">IF(R86="","",COUNTIF($C$5:$C$6004,R86))</f>
        <v>6</v>
      </c>
      <c r="W86" s="2" t="n">
        <f aca="false">IF(R86="","",COUNTIFS($C$5:$C$6004,R86,$O$5:$O$6004,"CONCLUÍDA"))</f>
        <v>3</v>
      </c>
      <c r="X86" s="2" t="n">
        <f aca="false">IF(R86="","",COUNTIFS($C$5:$C$6004,R86,$O$5:$O$6004,"EM ANDAMENTO"))</f>
        <v>1</v>
      </c>
      <c r="Y86" s="2" t="n">
        <f aca="false">IF(R86="","",IF(COUNTIFS($C$5:$C$6004,R86,$O$5:$O$6004,"CONCLUÍDA",$N$5:$N$6004,"&gt;=-99")=0,"",_xlfn.MAXIFS($N$5:$N$6004,$C$5:$C$6004,R86,$O$5:$O$6004,"CONCLUÍDA")))</f>
        <v>2</v>
      </c>
      <c r="Z86" s="2" t="n">
        <f aca="false">IF(R86="","",IF(COUNTIFS($C$5:$C$6004,R86,$O$5:$O$6004,"EM ANDAMENTO",$N$5:$N$6004,"&gt;=-99")=0,"",_xlfn.MAXIFS($N$5:$N$6004,$C$5:$C$6004,R86,$O$5:$O$6004,"EM ANDAMENTO")))</f>
        <v>3</v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 customFormat="false" ht="15" hidden="false" customHeight="false" outlineLevel="0" collapsed="false">
      <c r="B87" s="4" t="n">
        <v>13584667</v>
      </c>
      <c r="C87" s="4" t="s">
        <v>73</v>
      </c>
      <c r="D87" s="4" t="s">
        <v>2519</v>
      </c>
      <c r="E87" s="4" t="s">
        <v>81</v>
      </c>
      <c r="F87" s="127" t="n">
        <v>46034</v>
      </c>
      <c r="G87" s="127" t="n">
        <v>46034</v>
      </c>
      <c r="H87" s="127" t="n">
        <v>46289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15</v>
      </c>
      <c r="N87" s="2" t="str">
        <f aca="false">IF(E87="","",IF(ISNUMBER(SEARCH("SUBSOLO",E87)),IFERROR(-VALUE(LEFT(E87,FIND("º",SUBSTITUTE(E87,"°","º"))-1)),-1),IF(LEFT(E87,6)="TÉRREO",0,IFERROR(VALUE(LEFT(E87,FIND("º",SUBSTITUTE(E87,"°","º"))-1)),""))))</f>
        <v/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2520</v>
      </c>
      <c r="S87" s="4" t="s">
        <v>212</v>
      </c>
      <c r="T87" s="4" t="s">
        <v>2521</v>
      </c>
      <c r="U87" s="4" t="s">
        <v>2299</v>
      </c>
      <c r="V87" s="2" t="n">
        <f aca="false">IF(R87="","",COUNTIF($C$5:$C$6004,R87))</f>
        <v>1</v>
      </c>
      <c r="W87" s="2" t="n">
        <f aca="false">IF(R87="","",COUNTIFS($C$5:$C$6004,R87,$O$5:$O$6004,"CONCLUÍDA"))</f>
        <v>1</v>
      </c>
      <c r="X87" s="2" t="n">
        <f aca="false">IF(R87="","",COUNTIFS($C$5:$C$6004,R87,$O$5:$O$6004,"EM ANDAMENTO"))</f>
        <v>0</v>
      </c>
      <c r="Y87" s="2" t="str">
        <f aca="false">IF(R87="","",IF(COUNTIFS($C$5:$C$6004,R87,$O$5:$O$6004,"CONCLUÍDA",$N$5:$N$6004,"&gt;=-99")=0,"",_xlfn.MAXIFS($N$5:$N$6004,$C$5:$C$6004,R87,$O$5:$O$6004,"CONCLUÍDA")))</f>
        <v/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Preparação para fachada aerada - F3 + F4 (1º etapa): concluído</v>
      </c>
    </row>
    <row r="88" customFormat="false" ht="15" hidden="false" customHeight="false" outlineLevel="0" collapsed="false">
      <c r="B88" s="4" t="n">
        <v>13584668</v>
      </c>
      <c r="C88" s="4" t="s">
        <v>73</v>
      </c>
      <c r="D88" s="4" t="s">
        <v>2522</v>
      </c>
      <c r="E88" s="4" t="s">
        <v>81</v>
      </c>
      <c r="F88" s="127" t="n">
        <v>46035</v>
      </c>
      <c r="G88" s="127" t="n">
        <v>46035</v>
      </c>
      <c r="H88" s="127" t="n">
        <v>46289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15</v>
      </c>
      <c r="N88" s="2" t="str">
        <f aca="false">IF(E88="","",IF(ISNUMBER(SEARCH("SUBSOLO",E88)),IFERROR(-VALUE(LEFT(E88,FIND("º",SUBSTITUTE(E88,"°","º"))-1)),-1),IF(LEFT(E88,6)="TÉRREO",0,IFERROR(VALUE(LEFT(E88,FIND("º",SUBSTITUTE(E88,"°","º"))-1)),""))))</f>
        <v/>
      </c>
      <c r="O88" s="2" t="str">
        <f aca="false">IF(OR(F88="",G88=""),"",IF(G88&lt;='RETRATO 2027'!$K$5,"CONCLUÍDA",IF(F88&lt;='RETRATO 2027'!$K$5,"EM ANDAMENTO","A INICIAR")))</f>
        <v>CONCLUÍDA</v>
      </c>
      <c r="R88" s="4" t="s">
        <v>216</v>
      </c>
      <c r="S88" s="4" t="s">
        <v>215</v>
      </c>
      <c r="T88" s="4" t="s">
        <v>2523</v>
      </c>
      <c r="U88" s="4" t="s">
        <v>2299</v>
      </c>
      <c r="V88" s="2" t="n">
        <f aca="false">IF(R88="","",COUNTIF($C$5:$C$6004,R88))</f>
        <v>44</v>
      </c>
      <c r="W88" s="2" t="n">
        <f aca="false">IF(R88="","",COUNTIFS($C$5:$C$6004,R88,$O$5:$O$6004,"CONCLUÍDA"))</f>
        <v>8</v>
      </c>
      <c r="X88" s="2" t="n">
        <f aca="false">IF(R88="","",COUNTIFS($C$5:$C$6004,R88,$O$5:$O$6004,"EM ANDAMENTO"))</f>
        <v>3</v>
      </c>
      <c r="Y88" s="2" t="n">
        <f aca="false">IF(R88="","",IF(COUNTIFS($C$5:$C$6004,R88,$O$5:$O$6004,"CONCLUÍDA",$N$5:$N$6004,"&gt;=-99")=0,"",_xlfn.MAXIFS($N$5:$N$6004,$C$5:$C$6004,R88,$O$5:$O$6004,"CONCLUÍDA")))</f>
        <v>11</v>
      </c>
      <c r="Z88" s="2" t="n">
        <f aca="false">IF(R88="","",IF(COUNTIFS($C$5:$C$6004,R88,$O$5:$O$6004,"EM ANDAMENTO",$N$5:$N$6004,"&gt;=-99")=0,"",_xlfn.MAXIFS($N$5:$N$6004,$C$5:$C$6004,R88,$O$5:$O$6004,"EM ANDAMENTO")))</f>
        <v>12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>Forro: até 11º pav., executando 12º pav.</v>
      </c>
    </row>
    <row r="89" customFormat="false" ht="15" hidden="false" customHeight="false" outlineLevel="0" collapsed="false">
      <c r="B89" s="4" t="n">
        <v>13584669</v>
      </c>
      <c r="C89" s="4" t="s">
        <v>73</v>
      </c>
      <c r="D89" s="4" t="s">
        <v>2524</v>
      </c>
      <c r="E89" s="4" t="s">
        <v>81</v>
      </c>
      <c r="F89" s="127" t="n">
        <v>46036</v>
      </c>
      <c r="G89" s="127" t="n">
        <v>46036</v>
      </c>
      <c r="H89" s="127" t="n">
        <v>46289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15</v>
      </c>
      <c r="N89" s="2" t="str">
        <f aca="false">IF(E89="","",IF(ISNUMBER(SEARCH("SUBSOLO",E89)),IFERROR(-VALUE(LEFT(E89,FIND("º",SUBSTITUTE(E89,"°","º"))-1)),-1),IF(LEFT(E89,6)="TÉRREO",0,IFERROR(VALUE(LEFT(E89,FIND("º",SUBSTITUTE(E89,"°","º"))-1)),""))))</f>
        <v/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2525</v>
      </c>
      <c r="S89" s="4" t="s">
        <v>167</v>
      </c>
      <c r="T89" s="4" t="s">
        <v>2526</v>
      </c>
      <c r="U89" s="4" t="s">
        <v>2305</v>
      </c>
      <c r="V89" s="2" t="n">
        <f aca="false">IF(R89="","",COUNTIF($C$5:$C$6004,R89))</f>
        <v>5</v>
      </c>
      <c r="W89" s="2" t="n">
        <f aca="false">IF(R89="","",COUNTIFS($C$5:$C$6004,R89,$O$5:$O$6004,"CONCLUÍDA"))</f>
        <v>2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 customFormat="false" ht="15" hidden="false" customHeight="false" outlineLevel="0" collapsed="false">
      <c r="B90" s="4" t="n">
        <v>13584670</v>
      </c>
      <c r="C90" s="4" t="s">
        <v>73</v>
      </c>
      <c r="D90" s="4" t="s">
        <v>2527</v>
      </c>
      <c r="E90" s="4" t="s">
        <v>81</v>
      </c>
      <c r="F90" s="127" t="n">
        <v>46037</v>
      </c>
      <c r="G90" s="127" t="n">
        <v>46037</v>
      </c>
      <c r="H90" s="127" t="n">
        <v>46289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15</v>
      </c>
      <c r="N90" s="2" t="str">
        <f aca="false">IF(E90="","",IF(ISNUMBER(SEARCH("SUBSOLO",E90)),IFERROR(-VALUE(LEFT(E90,FIND("º",SUBSTITUTE(E90,"°","º"))-1)),-1),IF(LEFT(E90,6)="TÉRREO",0,IFERROR(VALUE(LEFT(E90,FIND("º",SUBSTITUTE(E90,"°","º"))-1)),""))))</f>
        <v/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2528</v>
      </c>
      <c r="S90" s="4" t="s">
        <v>182</v>
      </c>
      <c r="T90" s="4" t="s">
        <v>2529</v>
      </c>
      <c r="U90" s="4" t="s">
        <v>2305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-1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13584671</v>
      </c>
      <c r="C91" s="4" t="s">
        <v>73</v>
      </c>
      <c r="D91" s="4" t="s">
        <v>2530</v>
      </c>
      <c r="E91" s="4" t="s">
        <v>81</v>
      </c>
      <c r="F91" s="127" t="n">
        <v>46038</v>
      </c>
      <c r="G91" s="127" t="n">
        <v>46038</v>
      </c>
      <c r="H91" s="127" t="n">
        <v>46289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15</v>
      </c>
      <c r="N91" s="2" t="str">
        <f aca="false">IF(E91="","",IF(ISNUMBER(SEARCH("SUBSOLO",E91)),IFERROR(-VALUE(LEFT(E91,FIND("º",SUBSTITUTE(E91,"°","º"))-1)),-1),IF(LEFT(E91,6)="TÉRREO",0,IFERROR(VALUE(LEFT(E91,FIND("º",SUBSTITUTE(E91,"°","º"))-1)),""))))</f>
        <v/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2531</v>
      </c>
      <c r="S91" s="4" t="s">
        <v>176</v>
      </c>
      <c r="T91" s="4" t="s">
        <v>1288</v>
      </c>
      <c r="U91" s="4" t="s">
        <v>2305</v>
      </c>
      <c r="V91" s="2" t="n">
        <f aca="false">IF(R91="","",COUNTIF($C$5:$C$6004,R91))</f>
        <v>2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-1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13584672</v>
      </c>
      <c r="C92" s="4" t="s">
        <v>73</v>
      </c>
      <c r="D92" s="4" t="s">
        <v>2532</v>
      </c>
      <c r="E92" s="4" t="s">
        <v>81</v>
      </c>
      <c r="F92" s="127" t="n">
        <v>46041</v>
      </c>
      <c r="G92" s="127" t="n">
        <v>46041</v>
      </c>
      <c r="H92" s="127" t="n">
        <v>46289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15</v>
      </c>
      <c r="N92" s="2" t="str">
        <f aca="false">IF(E92="","",IF(ISNUMBER(SEARCH("SUBSOLO",E92)),IFERROR(-VALUE(LEFT(E92,FIND("º",SUBSTITUTE(E92,"°","º"))-1)),-1),IF(LEFT(E92,6)="TÉRREO",0,IFERROR(VALUE(LEFT(E92,FIND("º",SUBSTITUTE(E92,"°","º"))-1)),""))))</f>
        <v/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2533</v>
      </c>
      <c r="S92" s="4" t="s">
        <v>212</v>
      </c>
      <c r="T92" s="4" t="s">
        <v>2534</v>
      </c>
      <c r="U92" s="4" t="s">
        <v>2299</v>
      </c>
      <c r="V92" s="2" t="n">
        <f aca="false">IF(R92="","",COUNTIF($C$5:$C$6004,R92))</f>
        <v>1</v>
      </c>
      <c r="W92" s="2" t="n">
        <f aca="false">IF(R92="","",COUNTIFS($C$5:$C$6004,R92,$O$5:$O$6004,"CONCLUÍDA"))</f>
        <v>0</v>
      </c>
      <c r="X92" s="2" t="n">
        <f aca="false">IF(R92="","",COUNTIFS($C$5:$C$6004,R92,$O$5:$O$6004,"EM ANDAMENTO"))</f>
        <v>1</v>
      </c>
      <c r="Y92" s="2" t="str">
        <f aca="false">IF(R92="","",IF(COUNTIFS($C$5:$C$6004,R92,$O$5:$O$6004,"CONCLUÍDA",$N$5:$N$6004,"&gt;=-99")=0,"",_xlfn.MAXIFS($N$5:$N$6004,$C$5:$C$6004,R92,$O$5:$O$6004,"CONCLUÍDA")))</f>
        <v/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>Fachada aerada - F3 + F4 (1º etapa): em execução</v>
      </c>
    </row>
    <row r="93" customFormat="false" ht="15" hidden="false" customHeight="false" outlineLevel="0" collapsed="false">
      <c r="B93" s="4" t="n">
        <v>13584673</v>
      </c>
      <c r="C93" s="4" t="s">
        <v>73</v>
      </c>
      <c r="D93" s="4" t="s">
        <v>2535</v>
      </c>
      <c r="E93" s="4" t="s">
        <v>81</v>
      </c>
      <c r="F93" s="127" t="n">
        <v>46042</v>
      </c>
      <c r="G93" s="127" t="n">
        <v>46042</v>
      </c>
      <c r="H93" s="127" t="n">
        <v>46289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15</v>
      </c>
      <c r="N93" s="2" t="str">
        <f aca="false">IF(E93="","",IF(ISNUMBER(SEARCH("SUBSOLO",E93)),IFERROR(-VALUE(LEFT(E93,FIND("º",SUBSTITUTE(E93,"°","º"))-1)),-1),IF(LEFT(E93,6)="TÉRREO",0,IFERROR(VALUE(LEFT(E93,FIND("º",SUBSTITUTE(E93,"°","º"))-1)),""))))</f>
        <v/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2536</v>
      </c>
      <c r="S93" s="4" t="s">
        <v>212</v>
      </c>
      <c r="T93" s="4" t="s">
        <v>2537</v>
      </c>
      <c r="U93" s="4" t="s">
        <v>2299</v>
      </c>
      <c r="V93" s="2" t="n">
        <f aca="false">IF(R93="","",COUNTIF($C$5:$C$6004,R93))</f>
        <v>1</v>
      </c>
      <c r="W93" s="2" t="n">
        <f aca="false">IF(R93="","",COUNTIFS($C$5:$C$6004,R93,$O$5:$O$6004,"CONCLUÍDA"))</f>
        <v>1</v>
      </c>
      <c r="X93" s="2" t="n">
        <f aca="false">IF(R93="","",COUNTIFS($C$5:$C$6004,R93,$O$5:$O$6004,"EM ANDAMENTO"))</f>
        <v>0</v>
      </c>
      <c r="Y93" s="2" t="str">
        <f aca="false">IF(R93="","",IF(COUNTIFS($C$5:$C$6004,R93,$O$5:$O$6004,"CONCLUÍDA",$N$5:$N$6004,"&gt;=-99")=0,"",_xlfn.MAXIFS($N$5:$N$6004,$C$5:$C$6004,R93,$O$5:$O$6004,"CONCLUÍDA")))</f>
        <v/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Peitoris e requadros de fachada - F1 + F2 (1º etapa): concluído</v>
      </c>
    </row>
    <row r="94" customFormat="false" ht="15" hidden="false" customHeight="false" outlineLevel="0" collapsed="false">
      <c r="B94" s="4" t="n">
        <v>13584674</v>
      </c>
      <c r="C94" s="4" t="s">
        <v>73</v>
      </c>
      <c r="D94" s="4" t="s">
        <v>2538</v>
      </c>
      <c r="E94" s="4" t="s">
        <v>81</v>
      </c>
      <c r="F94" s="127" t="n">
        <v>46043</v>
      </c>
      <c r="G94" s="127" t="n">
        <v>46043</v>
      </c>
      <c r="H94" s="127" t="n">
        <v>46289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15</v>
      </c>
      <c r="N94" s="2" t="str">
        <f aca="false">IF(E94="","",IF(ISNUMBER(SEARCH("SUBSOLO",E94)),IFERROR(-VALUE(LEFT(E94,FIND("º",SUBSTITUTE(E94,"°","º"))-1)),-1),IF(LEFT(E94,6)="TÉRREO",0,IFERROR(VALUE(LEFT(E94,FIND("º",SUBSTITUTE(E94,"°","º"))-1)),""))))</f>
        <v/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2539</v>
      </c>
      <c r="S94" s="4" t="s">
        <v>223</v>
      </c>
      <c r="T94" s="4" t="s">
        <v>2540</v>
      </c>
      <c r="U94" s="4" t="s">
        <v>2299</v>
      </c>
      <c r="V94" s="2" t="n">
        <f aca="false">IF(R94="","",COUNTIF($C$5:$C$6004,R94))</f>
        <v>43</v>
      </c>
      <c r="W94" s="2" t="n">
        <f aca="false">IF(R94="","",COUNTIFS($C$5:$C$6004,R94,$O$5:$O$6004,"CONCLUÍDA"))</f>
        <v>2</v>
      </c>
      <c r="X94" s="2" t="n">
        <f aca="false">IF(R94="","",COUNTIFS($C$5:$C$6004,R94,$O$5:$O$6004,"EM ANDAMENTO"))</f>
        <v>2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n">
        <f aca="false">IF(R94="","",IF(COUNTIFS($C$5:$C$6004,R94,$O$5:$O$6004,"EM ANDAMENTO",$N$5:$N$6004,"&gt;=-99")=0,"",_xlfn.MAXIFS($N$5:$N$6004,$C$5:$C$6004,R94,$O$5:$O$6004,"EM ANDAMENTO")))</f>
        <v>7</v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>Massa corrida: até térreo, executando 7º pav.</v>
      </c>
    </row>
    <row r="95" customFormat="false" ht="15" hidden="false" customHeight="false" outlineLevel="0" collapsed="false">
      <c r="B95" s="4" t="n">
        <v>13584675</v>
      </c>
      <c r="C95" s="4" t="s">
        <v>73</v>
      </c>
      <c r="D95" s="4" t="s">
        <v>2541</v>
      </c>
      <c r="E95" s="4" t="s">
        <v>81</v>
      </c>
      <c r="F95" s="127" t="n">
        <v>46044</v>
      </c>
      <c r="G95" s="127" t="n">
        <v>46044</v>
      </c>
      <c r="H95" s="127" t="n">
        <v>46289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15</v>
      </c>
      <c r="N95" s="2" t="str">
        <f aca="false">IF(E95="","",IF(ISNUMBER(SEARCH("SUBSOLO",E95)),IFERROR(-VALUE(LEFT(E95,FIND("º",SUBSTITUTE(E95,"°","º"))-1)),-1),IF(LEFT(E95,6)="TÉRREO",0,IFERROR(VALUE(LEFT(E95,FIND("º",SUBSTITUTE(E95,"°","º"))-1)),""))))</f>
        <v/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2542</v>
      </c>
      <c r="S95" s="4" t="s">
        <v>208</v>
      </c>
      <c r="T95" s="4" t="s">
        <v>2543</v>
      </c>
      <c r="U95" s="4" t="s">
        <v>2299</v>
      </c>
      <c r="V95" s="2" t="n">
        <f aca="false">IF(R95="","",COUNTIF($C$5:$C$6004,R95))</f>
        <v>2</v>
      </c>
      <c r="W95" s="2" t="n">
        <f aca="false">IF(R95="","",COUNTIFS($C$5:$C$6004,R95,$O$5:$O$6004,"CONCLUÍDA"))</f>
        <v>0</v>
      </c>
      <c r="X95" s="2" t="n">
        <f aca="false">IF(R95="","",COUNTIFS($C$5:$C$6004,R95,$O$5:$O$6004,"EM ANDAMENTO"))</f>
        <v>2</v>
      </c>
      <c r="Y95" s="2" t="str">
        <f aca="false">IF(R95="","",IF(COUNTIFS($C$5:$C$6004,R95,$O$5:$O$6004,"CONCLUÍDA",$N$5:$N$6004,"&gt;=-99")=0,"",_xlfn.MAXIFS($N$5:$N$6004,$C$5:$C$6004,R95,$O$5:$O$6004,"CONCLUÍDA")))</f>
        <v/>
      </c>
      <c r="Z95" s="2" t="n">
        <f aca="false">IF(R95="","",IF(COUNTIFS($C$5:$C$6004,R95,$O$5:$O$6004,"EM ANDAMENTO",$N$5:$N$6004,"&gt;=-99")=0,"",_xlfn.MAXIFS($N$5:$N$6004,$C$5:$C$6004,R95,$O$5:$O$6004,"EM ANDAMENTO")))</f>
        <v>0</v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Passeios, muretas e rampas: em execução (térreo)</v>
      </c>
    </row>
    <row r="96" customFormat="false" ht="15" hidden="false" customHeight="false" outlineLevel="0" collapsed="false">
      <c r="B96" s="4" t="n">
        <v>13584676</v>
      </c>
      <c r="C96" s="4" t="s">
        <v>73</v>
      </c>
      <c r="D96" s="4" t="s">
        <v>2544</v>
      </c>
      <c r="E96" s="4" t="s">
        <v>81</v>
      </c>
      <c r="F96" s="127" t="n">
        <v>46045</v>
      </c>
      <c r="G96" s="127" t="n">
        <v>46048</v>
      </c>
      <c r="H96" s="127" t="n">
        <v>46289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15</v>
      </c>
      <c r="N96" s="2" t="str">
        <f aca="false">IF(E96="","",IF(ISNUMBER(SEARCH("SUBSOLO",E96)),IFERROR(-VALUE(LEFT(E96,FIND("º",SUBSTITUTE(E96,"°","º"))-1)),-1),IF(LEFT(E96,6)="TÉRREO",0,IFERROR(VALUE(LEFT(E96,FIND("º",SUBSTITUTE(E96,"°","º"))-1)),""))))</f>
        <v/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2545</v>
      </c>
      <c r="S96" s="4" t="s">
        <v>189</v>
      </c>
      <c r="T96" s="4" t="s">
        <v>2546</v>
      </c>
      <c r="U96" s="4" t="s">
        <v>2299</v>
      </c>
      <c r="V96" s="2" t="n">
        <f aca="false">IF(R96="","",COUNTIF($C$5:$C$6004,R96))</f>
        <v>41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1</v>
      </c>
      <c r="Y96" s="2" t="n">
        <f aca="false">IF(R96="","",IF(COUNTIFS($C$5:$C$6004,R96,$O$5:$O$6004,"CONCLUÍDA",$N$5:$N$6004,"&gt;=-99")=0,"",_xlfn.MAXIFS($N$5:$N$6004,$C$5:$C$6004,R96,$O$5:$O$6004,"CONCLUÍDA")))</f>
        <v>7</v>
      </c>
      <c r="Z96" s="2" t="n">
        <f aca="false">IF(R96="","",IF(COUNTIFS($C$5:$C$6004,R96,$O$5:$O$6004,"EM ANDAMENTO",$N$5:$N$6004,"&gt;=-99")=0,"",_xlfn.MAXIFS($N$5:$N$6004,$C$5:$C$6004,R96,$O$5:$O$6004,"EM ANDAMENTO")))</f>
        <v>8</v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Esquadria de alumínio: até 7º pav., executando 8º pav.</v>
      </c>
    </row>
    <row r="97" customFormat="false" ht="15" hidden="false" customHeight="false" outlineLevel="0" collapsed="false">
      <c r="B97" s="4" t="n">
        <v>13584677</v>
      </c>
      <c r="C97" s="4" t="s">
        <v>73</v>
      </c>
      <c r="D97" s="4" t="s">
        <v>2547</v>
      </c>
      <c r="E97" s="4" t="s">
        <v>81</v>
      </c>
      <c r="F97" s="127" t="n">
        <v>46049</v>
      </c>
      <c r="G97" s="127" t="n">
        <v>46052</v>
      </c>
      <c r="H97" s="127" t="n">
        <v>46289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15</v>
      </c>
      <c r="N97" s="2" t="str">
        <f aca="false">IF(E97="","",IF(ISNUMBER(SEARCH("SUBSOLO",E97)),IFERROR(-VALUE(LEFT(E97,FIND("º",SUBSTITUTE(E97,"°","º"))-1)),-1),IF(LEFT(E97,6)="TÉRREO",0,IFERROR(VALUE(LEFT(E97,FIND("º",SUBSTITUTE(E97,"°","º"))-1)),""))))</f>
        <v/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2548</v>
      </c>
      <c r="S97" s="4" t="s">
        <v>212</v>
      </c>
      <c r="T97" s="4" t="s">
        <v>2549</v>
      </c>
      <c r="U97" s="4" t="s">
        <v>2299</v>
      </c>
      <c r="V97" s="2" t="n">
        <f aca="false">IF(R97="","",COUNTIF($C$5:$C$6004,R97))</f>
        <v>1</v>
      </c>
      <c r="W97" s="2" t="n">
        <f aca="false">IF(R97="","",COUNTIFS($C$5:$C$6004,R97,$O$5:$O$6004,"CONCLUÍDA"))</f>
        <v>0</v>
      </c>
      <c r="X97" s="2" t="n">
        <f aca="false">IF(R97="","",COUNTIFS($C$5:$C$6004,R97,$O$5:$O$6004,"EM ANDAMENTO"))</f>
        <v>1</v>
      </c>
      <c r="Y97" s="2" t="str">
        <f aca="false">IF(R97="","",IF(COUNTIFS($C$5:$C$6004,R97,$O$5:$O$6004,"CONCLUÍDA",$N$5:$N$6004,"&gt;=-99")=0,"",_xlfn.MAXIFS($N$5:$N$6004,$C$5:$C$6004,R97,$O$5:$O$6004,"CONCLUÍDA")))</f>
        <v/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>Preparação para fachada aerada - F5 (1º etapa): em execução</v>
      </c>
    </row>
    <row r="98" customFormat="false" ht="15" hidden="false" customHeight="false" outlineLevel="0" collapsed="false">
      <c r="B98" s="4" t="n">
        <v>13584678</v>
      </c>
      <c r="C98" s="4" t="s">
        <v>73</v>
      </c>
      <c r="D98" s="4" t="s">
        <v>2550</v>
      </c>
      <c r="E98" s="4" t="s">
        <v>81</v>
      </c>
      <c r="F98" s="127" t="n">
        <v>46055</v>
      </c>
      <c r="G98" s="127" t="n">
        <v>46055</v>
      </c>
      <c r="H98" s="127" t="n">
        <v>46289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15</v>
      </c>
      <c r="N98" s="2" t="str">
        <f aca="false">IF(E98="","",IF(ISNUMBER(SEARCH("SUBSOLO",E98)),IFERROR(-VALUE(LEFT(E98,FIND("º",SUBSTITUTE(E98,"°","º"))-1)),-1),IF(LEFT(E98,6)="TÉRREO",0,IFERROR(VALUE(LEFT(E98,FIND("º",SUBSTITUTE(E98,"°","º"))-1)),""))))</f>
        <v/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2551</v>
      </c>
      <c r="S98" s="4" t="s">
        <v>212</v>
      </c>
      <c r="T98" s="4" t="s">
        <v>2552</v>
      </c>
      <c r="U98" s="4" t="s">
        <v>2299</v>
      </c>
      <c r="V98" s="2" t="n">
        <f aca="false">IF(R98="","",COUNTIF($C$5:$C$6004,R98))</f>
        <v>1</v>
      </c>
      <c r="W98" s="2" t="n">
        <f aca="false">IF(R98="","",COUNTIFS($C$5:$C$6004,R98,$O$5:$O$6004,"CONCLUÍDA"))</f>
        <v>0</v>
      </c>
      <c r="X98" s="2" t="n">
        <f aca="false">IF(R98="","",COUNTIFS($C$5:$C$6004,R98,$O$5:$O$6004,"EM ANDAMENTO"))</f>
        <v>0</v>
      </c>
      <c r="Y98" s="2" t="str">
        <f aca="false">IF(R98="","",IF(COUNTIFS($C$5:$C$6004,R98,$O$5:$O$6004,"CONCLUÍDA",$N$5:$N$6004,"&gt;=-99")=0,"",_xlfn.MAXIFS($N$5:$N$6004,$C$5:$C$6004,R98,$O$5:$O$6004,"CONCLUÍDA")))</f>
        <v/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13584679</v>
      </c>
      <c r="C99" s="4" t="s">
        <v>73</v>
      </c>
      <c r="D99" s="4" t="s">
        <v>2553</v>
      </c>
      <c r="E99" s="4" t="s">
        <v>81</v>
      </c>
      <c r="F99" s="127" t="n">
        <v>46056</v>
      </c>
      <c r="G99" s="127" t="n">
        <v>46056</v>
      </c>
      <c r="H99" s="127" t="n">
        <v>46289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15</v>
      </c>
      <c r="N99" s="2" t="str">
        <f aca="false">IF(E99="","",IF(ISNUMBER(SEARCH("SUBSOLO",E99)),IFERROR(-VALUE(LEFT(E99,FIND("º",SUBSTITUTE(E99,"°","º"))-1)),-1),IF(LEFT(E99,6)="TÉRREO",0,IFERROR(VALUE(LEFT(E99,FIND("º",SUBSTITUTE(E99,"°","º"))-1)),""))))</f>
        <v/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2554</v>
      </c>
      <c r="S99" s="4" t="s">
        <v>223</v>
      </c>
      <c r="T99" s="4" t="s">
        <v>2555</v>
      </c>
      <c r="U99" s="4" t="s">
        <v>2299</v>
      </c>
      <c r="V99" s="2" t="n">
        <f aca="false">IF(R99="","",COUNTIF($C$5:$C$6004,R99))</f>
        <v>44</v>
      </c>
      <c r="W99" s="2" t="n">
        <f aca="false">IF(R99="","",COUNTIFS($C$5:$C$6004,R99,$O$5:$O$6004,"CONCLUÍDA"))</f>
        <v>0</v>
      </c>
      <c r="X99" s="2" t="n">
        <f aca="false">IF(R99="","",COUNTIFS($C$5:$C$6004,R99,$O$5:$O$6004,"EM ANDAMENTO"))</f>
        <v>0</v>
      </c>
      <c r="Y99" s="2" t="str">
        <f aca="false">IF(R99="","",IF(COUNTIFS($C$5:$C$6004,R99,$O$5:$O$6004,"CONCLUÍDA",$N$5:$N$6004,"&gt;=-99")=0,"",_xlfn.MAXIFS($N$5:$N$6004,$C$5:$C$6004,R99,$O$5:$O$6004,"CONCLUÍDA")))</f>
        <v/>
      </c>
      <c r="Z99" s="2" t="str">
        <f aca="false">IF(R99="","",IF(COUNTIFS($C$5:$C$6004,R99,$O$5:$O$6004,"EM ANDAMENTO",$N$5:$N$6004,"&gt;=-99")=0,"",_xlfn.MAXIFS($N$5:$N$6004,$C$5:$C$6004,R99,$O$5:$O$6004,"EM ANDAMENTO")))</f>
        <v/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 customFormat="false" ht="15" hidden="false" customHeight="false" outlineLevel="0" collapsed="false">
      <c r="B100" s="4" t="n">
        <v>13584680</v>
      </c>
      <c r="C100" s="4" t="s">
        <v>73</v>
      </c>
      <c r="D100" s="4" t="s">
        <v>2556</v>
      </c>
      <c r="E100" s="4" t="s">
        <v>81</v>
      </c>
      <c r="F100" s="127" t="n">
        <v>46057</v>
      </c>
      <c r="G100" s="127" t="n">
        <v>46057</v>
      </c>
      <c r="H100" s="127" t="n">
        <v>46289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15</v>
      </c>
      <c r="N100" s="2" t="str">
        <f aca="false">IF(E100="","",IF(ISNUMBER(SEARCH("SUBSOLO",E100)),IFERROR(-VALUE(LEFT(E100,FIND("º",SUBSTITUTE(E100,"°","º"))-1)),-1),IF(LEFT(E100,6)="TÉRREO",0,IFERROR(VALUE(LEFT(E100,FIND("º",SUBSTITUTE(E100,"°","º"))-1)),""))))</f>
        <v/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2557</v>
      </c>
      <c r="S100" s="4" t="s">
        <v>212</v>
      </c>
      <c r="T100" s="4" t="s">
        <v>2558</v>
      </c>
      <c r="U100" s="4" t="s">
        <v>2299</v>
      </c>
      <c r="V100" s="2" t="n">
        <f aca="false">IF(R100="","",COUNTIF($C$5:$C$6004,R100))</f>
        <v>1</v>
      </c>
      <c r="W100" s="2" t="n">
        <f aca="false">IF(R100="","",COUNTIFS($C$5:$C$6004,R100,$O$5:$O$6004,"CONCLUÍDA"))</f>
        <v>0</v>
      </c>
      <c r="X100" s="2" t="n">
        <f aca="false">IF(R100="","",COUNTIFS($C$5:$C$6004,R100,$O$5:$O$6004,"EM ANDAMENTO"))</f>
        <v>0</v>
      </c>
      <c r="Y100" s="2" t="str">
        <f aca="false">IF(R100="","",IF(COUNTIFS($C$5:$C$6004,R100,$O$5:$O$6004,"CONCLUÍDA",$N$5:$N$6004,"&gt;=-99")=0,"",_xlfn.MAXIFS($N$5:$N$6004,$C$5:$C$6004,R100,$O$5:$O$6004,"CONCLUÍDA")))</f>
        <v/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 customFormat="false" ht="15" hidden="false" customHeight="false" outlineLevel="0" collapsed="false">
      <c r="B101" s="4" t="n">
        <v>13584682</v>
      </c>
      <c r="C101" s="4" t="s">
        <v>73</v>
      </c>
      <c r="D101" s="4" t="s">
        <v>2559</v>
      </c>
      <c r="E101" s="4" t="s">
        <v>81</v>
      </c>
      <c r="F101" s="127" t="n">
        <v>46058</v>
      </c>
      <c r="G101" s="127" t="n">
        <v>46058</v>
      </c>
      <c r="H101" s="127" t="n">
        <v>46289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15</v>
      </c>
      <c r="N101" s="2" t="str">
        <f aca="false">IF(E101="","",IF(ISNUMBER(SEARCH("SUBSOLO",E101)),IFERROR(-VALUE(LEFT(E101,FIND("º",SUBSTITUTE(E101,"°","º"))-1)),-1),IF(LEFT(E101,6)="TÉRREO",0,IFERROR(VALUE(LEFT(E101,FIND("º",SUBSTITUTE(E101,"°","º"))-1)),""))))</f>
        <v/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2560</v>
      </c>
      <c r="S101" s="4" t="s">
        <v>173</v>
      </c>
      <c r="T101" s="4" t="s">
        <v>2561</v>
      </c>
      <c r="U101" s="4" t="s">
        <v>2305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0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 customFormat="false" ht="15" hidden="false" customHeight="false" outlineLevel="0" collapsed="false">
      <c r="B102" s="4" t="n">
        <v>14668329</v>
      </c>
      <c r="C102" s="4" t="s">
        <v>73</v>
      </c>
      <c r="D102" s="4" t="s">
        <v>2562</v>
      </c>
      <c r="E102" s="4" t="s">
        <v>81</v>
      </c>
      <c r="F102" s="127" t="n">
        <v>46059</v>
      </c>
      <c r="G102" s="127" t="n">
        <v>46059</v>
      </c>
      <c r="H102" s="127" t="n">
        <v>46289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15</v>
      </c>
      <c r="N102" s="2" t="str">
        <f aca="false">IF(E102="","",IF(ISNUMBER(SEARCH("SUBSOLO",E102)),IFERROR(-VALUE(LEFT(E102,FIND("º",SUBSTITUTE(E102,"°","º"))-1)),-1),IF(LEFT(E102,6)="TÉRREO",0,IFERROR(VALUE(LEFT(E102,FIND("º",SUBSTITUTE(E102,"°","º"))-1)),""))))</f>
        <v/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2563</v>
      </c>
      <c r="S102" s="4" t="s">
        <v>173</v>
      </c>
      <c r="T102" s="4" t="s">
        <v>2564</v>
      </c>
      <c r="U102" s="4" t="s">
        <v>2299</v>
      </c>
      <c r="V102" s="2" t="n">
        <f aca="false">IF(R102="","",COUNTIF($C$5:$C$6004,R102))</f>
        <v>46</v>
      </c>
      <c r="W102" s="2" t="n">
        <f aca="false">IF(R102="","",COUNTIFS($C$5:$C$6004,R102,$O$5:$O$6004,"CONCLUÍDA"))</f>
        <v>0</v>
      </c>
      <c r="X102" s="2" t="n">
        <f aca="false">IF(R102="","",COUNTIFS($C$5:$C$6004,R102,$O$5:$O$6004,"EM ANDAMENTO"))</f>
        <v>0</v>
      </c>
      <c r="Y102" s="2" t="str">
        <f aca="false">IF(R102="","",IF(COUNTIFS($C$5:$C$6004,R102,$O$5:$O$6004,"CONCLUÍDA",$N$5:$N$6004,"&gt;=-99")=0,"",_xlfn.MAXIFS($N$5:$N$6004,$C$5:$C$6004,R102,$O$5:$O$6004,"CONCLUÍDA")))</f>
        <v/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 customFormat="false" ht="15" hidden="false" customHeight="false" outlineLevel="0" collapsed="false">
      <c r="B103" s="4" t="n">
        <v>14668330</v>
      </c>
      <c r="C103" s="4" t="s">
        <v>73</v>
      </c>
      <c r="D103" s="4" t="s">
        <v>2565</v>
      </c>
      <c r="E103" s="4" t="s">
        <v>81</v>
      </c>
      <c r="F103" s="127" t="n">
        <v>46062</v>
      </c>
      <c r="G103" s="127" t="n">
        <v>46062</v>
      </c>
      <c r="H103" s="127" t="n">
        <v>46289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15</v>
      </c>
      <c r="N103" s="2" t="str">
        <f aca="false">IF(E103="","",IF(ISNUMBER(SEARCH("SUBSOLO",E103)),IFERROR(-VALUE(LEFT(E103,FIND("º",SUBSTITUTE(E103,"°","º"))-1)),-1),IF(LEFT(E103,6)="TÉRREO",0,IFERROR(VALUE(LEFT(E103,FIND("º",SUBSTITUTE(E103,"°","º"))-1)),""))))</f>
        <v/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2566</v>
      </c>
      <c r="S103" s="4" t="s">
        <v>173</v>
      </c>
      <c r="T103" s="4" t="s">
        <v>2567</v>
      </c>
      <c r="U103" s="4" t="s">
        <v>2305</v>
      </c>
      <c r="V103" s="2" t="n">
        <f aca="false">IF(R103="","",COUNTIF($C$5:$C$6004,R103))</f>
        <v>5</v>
      </c>
      <c r="W103" s="2" t="n">
        <f aca="false">IF(R103="","",COUNTIFS($C$5:$C$6004,R103,$O$5:$O$6004,"CONCLUÍDA"))</f>
        <v>0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 customFormat="false" ht="15" hidden="false" customHeight="false" outlineLevel="0" collapsed="false">
      <c r="B104" s="4" t="n">
        <v>14668331</v>
      </c>
      <c r="C104" s="4" t="s">
        <v>73</v>
      </c>
      <c r="D104" s="4" t="s">
        <v>2568</v>
      </c>
      <c r="E104" s="4" t="s">
        <v>81</v>
      </c>
      <c r="F104" s="127" t="n">
        <v>46063</v>
      </c>
      <c r="G104" s="127" t="n">
        <v>46063</v>
      </c>
      <c r="H104" s="127" t="n">
        <v>46289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15</v>
      </c>
      <c r="N104" s="2" t="str">
        <f aca="false">IF(E104="","",IF(ISNUMBER(SEARCH("SUBSOLO",E104)),IFERROR(-VALUE(LEFT(E104,FIND("º",SUBSTITUTE(E104,"°","º"))-1)),-1),IF(LEFT(E104,6)="TÉRREO",0,IFERROR(VALUE(LEFT(E104,FIND("º",SUBSTITUTE(E104,"°","º"))-1)),""))))</f>
        <v/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2569</v>
      </c>
      <c r="S104" s="4" t="s">
        <v>205</v>
      </c>
      <c r="T104" s="4" t="s">
        <v>2570</v>
      </c>
      <c r="U104" s="4" t="s">
        <v>2299</v>
      </c>
      <c r="V104" s="2" t="n">
        <f aca="false">IF(R104="","",COUNTIF($C$5:$C$6004,R104))</f>
        <v>26</v>
      </c>
      <c r="W104" s="2" t="n">
        <f aca="false">IF(R104="","",COUNTIFS($C$5:$C$6004,R104,$O$5:$O$6004,"CONCLUÍDA"))</f>
        <v>0</v>
      </c>
      <c r="X104" s="2" t="n">
        <f aca="false">IF(R104="","",COUNTIFS($C$5:$C$6004,R104,$O$5:$O$6004,"EM ANDAMENTO"))</f>
        <v>0</v>
      </c>
      <c r="Y104" s="2" t="str">
        <f aca="false">IF(R104="","",IF(COUNTIFS($C$5:$C$6004,R104,$O$5:$O$6004,"CONCLUÍDA",$N$5:$N$6004,"&gt;=-99")=0,"",_xlfn.MAXIFS($N$5:$N$6004,$C$5:$C$6004,R104,$O$5:$O$6004,"CONCLUÍDA")))</f>
        <v/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14668332</v>
      </c>
      <c r="C105" s="4" t="s">
        <v>73</v>
      </c>
      <c r="D105" s="4" t="s">
        <v>2571</v>
      </c>
      <c r="E105" s="4" t="s">
        <v>81</v>
      </c>
      <c r="F105" s="127" t="n">
        <v>46064</v>
      </c>
      <c r="G105" s="127" t="n">
        <v>46064</v>
      </c>
      <c r="H105" s="127" t="n">
        <v>46289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15</v>
      </c>
      <c r="N105" s="2" t="str">
        <f aca="false">IF(E105="","",IF(ISNUMBER(SEARCH("SUBSOLO",E105)),IFERROR(-VALUE(LEFT(E105,FIND("º",SUBSTITUTE(E105,"°","º"))-1)),-1),IF(LEFT(E105,6)="TÉRREO",0,IFERROR(VALUE(LEFT(E105,FIND("º",SUBSTITUTE(E105,"°","º"))-1)),""))))</f>
        <v/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2572</v>
      </c>
      <c r="S105" s="4" t="s">
        <v>179</v>
      </c>
      <c r="T105" s="4" t="s">
        <v>2573</v>
      </c>
      <c r="U105" s="4" t="s">
        <v>2305</v>
      </c>
      <c r="V105" s="2" t="n">
        <f aca="false">IF(R105="","",COUNTIF($C$5:$C$6004,R105))</f>
        <v>1</v>
      </c>
      <c r="W105" s="2" t="n">
        <f aca="false">IF(R105="","",COUNTIFS($C$5:$C$6004,R105,$O$5:$O$6004,"CONCLUÍDA"))</f>
        <v>0</v>
      </c>
      <c r="X105" s="2" t="n">
        <f aca="false">IF(R105="","",COUNTIFS($C$5:$C$6004,R105,$O$5:$O$6004,"EM ANDAMENTO"))</f>
        <v>0</v>
      </c>
      <c r="Y105" s="2" t="str">
        <f aca="false">IF(R105="","",IF(COUNTIFS($C$5:$C$6004,R105,$O$5:$O$6004,"CONCLUÍDA",$N$5:$N$6004,"&gt;=-99")=0,"",_xlfn.MAXIFS($N$5:$N$6004,$C$5:$C$6004,R105,$O$5:$O$6004,"CONCLUÍDA")))</f>
        <v/>
      </c>
      <c r="Z105" s="2" t="str">
        <f aca="false">IF(R105="","",IF(COUNTIFS($C$5:$C$6004,R105,$O$5:$O$6004,"EM ANDAMENTO",$N$5:$N$6004,"&gt;=-99")=0,"",_xlfn.MAXIFS($N$5:$N$6004,$C$5:$C$6004,R105,$O$5:$O$6004,"EM ANDAMENTO")))</f>
        <v/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 customFormat="false" ht="15" hidden="false" customHeight="false" outlineLevel="0" collapsed="false">
      <c r="B106" s="4" t="n">
        <v>14668333</v>
      </c>
      <c r="C106" s="4" t="s">
        <v>73</v>
      </c>
      <c r="D106" s="4" t="s">
        <v>2574</v>
      </c>
      <c r="E106" s="4" t="s">
        <v>81</v>
      </c>
      <c r="F106" s="127" t="n">
        <v>46065</v>
      </c>
      <c r="G106" s="127" t="n">
        <v>46065</v>
      </c>
      <c r="H106" s="127" t="n">
        <v>46289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15</v>
      </c>
      <c r="N106" s="2" t="str">
        <f aca="false">IF(E106="","",IF(ISNUMBER(SEARCH("SUBSOLO",E106)),IFERROR(-VALUE(LEFT(E106,FIND("º",SUBSTITUTE(E106,"°","º"))-1)),-1),IF(LEFT(E106,6)="TÉRREO",0,IFERROR(VALUE(LEFT(E106,FIND("º",SUBSTITUTE(E106,"°","º"))-1)),""))))</f>
        <v/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2575</v>
      </c>
      <c r="S106" s="4" t="s">
        <v>182</v>
      </c>
      <c r="T106" s="4" t="s">
        <v>2576</v>
      </c>
      <c r="U106" s="4" t="s">
        <v>2305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0</v>
      </c>
      <c r="X106" s="2" t="n">
        <f aca="false">IF(R106="","",COUNTIFS($C$5:$C$6004,R106,$O$5:$O$6004,"EM ANDAMENTO"))</f>
        <v>0</v>
      </c>
      <c r="Y106" s="2" t="str">
        <f aca="false">IF(R106="","",IF(COUNTIFS($C$5:$C$6004,R106,$O$5:$O$6004,"CONCLUÍDA",$N$5:$N$6004,"&gt;=-99")=0,"",_xlfn.MAXIFS($N$5:$N$6004,$C$5:$C$6004,R106,$O$5:$O$6004,"CONCLUÍDA")))</f>
        <v/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14668334</v>
      </c>
      <c r="C107" s="4" t="s">
        <v>73</v>
      </c>
      <c r="D107" s="4" t="s">
        <v>2577</v>
      </c>
      <c r="E107" s="4" t="s">
        <v>81</v>
      </c>
      <c r="F107" s="127" t="n">
        <v>46066</v>
      </c>
      <c r="G107" s="127" t="n">
        <v>46066</v>
      </c>
      <c r="H107" s="127" t="n">
        <v>46289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15</v>
      </c>
      <c r="N107" s="2" t="str">
        <f aca="false">IF(E107="","",IF(ISNUMBER(SEARCH("SUBSOLO",E107)),IFERROR(-VALUE(LEFT(E107,FIND("º",SUBSTITUTE(E107,"°","º"))-1)),-1),IF(LEFT(E107,6)="TÉRREO",0,IFERROR(VALUE(LEFT(E107,FIND("º",SUBSTITUTE(E107,"°","º"))-1)),""))))</f>
        <v/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2578</v>
      </c>
      <c r="S107" s="4" t="s">
        <v>189</v>
      </c>
      <c r="T107" s="4" t="s">
        <v>2579</v>
      </c>
      <c r="U107" s="4" t="s">
        <v>2299</v>
      </c>
      <c r="V107" s="2" t="n">
        <f aca="false">IF(R107="","",COUNTIF($C$5:$C$6004,R107))</f>
        <v>39</v>
      </c>
      <c r="W107" s="2" t="n">
        <f aca="false">IF(R107="","",COUNTIFS($C$5:$C$6004,R107,$O$5:$O$6004,"CONCLUÍDA"))</f>
        <v>0</v>
      </c>
      <c r="X107" s="2" t="n">
        <f aca="false">IF(R107="","",COUNTIFS($C$5:$C$6004,R107,$O$5:$O$6004,"EM ANDAMENTO"))</f>
        <v>0</v>
      </c>
      <c r="Y107" s="2" t="str">
        <f aca="false">IF(R107="","",IF(COUNTIFS($C$5:$C$6004,R107,$O$5:$O$6004,"CONCLUÍDA",$N$5:$N$6004,"&gt;=-99")=0,"",_xlfn.MAXIFS($N$5:$N$6004,$C$5:$C$6004,R107,$O$5:$O$6004,"CONCLUÍDA")))</f>
        <v/>
      </c>
      <c r="Z107" s="2" t="str">
        <f aca="false">IF(R107="","",IF(COUNTIFS($C$5:$C$6004,R107,$O$5:$O$6004,"EM ANDAMENTO",$N$5:$N$6004,"&gt;=-99")=0,"",_xlfn.MAXIFS($N$5:$N$6004,$C$5:$C$6004,R107,$O$5:$O$6004,"EM ANDAMENTO")))</f>
        <v/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 customFormat="false" ht="15" hidden="false" customHeight="false" outlineLevel="0" collapsed="false">
      <c r="B108" s="4" t="n">
        <v>14668335</v>
      </c>
      <c r="C108" s="4" t="s">
        <v>73</v>
      </c>
      <c r="D108" s="4" t="s">
        <v>2580</v>
      </c>
      <c r="E108" s="4" t="s">
        <v>81</v>
      </c>
      <c r="F108" s="127" t="n">
        <v>46071</v>
      </c>
      <c r="G108" s="127" t="n">
        <v>46071</v>
      </c>
      <c r="H108" s="127" t="n">
        <v>46289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15</v>
      </c>
      <c r="N108" s="2" t="str">
        <f aca="false">IF(E108="","",IF(ISNUMBER(SEARCH("SUBSOLO",E108)),IFERROR(-VALUE(LEFT(E108,FIND("º",SUBSTITUTE(E108,"°","º"))-1)),-1),IF(LEFT(E108,6)="TÉRREO",0,IFERROR(VALUE(LEFT(E108,FIND("º",SUBSTITUTE(E108,"°","º"))-1)),""))))</f>
        <v/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2581</v>
      </c>
      <c r="S108" s="4"/>
      <c r="T108" s="4" t="s">
        <v>2582</v>
      </c>
      <c r="U108" s="4" t="s">
        <v>2305</v>
      </c>
      <c r="V108" s="2" t="n">
        <f aca="false">IF(R108="","",COUNTIF($C$5:$C$6004,R108))</f>
        <v>8</v>
      </c>
      <c r="W108" s="2" t="n">
        <f aca="false">IF(R108="","",COUNTIFS($C$5:$C$6004,R108,$O$5:$O$6004,"CONCLUÍDA"))</f>
        <v>0</v>
      </c>
      <c r="X108" s="2" t="n">
        <f aca="false">IF(R108="","",COUNTIFS($C$5:$C$6004,R108,$O$5:$O$6004,"EM ANDAMENTO"))</f>
        <v>0</v>
      </c>
      <c r="Y108" s="2" t="str">
        <f aca="false">IF(R108="","",IF(COUNTIFS($C$5:$C$6004,R108,$O$5:$O$6004,"CONCLUÍDA",$N$5:$N$6004,"&gt;=-99")=0,"",_xlfn.MAXIFS($N$5:$N$6004,$C$5:$C$6004,R108,$O$5:$O$6004,"CONCLUÍDA")))</f>
        <v/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 customFormat="false" ht="15" hidden="false" customHeight="false" outlineLevel="0" collapsed="false">
      <c r="B109" s="4" t="n">
        <v>14668336</v>
      </c>
      <c r="C109" s="4" t="s">
        <v>73</v>
      </c>
      <c r="D109" s="4" t="s">
        <v>2583</v>
      </c>
      <c r="E109" s="4" t="s">
        <v>81</v>
      </c>
      <c r="F109" s="127" t="n">
        <v>46072</v>
      </c>
      <c r="G109" s="127" t="n">
        <v>46072</v>
      </c>
      <c r="H109" s="127" t="n">
        <v>46289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15</v>
      </c>
      <c r="N109" s="2" t="str">
        <f aca="false">IF(E109="","",IF(ISNUMBER(SEARCH("SUBSOLO",E109)),IFERROR(-VALUE(LEFT(E109,FIND("º",SUBSTITUTE(E109,"°","º"))-1)),-1),IF(LEFT(E109,6)="TÉRREO",0,IFERROR(VALUE(LEFT(E109,FIND("º",SUBSTITUTE(E109,"°","º"))-1)),""))))</f>
        <v/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2584</v>
      </c>
      <c r="S109" s="4" t="s">
        <v>173</v>
      </c>
      <c r="T109" s="4" t="s">
        <v>2585</v>
      </c>
      <c r="U109" s="4" t="s">
        <v>2299</v>
      </c>
      <c r="V109" s="2" t="n">
        <f aca="false">IF(R109="","",COUNTIF($C$5:$C$6004,R109))</f>
        <v>12</v>
      </c>
      <c r="W109" s="2" t="n">
        <f aca="false">IF(R109="","",COUNTIFS($C$5:$C$6004,R109,$O$5:$O$6004,"CONCLUÍDA"))</f>
        <v>0</v>
      </c>
      <c r="X109" s="2" t="n">
        <f aca="false">IF(R109="","",COUNTIFS($C$5:$C$6004,R109,$O$5:$O$6004,"EM ANDAMENTO"))</f>
        <v>0</v>
      </c>
      <c r="Y109" s="2" t="str">
        <f aca="false">IF(R109="","",IF(COUNTIFS($C$5:$C$6004,R109,$O$5:$O$6004,"CONCLUÍDA",$N$5:$N$6004,"&gt;=-99")=0,"",_xlfn.MAXIFS($N$5:$N$6004,$C$5:$C$6004,R109,$O$5:$O$6004,"CONCLUÍDA")))</f>
        <v/>
      </c>
      <c r="Z109" s="2" t="str">
        <f aca="false">IF(R109="","",IF(COUNTIFS($C$5:$C$6004,R109,$O$5:$O$6004,"EM ANDAMENTO",$N$5:$N$6004,"&gt;=-99")=0,"",_xlfn.MAXIFS($N$5:$N$6004,$C$5:$C$6004,R109,$O$5:$O$6004,"EM ANDAMENTO")))</f>
        <v/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 customFormat="false" ht="15" hidden="false" customHeight="false" outlineLevel="0" collapsed="false">
      <c r="B110" s="4" t="n">
        <v>14668337</v>
      </c>
      <c r="C110" s="4" t="s">
        <v>73</v>
      </c>
      <c r="D110" s="4" t="s">
        <v>2586</v>
      </c>
      <c r="E110" s="4" t="s">
        <v>81</v>
      </c>
      <c r="F110" s="127" t="n">
        <v>46073</v>
      </c>
      <c r="G110" s="127" t="n">
        <v>46073</v>
      </c>
      <c r="H110" s="127" t="n">
        <v>46289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15</v>
      </c>
      <c r="N110" s="2" t="str">
        <f aca="false">IF(E110="","",IF(ISNUMBER(SEARCH("SUBSOLO",E110)),IFERROR(-VALUE(LEFT(E110,FIND("º",SUBSTITUTE(E110,"°","º"))-1)),-1),IF(LEFT(E110,6)="TÉRREO",0,IFERROR(VALUE(LEFT(E110,FIND("º",SUBSTITUTE(E110,"°","º"))-1)),""))))</f>
        <v/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2587</v>
      </c>
      <c r="S110" s="4" t="s">
        <v>193</v>
      </c>
      <c r="T110" s="4" t="s">
        <v>2588</v>
      </c>
      <c r="U110" s="4" t="s">
        <v>2299</v>
      </c>
      <c r="V110" s="2" t="n">
        <f aca="false">IF(R110="","",COUNTIF($C$5:$C$6004,R110))</f>
        <v>2</v>
      </c>
      <c r="W110" s="2" t="n">
        <f aca="false">IF(R110="","",COUNTIFS($C$5:$C$6004,R110,$O$5:$O$6004,"CONCLUÍDA"))</f>
        <v>0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 customFormat="false" ht="15" hidden="false" customHeight="false" outlineLevel="0" collapsed="false">
      <c r="B111" s="4" t="n">
        <v>14668338</v>
      </c>
      <c r="C111" s="4" t="s">
        <v>73</v>
      </c>
      <c r="D111" s="4" t="s">
        <v>2589</v>
      </c>
      <c r="E111" s="4" t="s">
        <v>81</v>
      </c>
      <c r="F111" s="127" t="n">
        <v>46076</v>
      </c>
      <c r="G111" s="127" t="n">
        <v>46076</v>
      </c>
      <c r="H111" s="127" t="n">
        <v>46289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15</v>
      </c>
      <c r="N111" s="2" t="str">
        <f aca="false">IF(E111="","",IF(ISNUMBER(SEARCH("SUBSOLO",E111)),IFERROR(-VALUE(LEFT(E111,FIND("º",SUBSTITUTE(E111,"°","º"))-1)),-1),IF(LEFT(E111,6)="TÉRREO",0,IFERROR(VALUE(LEFT(E111,FIND("º",SUBSTITUTE(E111,"°","º"))-1)),""))))</f>
        <v/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2590</v>
      </c>
      <c r="S111" s="4" t="s">
        <v>196</v>
      </c>
      <c r="T111" s="4" t="s">
        <v>2591</v>
      </c>
      <c r="U111" s="4" t="s">
        <v>2299</v>
      </c>
      <c r="V111" s="2" t="n">
        <f aca="false">IF(R111="","",COUNTIF($C$5:$C$6004,R111))</f>
        <v>2</v>
      </c>
      <c r="W111" s="2" t="n">
        <f aca="false">IF(R111="","",COUNTIFS($C$5:$C$6004,R111,$O$5:$O$6004,"CONCLUÍDA"))</f>
        <v>0</v>
      </c>
      <c r="X111" s="2" t="n">
        <f aca="false">IF(R111="","",COUNTIFS($C$5:$C$6004,R111,$O$5:$O$6004,"EM ANDAMENTO"))</f>
        <v>0</v>
      </c>
      <c r="Y111" s="2" t="str">
        <f aca="false">IF(R111="","",IF(COUNTIFS($C$5:$C$6004,R111,$O$5:$O$6004,"CONCLUÍDA",$N$5:$N$6004,"&gt;=-99")=0,"",_xlfn.MAXIFS($N$5:$N$6004,$C$5:$C$6004,R111,$O$5:$O$6004,"CONCLUÍDA")))</f>
        <v/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14668339</v>
      </c>
      <c r="C112" s="4" t="s">
        <v>73</v>
      </c>
      <c r="D112" s="4" t="s">
        <v>2592</v>
      </c>
      <c r="E112" s="4" t="s">
        <v>81</v>
      </c>
      <c r="F112" s="127" t="n">
        <v>46077</v>
      </c>
      <c r="G112" s="127" t="n">
        <v>46077</v>
      </c>
      <c r="H112" s="127" t="n">
        <v>46289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15</v>
      </c>
      <c r="N112" s="2" t="str">
        <f aca="false">IF(E112="","",IF(ISNUMBER(SEARCH("SUBSOLO",E112)),IFERROR(-VALUE(LEFT(E112,FIND("º",SUBSTITUTE(E112,"°","º"))-1)),-1),IF(LEFT(E112,6)="TÉRREO",0,IFERROR(VALUE(LEFT(E112,FIND("º",SUBSTITUTE(E112,"°","º"))-1)),""))))</f>
        <v/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2593</v>
      </c>
      <c r="S112" s="4" t="s">
        <v>185</v>
      </c>
      <c r="T112" s="4" t="s">
        <v>2594</v>
      </c>
      <c r="U112" s="4" t="s">
        <v>2299</v>
      </c>
      <c r="V112" s="2" t="n">
        <f aca="false">IF(R112="","",COUNTIF($C$5:$C$6004,R112))</f>
        <v>1</v>
      </c>
      <c r="W112" s="2" t="n">
        <f aca="false">IF(R112="","",COUNTIFS($C$5:$C$6004,R112,$O$5:$O$6004,"CONCLUÍDA"))</f>
        <v>0</v>
      </c>
      <c r="X112" s="2" t="n">
        <f aca="false">IF(R112="","",COUNTIFS($C$5:$C$6004,R112,$O$5:$O$6004,"EM ANDAMENTO"))</f>
        <v>0</v>
      </c>
      <c r="Y112" s="2" t="str">
        <f aca="false">IF(R112="","",IF(COUNTIFS($C$5:$C$6004,R112,$O$5:$O$6004,"CONCLUÍDA",$N$5:$N$6004,"&gt;=-99")=0,"",_xlfn.MAXIFS($N$5:$N$6004,$C$5:$C$6004,R112,$O$5:$O$6004,"CONCLUÍDA")))</f>
        <v/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14668340</v>
      </c>
      <c r="C113" s="4" t="s">
        <v>73</v>
      </c>
      <c r="D113" s="4" t="s">
        <v>2595</v>
      </c>
      <c r="E113" s="4" t="s">
        <v>81</v>
      </c>
      <c r="F113" s="127" t="n">
        <v>46078</v>
      </c>
      <c r="G113" s="127" t="n">
        <v>46078</v>
      </c>
      <c r="H113" s="127" t="n">
        <v>46289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15</v>
      </c>
      <c r="N113" s="2" t="str">
        <f aca="false">IF(E113="","",IF(ISNUMBER(SEARCH("SUBSOLO",E113)),IFERROR(-VALUE(LEFT(E113,FIND("º",SUBSTITUTE(E113,"°","º"))-1)),-1),IF(LEFT(E113,6)="TÉRREO",0,IFERROR(VALUE(LEFT(E113,FIND("º",SUBSTITUTE(E113,"°","º"))-1)),""))))</f>
        <v/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2596</v>
      </c>
      <c r="S113" s="4" t="s">
        <v>212</v>
      </c>
      <c r="T113" s="4" t="s">
        <v>2597</v>
      </c>
      <c r="U113" s="4" t="s">
        <v>2299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0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14668341</v>
      </c>
      <c r="C114" s="4" t="s">
        <v>73</v>
      </c>
      <c r="D114" s="4" t="s">
        <v>2598</v>
      </c>
      <c r="E114" s="4" t="s">
        <v>81</v>
      </c>
      <c r="F114" s="127" t="n">
        <v>46079</v>
      </c>
      <c r="G114" s="127" t="n">
        <v>46079</v>
      </c>
      <c r="H114" s="127" t="n">
        <v>46289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15</v>
      </c>
      <c r="N114" s="2" t="str">
        <f aca="false">IF(E114="","",IF(ISNUMBER(SEARCH("SUBSOLO",E114)),IFERROR(-VALUE(LEFT(E114,FIND("º",SUBSTITUTE(E114,"°","º"))-1)),-1),IF(LEFT(E114,6)="TÉRREO",0,IFERROR(VALUE(LEFT(E114,FIND("º",SUBSTITUTE(E114,"°","º"))-1)),""))))</f>
        <v/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2599</v>
      </c>
      <c r="S114" s="4" t="s">
        <v>205</v>
      </c>
      <c r="T114" s="4" t="s">
        <v>2600</v>
      </c>
      <c r="U114" s="4" t="s">
        <v>2299</v>
      </c>
      <c r="V114" s="2" t="n">
        <f aca="false">IF(R114="","",COUNTIF($C$5:$C$6004,R114))</f>
        <v>26</v>
      </c>
      <c r="W114" s="2" t="n">
        <f aca="false">IF(R114="","",COUNTIFS($C$5:$C$6004,R114,$O$5:$O$6004,"CONCLUÍDA"))</f>
        <v>0</v>
      </c>
      <c r="X114" s="2" t="n">
        <f aca="false">IF(R114="","",COUNTIFS($C$5:$C$6004,R114,$O$5:$O$6004,"EM ANDAMENTO"))</f>
        <v>0</v>
      </c>
      <c r="Y114" s="2" t="str">
        <f aca="false">IF(R114="","",IF(COUNTIFS($C$5:$C$6004,R114,$O$5:$O$6004,"CONCLUÍDA",$N$5:$N$6004,"&gt;=-99")=0,"",_xlfn.MAXIFS($N$5:$N$6004,$C$5:$C$6004,R114,$O$5:$O$6004,"CONCLUÍDA")))</f>
        <v/>
      </c>
      <c r="Z114" s="2" t="str">
        <f aca="false">IF(R114="","",IF(COUNTIFS($C$5:$C$6004,R114,$O$5:$O$6004,"EM ANDAMENTO",$N$5:$N$6004,"&gt;=-99")=0,"",_xlfn.MAXIFS($N$5:$N$6004,$C$5:$C$6004,R114,$O$5:$O$6004,"EM ANDAMENTO")))</f>
        <v/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 customFormat="false" ht="15" hidden="false" customHeight="false" outlineLevel="0" collapsed="false">
      <c r="B115" s="4" t="n">
        <v>14668342</v>
      </c>
      <c r="C115" s="4" t="s">
        <v>73</v>
      </c>
      <c r="D115" s="4" t="s">
        <v>2601</v>
      </c>
      <c r="E115" s="4" t="s">
        <v>81</v>
      </c>
      <c r="F115" s="127" t="n">
        <v>46080</v>
      </c>
      <c r="G115" s="127" t="n">
        <v>46080</v>
      </c>
      <c r="H115" s="127" t="n">
        <v>46289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15</v>
      </c>
      <c r="N115" s="2" t="str">
        <f aca="false">IF(E115="","",IF(ISNUMBER(SEARCH("SUBSOLO",E115)),IFERROR(-VALUE(LEFT(E115,FIND("º",SUBSTITUTE(E115,"°","º"))-1)),-1),IF(LEFT(E115,6)="TÉRREO",0,IFERROR(VALUE(LEFT(E115,FIND("º",SUBSTITUTE(E115,"°","º"))-1)),""))))</f>
        <v/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2602</v>
      </c>
      <c r="S115" s="4" t="s">
        <v>193</v>
      </c>
      <c r="T115" s="4" t="s">
        <v>2603</v>
      </c>
      <c r="U115" s="4" t="s">
        <v>2299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0</v>
      </c>
      <c r="X115" s="2" t="n">
        <f aca="false">IF(R115="","",COUNTIFS($C$5:$C$6004,R115,$O$5:$O$6004,"EM ANDAMENTO"))</f>
        <v>0</v>
      </c>
      <c r="Y115" s="2" t="str">
        <f aca="false">IF(R115="","",IF(COUNTIFS($C$5:$C$6004,R115,$O$5:$O$6004,"CONCLUÍDA",$N$5:$N$6004,"&gt;=-99")=0,"",_xlfn.MAXIFS($N$5:$N$6004,$C$5:$C$6004,R115,$O$5:$O$6004,"CONCLUÍDA")))</f>
        <v/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14668343</v>
      </c>
      <c r="C116" s="4" t="s">
        <v>73</v>
      </c>
      <c r="D116" s="4" t="s">
        <v>2604</v>
      </c>
      <c r="E116" s="4" t="s">
        <v>81</v>
      </c>
      <c r="F116" s="127" t="n">
        <v>46083</v>
      </c>
      <c r="G116" s="127" t="n">
        <v>46083</v>
      </c>
      <c r="H116" s="127" t="n">
        <v>46289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15</v>
      </c>
      <c r="N116" s="2" t="str">
        <f aca="false">IF(E116="","",IF(ISNUMBER(SEARCH("SUBSOLO",E116)),IFERROR(-VALUE(LEFT(E116,FIND("º",SUBSTITUTE(E116,"°","º"))-1)),-1),IF(LEFT(E116,6)="TÉRREO",0,IFERROR(VALUE(LEFT(E116,FIND("º",SUBSTITUTE(E116,"°","º"))-1)),""))))</f>
        <v/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2605</v>
      </c>
      <c r="S116" s="4" t="s">
        <v>219</v>
      </c>
      <c r="T116" s="4" t="s">
        <v>2606</v>
      </c>
      <c r="U116" s="4" t="s">
        <v>2299</v>
      </c>
      <c r="V116" s="2" t="n">
        <f aca="false">IF(R116="","",COUNTIF($C$5:$C$6004,R116))</f>
        <v>39</v>
      </c>
      <c r="W116" s="2" t="n">
        <f aca="false">IF(R116="","",COUNTIFS($C$5:$C$6004,R116,$O$5:$O$6004,"CONCLUÍDA"))</f>
        <v>0</v>
      </c>
      <c r="X116" s="2" t="n">
        <f aca="false">IF(R116="","",COUNTIFS($C$5:$C$6004,R116,$O$5:$O$6004,"EM ANDAMENTO"))</f>
        <v>0</v>
      </c>
      <c r="Y116" s="2" t="str">
        <f aca="false">IF(R116="","",IF(COUNTIFS($C$5:$C$6004,R116,$O$5:$O$6004,"CONCLUÍDA",$N$5:$N$6004,"&gt;=-99")=0,"",_xlfn.MAXIFS($N$5:$N$6004,$C$5:$C$6004,R116,$O$5:$O$6004,"CONCLUÍDA")))</f>
        <v/>
      </c>
      <c r="Z116" s="2" t="str">
        <f aca="false">IF(R116="","",IF(COUNTIFS($C$5:$C$6004,R116,$O$5:$O$6004,"EM ANDAMENTO",$N$5:$N$6004,"&gt;=-99")=0,"",_xlfn.MAXIFS($N$5:$N$6004,$C$5:$C$6004,R116,$O$5:$O$6004,"EM ANDAMENTO")))</f>
        <v/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 customFormat="false" ht="15" hidden="false" customHeight="false" outlineLevel="0" collapsed="false">
      <c r="B117" s="4" t="n">
        <v>33143226</v>
      </c>
      <c r="C117" s="4" t="s">
        <v>2315</v>
      </c>
      <c r="D117" s="4" t="s">
        <v>463</v>
      </c>
      <c r="E117" s="4" t="s">
        <v>81</v>
      </c>
      <c r="F117" s="127" t="n">
        <v>45922</v>
      </c>
      <c r="G117" s="127" t="n">
        <v>45943</v>
      </c>
      <c r="H117" s="127" t="n">
        <v>46289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15</v>
      </c>
      <c r="N117" s="2" t="str">
        <f aca="false">IF(E117="","",IF(ISNUMBER(SEARCH("SUBSOLO",E117)),IFERROR(-VALUE(LEFT(E117,FIND("º",SUBSTITUTE(E117,"°","º"))-1)),-1),IF(LEFT(E117,6)="TÉRREO",0,IFERROR(VALUE(LEFT(E117,FIND("º",SUBSTITUTE(E117,"°","º"))-1)),""))))</f>
        <v/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2607</v>
      </c>
      <c r="S117" s="4" t="s">
        <v>219</v>
      </c>
      <c r="T117" s="4" t="s">
        <v>2608</v>
      </c>
      <c r="U117" s="4" t="s">
        <v>2299</v>
      </c>
      <c r="V117" s="2" t="n">
        <f aca="false">IF(R117="","",COUNTIF($C$5:$C$6004,R117))</f>
        <v>40</v>
      </c>
      <c r="W117" s="2" t="n">
        <f aca="false">IF(R117="","",COUNTIFS($C$5:$C$6004,R117,$O$5:$O$6004,"CONCLUÍDA"))</f>
        <v>0</v>
      </c>
      <c r="X117" s="2" t="n">
        <f aca="false">IF(R117="","",COUNTIFS($C$5:$C$6004,R117,$O$5:$O$6004,"EM ANDAMENTO"))</f>
        <v>0</v>
      </c>
      <c r="Y117" s="2" t="str">
        <f aca="false">IF(R117="","",IF(COUNTIFS($C$5:$C$6004,R117,$O$5:$O$6004,"CONCLUÍDA",$N$5:$N$6004,"&gt;=-99")=0,"",_xlfn.MAXIFS($N$5:$N$6004,$C$5:$C$6004,R117,$O$5:$O$6004,"CONCLUÍDA")))</f>
        <v/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 customFormat="false" ht="15" hidden="false" customHeight="false" outlineLevel="0" collapsed="false">
      <c r="B118" s="4" t="n">
        <v>13543293</v>
      </c>
      <c r="C118" s="4" t="s">
        <v>2315</v>
      </c>
      <c r="D118" s="4" t="s">
        <v>2306</v>
      </c>
      <c r="E118" s="4" t="s">
        <v>81</v>
      </c>
      <c r="F118" s="127" t="n">
        <v>45922</v>
      </c>
      <c r="G118" s="127" t="n">
        <v>45938</v>
      </c>
      <c r="H118" s="127" t="n">
        <v>46289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15</v>
      </c>
      <c r="N118" s="2" t="str">
        <f aca="false">IF(E118="","",IF(ISNUMBER(SEARCH("SUBSOLO",E118)),IFERROR(-VALUE(LEFT(E118,FIND("º",SUBSTITUTE(E118,"°","º"))-1)),-1),IF(LEFT(E118,6)="TÉRREO",0,IFERROR(VALUE(LEFT(E118,FIND("º",SUBSTITUTE(E118,"°","º"))-1)),""))))</f>
        <v/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2609</v>
      </c>
      <c r="S118" s="4" t="s">
        <v>182</v>
      </c>
      <c r="T118" s="4" t="s">
        <v>2610</v>
      </c>
      <c r="U118" s="4" t="s">
        <v>2299</v>
      </c>
      <c r="V118" s="2" t="n">
        <f aca="false">IF(R118="","",COUNTIF($C$5:$C$6004,R118))</f>
        <v>31</v>
      </c>
      <c r="W118" s="2" t="n">
        <f aca="false">IF(R118="","",COUNTIFS($C$5:$C$6004,R118,$O$5:$O$6004,"CONCLUÍDA"))</f>
        <v>0</v>
      </c>
      <c r="X118" s="2" t="n">
        <f aca="false">IF(R118="","",COUNTIFS($C$5:$C$6004,R118,$O$5:$O$6004,"EM ANDAMENTO"))</f>
        <v>0</v>
      </c>
      <c r="Y118" s="2" t="str">
        <f aca="false">IF(R118="","",IF(COUNTIFS($C$5:$C$6004,R118,$O$5:$O$6004,"CONCLUÍDA",$N$5:$N$6004,"&gt;=-99")=0,"",_xlfn.MAXIFS($N$5:$N$6004,$C$5:$C$6004,R118,$O$5:$O$6004,"CONCLUÍDA")))</f>
        <v/>
      </c>
      <c r="Z118" s="2" t="str">
        <f aca="false">IF(R118="","",IF(COUNTIFS($C$5:$C$6004,R118,$O$5:$O$6004,"EM ANDAMENTO",$N$5:$N$6004,"&gt;=-99")=0,"",_xlfn.MAXIFS($N$5:$N$6004,$C$5:$C$6004,R118,$O$5:$O$6004,"EM ANDAMENTO")))</f>
        <v/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 customFormat="false" ht="15" hidden="false" customHeight="false" outlineLevel="0" collapsed="false">
      <c r="B119" s="4" t="n">
        <v>13543294</v>
      </c>
      <c r="C119" s="4" t="s">
        <v>2315</v>
      </c>
      <c r="D119" s="4" t="s">
        <v>2309</v>
      </c>
      <c r="E119" s="4" t="s">
        <v>81</v>
      </c>
      <c r="F119" s="127" t="n">
        <v>45926</v>
      </c>
      <c r="G119" s="127" t="n">
        <v>45936</v>
      </c>
      <c r="H119" s="127" t="n">
        <v>46289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15</v>
      </c>
      <c r="N119" s="2" t="str">
        <f aca="false">IF(E119="","",IF(ISNUMBER(SEARCH("SUBSOLO",E119)),IFERROR(-VALUE(LEFT(E119,FIND("º",SUBSTITUTE(E119,"°","º"))-1)),-1),IF(LEFT(E119,6)="TÉRREO",0,IFERROR(VALUE(LEFT(E119,FIND("º",SUBSTITUTE(E119,"°","º"))-1)),""))))</f>
        <v/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2611</v>
      </c>
      <c r="S119" s="4" t="s">
        <v>212</v>
      </c>
      <c r="T119" s="4" t="s">
        <v>2612</v>
      </c>
      <c r="U119" s="4" t="s">
        <v>2299</v>
      </c>
      <c r="V119" s="2" t="n">
        <f aca="false">IF(R119="","",COUNTIF($C$5:$C$6004,R119))</f>
        <v>3</v>
      </c>
      <c r="W119" s="2" t="n">
        <f aca="false">IF(R119="","",COUNTIFS($C$5:$C$6004,R119,$O$5:$O$6004,"CONCLUÍDA"))</f>
        <v>0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 customFormat="false" ht="15" hidden="false" customHeight="false" outlineLevel="0" collapsed="false">
      <c r="B120" s="4" t="n">
        <v>13543297</v>
      </c>
      <c r="C120" s="4" t="s">
        <v>2315</v>
      </c>
      <c r="D120" s="4" t="s">
        <v>2312</v>
      </c>
      <c r="E120" s="4" t="s">
        <v>81</v>
      </c>
      <c r="F120" s="127" t="n">
        <v>45937</v>
      </c>
      <c r="G120" s="127" t="n">
        <v>45939</v>
      </c>
      <c r="H120" s="127" t="n">
        <v>46289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15</v>
      </c>
      <c r="N120" s="2" t="str">
        <f aca="false">IF(E120="","",IF(ISNUMBER(SEARCH("SUBSOLO",E120)),IFERROR(-VALUE(LEFT(E120,FIND("º",SUBSTITUTE(E120,"°","º"))-1)),-1),IF(LEFT(E120,6)="TÉRREO",0,IFERROR(VALUE(LEFT(E120,FIND("º",SUBSTITUTE(E120,"°","º"))-1)),""))))</f>
        <v/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2613</v>
      </c>
      <c r="S120" s="4" t="s">
        <v>212</v>
      </c>
      <c r="T120" s="4" t="s">
        <v>2614</v>
      </c>
      <c r="U120" s="4" t="s">
        <v>2299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0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13543298</v>
      </c>
      <c r="C121" s="4" t="s">
        <v>2315</v>
      </c>
      <c r="D121" s="4" t="s">
        <v>2314</v>
      </c>
      <c r="E121" s="4" t="s">
        <v>81</v>
      </c>
      <c r="F121" s="127" t="n">
        <v>45940</v>
      </c>
      <c r="G121" s="127" t="n">
        <v>45940</v>
      </c>
      <c r="H121" s="127" t="n">
        <v>46289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15</v>
      </c>
      <c r="N121" s="2" t="str">
        <f aca="false">IF(E121="","",IF(ISNUMBER(SEARCH("SUBSOLO",E121)),IFERROR(-VALUE(LEFT(E121,FIND("º",SUBSTITUTE(E121,"°","º"))-1)),-1),IF(LEFT(E121,6)="TÉRREO",0,IFERROR(VALUE(LEFT(E121,FIND("º",SUBSTITUTE(E121,"°","º"))-1)),""))))</f>
        <v/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2615</v>
      </c>
      <c r="S121" s="4" t="s">
        <v>230</v>
      </c>
      <c r="T121" s="4" t="s">
        <v>2616</v>
      </c>
      <c r="U121" s="4" t="s">
        <v>2299</v>
      </c>
      <c r="V121" s="2" t="n">
        <f aca="false">IF(R121="","",COUNTIF($C$5:$C$6004,R121))</f>
        <v>41</v>
      </c>
      <c r="W121" s="2" t="n">
        <f aca="false">IF(R121="","",COUNTIFS($C$5:$C$6004,R121,$O$5:$O$6004,"CONCLUÍDA"))</f>
        <v>0</v>
      </c>
      <c r="X121" s="2" t="n">
        <f aca="false">IF(R121="","",COUNTIFS($C$5:$C$6004,R121,$O$5:$O$6004,"EM ANDAMENTO"))</f>
        <v>0</v>
      </c>
      <c r="Y121" s="2" t="str">
        <f aca="false">IF(R121="","",IF(COUNTIFS($C$5:$C$6004,R121,$O$5:$O$6004,"CONCLUÍDA",$N$5:$N$6004,"&gt;=-99")=0,"",_xlfn.MAXIFS($N$5:$N$6004,$C$5:$C$6004,R121,$O$5:$O$6004,"CONCLUÍDA")))</f>
        <v/>
      </c>
      <c r="Z121" s="2" t="str">
        <f aca="false">IF(R121="","",IF(COUNTIFS($C$5:$C$6004,R121,$O$5:$O$6004,"EM ANDAMENTO",$N$5:$N$6004,"&gt;=-99")=0,"",_xlfn.MAXIFS($N$5:$N$6004,$C$5:$C$6004,R121,$O$5:$O$6004,"EM ANDAMENTO")))</f>
        <v/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 customFormat="false" ht="15" hidden="false" customHeight="false" outlineLevel="0" collapsed="false">
      <c r="B122" s="4" t="n">
        <v>13543299</v>
      </c>
      <c r="C122" s="4" t="s">
        <v>2315</v>
      </c>
      <c r="D122" s="4" t="s">
        <v>2317</v>
      </c>
      <c r="E122" s="4" t="s">
        <v>81</v>
      </c>
      <c r="F122" s="127" t="n">
        <v>45943</v>
      </c>
      <c r="G122" s="127" t="n">
        <v>45943</v>
      </c>
      <c r="H122" s="127" t="n">
        <v>46289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15</v>
      </c>
      <c r="N122" s="2" t="str">
        <f aca="false">IF(E122="","",IF(ISNUMBER(SEARCH("SUBSOLO",E122)),IFERROR(-VALUE(LEFT(E122,FIND("º",SUBSTITUTE(E122,"°","º"))-1)),-1),IF(LEFT(E122,6)="TÉRREO",0,IFERROR(VALUE(LEFT(E122,FIND("º",SUBSTITUTE(E122,"°","º"))-1)),""))))</f>
        <v/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2617</v>
      </c>
      <c r="S122" s="4" t="s">
        <v>212</v>
      </c>
      <c r="T122" s="4" t="s">
        <v>2618</v>
      </c>
      <c r="U122" s="4" t="s">
        <v>2299</v>
      </c>
      <c r="V122" s="2" t="n">
        <f aca="false">IF(R122="","",COUNTIF($C$5:$C$6004,R122))</f>
        <v>1</v>
      </c>
      <c r="W122" s="2" t="n">
        <f aca="false">IF(R122="","",COUNTIFS($C$5:$C$6004,R122,$O$5:$O$6004,"CONCLUÍDA"))</f>
        <v>0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 customFormat="false" ht="15" hidden="false" customHeight="false" outlineLevel="0" collapsed="false">
      <c r="B123" s="4" t="n">
        <v>33143599</v>
      </c>
      <c r="C123" s="4" t="s">
        <v>2318</v>
      </c>
      <c r="D123" s="4" t="s">
        <v>463</v>
      </c>
      <c r="E123" s="4" t="s">
        <v>81</v>
      </c>
      <c r="F123" s="127" t="n">
        <v>45936</v>
      </c>
      <c r="G123" s="127" t="n">
        <v>45947</v>
      </c>
      <c r="H123" s="127" t="n">
        <v>46289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15</v>
      </c>
      <c r="N123" s="2" t="str">
        <f aca="false">IF(E123="","",IF(ISNUMBER(SEARCH("SUBSOLO",E123)),IFERROR(-VALUE(LEFT(E123,FIND("º",SUBSTITUTE(E123,"°","º"))-1)),-1),IF(LEFT(E123,6)="TÉRREO",0,IFERROR(VALUE(LEFT(E123,FIND("º",SUBSTITUTE(E123,"°","º"))-1)),""))))</f>
        <v/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2619</v>
      </c>
      <c r="S123" s="4" t="s">
        <v>205</v>
      </c>
      <c r="T123" s="4" t="s">
        <v>2620</v>
      </c>
      <c r="U123" s="4" t="s">
        <v>2305</v>
      </c>
      <c r="V123" s="2" t="n">
        <f aca="false">IF(R123="","",COUNTIF($C$5:$C$6004,R123))</f>
        <v>5</v>
      </c>
      <c r="W123" s="2" t="n">
        <f aca="false">IF(R123="","",COUNTIFS($C$5:$C$6004,R123,$O$5:$O$6004,"CONCLUÍDA"))</f>
        <v>0</v>
      </c>
      <c r="X123" s="2" t="n">
        <f aca="false">IF(R123="","",COUNTIFS($C$5:$C$6004,R123,$O$5:$O$6004,"EM ANDAMENTO"))</f>
        <v>0</v>
      </c>
      <c r="Y123" s="2" t="str">
        <f aca="false">IF(R123="","",IF(COUNTIFS($C$5:$C$6004,R123,$O$5:$O$6004,"CONCLUÍDA",$N$5:$N$6004,"&gt;=-99")=0,"",_xlfn.MAXIFS($N$5:$N$6004,$C$5:$C$6004,R123,$O$5:$O$6004,"CONCLUÍDA")))</f>
        <v/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13543429</v>
      </c>
      <c r="C124" s="4" t="s">
        <v>2318</v>
      </c>
      <c r="D124" s="4" t="s">
        <v>2306</v>
      </c>
      <c r="E124" s="4" t="s">
        <v>81</v>
      </c>
      <c r="F124" s="127" t="n">
        <v>45936</v>
      </c>
      <c r="G124" s="127" t="n">
        <v>45938</v>
      </c>
      <c r="H124" s="127" t="n">
        <v>46289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15</v>
      </c>
      <c r="N124" s="2" t="str">
        <f aca="false">IF(E124="","",IF(ISNUMBER(SEARCH("SUBSOLO",E124)),IFERROR(-VALUE(LEFT(E124,FIND("º",SUBSTITUTE(E124,"°","º"))-1)),-1),IF(LEFT(E124,6)="TÉRREO",0,IFERROR(VALUE(LEFT(E124,FIND("º",SUBSTITUTE(E124,"°","º"))-1)),""))))</f>
        <v/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2621</v>
      </c>
      <c r="S124" s="4" t="s">
        <v>212</v>
      </c>
      <c r="T124" s="4" t="s">
        <v>2622</v>
      </c>
      <c r="U124" s="4" t="s">
        <v>2299</v>
      </c>
      <c r="V124" s="2" t="n">
        <f aca="false">IF(R124="","",COUNTIF($C$5:$C$6004,R124))</f>
        <v>1</v>
      </c>
      <c r="W124" s="2" t="n">
        <f aca="false">IF(R124="","",COUNTIFS($C$5:$C$6004,R124,$O$5:$O$6004,"CONCLUÍDA"))</f>
        <v>0</v>
      </c>
      <c r="X124" s="2" t="n">
        <f aca="false">IF(R124="","",COUNTIFS($C$5:$C$6004,R124,$O$5:$O$6004,"EM ANDAMENTO"))</f>
        <v>0</v>
      </c>
      <c r="Y124" s="2" t="str">
        <f aca="false">IF(R124="","",IF(COUNTIFS($C$5:$C$6004,R124,$O$5:$O$6004,"CONCLUÍDA",$N$5:$N$6004,"&gt;=-99")=0,"",_xlfn.MAXIFS($N$5:$N$6004,$C$5:$C$6004,R124,$O$5:$O$6004,"CONCLUÍDA")))</f>
        <v/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 customFormat="false" ht="15" hidden="false" customHeight="false" outlineLevel="0" collapsed="false">
      <c r="B125" s="4" t="n">
        <v>13543430</v>
      </c>
      <c r="C125" s="4" t="s">
        <v>2318</v>
      </c>
      <c r="D125" s="4" t="s">
        <v>2309</v>
      </c>
      <c r="E125" s="4" t="s">
        <v>81</v>
      </c>
      <c r="F125" s="127" t="n">
        <v>45939</v>
      </c>
      <c r="G125" s="127" t="n">
        <v>45944</v>
      </c>
      <c r="H125" s="127" t="n">
        <v>46289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15</v>
      </c>
      <c r="N125" s="2" t="str">
        <f aca="false">IF(E125="","",IF(ISNUMBER(SEARCH("SUBSOLO",E125)),IFERROR(-VALUE(LEFT(E125,FIND("º",SUBSTITUTE(E125,"°","º"))-1)),-1),IF(LEFT(E125,6)="TÉRREO",0,IFERROR(VALUE(LEFT(E125,FIND("º",SUBSTITUTE(E125,"°","º"))-1)),""))))</f>
        <v/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2623</v>
      </c>
      <c r="S125" s="4" t="s">
        <v>223</v>
      </c>
      <c r="T125" s="4" t="s">
        <v>2624</v>
      </c>
      <c r="U125" s="4" t="s">
        <v>2299</v>
      </c>
      <c r="V125" s="2" t="n">
        <f aca="false">IF(R125="","",COUNTIF($C$5:$C$6004,R125))</f>
        <v>44</v>
      </c>
      <c r="W125" s="2" t="n">
        <f aca="false">IF(R125="","",COUNTIFS($C$5:$C$6004,R125,$O$5:$O$6004,"CONCLUÍDA"))</f>
        <v>0</v>
      </c>
      <c r="X125" s="2" t="n">
        <f aca="false">IF(R125="","",COUNTIFS($C$5:$C$6004,R125,$O$5:$O$6004,"EM ANDAMENTO"))</f>
        <v>0</v>
      </c>
      <c r="Y125" s="2" t="str">
        <f aca="false">IF(R125="","",IF(COUNTIFS($C$5:$C$6004,R125,$O$5:$O$6004,"CONCLUÍDA",$N$5:$N$6004,"&gt;=-99")=0,"",_xlfn.MAXIFS($N$5:$N$6004,$C$5:$C$6004,R125,$O$5:$O$6004,"CONCLUÍDA")))</f>
        <v/>
      </c>
      <c r="Z125" s="2" t="str">
        <f aca="false">IF(R125="","",IF(COUNTIFS($C$5:$C$6004,R125,$O$5:$O$6004,"EM ANDAMENTO",$N$5:$N$6004,"&gt;=-99")=0,"",_xlfn.MAXIFS($N$5:$N$6004,$C$5:$C$6004,R125,$O$5:$O$6004,"EM ANDAMENTO")))</f>
        <v/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 customFormat="false" ht="15" hidden="false" customHeight="false" outlineLevel="0" collapsed="false">
      <c r="B126" s="4" t="n">
        <v>13543451</v>
      </c>
      <c r="C126" s="4" t="s">
        <v>2318</v>
      </c>
      <c r="D126" s="4" t="s">
        <v>2312</v>
      </c>
      <c r="E126" s="4" t="s">
        <v>81</v>
      </c>
      <c r="F126" s="127" t="n">
        <v>45943</v>
      </c>
      <c r="G126" s="127" t="n">
        <v>45945</v>
      </c>
      <c r="H126" s="127" t="n">
        <v>46289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15</v>
      </c>
      <c r="N126" s="2" t="str">
        <f aca="false">IF(E126="","",IF(ISNUMBER(SEARCH("SUBSOLO",E126)),IFERROR(-VALUE(LEFT(E126,FIND("º",SUBSTITUTE(E126,"°","º"))-1)),-1),IF(LEFT(E126,6)="TÉRREO",0,IFERROR(VALUE(LEFT(E126,FIND("º",SUBSTITUTE(E126,"°","º"))-1)),""))))</f>
        <v/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2625</v>
      </c>
      <c r="S126" s="4" t="s">
        <v>212</v>
      </c>
      <c r="T126" s="4" t="s">
        <v>2626</v>
      </c>
      <c r="U126" s="4" t="s">
        <v>2299</v>
      </c>
      <c r="V126" s="2" t="n">
        <f aca="false">IF(R126="","",COUNTIF($C$5:$C$6004,R126))</f>
        <v>26</v>
      </c>
      <c r="W126" s="2" t="n">
        <f aca="false">IF(R126="","",COUNTIFS($C$5:$C$6004,R126,$O$5:$O$6004,"CONCLUÍDA"))</f>
        <v>0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 customFormat="false" ht="15" hidden="false" customHeight="false" outlineLevel="0" collapsed="false">
      <c r="B127" s="4" t="n">
        <v>13543452</v>
      </c>
      <c r="C127" s="4" t="s">
        <v>2318</v>
      </c>
      <c r="D127" s="4" t="s">
        <v>2314</v>
      </c>
      <c r="E127" s="4" t="s">
        <v>81</v>
      </c>
      <c r="F127" s="127" t="n">
        <v>45946</v>
      </c>
      <c r="G127" s="127" t="n">
        <v>45946</v>
      </c>
      <c r="H127" s="127" t="n">
        <v>46289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15</v>
      </c>
      <c r="N127" s="2" t="str">
        <f aca="false">IF(E127="","",IF(ISNUMBER(SEARCH("SUBSOLO",E127)),IFERROR(-VALUE(LEFT(E127,FIND("º",SUBSTITUTE(E127,"°","º"))-1)),-1),IF(LEFT(E127,6)="TÉRREO",0,IFERROR(VALUE(LEFT(E127,FIND("º",SUBSTITUTE(E127,"°","º"))-1)),""))))</f>
        <v/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2627</v>
      </c>
      <c r="S127" s="4" t="s">
        <v>193</v>
      </c>
      <c r="T127" s="4" t="s">
        <v>2628</v>
      </c>
      <c r="U127" s="4" t="s">
        <v>2299</v>
      </c>
      <c r="V127" s="2" t="n">
        <f aca="false">IF(R127="","",COUNTIF($C$5:$C$6004,R127))</f>
        <v>1</v>
      </c>
      <c r="W127" s="2" t="n">
        <f aca="false">IF(R127="","",COUNTIFS($C$5:$C$6004,R127,$O$5:$O$6004,"CONCLUÍDA"))</f>
        <v>0</v>
      </c>
      <c r="X127" s="2" t="n">
        <f aca="false">IF(R127="","",COUNTIFS($C$5:$C$6004,R127,$O$5:$O$6004,"EM ANDAMENTO"))</f>
        <v>0</v>
      </c>
      <c r="Y127" s="2" t="str">
        <f aca="false">IF(R127="","",IF(COUNTIFS($C$5:$C$6004,R127,$O$5:$O$6004,"CONCLUÍDA",$N$5:$N$6004,"&gt;=-99")=0,"",_xlfn.MAXIFS($N$5:$N$6004,$C$5:$C$6004,R127,$O$5:$O$6004,"CONCLUÍDA")))</f>
        <v/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 customFormat="false" ht="15" hidden="false" customHeight="false" outlineLevel="0" collapsed="false">
      <c r="B128" s="4" t="n">
        <v>13543453</v>
      </c>
      <c r="C128" s="4" t="s">
        <v>2318</v>
      </c>
      <c r="D128" s="4" t="s">
        <v>2317</v>
      </c>
      <c r="E128" s="4" t="s">
        <v>81</v>
      </c>
      <c r="F128" s="127" t="n">
        <v>45947</v>
      </c>
      <c r="G128" s="127" t="n">
        <v>45947</v>
      </c>
      <c r="H128" s="127" t="n">
        <v>46289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15</v>
      </c>
      <c r="N128" s="2" t="str">
        <f aca="false">IF(E128="","",IF(ISNUMBER(SEARCH("SUBSOLO",E128)),IFERROR(-VALUE(LEFT(E128,FIND("º",SUBSTITUTE(E128,"°","º"))-1)),-1),IF(LEFT(E128,6)="TÉRREO",0,IFERROR(VALUE(LEFT(E128,FIND("º",SUBSTITUTE(E128,"°","º"))-1)),""))))</f>
        <v/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2629</v>
      </c>
      <c r="S128" s="4" t="s">
        <v>173</v>
      </c>
      <c r="T128" s="4" t="s">
        <v>2630</v>
      </c>
      <c r="U128" s="4" t="s">
        <v>2299</v>
      </c>
      <c r="V128" s="2" t="n">
        <f aca="false">IF(R128="","",COUNTIF($C$5:$C$6004,R128))</f>
        <v>49</v>
      </c>
      <c r="W128" s="2" t="n">
        <f aca="false">IF(R128="","",COUNTIFS($C$5:$C$6004,R128,$O$5:$O$6004,"CONCLUÍDA"))</f>
        <v>0</v>
      </c>
      <c r="X128" s="2" t="n">
        <f aca="false">IF(R128="","",COUNTIFS($C$5:$C$6004,R128,$O$5:$O$6004,"EM ANDAMENTO"))</f>
        <v>0</v>
      </c>
      <c r="Y128" s="2" t="str">
        <f aca="false">IF(R128="","",IF(COUNTIFS($C$5:$C$6004,R128,$O$5:$O$6004,"CONCLUÍDA",$N$5:$N$6004,"&gt;=-99")=0,"",_xlfn.MAXIFS($N$5:$N$6004,$C$5:$C$6004,R128,$O$5:$O$6004,"CONCLUÍDA")))</f>
        <v/>
      </c>
      <c r="Z128" s="2" t="str">
        <f aca="false">IF(R128="","",IF(COUNTIFS($C$5:$C$6004,R128,$O$5:$O$6004,"EM ANDAMENTO",$N$5:$N$6004,"&gt;=-99")=0,"",_xlfn.MAXIFS($N$5:$N$6004,$C$5:$C$6004,R128,$O$5:$O$6004,"EM ANDAMENTO")))</f>
        <v/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 customFormat="false" ht="15" hidden="false" customHeight="false" outlineLevel="0" collapsed="false">
      <c r="B129" s="4" t="n">
        <v>33143640</v>
      </c>
      <c r="C129" s="4" t="s">
        <v>2320</v>
      </c>
      <c r="D129" s="4" t="s">
        <v>463</v>
      </c>
      <c r="E129" s="4" t="s">
        <v>81</v>
      </c>
      <c r="F129" s="127" t="n">
        <v>45943</v>
      </c>
      <c r="G129" s="127" t="n">
        <v>45957</v>
      </c>
      <c r="H129" s="127" t="n">
        <v>46289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15</v>
      </c>
      <c r="N129" s="2" t="str">
        <f aca="false">IF(E129="","",IF(ISNUMBER(SEARCH("SUBSOLO",E129)),IFERROR(-VALUE(LEFT(E129,FIND("º",SUBSTITUTE(E129,"°","º"))-1)),-1),IF(LEFT(E129,6)="TÉRREO",0,IFERROR(VALUE(LEFT(E129,FIND("º",SUBSTITUTE(E129,"°","º"))-1)),""))))</f>
        <v/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2631</v>
      </c>
      <c r="S129" s="4" t="s">
        <v>223</v>
      </c>
      <c r="T129" s="4" t="s">
        <v>2632</v>
      </c>
      <c r="U129" s="4" t="s">
        <v>2305</v>
      </c>
      <c r="V129" s="2" t="n">
        <f aca="false">IF(R129="","",COUNTIF($C$5:$C$6004,R129))</f>
        <v>5</v>
      </c>
      <c r="W129" s="2" t="n">
        <f aca="false">IF(R129="","",COUNTIFS($C$5:$C$6004,R129,$O$5:$O$6004,"CONCLUÍDA"))</f>
        <v>0</v>
      </c>
      <c r="X129" s="2" t="n">
        <f aca="false">IF(R129="","",COUNTIFS($C$5:$C$6004,R129,$O$5:$O$6004,"EM ANDAMENTO"))</f>
        <v>0</v>
      </c>
      <c r="Y129" s="2" t="str">
        <f aca="false">IF(R129="","",IF(COUNTIFS($C$5:$C$6004,R129,$O$5:$O$6004,"CONCLUÍDA",$N$5:$N$6004,"&gt;=-99")=0,"",_xlfn.MAXIFS($N$5:$N$6004,$C$5:$C$6004,R129,$O$5:$O$6004,"CONCLUÍDA")))</f>
        <v/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13543499</v>
      </c>
      <c r="C130" s="4" t="s">
        <v>2320</v>
      </c>
      <c r="D130" s="4" t="s">
        <v>2306</v>
      </c>
      <c r="E130" s="4" t="s">
        <v>81</v>
      </c>
      <c r="F130" s="127" t="n">
        <v>45943</v>
      </c>
      <c r="G130" s="127" t="n">
        <v>45946</v>
      </c>
      <c r="H130" s="127" t="n">
        <v>46289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15</v>
      </c>
      <c r="N130" s="2" t="str">
        <f aca="false">IF(E130="","",IF(ISNUMBER(SEARCH("SUBSOLO",E130)),IFERROR(-VALUE(LEFT(E130,FIND("º",SUBSTITUTE(E130,"°","º"))-1)),-1),IF(LEFT(E130,6)="TÉRREO",0,IFERROR(VALUE(LEFT(E130,FIND("º",SUBSTITUTE(E130,"°","º"))-1)),""))))</f>
        <v/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2633</v>
      </c>
      <c r="S130" s="4" t="s">
        <v>223</v>
      </c>
      <c r="T130" s="4" t="s">
        <v>2634</v>
      </c>
      <c r="U130" s="4" t="s">
        <v>2305</v>
      </c>
      <c r="V130" s="2" t="n">
        <f aca="false">IF(R130="","",COUNTIF($C$5:$C$6004,R130))</f>
        <v>5</v>
      </c>
      <c r="W130" s="2" t="n">
        <f aca="false">IF(R130="","",COUNTIFS($C$5:$C$6004,R130,$O$5:$O$6004,"CONCLUÍDA"))</f>
        <v>0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 customFormat="false" ht="15" hidden="false" customHeight="false" outlineLevel="0" collapsed="false">
      <c r="B131" s="4" t="n">
        <v>13543500</v>
      </c>
      <c r="C131" s="4" t="s">
        <v>2320</v>
      </c>
      <c r="D131" s="4" t="s">
        <v>2309</v>
      </c>
      <c r="E131" s="4" t="s">
        <v>81</v>
      </c>
      <c r="F131" s="127" t="n">
        <v>45950</v>
      </c>
      <c r="G131" s="127" t="n">
        <v>45953</v>
      </c>
      <c r="H131" s="127" t="n">
        <v>46289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15</v>
      </c>
      <c r="N131" s="2" t="str">
        <f aca="false">IF(E131="","",IF(ISNUMBER(SEARCH("SUBSOLO",E131)),IFERROR(-VALUE(LEFT(E131,FIND("º",SUBSTITUTE(E131,"°","º"))-1)),-1),IF(LEFT(E131,6)="TÉRREO",0,IFERROR(VALUE(LEFT(E131,FIND("º",SUBSTITUTE(E131,"°","º"))-1)),""))))</f>
        <v/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2635</v>
      </c>
      <c r="S131" s="4" t="s">
        <v>212</v>
      </c>
      <c r="T131" s="4" t="s">
        <v>2636</v>
      </c>
      <c r="U131" s="4" t="s">
        <v>2299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0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13543501</v>
      </c>
      <c r="C132" s="4" t="s">
        <v>2320</v>
      </c>
      <c r="D132" s="4" t="s">
        <v>2312</v>
      </c>
      <c r="E132" s="4" t="s">
        <v>81</v>
      </c>
      <c r="F132" s="127" t="n">
        <v>45951</v>
      </c>
      <c r="G132" s="127" t="n">
        <v>45953</v>
      </c>
      <c r="H132" s="127" t="n">
        <v>46289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15</v>
      </c>
      <c r="N132" s="2" t="str">
        <f aca="false">IF(E132="","",IF(ISNUMBER(SEARCH("SUBSOLO",E132)),IFERROR(-VALUE(LEFT(E132,FIND("º",SUBSTITUTE(E132,"°","º"))-1)),-1),IF(LEFT(E132,6)="TÉRREO",0,IFERROR(VALUE(LEFT(E132,FIND("º",SUBSTITUTE(E132,"°","º"))-1)),""))))</f>
        <v/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2637</v>
      </c>
      <c r="S132" s="4"/>
      <c r="T132" s="4" t="s">
        <v>2638</v>
      </c>
      <c r="U132" s="4" t="s">
        <v>2299</v>
      </c>
      <c r="V132" s="2" t="n">
        <f aca="false">IF(R132="","",COUNTIF($C$5:$C$6004,R132))</f>
        <v>41</v>
      </c>
      <c r="W132" s="2" t="n">
        <f aca="false">IF(R132="","",COUNTIFS($C$5:$C$6004,R132,$O$5:$O$6004,"CONCLUÍDA"))</f>
        <v>0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13543502</v>
      </c>
      <c r="C133" s="4" t="s">
        <v>2320</v>
      </c>
      <c r="D133" s="4" t="s">
        <v>2314</v>
      </c>
      <c r="E133" s="4" t="s">
        <v>81</v>
      </c>
      <c r="F133" s="127" t="n">
        <v>45954</v>
      </c>
      <c r="G133" s="127" t="n">
        <v>45954</v>
      </c>
      <c r="H133" s="127" t="n">
        <v>46289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15</v>
      </c>
      <c r="N133" s="2" t="str">
        <f aca="false">IF(E133="","",IF(ISNUMBER(SEARCH("SUBSOLO",E133)),IFERROR(-VALUE(LEFT(E133,FIND("º",SUBSTITUTE(E133,"°","º"))-1)),-1),IF(LEFT(E133,6)="TÉRREO",0,IFERROR(VALUE(LEFT(E133,FIND("º",SUBSTITUTE(E133,"°","º"))-1)),""))))</f>
        <v/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2639</v>
      </c>
      <c r="S133" s="4" t="s">
        <v>212</v>
      </c>
      <c r="T133" s="4" t="s">
        <v>2640</v>
      </c>
      <c r="U133" s="4" t="s">
        <v>2299</v>
      </c>
      <c r="V133" s="2" t="n">
        <f aca="false">IF(R133="","",COUNTIF($C$5:$C$6004,R133))</f>
        <v>1</v>
      </c>
      <c r="W133" s="2" t="n">
        <f aca="false">IF(R133="","",COUNTIFS($C$5:$C$6004,R133,$O$5:$O$6004,"CONCLUÍDA"))</f>
        <v>0</v>
      </c>
      <c r="X133" s="2" t="n">
        <f aca="false">IF(R133="","",COUNTIFS($C$5:$C$6004,R133,$O$5:$O$6004,"EM ANDAMENTO"))</f>
        <v>0</v>
      </c>
      <c r="Y133" s="2" t="str">
        <f aca="false">IF(R133="","",IF(COUNTIFS($C$5:$C$6004,R133,$O$5:$O$6004,"CONCLUÍDA",$N$5:$N$6004,"&gt;=-99")=0,"",_xlfn.MAXIFS($N$5:$N$6004,$C$5:$C$6004,R133,$O$5:$O$6004,"CONCLUÍDA")))</f>
        <v/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 customFormat="false" ht="15" hidden="false" customHeight="false" outlineLevel="0" collapsed="false">
      <c r="B134" s="4" t="n">
        <v>13543503</v>
      </c>
      <c r="C134" s="4" t="s">
        <v>2320</v>
      </c>
      <c r="D134" s="4" t="s">
        <v>2317</v>
      </c>
      <c r="E134" s="4" t="s">
        <v>81</v>
      </c>
      <c r="F134" s="127" t="n">
        <v>45957</v>
      </c>
      <c r="G134" s="127" t="n">
        <v>45957</v>
      </c>
      <c r="H134" s="127" t="n">
        <v>46289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15</v>
      </c>
      <c r="N134" s="2" t="str">
        <f aca="false">IF(E134="","",IF(ISNUMBER(SEARCH("SUBSOLO",E134)),IFERROR(-VALUE(LEFT(E134,FIND("º",SUBSTITUTE(E134,"°","º"))-1)),-1),IF(LEFT(E134,6)="TÉRREO",0,IFERROR(VALUE(LEFT(E134,FIND("º",SUBSTITUTE(E134,"°","º"))-1)),""))))</f>
        <v/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2641</v>
      </c>
      <c r="S134" s="4" t="s">
        <v>223</v>
      </c>
      <c r="T134" s="4" t="s">
        <v>2642</v>
      </c>
      <c r="U134" s="4" t="s">
        <v>2299</v>
      </c>
      <c r="V134" s="2" t="n">
        <f aca="false">IF(R134="","",COUNTIF($C$5:$C$6004,R134))</f>
        <v>34</v>
      </c>
      <c r="W134" s="2" t="n">
        <f aca="false">IF(R134="","",COUNTIFS($C$5:$C$6004,R134,$O$5:$O$6004,"CONCLUÍDA"))</f>
        <v>0</v>
      </c>
      <c r="X134" s="2" t="n">
        <f aca="false">IF(R134="","",COUNTIFS($C$5:$C$6004,R134,$O$5:$O$6004,"EM ANDAMENTO"))</f>
        <v>0</v>
      </c>
      <c r="Y134" s="2" t="str">
        <f aca="false">IF(R134="","",IF(COUNTIFS($C$5:$C$6004,R134,$O$5:$O$6004,"CONCLUÍDA",$N$5:$N$6004,"&gt;=-99")=0,"",_xlfn.MAXIFS($N$5:$N$6004,$C$5:$C$6004,R134,$O$5:$O$6004,"CONCLUÍDA")))</f>
        <v/>
      </c>
      <c r="Z134" s="2" t="str">
        <f aca="false">IF(R134="","",IF(COUNTIFS($C$5:$C$6004,R134,$O$5:$O$6004,"EM ANDAMENTO",$N$5:$N$6004,"&gt;=-99")=0,"",_xlfn.MAXIFS($N$5:$N$6004,$C$5:$C$6004,R134,$O$5:$O$6004,"EM ANDAMENTO")))</f>
        <v/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 customFormat="false" ht="15" hidden="false" customHeight="false" outlineLevel="0" collapsed="false">
      <c r="B135" s="4" t="n">
        <v>35364375</v>
      </c>
      <c r="C135" s="4" t="s">
        <v>2322</v>
      </c>
      <c r="D135" s="4" t="s">
        <v>463</v>
      </c>
      <c r="E135" s="4" t="s">
        <v>81</v>
      </c>
      <c r="F135" s="127" t="n">
        <v>45943</v>
      </c>
      <c r="G135" s="127" t="n">
        <v>46084</v>
      </c>
      <c r="H135" s="127" t="n">
        <v>46289</v>
      </c>
      <c r="I135" s="4" t="n">
        <v>100</v>
      </c>
      <c r="J135" s="4" t="n">
        <v>100</v>
      </c>
      <c r="K135" s="4" t="n">
        <v>99.53</v>
      </c>
      <c r="M135" s="2" t="str">
        <f aca="false">IF(C135="","",IFERROR(INDEX($S$5:$S$304,MATCH(C135,$R$5:$R$304,0))&amp;"","?"))</f>
        <v>15</v>
      </c>
      <c r="N135" s="2" t="str">
        <f aca="false">IF(E135="","",IF(ISNUMBER(SEARCH("SUBSOLO",E135)),IFERROR(-VALUE(LEFT(E135,FIND("º",SUBSTITUTE(E135,"°","º"))-1)),-1),IF(LEFT(E135,6)="TÉRREO",0,IFERROR(VALUE(LEFT(E135,FIND("º",SUBSTITUTE(E135,"°","º"))-1)),""))))</f>
        <v/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2643</v>
      </c>
      <c r="S135" s="4" t="s">
        <v>223</v>
      </c>
      <c r="T135" s="4" t="s">
        <v>2644</v>
      </c>
      <c r="U135" s="4" t="s">
        <v>2305</v>
      </c>
      <c r="V135" s="2" t="n">
        <f aca="false">IF(R135="","",COUNTIF($C$5:$C$6004,R135))</f>
        <v>1</v>
      </c>
      <c r="W135" s="2" t="n">
        <f aca="false">IF(R135="","",COUNTIFS($C$5:$C$6004,R135,$O$5:$O$6004,"CONCLUÍDA"))</f>
        <v>0</v>
      </c>
      <c r="X135" s="2" t="n">
        <f aca="false">IF(R135="","",COUNTIFS($C$5:$C$6004,R135,$O$5:$O$6004,"EM ANDAMENTO"))</f>
        <v>0</v>
      </c>
      <c r="Y135" s="2" t="str">
        <f aca="false">IF(R135="","",IF(COUNTIFS($C$5:$C$6004,R135,$O$5:$O$6004,"CONCLUÍDA",$N$5:$N$6004,"&gt;=-99")=0,"",_xlfn.MAXIFS($N$5:$N$6004,$C$5:$C$6004,R135,$O$5:$O$6004,"CONCLUÍDA")))</f>
        <v/>
      </c>
      <c r="Z135" s="2" t="str">
        <f aca="false">IF(R135="","",IF(COUNTIFS($C$5:$C$6004,R135,$O$5:$O$6004,"EM ANDAMENTO",$N$5:$N$6004,"&gt;=-99")=0,"",_xlfn.MAXIFS($N$5:$N$6004,$C$5:$C$6004,R135,$O$5:$O$6004,"EM ANDAMENTO")))</f>
        <v/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 customFormat="false" ht="15" hidden="false" customHeight="false" outlineLevel="0" collapsed="false">
      <c r="B136" s="4" t="n">
        <v>35051204</v>
      </c>
      <c r="C136" s="4" t="s">
        <v>2324</v>
      </c>
      <c r="D136" s="4" t="s">
        <v>463</v>
      </c>
      <c r="E136" s="4" t="s">
        <v>81</v>
      </c>
      <c r="F136" s="127" t="n">
        <v>45951</v>
      </c>
      <c r="G136" s="127" t="n">
        <v>45964</v>
      </c>
      <c r="H136" s="127" t="n">
        <v>46289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15</v>
      </c>
      <c r="N136" s="2" t="str">
        <f aca="false">IF(E136="","",IF(ISNUMBER(SEARCH("SUBSOLO",E136)),IFERROR(-VALUE(LEFT(E136,FIND("º",SUBSTITUTE(E136,"°","º"))-1)),-1),IF(LEFT(E136,6)="TÉRREO",0,IFERROR(VALUE(LEFT(E136,FIND("º",SUBSTITUTE(E136,"°","º"))-1)),""))))</f>
        <v/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2645</v>
      </c>
      <c r="S136" s="4" t="s">
        <v>212</v>
      </c>
      <c r="T136" s="4" t="s">
        <v>2646</v>
      </c>
      <c r="U136" s="4" t="s">
        <v>2299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0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 customFormat="false" ht="15" hidden="false" customHeight="false" outlineLevel="0" collapsed="false">
      <c r="B137" s="4" t="n">
        <v>14338681</v>
      </c>
      <c r="C137" s="4" t="s">
        <v>2324</v>
      </c>
      <c r="D137" s="4" t="s">
        <v>2306</v>
      </c>
      <c r="E137" s="4" t="s">
        <v>81</v>
      </c>
      <c r="F137" s="127" t="n">
        <v>45951</v>
      </c>
      <c r="G137" s="127" t="n">
        <v>45957</v>
      </c>
      <c r="H137" s="127" t="n">
        <v>46289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15</v>
      </c>
      <c r="N137" s="2" t="str">
        <f aca="false">IF(E137="","",IF(ISNUMBER(SEARCH("SUBSOLO",E137)),IFERROR(-VALUE(LEFT(E137,FIND("º",SUBSTITUTE(E137,"°","º"))-1)),-1),IF(LEFT(E137,6)="TÉRREO",0,IFERROR(VALUE(LEFT(E137,FIND("º",SUBSTITUTE(E137,"°","º"))-1)),""))))</f>
        <v/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2647</v>
      </c>
      <c r="S137" s="4" t="s">
        <v>189</v>
      </c>
      <c r="T137" s="4" t="s">
        <v>2648</v>
      </c>
      <c r="U137" s="4" t="s">
        <v>2305</v>
      </c>
      <c r="V137" s="2" t="n">
        <f aca="false">IF(R137="","",COUNTIF($C$5:$C$6004,R137))</f>
        <v>1</v>
      </c>
      <c r="W137" s="2" t="n">
        <f aca="false">IF(R137="","",COUNTIFS($C$5:$C$6004,R137,$O$5:$O$6004,"CONCLUÍDA"))</f>
        <v>0</v>
      </c>
      <c r="X137" s="2" t="n">
        <f aca="false">IF(R137="","",COUNTIFS($C$5:$C$6004,R137,$O$5:$O$6004,"EM ANDAMENTO"))</f>
        <v>0</v>
      </c>
      <c r="Y137" s="2" t="str">
        <f aca="false">IF(R137="","",IF(COUNTIFS($C$5:$C$6004,R137,$O$5:$O$6004,"CONCLUÍDA",$N$5:$N$6004,"&gt;=-99")=0,"",_xlfn.MAXIFS($N$5:$N$6004,$C$5:$C$6004,R137,$O$5:$O$6004,"CONCLUÍDA")))</f>
        <v/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14338682</v>
      </c>
      <c r="C138" s="4" t="s">
        <v>2324</v>
      </c>
      <c r="D138" s="4" t="s">
        <v>2309</v>
      </c>
      <c r="E138" s="4" t="s">
        <v>81</v>
      </c>
      <c r="F138" s="127" t="n">
        <v>45958</v>
      </c>
      <c r="G138" s="127" t="n">
        <v>45959</v>
      </c>
      <c r="H138" s="127" t="n">
        <v>46289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15</v>
      </c>
      <c r="N138" s="2" t="str">
        <f aca="false">IF(E138="","",IF(ISNUMBER(SEARCH("SUBSOLO",E138)),IFERROR(-VALUE(LEFT(E138,FIND("º",SUBSTITUTE(E138,"°","º"))-1)),-1),IF(LEFT(E138,6)="TÉRREO",0,IFERROR(VALUE(LEFT(E138,FIND("º",SUBSTITUTE(E138,"°","º"))-1)),""))))</f>
        <v/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2649</v>
      </c>
      <c r="S138" s="4" t="s">
        <v>230</v>
      </c>
      <c r="T138" s="4" t="s">
        <v>2650</v>
      </c>
      <c r="U138" s="4" t="s">
        <v>2299</v>
      </c>
      <c r="V138" s="2" t="n">
        <f aca="false">IF(R138="","",COUNTIF($C$5:$C$6004,R138))</f>
        <v>41</v>
      </c>
      <c r="W138" s="2" t="n">
        <f aca="false">IF(R138="","",COUNTIFS($C$5:$C$6004,R138,$O$5:$O$6004,"CONCLUÍDA"))</f>
        <v>0</v>
      </c>
      <c r="X138" s="2" t="n">
        <f aca="false">IF(R138="","",COUNTIFS($C$5:$C$6004,R138,$O$5:$O$6004,"EM ANDAMENTO"))</f>
        <v>0</v>
      </c>
      <c r="Y138" s="2" t="str">
        <f aca="false">IF(R138="","",IF(COUNTIFS($C$5:$C$6004,R138,$O$5:$O$6004,"CONCLUÍDA",$N$5:$N$6004,"&gt;=-99")=0,"",_xlfn.MAXIFS($N$5:$N$6004,$C$5:$C$6004,R138,$O$5:$O$6004,"CONCLUÍDA")))</f>
        <v/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14338683</v>
      </c>
      <c r="C139" s="4" t="s">
        <v>2324</v>
      </c>
      <c r="D139" s="4" t="s">
        <v>2312</v>
      </c>
      <c r="E139" s="4" t="s">
        <v>81</v>
      </c>
      <c r="F139" s="127" t="n">
        <v>45960</v>
      </c>
      <c r="G139" s="127" t="n">
        <v>45961</v>
      </c>
      <c r="H139" s="127" t="n">
        <v>46289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15</v>
      </c>
      <c r="N139" s="2" t="str">
        <f aca="false">IF(E139="","",IF(ISNUMBER(SEARCH("SUBSOLO",E139)),IFERROR(-VALUE(LEFT(E139,FIND("º",SUBSTITUTE(E139,"°","º"))-1)),-1),IF(LEFT(E139,6)="TÉRREO",0,IFERROR(VALUE(LEFT(E139,FIND("º",SUBSTITUTE(E139,"°","º"))-1)),""))))</f>
        <v/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2651</v>
      </c>
      <c r="S139" s="4" t="s">
        <v>205</v>
      </c>
      <c r="T139" s="4" t="s">
        <v>2652</v>
      </c>
      <c r="U139" s="4" t="s">
        <v>2305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0</v>
      </c>
      <c r="X139" s="2" t="n">
        <f aca="false">IF(R139="","",COUNTIFS($C$5:$C$6004,R139,$O$5:$O$6004,"EM ANDAMENTO"))</f>
        <v>0</v>
      </c>
      <c r="Y139" s="2" t="str">
        <f aca="false">IF(R139="","",IF(COUNTIFS($C$5:$C$6004,R139,$O$5:$O$6004,"CONCLUÍDA",$N$5:$N$6004,"&gt;=-99")=0,"",_xlfn.MAXIFS($N$5:$N$6004,$C$5:$C$6004,R139,$O$5:$O$6004,"CONCLUÍDA")))</f>
        <v/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14338684</v>
      </c>
      <c r="C140" s="4" t="s">
        <v>2324</v>
      </c>
      <c r="D140" s="4" t="s">
        <v>2314</v>
      </c>
      <c r="E140" s="4" t="s">
        <v>81</v>
      </c>
      <c r="F140" s="127" t="n">
        <v>45964</v>
      </c>
      <c r="G140" s="127" t="n">
        <v>45964</v>
      </c>
      <c r="H140" s="127" t="n">
        <v>46289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15</v>
      </c>
      <c r="N140" s="2" t="str">
        <f aca="false">IF(E140="","",IF(ISNUMBER(SEARCH("SUBSOLO",E140)),IFERROR(-VALUE(LEFT(E140,FIND("º",SUBSTITUTE(E140,"°","º"))-1)),-1),IF(LEFT(E140,6)="TÉRREO",0,IFERROR(VALUE(LEFT(E140,FIND("º",SUBSTITUTE(E140,"°","º"))-1)),""))))</f>
        <v/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2653</v>
      </c>
      <c r="S140" s="4" t="s">
        <v>208</v>
      </c>
      <c r="T140" s="4" t="s">
        <v>2654</v>
      </c>
      <c r="U140" s="4" t="s">
        <v>2299</v>
      </c>
      <c r="V140" s="2" t="n">
        <f aca="false">IF(R140="","",COUNTIF($C$5:$C$6004,R140))</f>
        <v>6</v>
      </c>
      <c r="W140" s="2" t="n">
        <f aca="false">IF(R140="","",COUNTIFS($C$5:$C$6004,R140,$O$5:$O$6004,"CONCLUÍDA"))</f>
        <v>0</v>
      </c>
      <c r="X140" s="2" t="n">
        <f aca="false">IF(R140="","",COUNTIFS($C$5:$C$6004,R140,$O$5:$O$6004,"EM ANDAMENTO"))</f>
        <v>0</v>
      </c>
      <c r="Y140" s="2" t="str">
        <f aca="false">IF(R140="","",IF(COUNTIFS($C$5:$C$6004,R140,$O$5:$O$6004,"CONCLUÍDA",$N$5:$N$6004,"&gt;=-99")=0,"",_xlfn.MAXIFS($N$5:$N$6004,$C$5:$C$6004,R140,$O$5:$O$6004,"CONCLUÍDA")))</f>
        <v/>
      </c>
      <c r="Z140" s="2" t="str">
        <f aca="false">IF(R140="","",IF(COUNTIFS($C$5:$C$6004,R140,$O$5:$O$6004,"EM ANDAMENTO",$N$5:$N$6004,"&gt;=-99")=0,"",_xlfn.MAXIFS($N$5:$N$6004,$C$5:$C$6004,R140,$O$5:$O$6004,"EM ANDAMENTO")))</f>
        <v/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 customFormat="false" ht="15" hidden="false" customHeight="false" outlineLevel="0" collapsed="false">
      <c r="B141" s="4" t="n">
        <v>30203719</v>
      </c>
      <c r="C141" s="4" t="s">
        <v>2326</v>
      </c>
      <c r="D141" s="4" t="s">
        <v>463</v>
      </c>
      <c r="E141" s="4" t="s">
        <v>81</v>
      </c>
      <c r="F141" s="127" t="n">
        <v>46084</v>
      </c>
      <c r="G141" s="127" t="n">
        <v>46139</v>
      </c>
      <c r="H141" s="127" t="n">
        <v>46289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14</v>
      </c>
      <c r="N141" s="2" t="str">
        <f aca="false">IF(E141="","",IF(ISNUMBER(SEARCH("SUBSOLO",E141)),IFERROR(-VALUE(LEFT(E141,FIND("º",SUBSTITUTE(E141,"°","º"))-1)),-1),IF(LEFT(E141,6)="TÉRREO",0,IFERROR(VALUE(LEFT(E141,FIND("º",SUBSTITUTE(E141,"°","º"))-1)),""))))</f>
        <v/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2655</v>
      </c>
      <c r="S141" s="4" t="s">
        <v>219</v>
      </c>
      <c r="T141" s="4" t="s">
        <v>2608</v>
      </c>
      <c r="U141" s="4" t="s">
        <v>2305</v>
      </c>
      <c r="V141" s="2" t="n">
        <f aca="false">IF(R141="","",COUNTIF($C$5:$C$6004,R141))</f>
        <v>5</v>
      </c>
      <c r="W141" s="2" t="n">
        <f aca="false">IF(R141="","",COUNTIFS($C$5:$C$6004,R141,$O$5:$O$6004,"CONCLUÍDA"))</f>
        <v>0</v>
      </c>
      <c r="X141" s="2" t="n">
        <f aca="false">IF(R141="","",COUNTIFS($C$5:$C$6004,R141,$O$5:$O$6004,"EM ANDAMENTO"))</f>
        <v>0</v>
      </c>
      <c r="Y141" s="2" t="str">
        <f aca="false">IF(R141="","",IF(COUNTIFS($C$5:$C$6004,R141,$O$5:$O$6004,"CONCLUÍDA",$N$5:$N$6004,"&gt;=-99")=0,"",_xlfn.MAXIFS($N$5:$N$6004,$C$5:$C$6004,R141,$O$5:$O$6004,"CONCLUÍDA")))</f>
        <v/>
      </c>
      <c r="Z141" s="2" t="str">
        <f aca="false">IF(R141="","",IF(COUNTIFS($C$5:$C$6004,R141,$O$5:$O$6004,"EM ANDAMENTO",$N$5:$N$6004,"&gt;=-99")=0,"",_xlfn.MAXIFS($N$5:$N$6004,$C$5:$C$6004,R141,$O$5:$O$6004,"EM ANDAMENTO")))</f>
        <v/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 customFormat="false" ht="15" hidden="false" customHeight="false" outlineLevel="0" collapsed="false">
      <c r="B142" s="4" t="n">
        <v>29933217</v>
      </c>
      <c r="C142" s="4" t="s">
        <v>74</v>
      </c>
      <c r="D142" s="4" t="s">
        <v>463</v>
      </c>
      <c r="E142" s="4" t="s">
        <v>81</v>
      </c>
      <c r="F142" s="127" t="n">
        <v>46125</v>
      </c>
      <c r="G142" s="127" t="n">
        <v>46241</v>
      </c>
      <c r="H142" s="127" t="n">
        <v>46289</v>
      </c>
      <c r="I142" s="4" t="n">
        <v>100</v>
      </c>
      <c r="J142" s="4" t="n">
        <v>100</v>
      </c>
      <c r="K142" s="4" t="n">
        <v>99</v>
      </c>
      <c r="M142" s="2" t="str">
        <f aca="false">IF(C142="","",IFERROR(INDEX($S$5:$S$304,MATCH(C142,$R$5:$R$304,0))&amp;"","?"))</f>
        <v>16</v>
      </c>
      <c r="N142" s="2" t="str">
        <f aca="false">IF(E142="","",IF(ISNUMBER(SEARCH("SUBSOLO",E142)),IFERROR(-VALUE(LEFT(E142,FIND("º",SUBSTITUTE(E142,"°","º"))-1)),-1),IF(LEFT(E142,6)="TÉRREO",0,IFERROR(VALUE(LEFT(E142,FIND("º",SUBSTITUTE(E142,"°","º"))-1)),""))))</f>
        <v/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2656</v>
      </c>
      <c r="S142" s="4" t="s">
        <v>173</v>
      </c>
      <c r="T142" s="4" t="s">
        <v>2657</v>
      </c>
      <c r="U142" s="4" t="s">
        <v>2305</v>
      </c>
      <c r="V142" s="2" t="n">
        <f aca="false">IF(R142="","",COUNTIF($C$5:$C$6004,R142))</f>
        <v>5</v>
      </c>
      <c r="W142" s="2" t="n">
        <f aca="false">IF(R142="","",COUNTIFS($C$5:$C$6004,R142,$O$5:$O$6004,"CONCLUÍDA"))</f>
        <v>0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 customFormat="false" ht="15" hidden="false" customHeight="false" outlineLevel="0" collapsed="false">
      <c r="B143" s="4" t="n">
        <v>44503348</v>
      </c>
      <c r="C143" s="4" t="s">
        <v>2329</v>
      </c>
      <c r="D143" s="4" t="s">
        <v>463</v>
      </c>
      <c r="E143" s="4" t="s">
        <v>81</v>
      </c>
      <c r="F143" s="127" t="n">
        <v>46125</v>
      </c>
      <c r="G143" s="127" t="n">
        <v>46139</v>
      </c>
      <c r="H143" s="127" t="n">
        <v>46289</v>
      </c>
      <c r="I143" s="4" t="n">
        <v>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str">
        <f aca="false">IF(E143="","",IF(ISNUMBER(SEARCH("SUBSOLO",E143)),IFERROR(-VALUE(LEFT(E143,FIND("º",SUBSTITUTE(E143,"°","º"))-1)),-1),IF(LEFT(E143,6)="TÉRREO",0,IFERROR(VALUE(LEFT(E143,FIND("º",SUBSTITUTE(E143,"°","º"))-1)),""))))</f>
        <v/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2658</v>
      </c>
      <c r="S143" s="4" t="s">
        <v>185</v>
      </c>
      <c r="T143" s="4" t="s">
        <v>2659</v>
      </c>
      <c r="U143" s="4" t="s">
        <v>2299</v>
      </c>
      <c r="V143" s="2" t="n">
        <f aca="false">IF(R143="","",COUNTIF($C$5:$C$6004,R143))</f>
        <v>1</v>
      </c>
      <c r="W143" s="2" t="n">
        <f aca="false">IF(R143="","",COUNTIFS($C$5:$C$6004,R143,$O$5:$O$6004,"CONCLUÍDA"))</f>
        <v>0</v>
      </c>
      <c r="X143" s="2" t="n">
        <f aca="false">IF(R143="","",COUNTIFS($C$5:$C$6004,R143,$O$5:$O$6004,"EM ANDAMENTO"))</f>
        <v>0</v>
      </c>
      <c r="Y143" s="2" t="str">
        <f aca="false">IF(R143="","",IF(COUNTIFS($C$5:$C$6004,R143,$O$5:$O$6004,"CONCLUÍDA",$N$5:$N$6004,"&gt;=-99")=0,"",_xlfn.MAXIFS($N$5:$N$6004,$C$5:$C$6004,R143,$O$5:$O$6004,"CONCLUÍDA")))</f>
        <v/>
      </c>
      <c r="Z143" s="2" t="str">
        <f aca="false">IF(R143="","",IF(COUNTIFS($C$5:$C$6004,R143,$O$5:$O$6004,"EM ANDAMENTO",$N$5:$N$6004,"&gt;=-99")=0,"",_xlfn.MAXIFS($N$5:$N$6004,$C$5:$C$6004,R143,$O$5:$O$6004,"EM ANDAMENTO")))</f>
        <v/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 customFormat="false" ht="15" hidden="false" customHeight="false" outlineLevel="0" collapsed="false">
      <c r="B144" s="4" t="n">
        <v>28389396</v>
      </c>
      <c r="C144" s="4" t="s">
        <v>2329</v>
      </c>
      <c r="D144" s="4" t="s">
        <v>2660</v>
      </c>
      <c r="E144" s="4" t="s">
        <v>81</v>
      </c>
      <c r="F144" s="127" t="n">
        <v>46125</v>
      </c>
      <c r="G144" s="127" t="n">
        <v>46129</v>
      </c>
      <c r="H144" s="127" t="n">
        <v>46289</v>
      </c>
      <c r="I144" s="4" t="n">
        <v>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str">
        <f aca="false">IF(E144="","",IF(ISNUMBER(SEARCH("SUBSOLO",E144)),IFERROR(-VALUE(LEFT(E144,FIND("º",SUBSTITUTE(E144,"°","º"))-1)),-1),IF(LEFT(E144,6)="TÉRREO",0,IFERROR(VALUE(LEFT(E144,FIND("º",SUBSTITUTE(E144,"°","º"))-1)),""))))</f>
        <v/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2661</v>
      </c>
      <c r="S144" s="4" t="s">
        <v>205</v>
      </c>
      <c r="T144" s="4" t="s">
        <v>2662</v>
      </c>
      <c r="U144" s="4" t="s">
        <v>2305</v>
      </c>
      <c r="V144" s="2" t="n">
        <f aca="false">IF(R144="","",COUNTIF($C$5:$C$6004,R144))</f>
        <v>5</v>
      </c>
      <c r="W144" s="2" t="n">
        <f aca="false">IF(R144="","",COUNTIFS($C$5:$C$6004,R144,$O$5:$O$6004,"CONCLUÍDA"))</f>
        <v>0</v>
      </c>
      <c r="X144" s="2" t="n">
        <f aca="false">IF(R144="","",COUNTIFS($C$5:$C$6004,R144,$O$5:$O$6004,"EM ANDAMENTO"))</f>
        <v>0</v>
      </c>
      <c r="Y144" s="2" t="str">
        <f aca="false">IF(R144="","",IF(COUNTIFS($C$5:$C$6004,R144,$O$5:$O$6004,"CONCLUÍDA",$N$5:$N$6004,"&gt;=-99")=0,"",_xlfn.MAXIFS($N$5:$N$6004,$C$5:$C$6004,R144,$O$5:$O$6004,"CONCLUÍDA")))</f>
        <v/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 customFormat="false" ht="15" hidden="false" customHeight="false" outlineLevel="0" collapsed="false">
      <c r="B145" s="4" t="n">
        <v>28389397</v>
      </c>
      <c r="C145" s="4" t="s">
        <v>2329</v>
      </c>
      <c r="D145" s="4" t="s">
        <v>2663</v>
      </c>
      <c r="E145" s="4" t="s">
        <v>81</v>
      </c>
      <c r="F145" s="127" t="n">
        <v>46125</v>
      </c>
      <c r="G145" s="127" t="n">
        <v>46129</v>
      </c>
      <c r="H145" s="127" t="n">
        <v>46289</v>
      </c>
      <c r="I145" s="4" t="n">
        <v>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str">
        <f aca="false">IF(E145="","",IF(ISNUMBER(SEARCH("SUBSOLO",E145)),IFERROR(-VALUE(LEFT(E145,FIND("º",SUBSTITUTE(E145,"°","º"))-1)),-1),IF(LEFT(E145,6)="TÉRREO",0,IFERROR(VALUE(LEFT(E145,FIND("º",SUBSTITUTE(E145,"°","º"))-1)),""))))</f>
        <v/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2664</v>
      </c>
      <c r="S145" s="4" t="s">
        <v>212</v>
      </c>
      <c r="T145" s="4" t="s">
        <v>2665</v>
      </c>
      <c r="U145" s="4" t="s">
        <v>2299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0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 customFormat="false" ht="15" hidden="false" customHeight="false" outlineLevel="0" collapsed="false">
      <c r="B146" s="4" t="n">
        <v>28389398</v>
      </c>
      <c r="C146" s="4" t="s">
        <v>2329</v>
      </c>
      <c r="D146" s="4" t="s">
        <v>2666</v>
      </c>
      <c r="E146" s="4" t="s">
        <v>81</v>
      </c>
      <c r="F146" s="127" t="n">
        <v>46132</v>
      </c>
      <c r="G146" s="127" t="n">
        <v>46134</v>
      </c>
      <c r="H146" s="127" t="n">
        <v>46289</v>
      </c>
      <c r="I146" s="4" t="n">
        <v>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str">
        <f aca="false">IF(E146="","",IF(ISNUMBER(SEARCH("SUBSOLO",E146)),IFERROR(-VALUE(LEFT(E146,FIND("º",SUBSTITUTE(E146,"°","º"))-1)),-1),IF(LEFT(E146,6)="TÉRREO",0,IFERROR(VALUE(LEFT(E146,FIND("º",SUBSTITUTE(E146,"°","º"))-1)),""))))</f>
        <v/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2667</v>
      </c>
      <c r="S146" s="4" t="s">
        <v>182</v>
      </c>
      <c r="T146" s="4" t="s">
        <v>2668</v>
      </c>
      <c r="U146" s="4" t="s">
        <v>2305</v>
      </c>
      <c r="V146" s="2" t="n">
        <f aca="false">IF(R146="","",COUNTIF($C$5:$C$6004,R146))</f>
        <v>1</v>
      </c>
      <c r="W146" s="2" t="n">
        <f aca="false">IF(R146="","",COUNTIFS($C$5:$C$6004,R146,$O$5:$O$6004,"CONCLUÍDA"))</f>
        <v>0</v>
      </c>
      <c r="X146" s="2" t="n">
        <f aca="false">IF(R146="","",COUNTIFS($C$5:$C$6004,R146,$O$5:$O$6004,"EM ANDAMENTO"))</f>
        <v>0</v>
      </c>
      <c r="Y146" s="2" t="str">
        <f aca="false">IF(R146="","",IF(COUNTIFS($C$5:$C$6004,R146,$O$5:$O$6004,"CONCLUÍDA",$N$5:$N$6004,"&gt;=-99")=0,"",_xlfn.MAXIFS($N$5:$N$6004,$C$5:$C$6004,R146,$O$5:$O$6004,"CONCLUÍDA")))</f>
        <v/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 customFormat="false" ht="15" hidden="false" customHeight="false" outlineLevel="0" collapsed="false">
      <c r="B147" s="4" t="n">
        <v>28389399</v>
      </c>
      <c r="C147" s="4" t="s">
        <v>2329</v>
      </c>
      <c r="D147" s="4" t="s">
        <v>2669</v>
      </c>
      <c r="E147" s="4" t="s">
        <v>81</v>
      </c>
      <c r="F147" s="127" t="n">
        <v>46135</v>
      </c>
      <c r="G147" s="127" t="n">
        <v>46135</v>
      </c>
      <c r="H147" s="127" t="n">
        <v>46289</v>
      </c>
      <c r="I147" s="4" t="n">
        <v>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str">
        <f aca="false">IF(E147="","",IF(ISNUMBER(SEARCH("SUBSOLO",E147)),IFERROR(-VALUE(LEFT(E147,FIND("º",SUBSTITUTE(E147,"°","º"))-1)),-1),IF(LEFT(E147,6)="TÉRREO",0,IFERROR(VALUE(LEFT(E147,FIND("º",SUBSTITUTE(E147,"°","º"))-1)),""))))</f>
        <v/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2670</v>
      </c>
      <c r="S147" s="4" t="s">
        <v>227</v>
      </c>
      <c r="T147" s="4" t="s">
        <v>2225</v>
      </c>
      <c r="U147" s="4" t="s">
        <v>2299</v>
      </c>
      <c r="V147" s="2" t="n">
        <f aca="false">IF(R147="","",COUNTIF($C$5:$C$6004,R147))</f>
        <v>2</v>
      </c>
      <c r="W147" s="2" t="n">
        <f aca="false">IF(R147="","",COUNTIFS($C$5:$C$6004,R147,$O$5:$O$6004,"CONCLUÍDA"))</f>
        <v>0</v>
      </c>
      <c r="X147" s="2" t="n">
        <f aca="false">IF(R147="","",COUNTIFS($C$5:$C$6004,R147,$O$5:$O$6004,"EM ANDAMENTO"))</f>
        <v>0</v>
      </c>
      <c r="Y147" s="2" t="str">
        <f aca="false">IF(R147="","",IF(COUNTIFS($C$5:$C$6004,R147,$O$5:$O$6004,"CONCLUÍDA",$N$5:$N$6004,"&gt;=-99")=0,"",_xlfn.MAXIFS($N$5:$N$6004,$C$5:$C$6004,R147,$O$5:$O$6004,"CONCLUÍDA")))</f>
        <v/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28389400</v>
      </c>
      <c r="C148" s="4" t="s">
        <v>2329</v>
      </c>
      <c r="D148" s="4" t="s">
        <v>2671</v>
      </c>
      <c r="E148" s="4" t="s">
        <v>81</v>
      </c>
      <c r="F148" s="127" t="n">
        <v>46136</v>
      </c>
      <c r="G148" s="127" t="n">
        <v>46139</v>
      </c>
      <c r="H148" s="127" t="n">
        <v>46289</v>
      </c>
      <c r="I148" s="4" t="n">
        <v>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16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2672</v>
      </c>
      <c r="S148" s="4" t="s">
        <v>212</v>
      </c>
      <c r="T148" s="4" t="s">
        <v>2673</v>
      </c>
      <c r="U148" s="4" t="s">
        <v>2299</v>
      </c>
      <c r="V148" s="2" t="n">
        <f aca="false">IF(R148="","",COUNTIF($C$5:$C$6004,R148))</f>
        <v>1</v>
      </c>
      <c r="W148" s="2" t="n">
        <f aca="false">IF(R148="","",COUNTIFS($C$5:$C$6004,R148,$O$5:$O$6004,"CONCLUÍDA"))</f>
        <v>0</v>
      </c>
      <c r="X148" s="2" t="n">
        <f aca="false">IF(R148="","",COUNTIFS($C$5:$C$6004,R148,$O$5:$O$6004,"EM ANDAMENTO"))</f>
        <v>0</v>
      </c>
      <c r="Y148" s="2" t="str">
        <f aca="false">IF(R148="","",IF(COUNTIFS($C$5:$C$6004,R148,$O$5:$O$6004,"CONCLUÍDA",$N$5:$N$6004,"&gt;=-99")=0,"",_xlfn.MAXIFS($N$5:$N$6004,$C$5:$C$6004,R148,$O$5:$O$6004,"CONCLUÍDA")))</f>
        <v/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44503801</v>
      </c>
      <c r="C149" s="4" t="s">
        <v>2331</v>
      </c>
      <c r="D149" s="4" t="s">
        <v>463</v>
      </c>
      <c r="E149" s="4" t="s">
        <v>81</v>
      </c>
      <c r="F149" s="127" t="n">
        <v>46134</v>
      </c>
      <c r="G149" s="127" t="n">
        <v>46157</v>
      </c>
      <c r="H149" s="127" t="n">
        <v>46289</v>
      </c>
      <c r="I149" s="4" t="n">
        <v>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16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2674</v>
      </c>
      <c r="S149" s="4" t="s">
        <v>223</v>
      </c>
      <c r="T149" s="4" t="s">
        <v>2675</v>
      </c>
      <c r="U149" s="4" t="s">
        <v>2305</v>
      </c>
      <c r="V149" s="2" t="n">
        <f aca="false">IF(R149="","",COUNTIF($C$5:$C$6004,R149))</f>
        <v>5</v>
      </c>
      <c r="W149" s="2" t="n">
        <f aca="false">IF(R149="","",COUNTIFS($C$5:$C$6004,R149,$O$5:$O$6004,"CONCLUÍDA"))</f>
        <v>0</v>
      </c>
      <c r="X149" s="2" t="n">
        <f aca="false">IF(R149="","",COUNTIFS($C$5:$C$6004,R149,$O$5:$O$6004,"EM ANDAMENTO"))</f>
        <v>0</v>
      </c>
      <c r="Y149" s="2" t="str">
        <f aca="false">IF(R149="","",IF(COUNTIFS($C$5:$C$6004,R149,$O$5:$O$6004,"CONCLUÍDA",$N$5:$N$6004,"&gt;=-99")=0,"",_xlfn.MAXIFS($N$5:$N$6004,$C$5:$C$6004,R149,$O$5:$O$6004,"CONCLUÍDA")))</f>
        <v/>
      </c>
      <c r="Z149" s="2" t="str">
        <f aca="false">IF(R149="","",IF(COUNTIFS($C$5:$C$6004,R149,$O$5:$O$6004,"EM ANDAMENTO",$N$5:$N$6004,"&gt;=-99")=0,"",_xlfn.MAXIFS($N$5:$N$6004,$C$5:$C$6004,R149,$O$5:$O$6004,"EM ANDAMENTO")))</f>
        <v/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 customFormat="false" ht="15" hidden="false" customHeight="false" outlineLevel="0" collapsed="false">
      <c r="B150" s="4" t="n">
        <v>28389424</v>
      </c>
      <c r="C150" s="4" t="s">
        <v>2331</v>
      </c>
      <c r="D150" s="4" t="s">
        <v>2676</v>
      </c>
      <c r="E150" s="4" t="s">
        <v>81</v>
      </c>
      <c r="F150" s="127" t="n">
        <v>46134</v>
      </c>
      <c r="G150" s="127" t="n">
        <v>46142</v>
      </c>
      <c r="H150" s="127" t="n">
        <v>46289</v>
      </c>
      <c r="I150" s="4" t="n">
        <v>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16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228</v>
      </c>
      <c r="S150" s="4" t="s">
        <v>227</v>
      </c>
      <c r="T150" s="4" t="s">
        <v>2221</v>
      </c>
      <c r="U150" s="4" t="s">
        <v>2299</v>
      </c>
      <c r="V150" s="2" t="n">
        <f aca="false">IF(R150="","",COUNTIF($C$5:$C$6004,R150))</f>
        <v>7</v>
      </c>
      <c r="W150" s="2" t="n">
        <f aca="false">IF(R150="","",COUNTIFS($C$5:$C$6004,R150,$O$5:$O$6004,"CONCLUÍDA"))</f>
        <v>0</v>
      </c>
      <c r="X150" s="2" t="n">
        <f aca="false">IF(R150="","",COUNTIFS($C$5:$C$6004,R150,$O$5:$O$6004,"EM ANDAMENTO"))</f>
        <v>0</v>
      </c>
      <c r="Y150" s="2" t="str">
        <f aca="false">IF(R150="","",IF(COUNTIFS($C$5:$C$6004,R150,$O$5:$O$6004,"CONCLUÍDA",$N$5:$N$6004,"&gt;=-99")=0,"",_xlfn.MAXIFS($N$5:$N$6004,$C$5:$C$6004,R150,$O$5:$O$6004,"CONCLUÍDA")))</f>
        <v/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 customFormat="false" ht="15" hidden="false" customHeight="false" outlineLevel="0" collapsed="false">
      <c r="B151" s="4" t="n">
        <v>28389425</v>
      </c>
      <c r="C151" s="4" t="s">
        <v>2331</v>
      </c>
      <c r="D151" s="4" t="s">
        <v>2677</v>
      </c>
      <c r="E151" s="4" t="s">
        <v>81</v>
      </c>
      <c r="F151" s="127" t="n">
        <v>46134</v>
      </c>
      <c r="G151" s="127" t="n">
        <v>46142</v>
      </c>
      <c r="H151" s="127" t="n">
        <v>46289</v>
      </c>
      <c r="I151" s="4" t="n">
        <v>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16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2678</v>
      </c>
      <c r="S151" s="4" t="s">
        <v>212</v>
      </c>
      <c r="T151" s="4" t="s">
        <v>2679</v>
      </c>
      <c r="U151" s="4" t="s">
        <v>2299</v>
      </c>
      <c r="V151" s="2" t="n">
        <f aca="false">IF(R151="","",COUNTIF($C$5:$C$6004,R151))</f>
        <v>1</v>
      </c>
      <c r="W151" s="2" t="n">
        <f aca="false">IF(R151="","",COUNTIFS($C$5:$C$6004,R151,$O$5:$O$6004,"CONCLUÍDA"))</f>
        <v>0</v>
      </c>
      <c r="X151" s="2" t="n">
        <f aca="false">IF(R151="","",COUNTIFS($C$5:$C$6004,R151,$O$5:$O$6004,"EM ANDAMENTO"))</f>
        <v>0</v>
      </c>
      <c r="Y151" s="2" t="str">
        <f aca="false">IF(R151="","",IF(COUNTIFS($C$5:$C$6004,R151,$O$5:$O$6004,"CONCLUÍDA",$N$5:$N$6004,"&gt;=-99")=0,"",_xlfn.MAXIFS($N$5:$N$6004,$C$5:$C$6004,R151,$O$5:$O$6004,"CONCLUÍDA")))</f>
        <v/>
      </c>
      <c r="Z151" s="2" t="str">
        <f aca="false">IF(R151="","",IF(COUNTIFS($C$5:$C$6004,R151,$O$5:$O$6004,"EM ANDAMENTO",$N$5:$N$6004,"&gt;=-99")=0,"",_xlfn.MAXIFS($N$5:$N$6004,$C$5:$C$6004,R151,$O$5:$O$6004,"EM ANDAMENTO")))</f>
        <v/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 customFormat="false" ht="15" hidden="false" customHeight="false" outlineLevel="0" collapsed="false">
      <c r="B152" s="4" t="n">
        <v>28389426</v>
      </c>
      <c r="C152" s="4" t="s">
        <v>2331</v>
      </c>
      <c r="D152" s="4" t="s">
        <v>2680</v>
      </c>
      <c r="E152" s="4" t="s">
        <v>81</v>
      </c>
      <c r="F152" s="127" t="n">
        <v>46134</v>
      </c>
      <c r="G152" s="127" t="n">
        <v>46141</v>
      </c>
      <c r="H152" s="127" t="n">
        <v>46289</v>
      </c>
      <c r="I152" s="4" t="n">
        <v>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16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2681</v>
      </c>
      <c r="S152" s="4" t="s">
        <v>176</v>
      </c>
      <c r="T152" s="4" t="s">
        <v>2682</v>
      </c>
      <c r="U152" s="4" t="s">
        <v>2305</v>
      </c>
      <c r="V152" s="2" t="n">
        <f aca="false">IF(R152="","",COUNTIF($C$5:$C$6004,R152))</f>
        <v>1</v>
      </c>
      <c r="W152" s="2" t="n">
        <f aca="false">IF(R152="","",COUNTIFS($C$5:$C$6004,R152,$O$5:$O$6004,"CONCLUÍDA"))</f>
        <v>0</v>
      </c>
      <c r="X152" s="2" t="n">
        <f aca="false">IF(R152="","",COUNTIFS($C$5:$C$6004,R152,$O$5:$O$6004,"EM ANDAMENTO"))</f>
        <v>0</v>
      </c>
      <c r="Y152" s="2" t="str">
        <f aca="false">IF(R152="","",IF(COUNTIFS($C$5:$C$6004,R152,$O$5:$O$6004,"CONCLUÍDA",$N$5:$N$6004,"&gt;=-99")=0,"",_xlfn.MAXIFS($N$5:$N$6004,$C$5:$C$6004,R152,$O$5:$O$6004,"CONCLUÍDA")))</f>
        <v/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 customFormat="false" ht="15" hidden="false" customHeight="false" outlineLevel="0" collapsed="false">
      <c r="B153" s="4" t="n">
        <v>28389427</v>
      </c>
      <c r="C153" s="4" t="s">
        <v>2331</v>
      </c>
      <c r="D153" s="4" t="s">
        <v>2683</v>
      </c>
      <c r="E153" s="4" t="s">
        <v>81</v>
      </c>
      <c r="F153" s="127" t="n">
        <v>46142</v>
      </c>
      <c r="G153" s="127" t="n">
        <v>46142</v>
      </c>
      <c r="H153" s="127" t="n">
        <v>46289</v>
      </c>
      <c r="I153" s="4" t="n">
        <v>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16</v>
      </c>
      <c r="N153" s="2" t="str">
        <f aca="false">IF(E153="","",IF(ISNUMBER(SEARCH("SUBSOLO",E153)),IFERROR(-VALUE(LEFT(E153,FIND("º",SUBSTITUTE(E153,"°","º"))-1)),-1),IF(LEFT(E153,6)="TÉRREO",0,IFERROR(VALUE(LEFT(E153,FIND("º",SUBSTITUTE(E153,"°","º"))-1)),""))))</f>
        <v/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2684</v>
      </c>
      <c r="S153" s="4" t="s">
        <v>189</v>
      </c>
      <c r="T153" s="4" t="s">
        <v>2685</v>
      </c>
      <c r="U153" s="4" t="s">
        <v>2305</v>
      </c>
      <c r="V153" s="2" t="n">
        <f aca="false">IF(R153="","",COUNTIF($C$5:$C$6004,R153))</f>
        <v>1</v>
      </c>
      <c r="W153" s="2" t="n">
        <f aca="false">IF(R153="","",COUNTIFS($C$5:$C$6004,R153,$O$5:$O$6004,"CONCLUÍDA"))</f>
        <v>0</v>
      </c>
      <c r="X153" s="2" t="n">
        <f aca="false">IF(R153="","",COUNTIFS($C$5:$C$6004,R153,$O$5:$O$6004,"EM ANDAMENTO"))</f>
        <v>0</v>
      </c>
      <c r="Y153" s="2" t="str">
        <f aca="false">IF(R153="","",IF(COUNTIFS($C$5:$C$6004,R153,$O$5:$O$6004,"CONCLUÍDA",$N$5:$N$6004,"&gt;=-99")=0,"",_xlfn.MAXIFS($N$5:$N$6004,$C$5:$C$6004,R153,$O$5:$O$6004,"CONCLUÍDA")))</f>
        <v/>
      </c>
      <c r="Z153" s="2" t="str">
        <f aca="false">IF(R153="","",IF(COUNTIFS($C$5:$C$6004,R153,$O$5:$O$6004,"EM ANDAMENTO",$N$5:$N$6004,"&gt;=-99")=0,"",_xlfn.MAXIFS($N$5:$N$6004,$C$5:$C$6004,R153,$O$5:$O$6004,"EM ANDAMENTO")))</f>
        <v/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 customFormat="false" ht="15" hidden="false" customHeight="false" outlineLevel="0" collapsed="false">
      <c r="B154" s="4" t="n">
        <v>28389428</v>
      </c>
      <c r="C154" s="4" t="s">
        <v>2331</v>
      </c>
      <c r="D154" s="4" t="s">
        <v>2686</v>
      </c>
      <c r="E154" s="4" t="s">
        <v>81</v>
      </c>
      <c r="F154" s="127" t="n">
        <v>46146</v>
      </c>
      <c r="G154" s="127" t="n">
        <v>46150</v>
      </c>
      <c r="H154" s="127" t="n">
        <v>46289</v>
      </c>
      <c r="I154" s="4" t="n">
        <v>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16</v>
      </c>
      <c r="N154" s="2" t="str">
        <f aca="false">IF(E154="","",IF(ISNUMBER(SEARCH("SUBSOLO",E154)),IFERROR(-VALUE(LEFT(E154,FIND("º",SUBSTITUTE(E154,"°","º"))-1)),-1),IF(LEFT(E154,6)="TÉRREO",0,IFERROR(VALUE(LEFT(E154,FIND("º",SUBSTITUTE(E154,"°","º"))-1)),""))))</f>
        <v/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2687</v>
      </c>
      <c r="S154" s="4" t="s">
        <v>223</v>
      </c>
      <c r="T154" s="4" t="s">
        <v>2688</v>
      </c>
      <c r="U154" s="4" t="s">
        <v>2305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0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 customFormat="false" ht="15" hidden="false" customHeight="false" outlineLevel="0" collapsed="false">
      <c r="B155" s="4" t="n">
        <v>28645952</v>
      </c>
      <c r="C155" s="4" t="s">
        <v>2331</v>
      </c>
      <c r="D155" s="4" t="s">
        <v>2689</v>
      </c>
      <c r="E155" s="4" t="s">
        <v>81</v>
      </c>
      <c r="F155" s="127" t="n">
        <v>46142</v>
      </c>
      <c r="G155" s="127" t="n">
        <v>46150</v>
      </c>
      <c r="H155" s="127" t="n">
        <v>46289</v>
      </c>
      <c r="I155" s="4" t="n">
        <v>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16</v>
      </c>
      <c r="N155" s="2" t="str">
        <f aca="false">IF(E155="","",IF(ISNUMBER(SEARCH("SUBSOLO",E155)),IFERROR(-VALUE(LEFT(E155,FIND("º",SUBSTITUTE(E155,"°","º"))-1)),-1),IF(LEFT(E155,6)="TÉRREO",0,IFERROR(VALUE(LEFT(E155,FIND("º",SUBSTITUTE(E155,"°","º"))-1)),""))))</f>
        <v/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2690</v>
      </c>
      <c r="S155" s="4" t="s">
        <v>230</v>
      </c>
      <c r="T155" s="4" t="s">
        <v>2691</v>
      </c>
      <c r="U155" s="4" t="s">
        <v>2299</v>
      </c>
      <c r="V155" s="2" t="n">
        <f aca="false">IF(R155="","",COUNTIF($C$5:$C$6004,R155))</f>
        <v>12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0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 customFormat="false" ht="15" hidden="false" customHeight="false" outlineLevel="0" collapsed="false">
      <c r="B156" s="4" t="n">
        <v>28645953</v>
      </c>
      <c r="C156" s="4" t="s">
        <v>2331</v>
      </c>
      <c r="D156" s="4" t="s">
        <v>2692</v>
      </c>
      <c r="E156" s="4" t="s">
        <v>81</v>
      </c>
      <c r="F156" s="127" t="n">
        <v>46146</v>
      </c>
      <c r="G156" s="127" t="n">
        <v>46150</v>
      </c>
      <c r="H156" s="127" t="n">
        <v>46289</v>
      </c>
      <c r="I156" s="4" t="n">
        <v>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16</v>
      </c>
      <c r="N156" s="2" t="str">
        <f aca="false">IF(E156="","",IF(ISNUMBER(SEARCH("SUBSOLO",E156)),IFERROR(-VALUE(LEFT(E156,FIND("º",SUBSTITUTE(E156,"°","º"))-1)),-1),IF(LEFT(E156,6)="TÉRREO",0,IFERROR(VALUE(LEFT(E156,FIND("º",SUBSTITUTE(E156,"°","º"))-1)),""))))</f>
        <v/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2693</v>
      </c>
      <c r="S156" s="4" t="s">
        <v>185</v>
      </c>
      <c r="T156" s="4" t="s">
        <v>2694</v>
      </c>
      <c r="U156" s="4" t="s">
        <v>2299</v>
      </c>
      <c r="V156" s="2" t="n">
        <f aca="false">IF(R156="","",COUNTIF($C$5:$C$6004,R156))</f>
        <v>1</v>
      </c>
      <c r="W156" s="2" t="n">
        <f aca="false">IF(R156="","",COUNTIFS($C$5:$C$6004,R156,$O$5:$O$6004,"CONCLUÍDA"))</f>
        <v>0</v>
      </c>
      <c r="X156" s="2" t="n">
        <f aca="false">IF(R156="","",COUNTIFS($C$5:$C$6004,R156,$O$5:$O$6004,"EM ANDAMENTO"))</f>
        <v>0</v>
      </c>
      <c r="Y156" s="2" t="str">
        <f aca="false">IF(R156="","",IF(COUNTIFS($C$5:$C$6004,R156,$O$5:$O$6004,"CONCLUÍDA",$N$5:$N$6004,"&gt;=-99")=0,"",_xlfn.MAXIFS($N$5:$N$6004,$C$5:$C$6004,R156,$O$5:$O$6004,"CONCLUÍDA")))</f>
        <v/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 customFormat="false" ht="15" hidden="false" customHeight="false" outlineLevel="0" collapsed="false">
      <c r="B157" s="4" t="n">
        <v>28645954</v>
      </c>
      <c r="C157" s="4" t="s">
        <v>2331</v>
      </c>
      <c r="D157" s="4" t="s">
        <v>2695</v>
      </c>
      <c r="E157" s="4" t="s">
        <v>81</v>
      </c>
      <c r="F157" s="127" t="n">
        <v>46150</v>
      </c>
      <c r="G157" s="127" t="n">
        <v>46150</v>
      </c>
      <c r="H157" s="127" t="n">
        <v>46289</v>
      </c>
      <c r="I157" s="4" t="n">
        <v>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16</v>
      </c>
      <c r="N157" s="2" t="str">
        <f aca="false">IF(E157="","",IF(ISNUMBER(SEARCH("SUBSOLO",E157)),IFERROR(-VALUE(LEFT(E157,FIND("º",SUBSTITUTE(E157,"°","º"))-1)),-1),IF(LEFT(E157,6)="TÉRREO",0,IFERROR(VALUE(LEFT(E157,FIND("º",SUBSTITUTE(E157,"°","º"))-1)),""))))</f>
        <v/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2696</v>
      </c>
      <c r="S157" s="4" t="s">
        <v>212</v>
      </c>
      <c r="T157" s="4" t="s">
        <v>2697</v>
      </c>
      <c r="U157" s="4" t="s">
        <v>2299</v>
      </c>
      <c r="V157" s="2" t="n">
        <f aca="false">IF(R157="","",COUNTIF($C$5:$C$6004,R157))</f>
        <v>1</v>
      </c>
      <c r="W157" s="2" t="n">
        <f aca="false">IF(R157="","",COUNTIFS($C$5:$C$6004,R157,$O$5:$O$6004,"CONCLUÍDA"))</f>
        <v>0</v>
      </c>
      <c r="X157" s="2" t="n">
        <f aca="false">IF(R157="","",COUNTIFS($C$5:$C$6004,R157,$O$5:$O$6004,"EM ANDAMENTO"))</f>
        <v>0</v>
      </c>
      <c r="Y157" s="2" t="str">
        <f aca="false">IF(R157="","",IF(COUNTIFS($C$5:$C$6004,R157,$O$5:$O$6004,"CONCLUÍDA",$N$5:$N$6004,"&gt;=-99")=0,"",_xlfn.MAXIFS($N$5:$N$6004,$C$5:$C$6004,R157,$O$5:$O$6004,"CONCLUÍDA")))</f>
        <v/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28645965</v>
      </c>
      <c r="C158" s="4" t="s">
        <v>2331</v>
      </c>
      <c r="D158" s="4" t="s">
        <v>2698</v>
      </c>
      <c r="E158" s="4" t="s">
        <v>81</v>
      </c>
      <c r="F158" s="127" t="n">
        <v>46153</v>
      </c>
      <c r="G158" s="127" t="n">
        <v>46157</v>
      </c>
      <c r="H158" s="127" t="n">
        <v>46289</v>
      </c>
      <c r="I158" s="4" t="n">
        <v>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16</v>
      </c>
      <c r="N158" s="2" t="str">
        <f aca="false">IF(E158="","",IF(ISNUMBER(SEARCH("SUBSOLO",E158)),IFERROR(-VALUE(LEFT(E158,FIND("º",SUBSTITUTE(E158,"°","º"))-1)),-1),IF(LEFT(E158,6)="TÉRREO",0,IFERROR(VALUE(LEFT(E158,FIND("º",SUBSTITUTE(E158,"°","º"))-1)),""))))</f>
        <v/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2699</v>
      </c>
      <c r="S158" s="4" t="s">
        <v>176</v>
      </c>
      <c r="T158" s="4" t="s">
        <v>2700</v>
      </c>
      <c r="U158" s="4" t="s">
        <v>2305</v>
      </c>
      <c r="V158" s="2" t="n">
        <f aca="false">IF(R158="","",COUNTIF($C$5:$C$6004,R158))</f>
        <v>1</v>
      </c>
      <c r="W158" s="2" t="n">
        <f aca="false">IF(R158="","",COUNTIFS($C$5:$C$6004,R158,$O$5:$O$6004,"CONCLUÍDA"))</f>
        <v>0</v>
      </c>
      <c r="X158" s="2" t="n">
        <f aca="false">IF(R158="","",COUNTIFS($C$5:$C$6004,R158,$O$5:$O$6004,"EM ANDAMENTO"))</f>
        <v>0</v>
      </c>
      <c r="Y158" s="2" t="str">
        <f aca="false">IF(R158="","",IF(COUNTIFS($C$5:$C$6004,R158,$O$5:$O$6004,"CONCLUÍDA",$N$5:$N$6004,"&gt;=-99")=0,"",_xlfn.MAXIFS($N$5:$N$6004,$C$5:$C$6004,R158,$O$5:$O$6004,"CONCLUÍDA")))</f>
        <v/>
      </c>
      <c r="Z158" s="2" t="str">
        <f aca="false">IF(R158="","",IF(COUNTIFS($C$5:$C$6004,R158,$O$5:$O$6004,"EM ANDAMENTO",$N$5:$N$6004,"&gt;=-99")=0,"",_xlfn.MAXIFS($N$5:$N$6004,$C$5:$C$6004,R158,$O$5:$O$6004,"EM ANDAMENTO")))</f>
        <v/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 customFormat="false" ht="15" hidden="false" customHeight="false" outlineLevel="0" collapsed="false">
      <c r="B159" s="4" t="n">
        <v>28645966</v>
      </c>
      <c r="C159" s="4" t="s">
        <v>2331</v>
      </c>
      <c r="D159" s="4" t="s">
        <v>2701</v>
      </c>
      <c r="E159" s="4" t="s">
        <v>81</v>
      </c>
      <c r="F159" s="127" t="n">
        <v>46153</v>
      </c>
      <c r="G159" s="127" t="n">
        <v>46157</v>
      </c>
      <c r="H159" s="127" t="n">
        <v>46289</v>
      </c>
      <c r="I159" s="4" t="n">
        <v>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16</v>
      </c>
      <c r="N159" s="2" t="str">
        <f aca="false">IF(E159="","",IF(ISNUMBER(SEARCH("SUBSOLO",E159)),IFERROR(-VALUE(LEFT(E159,FIND("º",SUBSTITUTE(E159,"°","º"))-1)),-1),IF(LEFT(E159,6)="TÉRREO",0,IFERROR(VALUE(LEFT(E159,FIND("º",SUBSTITUTE(E159,"°","º"))-1)),""))))</f>
        <v/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2702</v>
      </c>
      <c r="S159" s="4" t="s">
        <v>189</v>
      </c>
      <c r="T159" s="4" t="s">
        <v>2703</v>
      </c>
      <c r="U159" s="4" t="s">
        <v>2305</v>
      </c>
      <c r="V159" s="2" t="n">
        <f aca="false">IF(R159="","",COUNTIF($C$5:$C$6004,R159))</f>
        <v>5</v>
      </c>
      <c r="W159" s="2" t="n">
        <f aca="false">IF(R159="","",COUNTIFS($C$5:$C$6004,R159,$O$5:$O$6004,"CONCLUÍDA"))</f>
        <v>0</v>
      </c>
      <c r="X159" s="2" t="n">
        <f aca="false">IF(R159="","",COUNTIFS($C$5:$C$6004,R159,$O$5:$O$6004,"EM ANDAMENTO"))</f>
        <v>0</v>
      </c>
      <c r="Y159" s="2" t="str">
        <f aca="false">IF(R159="","",IF(COUNTIFS($C$5:$C$6004,R159,$O$5:$O$6004,"CONCLUÍDA",$N$5:$N$6004,"&gt;=-99")=0,"",_xlfn.MAXIFS($N$5:$N$6004,$C$5:$C$6004,R159,$O$5:$O$6004,"CONCLUÍDA")))</f>
        <v/>
      </c>
      <c r="Z159" s="2" t="str">
        <f aca="false">IF(R159="","",IF(COUNTIFS($C$5:$C$6004,R159,$O$5:$O$6004,"EM ANDAMENTO",$N$5:$N$6004,"&gt;=-99")=0,"",_xlfn.MAXIFS($N$5:$N$6004,$C$5:$C$6004,R159,$O$5:$O$6004,"EM ANDAMENTO")))</f>
        <v/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28645967</v>
      </c>
      <c r="C160" s="4" t="s">
        <v>2331</v>
      </c>
      <c r="D160" s="4" t="s">
        <v>2704</v>
      </c>
      <c r="E160" s="4" t="s">
        <v>81</v>
      </c>
      <c r="F160" s="127" t="n">
        <v>46157</v>
      </c>
      <c r="G160" s="127" t="n">
        <v>46157</v>
      </c>
      <c r="H160" s="127" t="n">
        <v>46289</v>
      </c>
      <c r="I160" s="4" t="n">
        <v>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16</v>
      </c>
      <c r="N160" s="2" t="str">
        <f aca="false">IF(E160="","",IF(ISNUMBER(SEARCH("SUBSOLO",E160)),IFERROR(-VALUE(LEFT(E160,FIND("º",SUBSTITUTE(E160,"°","º"))-1)),-1),IF(LEFT(E160,6)="TÉRREO",0,IFERROR(VALUE(LEFT(E160,FIND("º",SUBSTITUTE(E160,"°","º"))-1)),""))))</f>
        <v/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2705</v>
      </c>
      <c r="S160" s="4" t="s">
        <v>182</v>
      </c>
      <c r="T160" s="4" t="s">
        <v>2706</v>
      </c>
      <c r="U160" s="4" t="s">
        <v>2305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0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str">
        <f aca="false">IF(R160="","",IF(COUNTIFS($C$5:$C$6004,R160,$O$5:$O$6004,"EM ANDAMENTO",$N$5:$N$6004,"&gt;=-99")=0,"",_xlfn.MAXIFS($N$5:$N$6004,$C$5:$C$6004,R160,$O$5:$O$6004,"EM ANDAMENTO")))</f>
        <v/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37080794</v>
      </c>
      <c r="C161" s="4" t="s">
        <v>2333</v>
      </c>
      <c r="D161" s="4" t="s">
        <v>463</v>
      </c>
      <c r="E161" s="4" t="s">
        <v>81</v>
      </c>
      <c r="F161" s="127" t="n">
        <v>46139</v>
      </c>
      <c r="G161" s="127" t="n">
        <v>46199</v>
      </c>
      <c r="H161" s="127" t="n">
        <v>46289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13</v>
      </c>
      <c r="N161" s="2" t="str">
        <f aca="false">IF(E161="","",IF(ISNUMBER(SEARCH("SUBSOLO",E161)),IFERROR(-VALUE(LEFT(E161,FIND("º",SUBSTITUTE(E161,"°","º"))-1)),-1),IF(LEFT(E161,6)="TÉRREO",0,IFERROR(VALUE(LEFT(E161,FIND("º",SUBSTITUTE(E161,"°","º"))-1)),""))))</f>
        <v/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1367</v>
      </c>
      <c r="S161" s="4" t="s">
        <v>173</v>
      </c>
      <c r="T161" s="4" t="s">
        <v>2707</v>
      </c>
      <c r="U161" s="4" t="s">
        <v>2305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0</v>
      </c>
      <c r="X161" s="2" t="n">
        <f aca="false">IF(R161="","",COUNTIFS($C$5:$C$6004,R161,$O$5:$O$6004,"EM ANDAMENTO"))</f>
        <v>0</v>
      </c>
      <c r="Y161" s="2" t="str">
        <f aca="false">IF(R161="","",IF(COUNTIFS($C$5:$C$6004,R161,$O$5:$O$6004,"CONCLUÍDA",$N$5:$N$6004,"&gt;=-99")=0,"",_xlfn.MAXIFS($N$5:$N$6004,$C$5:$C$6004,R161,$O$5:$O$6004,"CONCLUÍDA")))</f>
        <v/>
      </c>
      <c r="Z161" s="2" t="str">
        <f aca="false">IF(R161="","",IF(COUNTIFS($C$5:$C$6004,R161,$O$5:$O$6004,"EM ANDAMENTO",$N$5:$N$6004,"&gt;=-99")=0,"",_xlfn.MAXIFS($N$5:$N$6004,$C$5:$C$6004,R161,$O$5:$O$6004,"EM ANDAMENTO")))</f>
        <v/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44503962</v>
      </c>
      <c r="C162" s="4" t="s">
        <v>2335</v>
      </c>
      <c r="D162" s="4" t="s">
        <v>463</v>
      </c>
      <c r="E162" s="4" t="s">
        <v>81</v>
      </c>
      <c r="F162" s="127" t="n">
        <v>46150</v>
      </c>
      <c r="G162" s="127" t="n">
        <v>46213</v>
      </c>
      <c r="H162" s="127" t="n">
        <v>46289</v>
      </c>
      <c r="I162" s="4" t="n">
        <v>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16</v>
      </c>
      <c r="N162" s="2" t="str">
        <f aca="false">IF(E162="","",IF(ISNUMBER(SEARCH("SUBSOLO",E162)),IFERROR(-VALUE(LEFT(E162,FIND("º",SUBSTITUTE(E162,"°","º"))-1)),-1),IF(LEFT(E162,6)="TÉRREO",0,IFERROR(VALUE(LEFT(E162,FIND("º",SUBSTITUTE(E162,"°","º"))-1)),""))))</f>
        <v/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2708</v>
      </c>
      <c r="S162" s="4" t="s">
        <v>223</v>
      </c>
      <c r="T162" s="4" t="s">
        <v>2709</v>
      </c>
      <c r="U162" s="4" t="s">
        <v>2305</v>
      </c>
      <c r="V162" s="2" t="n">
        <f aca="false">IF(R162="","",COUNTIF($C$5:$C$6004,R162))</f>
        <v>1</v>
      </c>
      <c r="W162" s="2" t="n">
        <f aca="false">IF(R162="","",COUNTIFS($C$5:$C$6004,R162,$O$5:$O$6004,"CONCLUÍDA"))</f>
        <v>0</v>
      </c>
      <c r="X162" s="2" t="n">
        <f aca="false">IF(R162="","",COUNTIFS($C$5:$C$6004,R162,$O$5:$O$6004,"EM ANDAMENTO"))</f>
        <v>0</v>
      </c>
      <c r="Y162" s="2" t="str">
        <f aca="false">IF(R162="","",IF(COUNTIFS($C$5:$C$6004,R162,$O$5:$O$6004,"CONCLUÍDA",$N$5:$N$6004,"&gt;=-99")=0,"",_xlfn.MAXIFS($N$5:$N$6004,$C$5:$C$6004,R162,$O$5:$O$6004,"CONCLUÍDA")))</f>
        <v/>
      </c>
      <c r="Z162" s="2" t="str">
        <f aca="false">IF(R162="","",IF(COUNTIFS($C$5:$C$6004,R162,$O$5:$O$6004,"EM ANDAMENTO",$N$5:$N$6004,"&gt;=-99")=0,"",_xlfn.MAXIFS($N$5:$N$6004,$C$5:$C$6004,R162,$O$5:$O$6004,"EM ANDAMENTO")))</f>
        <v/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28389429</v>
      </c>
      <c r="C163" s="4" t="s">
        <v>2335</v>
      </c>
      <c r="D163" s="4" t="s">
        <v>2710</v>
      </c>
      <c r="E163" s="4" t="s">
        <v>81</v>
      </c>
      <c r="F163" s="127" t="n">
        <v>46150</v>
      </c>
      <c r="G163" s="127" t="n">
        <v>46157</v>
      </c>
      <c r="H163" s="127" t="n">
        <v>46289</v>
      </c>
      <c r="I163" s="4" t="n">
        <v>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16</v>
      </c>
      <c r="N163" s="2" t="str">
        <f aca="false">IF(E163="","",IF(ISNUMBER(SEARCH("SUBSOLO",E163)),IFERROR(-VALUE(LEFT(E163,FIND("º",SUBSTITUTE(E163,"°","º"))-1)),-1),IF(LEFT(E163,6)="TÉRREO",0,IFERROR(VALUE(LEFT(E163,FIND("º",SUBSTITUTE(E163,"°","º"))-1)),""))))</f>
        <v/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2711</v>
      </c>
      <c r="S163" s="4" t="s">
        <v>208</v>
      </c>
      <c r="T163" s="4" t="s">
        <v>2712</v>
      </c>
      <c r="U163" s="4" t="s">
        <v>2299</v>
      </c>
      <c r="V163" s="2" t="n">
        <f aca="false">IF(R163="","",COUNTIF($C$5:$C$6004,R163))</f>
        <v>1</v>
      </c>
      <c r="W163" s="2" t="n">
        <f aca="false">IF(R163="","",COUNTIFS($C$5:$C$6004,R163,$O$5:$O$6004,"CONCLUÍDA"))</f>
        <v>0</v>
      </c>
      <c r="X163" s="2" t="n">
        <f aca="false">IF(R163="","",COUNTIFS($C$5:$C$6004,R163,$O$5:$O$6004,"EM ANDAMENTO"))</f>
        <v>0</v>
      </c>
      <c r="Y163" s="2" t="str">
        <f aca="false">IF(R163="","",IF(COUNTIFS($C$5:$C$6004,R163,$O$5:$O$6004,"CONCLUÍDA",$N$5:$N$6004,"&gt;=-99")=0,"",_xlfn.MAXIFS($N$5:$N$6004,$C$5:$C$6004,R163,$O$5:$O$6004,"CONCLUÍDA")))</f>
        <v/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28389430</v>
      </c>
      <c r="C164" s="4" t="s">
        <v>2335</v>
      </c>
      <c r="D164" s="4" t="s">
        <v>2713</v>
      </c>
      <c r="E164" s="4" t="s">
        <v>81</v>
      </c>
      <c r="F164" s="127" t="n">
        <v>46150</v>
      </c>
      <c r="G164" s="127" t="n">
        <v>46157</v>
      </c>
      <c r="H164" s="127" t="n">
        <v>46289</v>
      </c>
      <c r="I164" s="4" t="n">
        <v>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16</v>
      </c>
      <c r="N164" s="2" t="str">
        <f aca="false">IF(E164="","",IF(ISNUMBER(SEARCH("SUBSOLO",E164)),IFERROR(-VALUE(LEFT(E164,FIND("º",SUBSTITUTE(E164,"°","º"))-1)),-1),IF(LEFT(E164,6)="TÉRREO",0,IFERROR(VALUE(LEFT(E164,FIND("º",SUBSTITUTE(E164,"°","º"))-1)),""))))</f>
        <v/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2714</v>
      </c>
      <c r="S164" s="4" t="s">
        <v>189</v>
      </c>
      <c r="T164" s="4" t="s">
        <v>2715</v>
      </c>
      <c r="U164" s="4" t="s">
        <v>2305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0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28389431</v>
      </c>
      <c r="C165" s="4" t="s">
        <v>2335</v>
      </c>
      <c r="D165" s="4" t="s">
        <v>2716</v>
      </c>
      <c r="E165" s="4" t="s">
        <v>81</v>
      </c>
      <c r="F165" s="127" t="n">
        <v>46160</v>
      </c>
      <c r="G165" s="127" t="n">
        <v>46164</v>
      </c>
      <c r="H165" s="127" t="n">
        <v>46289</v>
      </c>
      <c r="I165" s="4" t="n">
        <v>0</v>
      </c>
      <c r="J165" s="4" t="n">
        <v>100</v>
      </c>
      <c r="K165" s="4" t="n">
        <v>100</v>
      </c>
      <c r="M165" s="2" t="str">
        <f aca="false">IF(C165="","",IFERROR(INDEX($S$5:$S$304,MATCH(C165,$R$5:$R$304,0))&amp;"","?"))</f>
        <v>16</v>
      </c>
      <c r="N165" s="2" t="str">
        <f aca="false">IF(E165="","",IF(ISNUMBER(SEARCH("SUBSOLO",E165)),IFERROR(-VALUE(LEFT(E165,FIND("º",SUBSTITUTE(E165,"°","º"))-1)),-1),IF(LEFT(E165,6)="TÉRREO",0,IFERROR(VALUE(LEFT(E165,FIND("º",SUBSTITUTE(E165,"°","º"))-1)),""))))</f>
        <v/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2717</v>
      </c>
      <c r="S165" s="4" t="s">
        <v>212</v>
      </c>
      <c r="T165" s="4" t="s">
        <v>2718</v>
      </c>
      <c r="U165" s="4" t="s">
        <v>2299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28389432</v>
      </c>
      <c r="C166" s="4" t="s">
        <v>2335</v>
      </c>
      <c r="D166" s="4" t="s">
        <v>2719</v>
      </c>
      <c r="E166" s="4" t="s">
        <v>81</v>
      </c>
      <c r="F166" s="127" t="n">
        <v>46160</v>
      </c>
      <c r="G166" s="127" t="n">
        <v>46164</v>
      </c>
      <c r="H166" s="127" t="n">
        <v>46289</v>
      </c>
      <c r="I166" s="4" t="n">
        <v>0</v>
      </c>
      <c r="J166" s="4" t="n">
        <v>100</v>
      </c>
      <c r="K166" s="4" t="n">
        <v>100</v>
      </c>
      <c r="M166" s="2" t="str">
        <f aca="false">IF(C166="","",IFERROR(INDEX($S$5:$S$304,MATCH(C166,$R$5:$R$304,0))&amp;"","?"))</f>
        <v>16</v>
      </c>
      <c r="N166" s="2" t="str">
        <f aca="false">IF(E166="","",IF(ISNUMBER(SEARCH("SUBSOLO",E166)),IFERROR(-VALUE(LEFT(E166,FIND("º",SUBSTITUTE(E166,"°","º"))-1)),-1),IF(LEFT(E166,6)="TÉRREO",0,IFERROR(VALUE(LEFT(E166,FIND("º",SUBSTITUTE(E166,"°","º"))-1)),""))))</f>
        <v/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2720</v>
      </c>
      <c r="S166" s="4" t="s">
        <v>185</v>
      </c>
      <c r="T166" s="4" t="s">
        <v>2721</v>
      </c>
      <c r="U166" s="4" t="s">
        <v>2299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28389433</v>
      </c>
      <c r="C167" s="4" t="s">
        <v>2335</v>
      </c>
      <c r="D167" s="4" t="s">
        <v>2722</v>
      </c>
      <c r="E167" s="4" t="s">
        <v>81</v>
      </c>
      <c r="F167" s="127" t="n">
        <v>46160</v>
      </c>
      <c r="G167" s="127" t="n">
        <v>46164</v>
      </c>
      <c r="H167" s="127" t="n">
        <v>46289</v>
      </c>
      <c r="I167" s="4" t="n">
        <v>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16</v>
      </c>
      <c r="N167" s="2" t="str">
        <f aca="false">IF(E167="","",IF(ISNUMBER(SEARCH("SUBSOLO",E167)),IFERROR(-VALUE(LEFT(E167,FIND("º",SUBSTITUTE(E167,"°","º"))-1)),-1),IF(LEFT(E167,6)="TÉRREO",0,IFERROR(VALUE(LEFT(E167,FIND("º",SUBSTITUTE(E167,"°","º"))-1)),""))))</f>
        <v/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2723</v>
      </c>
      <c r="S167" s="4" t="s">
        <v>179</v>
      </c>
      <c r="T167" s="4" t="s">
        <v>2724</v>
      </c>
      <c r="U167" s="4" t="s">
        <v>2305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28645974</v>
      </c>
      <c r="C168" s="4" t="s">
        <v>2335</v>
      </c>
      <c r="D168" s="4" t="s">
        <v>2725</v>
      </c>
      <c r="E168" s="4" t="s">
        <v>81</v>
      </c>
      <c r="F168" s="127" t="n">
        <v>46164</v>
      </c>
      <c r="G168" s="127" t="n">
        <v>46164</v>
      </c>
      <c r="H168" s="127" t="n">
        <v>46289</v>
      </c>
      <c r="I168" s="4" t="n">
        <v>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16</v>
      </c>
      <c r="N168" s="2" t="str">
        <f aca="false">IF(E168="","",IF(ISNUMBER(SEARCH("SUBSOLO",E168)),IFERROR(-VALUE(LEFT(E168,FIND("º",SUBSTITUTE(E168,"°","º"))-1)),-1),IF(LEFT(E168,6)="TÉRREO",0,IFERROR(VALUE(LEFT(E168,FIND("º",SUBSTITUTE(E168,"°","º"))-1)),""))))</f>
        <v/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2726</v>
      </c>
      <c r="S168" s="4" t="s">
        <v>205</v>
      </c>
      <c r="T168" s="4" t="s">
        <v>2727</v>
      </c>
      <c r="U168" s="4" t="s">
        <v>2305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28645975</v>
      </c>
      <c r="C169" s="4" t="s">
        <v>2335</v>
      </c>
      <c r="D169" s="4" t="s">
        <v>2728</v>
      </c>
      <c r="E169" s="4" t="s">
        <v>81</v>
      </c>
      <c r="F169" s="127" t="n">
        <v>46167</v>
      </c>
      <c r="G169" s="127" t="n">
        <v>46171</v>
      </c>
      <c r="H169" s="127" t="n">
        <v>46289</v>
      </c>
      <c r="I169" s="4" t="n">
        <v>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str">
        <f aca="false">IF(E169="","",IF(ISNUMBER(SEARCH("SUBSOLO",E169)),IFERROR(-VALUE(LEFT(E169,FIND("º",SUBSTITUTE(E169,"°","º"))-1)),-1),IF(LEFT(E169,6)="TÉRREO",0,IFERROR(VALUE(LEFT(E169,FIND("º",SUBSTITUTE(E169,"°","º"))-1)),""))))</f>
        <v/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2729</v>
      </c>
      <c r="S169" s="4" t="s">
        <v>223</v>
      </c>
      <c r="T169" s="4" t="s">
        <v>2730</v>
      </c>
      <c r="U169" s="4" t="s">
        <v>2305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28645976</v>
      </c>
      <c r="C170" s="4" t="s">
        <v>2335</v>
      </c>
      <c r="D170" s="4" t="s">
        <v>2731</v>
      </c>
      <c r="E170" s="4" t="s">
        <v>81</v>
      </c>
      <c r="F170" s="127" t="n">
        <v>46167</v>
      </c>
      <c r="G170" s="127" t="n">
        <v>46188</v>
      </c>
      <c r="H170" s="127" t="n">
        <v>46289</v>
      </c>
      <c r="I170" s="4" t="n">
        <v>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str">
        <f aca="false">IF(E170="","",IF(ISNUMBER(SEARCH("SUBSOLO",E170)),IFERROR(-VALUE(LEFT(E170,FIND("º",SUBSTITUTE(E170,"°","º"))-1)),-1),IF(LEFT(E170,6)="TÉRREO",0,IFERROR(VALUE(LEFT(E170,FIND("º",SUBSTITUTE(E170,"°","º"))-1)),""))))</f>
        <v/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2732</v>
      </c>
      <c r="S170" s="4"/>
      <c r="T170" s="4" t="s">
        <v>2733</v>
      </c>
      <c r="U170" s="4" t="s">
        <v>2299</v>
      </c>
      <c r="V170" s="2" t="n">
        <f aca="false">IF(R170="","",COUNTIF($C$5:$C$6004,R170))</f>
        <v>30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28645977</v>
      </c>
      <c r="C171" s="4" t="s">
        <v>2335</v>
      </c>
      <c r="D171" s="4" t="s">
        <v>2734</v>
      </c>
      <c r="E171" s="4" t="s">
        <v>81</v>
      </c>
      <c r="F171" s="127" t="n">
        <v>46167</v>
      </c>
      <c r="G171" s="127" t="n">
        <v>46213</v>
      </c>
      <c r="H171" s="127" t="n">
        <v>46289</v>
      </c>
      <c r="I171" s="4" t="n">
        <v>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str">
        <f aca="false">IF(E171="","",IF(ISNUMBER(SEARCH("SUBSOLO",E171)),IFERROR(-VALUE(LEFT(E171,FIND("º",SUBSTITUTE(E171,"°","º"))-1)),-1),IF(LEFT(E171,6)="TÉRREO",0,IFERROR(VALUE(LEFT(E171,FIND("º",SUBSTITUTE(E171,"°","º"))-1)),""))))</f>
        <v/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2735</v>
      </c>
      <c r="S171" s="4"/>
      <c r="T171" s="4" t="s">
        <v>2736</v>
      </c>
      <c r="U171" s="4" t="s">
        <v>2305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28645978</v>
      </c>
      <c r="C172" s="4" t="s">
        <v>2335</v>
      </c>
      <c r="D172" s="4" t="s">
        <v>2737</v>
      </c>
      <c r="E172" s="4" t="s">
        <v>81</v>
      </c>
      <c r="F172" s="127" t="n">
        <v>46213</v>
      </c>
      <c r="G172" s="127" t="n">
        <v>46213</v>
      </c>
      <c r="H172" s="127" t="n">
        <v>46289</v>
      </c>
      <c r="I172" s="4" t="n">
        <v>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str">
        <f aca="false">IF(E172="","",IF(ISNUMBER(SEARCH("SUBSOLO",E172)),IFERROR(-VALUE(LEFT(E172,FIND("º",SUBSTITUTE(E172,"°","º"))-1)),-1),IF(LEFT(E172,6)="TÉRREO",0,IFERROR(VALUE(LEFT(E172,FIND("º",SUBSTITUTE(E172,"°","º"))-1)),""))))</f>
        <v/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2738</v>
      </c>
      <c r="S172" s="4"/>
      <c r="T172" s="4" t="s">
        <v>2739</v>
      </c>
      <c r="U172" s="4" t="s">
        <v>2299</v>
      </c>
      <c r="V172" s="2" t="n">
        <f aca="false">IF(R172="","",COUNTIF($C$5:$C$6004,R172))</f>
        <v>25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45337789</v>
      </c>
      <c r="C173" s="4" t="s">
        <v>2337</v>
      </c>
      <c r="D173" s="4" t="s">
        <v>463</v>
      </c>
      <c r="E173" s="4" t="s">
        <v>2740</v>
      </c>
      <c r="F173" s="127" t="n">
        <v>46167</v>
      </c>
      <c r="G173" s="127" t="n">
        <v>46206</v>
      </c>
      <c r="H173" s="127" t="n">
        <v>46289</v>
      </c>
      <c r="I173" s="4" t="n">
        <v>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-1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2741</v>
      </c>
      <c r="S173" s="4"/>
      <c r="T173" s="4" t="s">
        <v>2742</v>
      </c>
      <c r="U173" s="4" t="s">
        <v>2305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30973779</v>
      </c>
      <c r="C174" s="4" t="s">
        <v>2337</v>
      </c>
      <c r="D174" s="4" t="s">
        <v>2743</v>
      </c>
      <c r="E174" s="4" t="s">
        <v>2740</v>
      </c>
      <c r="F174" s="127" t="n">
        <v>46167</v>
      </c>
      <c r="G174" s="127" t="n">
        <v>46171</v>
      </c>
      <c r="H174" s="127" t="n">
        <v>46289</v>
      </c>
      <c r="I174" s="4" t="n">
        <v>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-1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2744</v>
      </c>
      <c r="S174" s="4"/>
      <c r="T174" s="4" t="s">
        <v>2745</v>
      </c>
      <c r="U174" s="4" t="s">
        <v>2305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30973780</v>
      </c>
      <c r="C175" s="4" t="s">
        <v>2337</v>
      </c>
      <c r="D175" s="4" t="s">
        <v>2746</v>
      </c>
      <c r="E175" s="4" t="s">
        <v>2740</v>
      </c>
      <c r="F175" s="127" t="n">
        <v>46174</v>
      </c>
      <c r="G175" s="127" t="n">
        <v>46181</v>
      </c>
      <c r="H175" s="127" t="n">
        <v>46289</v>
      </c>
      <c r="I175" s="4" t="n">
        <v>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-1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30973781</v>
      </c>
      <c r="C176" s="4" t="s">
        <v>2337</v>
      </c>
      <c r="D176" s="4" t="s">
        <v>2747</v>
      </c>
      <c r="E176" s="4" t="s">
        <v>2740</v>
      </c>
      <c r="F176" s="127" t="n">
        <v>46182</v>
      </c>
      <c r="G176" s="127" t="n">
        <v>46195</v>
      </c>
      <c r="H176" s="127" t="n">
        <v>46289</v>
      </c>
      <c r="I176" s="4" t="n">
        <v>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-1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30973782</v>
      </c>
      <c r="C177" s="4" t="s">
        <v>2337</v>
      </c>
      <c r="D177" s="4" t="s">
        <v>2748</v>
      </c>
      <c r="E177" s="4" t="s">
        <v>2740</v>
      </c>
      <c r="F177" s="127" t="n">
        <v>46196</v>
      </c>
      <c r="G177" s="127" t="n">
        <v>46199</v>
      </c>
      <c r="H177" s="127" t="n">
        <v>46289</v>
      </c>
      <c r="I177" s="4" t="n">
        <v>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-1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30973791</v>
      </c>
      <c r="C178" s="4" t="s">
        <v>2337</v>
      </c>
      <c r="D178" s="4" t="s">
        <v>2749</v>
      </c>
      <c r="E178" s="4" t="s">
        <v>2740</v>
      </c>
      <c r="F178" s="127" t="n">
        <v>46202</v>
      </c>
      <c r="G178" s="127" t="n">
        <v>46206</v>
      </c>
      <c r="H178" s="127" t="n">
        <v>46289</v>
      </c>
      <c r="I178" s="4" t="n">
        <v>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-1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44503963</v>
      </c>
      <c r="C179" s="4" t="s">
        <v>2339</v>
      </c>
      <c r="D179" s="4" t="s">
        <v>463</v>
      </c>
      <c r="E179" s="4" t="s">
        <v>81</v>
      </c>
      <c r="F179" s="127" t="n">
        <v>46174</v>
      </c>
      <c r="G179" s="127" t="n">
        <v>46213</v>
      </c>
      <c r="H179" s="127" t="n">
        <v>46289</v>
      </c>
      <c r="I179" s="4" t="n">
        <v>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str">
        <f aca="false">IF(E179="","",IF(ISNUMBER(SEARCH("SUBSOLO",E179)),IFERROR(-VALUE(LEFT(E179,FIND("º",SUBSTITUTE(E179,"°","º"))-1)),-1),IF(LEFT(E179,6)="TÉRREO",0,IFERROR(VALUE(LEFT(E179,FIND("º",SUBSTITUTE(E179,"°","º"))-1)),""))))</f>
        <v/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28389436</v>
      </c>
      <c r="C180" s="4" t="s">
        <v>2339</v>
      </c>
      <c r="D180" s="4" t="s">
        <v>2750</v>
      </c>
      <c r="E180" s="4" t="s">
        <v>81</v>
      </c>
      <c r="F180" s="127" t="n">
        <v>46174</v>
      </c>
      <c r="G180" s="127" t="n">
        <v>46184</v>
      </c>
      <c r="H180" s="127" t="n">
        <v>46289</v>
      </c>
      <c r="I180" s="4" t="n">
        <v>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str">
        <f aca="false">IF(E180="","",IF(ISNUMBER(SEARCH("SUBSOLO",E180)),IFERROR(-VALUE(LEFT(E180,FIND("º",SUBSTITUTE(E180,"°","º"))-1)),-1),IF(LEFT(E180,6)="TÉRREO",0,IFERROR(VALUE(LEFT(E180,FIND("º",SUBSTITUTE(E180,"°","º"))-1)),""))))</f>
        <v/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28389437</v>
      </c>
      <c r="C181" s="4" t="s">
        <v>2339</v>
      </c>
      <c r="D181" s="4" t="s">
        <v>2751</v>
      </c>
      <c r="E181" s="4" t="s">
        <v>81</v>
      </c>
      <c r="F181" s="127" t="n">
        <v>46185</v>
      </c>
      <c r="G181" s="127" t="n">
        <v>46192</v>
      </c>
      <c r="H181" s="127" t="n">
        <v>46289</v>
      </c>
      <c r="I181" s="4" t="n">
        <v>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16</v>
      </c>
      <c r="N181" s="2" t="str">
        <f aca="false">IF(E181="","",IF(ISNUMBER(SEARCH("SUBSOLO",E181)),IFERROR(-VALUE(LEFT(E181,FIND("º",SUBSTITUTE(E181,"°","º"))-1)),-1),IF(LEFT(E181,6)="TÉRREO",0,IFERROR(VALUE(LEFT(E181,FIND("º",SUBSTITUTE(E181,"°","º"))-1)),""))))</f>
        <v/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28389438</v>
      </c>
      <c r="C182" s="4" t="s">
        <v>2339</v>
      </c>
      <c r="D182" s="4" t="s">
        <v>2752</v>
      </c>
      <c r="E182" s="4" t="s">
        <v>81</v>
      </c>
      <c r="F182" s="127" t="n">
        <v>46185</v>
      </c>
      <c r="G182" s="127" t="n">
        <v>46188</v>
      </c>
      <c r="H182" s="127" t="n">
        <v>46289</v>
      </c>
      <c r="I182" s="4" t="n">
        <v>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16</v>
      </c>
      <c r="N182" s="2" t="str">
        <f aca="false">IF(E182="","",IF(ISNUMBER(SEARCH("SUBSOLO",E182)),IFERROR(-VALUE(LEFT(E182,FIND("º",SUBSTITUTE(E182,"°","º"))-1)),-1),IF(LEFT(E182,6)="TÉRREO",0,IFERROR(VALUE(LEFT(E182,FIND("º",SUBSTITUTE(E182,"°","º"))-1)),""))))</f>
        <v/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28389439</v>
      </c>
      <c r="C183" s="4" t="s">
        <v>2339</v>
      </c>
      <c r="D183" s="4" t="s">
        <v>2753</v>
      </c>
      <c r="E183" s="4" t="s">
        <v>81</v>
      </c>
      <c r="F183" s="127" t="n">
        <v>46189</v>
      </c>
      <c r="G183" s="127" t="n">
        <v>46192</v>
      </c>
      <c r="H183" s="127" t="n">
        <v>46289</v>
      </c>
      <c r="I183" s="4" t="n">
        <v>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16</v>
      </c>
      <c r="N183" s="2" t="str">
        <f aca="false">IF(E183="","",IF(ISNUMBER(SEARCH("SUBSOLO",E183)),IFERROR(-VALUE(LEFT(E183,FIND("º",SUBSTITUTE(E183,"°","º"))-1)),-1),IF(LEFT(E183,6)="TÉRREO",0,IFERROR(VALUE(LEFT(E183,FIND("º",SUBSTITUTE(E183,"°","º"))-1)),""))))</f>
        <v/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28389440</v>
      </c>
      <c r="C184" s="4" t="s">
        <v>2339</v>
      </c>
      <c r="D184" s="4" t="s">
        <v>2754</v>
      </c>
      <c r="E184" s="4" t="s">
        <v>81</v>
      </c>
      <c r="F184" s="127" t="n">
        <v>46192</v>
      </c>
      <c r="G184" s="127" t="n">
        <v>46192</v>
      </c>
      <c r="H184" s="127" t="n">
        <v>46289</v>
      </c>
      <c r="I184" s="4" t="n">
        <v>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16</v>
      </c>
      <c r="N184" s="2" t="str">
        <f aca="false">IF(E184="","",IF(ISNUMBER(SEARCH("SUBSOLO",E184)),IFERROR(-VALUE(LEFT(E184,FIND("º",SUBSTITUTE(E184,"°","º"))-1)),-1),IF(LEFT(E184,6)="TÉRREO",0,IFERROR(VALUE(LEFT(E184,FIND("º",SUBSTITUTE(E184,"°","º"))-1)),""))))</f>
        <v/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28645979</v>
      </c>
      <c r="C185" s="4" t="s">
        <v>2339</v>
      </c>
      <c r="D185" s="4" t="s">
        <v>2755</v>
      </c>
      <c r="E185" s="4" t="s">
        <v>81</v>
      </c>
      <c r="F185" s="127" t="n">
        <v>46195</v>
      </c>
      <c r="G185" s="127" t="n">
        <v>46206</v>
      </c>
      <c r="H185" s="127" t="n">
        <v>46289</v>
      </c>
      <c r="I185" s="4" t="n">
        <v>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16</v>
      </c>
      <c r="N185" s="2" t="str">
        <f aca="false">IF(E185="","",IF(ISNUMBER(SEARCH("SUBSOLO",E185)),IFERROR(-VALUE(LEFT(E185,FIND("º",SUBSTITUTE(E185,"°","º"))-1)),-1),IF(LEFT(E185,6)="TÉRREO",0,IFERROR(VALUE(LEFT(E185,FIND("º",SUBSTITUTE(E185,"°","º"))-1)),""))))</f>
        <v/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28645980</v>
      </c>
      <c r="C186" s="4" t="s">
        <v>2339</v>
      </c>
      <c r="D186" s="4" t="s">
        <v>2756</v>
      </c>
      <c r="E186" s="4" t="s">
        <v>81</v>
      </c>
      <c r="F186" s="127" t="n">
        <v>46209</v>
      </c>
      <c r="G186" s="127" t="n">
        <v>46213</v>
      </c>
      <c r="H186" s="127" t="n">
        <v>46289</v>
      </c>
      <c r="I186" s="4" t="n">
        <v>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16</v>
      </c>
      <c r="N186" s="2" t="str">
        <f aca="false">IF(E186="","",IF(ISNUMBER(SEARCH("SUBSOLO",E186)),IFERROR(-VALUE(LEFT(E186,FIND("º",SUBSTITUTE(E186,"°","º"))-1)),-1),IF(LEFT(E186,6)="TÉRREO",0,IFERROR(VALUE(LEFT(E186,FIND("º",SUBSTITUTE(E186,"°","º"))-1)),""))))</f>
        <v/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29933276</v>
      </c>
      <c r="C187" s="4" t="s">
        <v>2341</v>
      </c>
      <c r="D187" s="4" t="s">
        <v>463</v>
      </c>
      <c r="E187" s="4" t="s">
        <v>2757</v>
      </c>
      <c r="F187" s="127" t="n">
        <v>46188</v>
      </c>
      <c r="G187" s="127" t="n">
        <v>46260</v>
      </c>
      <c r="H187" s="127" t="n">
        <v>46289</v>
      </c>
      <c r="I187" s="4" t="n">
        <v>100</v>
      </c>
      <c r="J187" s="4" t="n">
        <v>100</v>
      </c>
      <c r="K187" s="4" t="n">
        <v>82.73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0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31529120</v>
      </c>
      <c r="C188" s="4" t="s">
        <v>2341</v>
      </c>
      <c r="D188" s="4" t="s">
        <v>2312</v>
      </c>
      <c r="E188" s="4" t="s">
        <v>2757</v>
      </c>
      <c r="F188" s="127" t="n">
        <v>46188</v>
      </c>
      <c r="G188" s="127" t="n">
        <v>46234</v>
      </c>
      <c r="H188" s="127" t="n">
        <v>46289</v>
      </c>
      <c r="I188" s="4" t="n">
        <v>0</v>
      </c>
      <c r="J188" s="4" t="n">
        <v>100</v>
      </c>
      <c r="K188" s="4" t="n">
        <v>82.73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0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31529121</v>
      </c>
      <c r="C189" s="4" t="s">
        <v>2341</v>
      </c>
      <c r="D189" s="4" t="s">
        <v>2309</v>
      </c>
      <c r="E189" s="4" t="s">
        <v>2757</v>
      </c>
      <c r="F189" s="127" t="n">
        <v>46237</v>
      </c>
      <c r="G189" s="127" t="n">
        <v>46255</v>
      </c>
      <c r="H189" s="127" t="n">
        <v>46289</v>
      </c>
      <c r="I189" s="4" t="n">
        <v>0</v>
      </c>
      <c r="J189" s="4" t="n">
        <v>100</v>
      </c>
      <c r="K189" s="4" t="n">
        <v>82.73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0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31529122</v>
      </c>
      <c r="C190" s="4" t="s">
        <v>2341</v>
      </c>
      <c r="D190" s="4" t="s">
        <v>2314</v>
      </c>
      <c r="E190" s="4" t="s">
        <v>2757</v>
      </c>
      <c r="F190" s="127" t="n">
        <v>46258</v>
      </c>
      <c r="G190" s="127" t="n">
        <v>46260</v>
      </c>
      <c r="H190" s="127" t="n">
        <v>46289</v>
      </c>
      <c r="I190" s="4" t="n">
        <v>0</v>
      </c>
      <c r="J190" s="4" t="n">
        <v>100</v>
      </c>
      <c r="K190" s="4" t="n">
        <v>82.73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0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31529123</v>
      </c>
      <c r="C191" s="4" t="s">
        <v>2341</v>
      </c>
      <c r="D191" s="4" t="s">
        <v>2758</v>
      </c>
      <c r="E191" s="4" t="s">
        <v>2757</v>
      </c>
      <c r="F191" s="127" t="n">
        <v>46258</v>
      </c>
      <c r="G191" s="127" t="n">
        <v>46260</v>
      </c>
      <c r="H191" s="127" t="n">
        <v>46289</v>
      </c>
      <c r="I191" s="4" t="n">
        <v>0</v>
      </c>
      <c r="J191" s="4" t="n">
        <v>100</v>
      </c>
      <c r="K191" s="4" t="n">
        <v>82.73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0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44503964</v>
      </c>
      <c r="C192" s="4" t="s">
        <v>2343</v>
      </c>
      <c r="D192" s="4" t="s">
        <v>463</v>
      </c>
      <c r="E192" s="4" t="s">
        <v>81</v>
      </c>
      <c r="F192" s="127" t="n">
        <v>46189</v>
      </c>
      <c r="G192" s="127" t="n">
        <v>46220</v>
      </c>
      <c r="H192" s="127" t="n">
        <v>46289</v>
      </c>
      <c r="I192" s="4" t="n">
        <v>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16</v>
      </c>
      <c r="N192" s="2" t="str">
        <f aca="false">IF(E192="","",IF(ISNUMBER(SEARCH("SUBSOLO",E192)),IFERROR(-VALUE(LEFT(E192,FIND("º",SUBSTITUTE(E192,"°","º"))-1)),-1),IF(LEFT(E192,6)="TÉRREO",0,IFERROR(VALUE(LEFT(E192,FIND("º",SUBSTITUTE(E192,"°","º"))-1)),""))))</f>
        <v/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28389441</v>
      </c>
      <c r="C193" s="4" t="s">
        <v>2343</v>
      </c>
      <c r="D193" s="4" t="s">
        <v>2759</v>
      </c>
      <c r="E193" s="4" t="s">
        <v>81</v>
      </c>
      <c r="F193" s="127" t="n">
        <v>46189</v>
      </c>
      <c r="G193" s="127" t="n">
        <v>46195</v>
      </c>
      <c r="H193" s="127" t="n">
        <v>46289</v>
      </c>
      <c r="I193" s="4" t="n">
        <v>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16</v>
      </c>
      <c r="N193" s="2" t="str">
        <f aca="false">IF(E193="","",IF(ISNUMBER(SEARCH("SUBSOLO",E193)),IFERROR(-VALUE(LEFT(E193,FIND("º",SUBSTITUTE(E193,"°","º"))-1)),-1),IF(LEFT(E193,6)="TÉRREO",0,IFERROR(VALUE(LEFT(E193,FIND("º",SUBSTITUTE(E193,"°","º"))-1)),""))))</f>
        <v/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28389442</v>
      </c>
      <c r="C194" s="4" t="s">
        <v>2343</v>
      </c>
      <c r="D194" s="4" t="s">
        <v>2760</v>
      </c>
      <c r="E194" s="4" t="s">
        <v>81</v>
      </c>
      <c r="F194" s="127" t="n">
        <v>46196</v>
      </c>
      <c r="G194" s="127" t="n">
        <v>46202</v>
      </c>
      <c r="H194" s="127" t="n">
        <v>46289</v>
      </c>
      <c r="I194" s="4" t="n">
        <v>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16</v>
      </c>
      <c r="N194" s="2" t="str">
        <f aca="false">IF(E194="","",IF(ISNUMBER(SEARCH("SUBSOLO",E194)),IFERROR(-VALUE(LEFT(E194,FIND("º",SUBSTITUTE(E194,"°","º"))-1)),-1),IF(LEFT(E194,6)="TÉRREO",0,IFERROR(VALUE(LEFT(E194,FIND("º",SUBSTITUTE(E194,"°","º"))-1)),""))))</f>
        <v/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28389443</v>
      </c>
      <c r="C195" s="4" t="s">
        <v>2343</v>
      </c>
      <c r="D195" s="4" t="s">
        <v>2761</v>
      </c>
      <c r="E195" s="4" t="s">
        <v>81</v>
      </c>
      <c r="F195" s="127" t="n">
        <v>46196</v>
      </c>
      <c r="G195" s="127" t="n">
        <v>46202</v>
      </c>
      <c r="H195" s="127" t="n">
        <v>46289</v>
      </c>
      <c r="I195" s="4" t="n">
        <v>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16</v>
      </c>
      <c r="N195" s="2" t="str">
        <f aca="false">IF(E195="","",IF(ISNUMBER(SEARCH("SUBSOLO",E195)),IFERROR(-VALUE(LEFT(E195,FIND("º",SUBSTITUTE(E195,"°","º"))-1)),-1),IF(LEFT(E195,6)="TÉRREO",0,IFERROR(VALUE(LEFT(E195,FIND("º",SUBSTITUTE(E195,"°","º"))-1)),""))))</f>
        <v/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28389444</v>
      </c>
      <c r="C196" s="4" t="s">
        <v>2343</v>
      </c>
      <c r="D196" s="4" t="s">
        <v>2762</v>
      </c>
      <c r="E196" s="4" t="s">
        <v>81</v>
      </c>
      <c r="F196" s="127" t="n">
        <v>46203</v>
      </c>
      <c r="G196" s="127" t="n">
        <v>46209</v>
      </c>
      <c r="H196" s="127" t="n">
        <v>46289</v>
      </c>
      <c r="I196" s="4" t="n">
        <v>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16</v>
      </c>
      <c r="N196" s="2" t="str">
        <f aca="false">IF(E196="","",IF(ISNUMBER(SEARCH("SUBSOLO",E196)),IFERROR(-VALUE(LEFT(E196,FIND("º",SUBSTITUTE(E196,"°","º"))-1)),-1),IF(LEFT(E196,6)="TÉRREO",0,IFERROR(VALUE(LEFT(E196,FIND("º",SUBSTITUTE(E196,"°","º"))-1)),""))))</f>
        <v/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28389445</v>
      </c>
      <c r="C197" s="4" t="s">
        <v>2343</v>
      </c>
      <c r="D197" s="4" t="s">
        <v>2763</v>
      </c>
      <c r="E197" s="4" t="s">
        <v>81</v>
      </c>
      <c r="F197" s="127" t="n">
        <v>46203</v>
      </c>
      <c r="G197" s="127" t="n">
        <v>46209</v>
      </c>
      <c r="H197" s="127" t="n">
        <v>46289</v>
      </c>
      <c r="I197" s="4" t="n">
        <v>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16</v>
      </c>
      <c r="N197" s="2" t="str">
        <f aca="false">IF(E197="","",IF(ISNUMBER(SEARCH("SUBSOLO",E197)),IFERROR(-VALUE(LEFT(E197,FIND("º",SUBSTITUTE(E197,"°","º"))-1)),-1),IF(LEFT(E197,6)="TÉRREO",0,IFERROR(VALUE(LEFT(E197,FIND("º",SUBSTITUTE(E197,"°","º"))-1)),""))))</f>
        <v/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28645982</v>
      </c>
      <c r="C198" s="4" t="s">
        <v>2343</v>
      </c>
      <c r="D198" s="4" t="s">
        <v>2764</v>
      </c>
      <c r="E198" s="4" t="s">
        <v>81</v>
      </c>
      <c r="F198" s="127" t="n">
        <v>46203</v>
      </c>
      <c r="G198" s="127" t="n">
        <v>46209</v>
      </c>
      <c r="H198" s="127" t="n">
        <v>46289</v>
      </c>
      <c r="I198" s="4" t="n">
        <v>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16</v>
      </c>
      <c r="N198" s="2" t="str">
        <f aca="false">IF(E198="","",IF(ISNUMBER(SEARCH("SUBSOLO",E198)),IFERROR(-VALUE(LEFT(E198,FIND("º",SUBSTITUTE(E198,"°","º"))-1)),-1),IF(LEFT(E198,6)="TÉRREO",0,IFERROR(VALUE(LEFT(E198,FIND("º",SUBSTITUTE(E198,"°","º"))-1)),""))))</f>
        <v/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28645983</v>
      </c>
      <c r="C199" s="4" t="s">
        <v>2343</v>
      </c>
      <c r="D199" s="4" t="s">
        <v>2765</v>
      </c>
      <c r="E199" s="4" t="s">
        <v>81</v>
      </c>
      <c r="F199" s="127" t="n">
        <v>46209</v>
      </c>
      <c r="G199" s="127" t="n">
        <v>46209</v>
      </c>
      <c r="H199" s="127" t="n">
        <v>46289</v>
      </c>
      <c r="I199" s="4" t="n">
        <v>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16</v>
      </c>
      <c r="N199" s="2" t="str">
        <f aca="false">IF(E199="","",IF(ISNUMBER(SEARCH("SUBSOLO",E199)),IFERROR(-VALUE(LEFT(E199,FIND("º",SUBSTITUTE(E199,"°","º"))-1)),-1),IF(LEFT(E199,6)="TÉRREO",0,IFERROR(VALUE(LEFT(E199,FIND("º",SUBSTITUTE(E199,"°","º"))-1)),""))))</f>
        <v/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28645984</v>
      </c>
      <c r="C200" s="4" t="s">
        <v>2343</v>
      </c>
      <c r="D200" s="4" t="s">
        <v>2766</v>
      </c>
      <c r="E200" s="4" t="s">
        <v>81</v>
      </c>
      <c r="F200" s="127" t="n">
        <v>46210</v>
      </c>
      <c r="G200" s="127" t="n">
        <v>46216</v>
      </c>
      <c r="H200" s="127" t="n">
        <v>46289</v>
      </c>
      <c r="I200" s="4" t="n">
        <v>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16</v>
      </c>
      <c r="N200" s="2" t="str">
        <f aca="false">IF(E200="","",IF(ISNUMBER(SEARCH("SUBSOLO",E200)),IFERROR(-VALUE(LEFT(E200,FIND("º",SUBSTITUTE(E200,"°","º"))-1)),-1),IF(LEFT(E200,6)="TÉRREO",0,IFERROR(VALUE(LEFT(E200,FIND("º",SUBSTITUTE(E200,"°","º"))-1)),""))))</f>
        <v/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28645985</v>
      </c>
      <c r="C201" s="4" t="s">
        <v>2343</v>
      </c>
      <c r="D201" s="4" t="s">
        <v>2767</v>
      </c>
      <c r="E201" s="4" t="s">
        <v>81</v>
      </c>
      <c r="F201" s="127" t="n">
        <v>46210</v>
      </c>
      <c r="G201" s="127" t="n">
        <v>46220</v>
      </c>
      <c r="H201" s="127" t="n">
        <v>46289</v>
      </c>
      <c r="I201" s="4" t="n">
        <v>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16</v>
      </c>
      <c r="N201" s="2" t="str">
        <f aca="false">IF(E201="","",IF(ISNUMBER(SEARCH("SUBSOLO",E201)),IFERROR(-VALUE(LEFT(E201,FIND("º",SUBSTITUTE(E201,"°","º"))-1)),-1),IF(LEFT(E201,6)="TÉRREO",0,IFERROR(VALUE(LEFT(E201,FIND("º",SUBSTITUTE(E201,"°","º"))-1)),""))))</f>
        <v/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28645986</v>
      </c>
      <c r="C202" s="4" t="s">
        <v>2343</v>
      </c>
      <c r="D202" s="4" t="s">
        <v>2768</v>
      </c>
      <c r="E202" s="4" t="s">
        <v>81</v>
      </c>
      <c r="F202" s="127" t="n">
        <v>46220</v>
      </c>
      <c r="G202" s="127" t="n">
        <v>46220</v>
      </c>
      <c r="H202" s="127" t="n">
        <v>46289</v>
      </c>
      <c r="I202" s="4" t="n">
        <v>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16</v>
      </c>
      <c r="N202" s="2" t="str">
        <f aca="false">IF(E202="","",IF(ISNUMBER(SEARCH("SUBSOLO",E202)),IFERROR(-VALUE(LEFT(E202,FIND("º",SUBSTITUTE(E202,"°","º"))-1)),-1),IF(LEFT(E202,6)="TÉRREO",0,IFERROR(VALUE(LEFT(E202,FIND("º",SUBSTITUTE(E202,"°","º"))-1)),""))))</f>
        <v/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44503965</v>
      </c>
      <c r="C203" s="4" t="s">
        <v>2346</v>
      </c>
      <c r="D203" s="4" t="s">
        <v>463</v>
      </c>
      <c r="E203" s="4" t="s">
        <v>81</v>
      </c>
      <c r="F203" s="127" t="n">
        <v>46206</v>
      </c>
      <c r="G203" s="127" t="n">
        <v>46220</v>
      </c>
      <c r="H203" s="127" t="n">
        <v>46289</v>
      </c>
      <c r="I203" s="4" t="n">
        <v>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16</v>
      </c>
      <c r="N203" s="2" t="str">
        <f aca="false">IF(E203="","",IF(ISNUMBER(SEARCH("SUBSOLO",E203)),IFERROR(-VALUE(LEFT(E203,FIND("º",SUBSTITUTE(E203,"°","º"))-1)),-1),IF(LEFT(E203,6)="TÉRREO",0,IFERROR(VALUE(LEFT(E203,FIND("º",SUBSTITUTE(E203,"°","º"))-1)),""))))</f>
        <v/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28389446</v>
      </c>
      <c r="C204" s="4" t="s">
        <v>2346</v>
      </c>
      <c r="D204" s="4" t="s">
        <v>2769</v>
      </c>
      <c r="E204" s="4" t="s">
        <v>81</v>
      </c>
      <c r="F204" s="127" t="n">
        <v>46206</v>
      </c>
      <c r="G204" s="127" t="n">
        <v>46212</v>
      </c>
      <c r="H204" s="127" t="n">
        <v>46289</v>
      </c>
      <c r="I204" s="4" t="n">
        <v>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16</v>
      </c>
      <c r="N204" s="2" t="str">
        <f aca="false">IF(E204="","",IF(ISNUMBER(SEARCH("SUBSOLO",E204)),IFERROR(-VALUE(LEFT(E204,FIND("º",SUBSTITUTE(E204,"°","º"))-1)),-1),IF(LEFT(E204,6)="TÉRREO",0,IFERROR(VALUE(LEFT(E204,FIND("º",SUBSTITUTE(E204,"°","º"))-1)),""))))</f>
        <v/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28389447</v>
      </c>
      <c r="C205" s="4" t="s">
        <v>2346</v>
      </c>
      <c r="D205" s="4" t="s">
        <v>2770</v>
      </c>
      <c r="E205" s="4" t="s">
        <v>81</v>
      </c>
      <c r="F205" s="127" t="n">
        <v>46213</v>
      </c>
      <c r="G205" s="127" t="n">
        <v>46219</v>
      </c>
      <c r="H205" s="127" t="n">
        <v>46289</v>
      </c>
      <c r="I205" s="4" t="n">
        <v>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16</v>
      </c>
      <c r="N205" s="2" t="str">
        <f aca="false">IF(E205="","",IF(ISNUMBER(SEARCH("SUBSOLO",E205)),IFERROR(-VALUE(LEFT(E205,FIND("º",SUBSTITUTE(E205,"°","º"))-1)),-1),IF(LEFT(E205,6)="TÉRREO",0,IFERROR(VALUE(LEFT(E205,FIND("º",SUBSTITUTE(E205,"°","º"))-1)),""))))</f>
        <v/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28389448</v>
      </c>
      <c r="C206" s="4" t="s">
        <v>2346</v>
      </c>
      <c r="D206" s="4" t="s">
        <v>2771</v>
      </c>
      <c r="E206" s="4" t="s">
        <v>81</v>
      </c>
      <c r="F206" s="127" t="n">
        <v>46213</v>
      </c>
      <c r="G206" s="127" t="n">
        <v>46219</v>
      </c>
      <c r="H206" s="127" t="n">
        <v>46289</v>
      </c>
      <c r="I206" s="4" t="n">
        <v>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16</v>
      </c>
      <c r="N206" s="2" t="str">
        <f aca="false">IF(E206="","",IF(ISNUMBER(SEARCH("SUBSOLO",E206)),IFERROR(-VALUE(LEFT(E206,FIND("º",SUBSTITUTE(E206,"°","º"))-1)),-1),IF(LEFT(E206,6)="TÉRREO",0,IFERROR(VALUE(LEFT(E206,FIND("º",SUBSTITUTE(E206,"°","º"))-1)),""))))</f>
        <v/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28389449</v>
      </c>
      <c r="C207" s="4" t="s">
        <v>2346</v>
      </c>
      <c r="D207" s="4" t="s">
        <v>2772</v>
      </c>
      <c r="E207" s="4" t="s">
        <v>81</v>
      </c>
      <c r="F207" s="127" t="n">
        <v>46213</v>
      </c>
      <c r="G207" s="127" t="n">
        <v>46219</v>
      </c>
      <c r="H207" s="127" t="n">
        <v>46289</v>
      </c>
      <c r="I207" s="4" t="n">
        <v>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16</v>
      </c>
      <c r="N207" s="2" t="str">
        <f aca="false">IF(E207="","",IF(ISNUMBER(SEARCH("SUBSOLO",E207)),IFERROR(-VALUE(LEFT(E207,FIND("º",SUBSTITUTE(E207,"°","º"))-1)),-1),IF(LEFT(E207,6)="TÉRREO",0,IFERROR(VALUE(LEFT(E207,FIND("º",SUBSTITUTE(E207,"°","º"))-1)),""))))</f>
        <v/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28389450</v>
      </c>
      <c r="C208" s="4" t="s">
        <v>2346</v>
      </c>
      <c r="D208" s="4" t="s">
        <v>2773</v>
      </c>
      <c r="E208" s="4" t="s">
        <v>81</v>
      </c>
      <c r="F208" s="127" t="n">
        <v>46220</v>
      </c>
      <c r="G208" s="127" t="n">
        <v>46220</v>
      </c>
      <c r="H208" s="127" t="n">
        <v>46289</v>
      </c>
      <c r="I208" s="4" t="n">
        <v>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16</v>
      </c>
      <c r="N208" s="2" t="str">
        <f aca="false">IF(E208="","",IF(ISNUMBER(SEARCH("SUBSOLO",E208)),IFERROR(-VALUE(LEFT(E208,FIND("º",SUBSTITUTE(E208,"°","º"))-1)),-1),IF(LEFT(E208,6)="TÉRREO",0,IFERROR(VALUE(LEFT(E208,FIND("º",SUBSTITUTE(E208,"°","º"))-1)),""))))</f>
        <v/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48913812</v>
      </c>
      <c r="C209" s="4" t="s">
        <v>2349</v>
      </c>
      <c r="D209" s="4" t="s">
        <v>463</v>
      </c>
      <c r="E209" s="4" t="s">
        <v>2757</v>
      </c>
      <c r="F209" s="127" t="n">
        <v>46216</v>
      </c>
      <c r="G209" s="127" t="n">
        <v>46251</v>
      </c>
      <c r="H209" s="127" t="n">
        <v>46289</v>
      </c>
      <c r="I209" s="4" t="n">
        <v>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0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31924965</v>
      </c>
      <c r="C210" s="4" t="s">
        <v>2349</v>
      </c>
      <c r="D210" s="4" t="s">
        <v>2774</v>
      </c>
      <c r="E210" s="4" t="s">
        <v>2757</v>
      </c>
      <c r="F210" s="127" t="n">
        <v>46216</v>
      </c>
      <c r="G210" s="127" t="n">
        <v>46219</v>
      </c>
      <c r="H210" s="127" t="n">
        <v>46289</v>
      </c>
      <c r="I210" s="4" t="n">
        <v>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0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31924966</v>
      </c>
      <c r="C211" s="4" t="s">
        <v>2349</v>
      </c>
      <c r="D211" s="4" t="s">
        <v>2775</v>
      </c>
      <c r="E211" s="4" t="s">
        <v>2757</v>
      </c>
      <c r="F211" s="127" t="n">
        <v>46220</v>
      </c>
      <c r="G211" s="127" t="n">
        <v>46245</v>
      </c>
      <c r="H211" s="127" t="n">
        <v>46289</v>
      </c>
      <c r="I211" s="4" t="n">
        <v>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0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31924967</v>
      </c>
      <c r="C212" s="4" t="s">
        <v>2349</v>
      </c>
      <c r="D212" s="4" t="s">
        <v>2776</v>
      </c>
      <c r="E212" s="4" t="s">
        <v>2757</v>
      </c>
      <c r="F212" s="127" t="n">
        <v>46225</v>
      </c>
      <c r="G212" s="127" t="n">
        <v>46231</v>
      </c>
      <c r="H212" s="127" t="n">
        <v>46289</v>
      </c>
      <c r="I212" s="4" t="n">
        <v>0</v>
      </c>
      <c r="J212" s="4" t="n">
        <v>100</v>
      </c>
      <c r="K212" s="4" t="n">
        <v>100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0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31924968</v>
      </c>
      <c r="C213" s="4" t="s">
        <v>2349</v>
      </c>
      <c r="D213" s="4" t="s">
        <v>2777</v>
      </c>
      <c r="E213" s="4" t="s">
        <v>2757</v>
      </c>
      <c r="F213" s="127" t="n">
        <v>46240</v>
      </c>
      <c r="G213" s="127" t="n">
        <v>46248</v>
      </c>
      <c r="H213" s="127" t="n">
        <v>46289</v>
      </c>
      <c r="I213" s="4" t="n">
        <v>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0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31924976</v>
      </c>
      <c r="C214" s="4" t="s">
        <v>2349</v>
      </c>
      <c r="D214" s="4" t="s">
        <v>2778</v>
      </c>
      <c r="E214" s="4" t="s">
        <v>2757</v>
      </c>
      <c r="F214" s="127" t="n">
        <v>46251</v>
      </c>
      <c r="G214" s="127" t="n">
        <v>46251</v>
      </c>
      <c r="H214" s="127" t="n">
        <v>46289</v>
      </c>
      <c r="I214" s="4" t="n">
        <v>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0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48913806</v>
      </c>
      <c r="C215" s="4" t="s">
        <v>2352</v>
      </c>
      <c r="D215" s="4" t="s">
        <v>463</v>
      </c>
      <c r="E215" s="4" t="s">
        <v>2757</v>
      </c>
      <c r="F215" s="127" t="n">
        <v>46224</v>
      </c>
      <c r="G215" s="127" t="n">
        <v>46241</v>
      </c>
      <c r="H215" s="127" t="n">
        <v>46289</v>
      </c>
      <c r="I215" s="4" t="n">
        <v>0</v>
      </c>
      <c r="J215" s="4" t="n">
        <v>100</v>
      </c>
      <c r="K215" s="4" t="n">
        <v>100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0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31924960</v>
      </c>
      <c r="C216" s="4" t="s">
        <v>2352</v>
      </c>
      <c r="D216" s="4" t="s">
        <v>2779</v>
      </c>
      <c r="E216" s="4" t="s">
        <v>2757</v>
      </c>
      <c r="F216" s="127" t="n">
        <v>46224</v>
      </c>
      <c r="G216" s="127" t="n">
        <v>46230</v>
      </c>
      <c r="H216" s="127" t="n">
        <v>46289</v>
      </c>
      <c r="I216" s="4" t="n">
        <v>0</v>
      </c>
      <c r="J216" s="4" t="n">
        <v>100</v>
      </c>
      <c r="K216" s="4" t="n">
        <v>100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0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31924961</v>
      </c>
      <c r="C217" s="4" t="s">
        <v>2352</v>
      </c>
      <c r="D217" s="4" t="s">
        <v>2775</v>
      </c>
      <c r="E217" s="4" t="s">
        <v>2757</v>
      </c>
      <c r="F217" s="127" t="n">
        <v>46231</v>
      </c>
      <c r="G217" s="127" t="n">
        <v>46237</v>
      </c>
      <c r="H217" s="127" t="n">
        <v>46289</v>
      </c>
      <c r="I217" s="4" t="n">
        <v>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0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31924962</v>
      </c>
      <c r="C218" s="4" t="s">
        <v>2352</v>
      </c>
      <c r="D218" s="4" t="s">
        <v>2776</v>
      </c>
      <c r="E218" s="4" t="s">
        <v>2757</v>
      </c>
      <c r="F218" s="127" t="n">
        <v>46231</v>
      </c>
      <c r="G218" s="127" t="n">
        <v>46233</v>
      </c>
      <c r="H218" s="127" t="n">
        <v>46289</v>
      </c>
      <c r="I218" s="4" t="n">
        <v>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0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31924963</v>
      </c>
      <c r="C219" s="4" t="s">
        <v>2352</v>
      </c>
      <c r="D219" s="4" t="s">
        <v>2777</v>
      </c>
      <c r="E219" s="4" t="s">
        <v>2757</v>
      </c>
      <c r="F219" s="127" t="n">
        <v>46234</v>
      </c>
      <c r="G219" s="127" t="n">
        <v>46240</v>
      </c>
      <c r="H219" s="127" t="n">
        <v>46289</v>
      </c>
      <c r="I219" s="4" t="n">
        <v>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0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31924964</v>
      </c>
      <c r="C220" s="4" t="s">
        <v>2352</v>
      </c>
      <c r="D220" s="4" t="s">
        <v>2778</v>
      </c>
      <c r="E220" s="4" t="s">
        <v>2757</v>
      </c>
      <c r="F220" s="127" t="n">
        <v>46241</v>
      </c>
      <c r="G220" s="127" t="n">
        <v>46241</v>
      </c>
      <c r="H220" s="127" t="n">
        <v>46289</v>
      </c>
      <c r="I220" s="4" t="n">
        <v>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0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48916741</v>
      </c>
      <c r="C221" s="4" t="s">
        <v>2355</v>
      </c>
      <c r="D221" s="4" t="s">
        <v>463</v>
      </c>
      <c r="E221" s="4" t="s">
        <v>2757</v>
      </c>
      <c r="F221" s="127" t="n">
        <v>46238</v>
      </c>
      <c r="G221" s="127" t="n">
        <v>46260</v>
      </c>
      <c r="H221" s="127" t="n">
        <v>46289</v>
      </c>
      <c r="I221" s="4" t="n">
        <v>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0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31924969</v>
      </c>
      <c r="C222" s="4" t="s">
        <v>2355</v>
      </c>
      <c r="D222" s="4" t="s">
        <v>2780</v>
      </c>
      <c r="E222" s="4" t="s">
        <v>2757</v>
      </c>
      <c r="F222" s="127" t="n">
        <v>46238</v>
      </c>
      <c r="G222" s="127" t="n">
        <v>46241</v>
      </c>
      <c r="H222" s="127" t="n">
        <v>46289</v>
      </c>
      <c r="I222" s="4" t="n">
        <v>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0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31924970</v>
      </c>
      <c r="C223" s="4" t="s">
        <v>2355</v>
      </c>
      <c r="D223" s="4" t="s">
        <v>2781</v>
      </c>
      <c r="E223" s="4" t="s">
        <v>2757</v>
      </c>
      <c r="F223" s="127" t="n">
        <v>46244</v>
      </c>
      <c r="G223" s="127" t="n">
        <v>46246</v>
      </c>
      <c r="H223" s="127" t="n">
        <v>46289</v>
      </c>
      <c r="I223" s="4" t="n">
        <v>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0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31924971</v>
      </c>
      <c r="C224" s="4" t="s">
        <v>2355</v>
      </c>
      <c r="D224" s="4" t="s">
        <v>2774</v>
      </c>
      <c r="E224" s="4" t="s">
        <v>2757</v>
      </c>
      <c r="F224" s="127" t="n">
        <v>46247</v>
      </c>
      <c r="G224" s="127" t="n">
        <v>46251</v>
      </c>
      <c r="H224" s="127" t="n">
        <v>46289</v>
      </c>
      <c r="I224" s="4" t="n">
        <v>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0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31924972</v>
      </c>
      <c r="C225" s="4" t="s">
        <v>2355</v>
      </c>
      <c r="D225" s="4" t="s">
        <v>2776</v>
      </c>
      <c r="E225" s="4" t="s">
        <v>2757</v>
      </c>
      <c r="F225" s="127" t="n">
        <v>46247</v>
      </c>
      <c r="G225" s="127" t="n">
        <v>46252</v>
      </c>
      <c r="H225" s="127" t="n">
        <v>46289</v>
      </c>
      <c r="I225" s="4" t="n">
        <v>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0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31924973</v>
      </c>
      <c r="C226" s="4" t="s">
        <v>2355</v>
      </c>
      <c r="D226" s="4" t="s">
        <v>2775</v>
      </c>
      <c r="E226" s="4" t="s">
        <v>2757</v>
      </c>
      <c r="F226" s="127" t="n">
        <v>46252</v>
      </c>
      <c r="G226" s="127" t="n">
        <v>46259</v>
      </c>
      <c r="H226" s="127" t="n">
        <v>46289</v>
      </c>
      <c r="I226" s="4" t="n">
        <v>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0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31924974</v>
      </c>
      <c r="C227" s="4" t="s">
        <v>2355</v>
      </c>
      <c r="D227" s="4" t="s">
        <v>2777</v>
      </c>
      <c r="E227" s="4" t="s">
        <v>2757</v>
      </c>
      <c r="F227" s="127" t="n">
        <v>46253</v>
      </c>
      <c r="G227" s="127" t="n">
        <v>46259</v>
      </c>
      <c r="H227" s="127" t="n">
        <v>46289</v>
      </c>
      <c r="I227" s="4" t="n">
        <v>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0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31924975</v>
      </c>
      <c r="C228" s="4" t="s">
        <v>2355</v>
      </c>
      <c r="D228" s="4" t="s">
        <v>2778</v>
      </c>
      <c r="E228" s="4" t="s">
        <v>2757</v>
      </c>
      <c r="F228" s="127" t="n">
        <v>46260</v>
      </c>
      <c r="G228" s="127" t="n">
        <v>46260</v>
      </c>
      <c r="H228" s="127" t="n">
        <v>46289</v>
      </c>
      <c r="I228" s="4" t="n">
        <v>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0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48916745</v>
      </c>
      <c r="C229" s="4" t="s">
        <v>2358</v>
      </c>
      <c r="D229" s="4" t="s">
        <v>463</v>
      </c>
      <c r="E229" s="4" t="s">
        <v>2782</v>
      </c>
      <c r="F229" s="127" t="n">
        <v>46238</v>
      </c>
      <c r="G229" s="127" t="n">
        <v>46262</v>
      </c>
      <c r="H229" s="127" t="n">
        <v>46289</v>
      </c>
      <c r="I229" s="4" t="n">
        <v>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1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31924977</v>
      </c>
      <c r="C230" s="4" t="s">
        <v>2358</v>
      </c>
      <c r="D230" s="4" t="s">
        <v>2783</v>
      </c>
      <c r="E230" s="4" t="s">
        <v>2782</v>
      </c>
      <c r="F230" s="127" t="n">
        <v>46238</v>
      </c>
      <c r="G230" s="127" t="n">
        <v>46245</v>
      </c>
      <c r="H230" s="127" t="n">
        <v>46289</v>
      </c>
      <c r="I230" s="4" t="n">
        <v>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1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31924978</v>
      </c>
      <c r="C231" s="4" t="s">
        <v>2358</v>
      </c>
      <c r="D231" s="4" t="s">
        <v>2781</v>
      </c>
      <c r="E231" s="4" t="s">
        <v>2782</v>
      </c>
      <c r="F231" s="127" t="n">
        <v>46246</v>
      </c>
      <c r="G231" s="127" t="n">
        <v>46248</v>
      </c>
      <c r="H231" s="127" t="n">
        <v>46289</v>
      </c>
      <c r="I231" s="4" t="n">
        <v>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1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31924979</v>
      </c>
      <c r="C232" s="4" t="s">
        <v>2358</v>
      </c>
      <c r="D232" s="4" t="s">
        <v>2774</v>
      </c>
      <c r="E232" s="4" t="s">
        <v>2782</v>
      </c>
      <c r="F232" s="127" t="n">
        <v>46251</v>
      </c>
      <c r="G232" s="127" t="n">
        <v>46254</v>
      </c>
      <c r="H232" s="127" t="n">
        <v>46289</v>
      </c>
      <c r="I232" s="4" t="n">
        <v>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1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31924980</v>
      </c>
      <c r="C233" s="4" t="s">
        <v>2358</v>
      </c>
      <c r="D233" s="4" t="s">
        <v>2775</v>
      </c>
      <c r="E233" s="4" t="s">
        <v>2782</v>
      </c>
      <c r="F233" s="127" t="n">
        <v>46255</v>
      </c>
      <c r="G233" s="127" t="n">
        <v>46261</v>
      </c>
      <c r="H233" s="127" t="n">
        <v>46289</v>
      </c>
      <c r="I233" s="4" t="n">
        <v>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1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31924981</v>
      </c>
      <c r="C234" s="4" t="s">
        <v>2358</v>
      </c>
      <c r="D234" s="4" t="s">
        <v>2776</v>
      </c>
      <c r="E234" s="4" t="s">
        <v>2782</v>
      </c>
      <c r="F234" s="127" t="n">
        <v>46253</v>
      </c>
      <c r="G234" s="127" t="n">
        <v>46255</v>
      </c>
      <c r="H234" s="127" t="n">
        <v>46289</v>
      </c>
      <c r="I234" s="4" t="n">
        <v>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1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31924982</v>
      </c>
      <c r="C235" s="4" t="s">
        <v>2358</v>
      </c>
      <c r="D235" s="4" t="s">
        <v>2777</v>
      </c>
      <c r="E235" s="4" t="s">
        <v>2782</v>
      </c>
      <c r="F235" s="127" t="n">
        <v>46258</v>
      </c>
      <c r="G235" s="127" t="n">
        <v>46261</v>
      </c>
      <c r="H235" s="127" t="n">
        <v>46289</v>
      </c>
      <c r="I235" s="4" t="n">
        <v>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1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31924983</v>
      </c>
      <c r="C236" s="4" t="s">
        <v>2358</v>
      </c>
      <c r="D236" s="4" t="s">
        <v>2778</v>
      </c>
      <c r="E236" s="4" t="s">
        <v>2782</v>
      </c>
      <c r="F236" s="127" t="n">
        <v>46262</v>
      </c>
      <c r="G236" s="127" t="n">
        <v>46262</v>
      </c>
      <c r="H236" s="127" t="n">
        <v>46289</v>
      </c>
      <c r="I236" s="4" t="n">
        <v>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1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29940596</v>
      </c>
      <c r="C237" s="4" t="s">
        <v>2341</v>
      </c>
      <c r="D237" s="4" t="s">
        <v>463</v>
      </c>
      <c r="E237" s="4" t="s">
        <v>2782</v>
      </c>
      <c r="F237" s="127" t="n">
        <v>46246</v>
      </c>
      <c r="G237" s="127" t="n">
        <v>46262</v>
      </c>
      <c r="H237" s="127" t="n">
        <v>46289</v>
      </c>
      <c r="I237" s="4" t="n">
        <v>100</v>
      </c>
      <c r="J237" s="4" t="n">
        <v>100</v>
      </c>
      <c r="K237" s="4" t="n">
        <v>90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1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31529154</v>
      </c>
      <c r="C238" s="4" t="s">
        <v>2341</v>
      </c>
      <c r="D238" s="4" t="s">
        <v>2312</v>
      </c>
      <c r="E238" s="4" t="s">
        <v>2782</v>
      </c>
      <c r="F238" s="127" t="n">
        <v>46246</v>
      </c>
      <c r="G238" s="127" t="n">
        <v>46254</v>
      </c>
      <c r="H238" s="127" t="n">
        <v>46289</v>
      </c>
      <c r="I238" s="4" t="n">
        <v>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17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1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31529155</v>
      </c>
      <c r="C239" s="4" t="s">
        <v>2341</v>
      </c>
      <c r="D239" s="4" t="s">
        <v>2309</v>
      </c>
      <c r="E239" s="4" t="s">
        <v>2782</v>
      </c>
      <c r="F239" s="127" t="n">
        <v>46255</v>
      </c>
      <c r="G239" s="127" t="n">
        <v>46261</v>
      </c>
      <c r="H239" s="127" t="n">
        <v>46289</v>
      </c>
      <c r="I239" s="4" t="n">
        <v>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17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1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31529156</v>
      </c>
      <c r="C240" s="4" t="s">
        <v>2341</v>
      </c>
      <c r="D240" s="4" t="s">
        <v>2314</v>
      </c>
      <c r="E240" s="4" t="s">
        <v>2782</v>
      </c>
      <c r="F240" s="127" t="n">
        <v>46262</v>
      </c>
      <c r="G240" s="127" t="n">
        <v>46262</v>
      </c>
      <c r="H240" s="127" t="n">
        <v>46289</v>
      </c>
      <c r="I240" s="4" t="n">
        <v>0</v>
      </c>
      <c r="J240" s="4" t="n">
        <v>100</v>
      </c>
      <c r="K240" s="4" t="n">
        <v>30</v>
      </c>
      <c r="M240" s="2" t="str">
        <f aca="false">IF(C240="","",IFERROR(INDEX($S$5:$S$304,MATCH(C240,$R$5:$R$304,0))&amp;"","?"))</f>
        <v>17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1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31529157</v>
      </c>
      <c r="C241" s="4" t="s">
        <v>2341</v>
      </c>
      <c r="D241" s="4" t="s">
        <v>2758</v>
      </c>
      <c r="E241" s="4" t="s">
        <v>2782</v>
      </c>
      <c r="F241" s="127" t="n">
        <v>46262</v>
      </c>
      <c r="G241" s="127" t="n">
        <v>46262</v>
      </c>
      <c r="H241" s="127" t="n">
        <v>46289</v>
      </c>
      <c r="I241" s="4" t="n">
        <v>0</v>
      </c>
      <c r="J241" s="4" t="n">
        <v>100</v>
      </c>
      <c r="K241" s="4" t="n">
        <v>30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1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48917125</v>
      </c>
      <c r="C242" s="4" t="s">
        <v>2361</v>
      </c>
      <c r="D242" s="4" t="s">
        <v>463</v>
      </c>
      <c r="E242" s="4" t="s">
        <v>2784</v>
      </c>
      <c r="F242" s="127" t="n">
        <v>46251</v>
      </c>
      <c r="G242" s="127" t="n">
        <v>46293</v>
      </c>
      <c r="H242" s="127" t="n">
        <v>46289</v>
      </c>
      <c r="I242" s="4" t="n">
        <v>0</v>
      </c>
      <c r="J242" s="4" t="n">
        <v>89.999975</v>
      </c>
      <c r="K242" s="4" t="n">
        <v>59.625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2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31924984</v>
      </c>
      <c r="C243" s="4" t="s">
        <v>2361</v>
      </c>
      <c r="D243" s="4" t="s">
        <v>2780</v>
      </c>
      <c r="E243" s="4" t="s">
        <v>2784</v>
      </c>
      <c r="F243" s="127" t="n">
        <v>46251</v>
      </c>
      <c r="G243" s="127" t="n">
        <v>46259</v>
      </c>
      <c r="H243" s="127" t="n">
        <v>46289</v>
      </c>
      <c r="I243" s="4" t="n">
        <v>0</v>
      </c>
      <c r="J243" s="4" t="n">
        <v>100</v>
      </c>
      <c r="K243" s="4" t="n">
        <v>90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2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31924985</v>
      </c>
      <c r="C244" s="4" t="s">
        <v>2361</v>
      </c>
      <c r="D244" s="4" t="s">
        <v>2781</v>
      </c>
      <c r="E244" s="4" t="s">
        <v>2784</v>
      </c>
      <c r="F244" s="127" t="n">
        <v>46260</v>
      </c>
      <c r="G244" s="127" t="n">
        <v>46265</v>
      </c>
      <c r="H244" s="127" t="n">
        <v>46289</v>
      </c>
      <c r="I244" s="4" t="n">
        <v>0</v>
      </c>
      <c r="J244" s="4" t="n">
        <v>100</v>
      </c>
      <c r="K244" s="4" t="n">
        <v>90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2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31924986</v>
      </c>
      <c r="C245" s="4" t="s">
        <v>2361</v>
      </c>
      <c r="D245" s="4" t="s">
        <v>2785</v>
      </c>
      <c r="E245" s="4" t="s">
        <v>2784</v>
      </c>
      <c r="F245" s="127" t="n">
        <v>46266</v>
      </c>
      <c r="G245" s="127" t="n">
        <v>46276</v>
      </c>
      <c r="H245" s="127" t="n">
        <v>46289</v>
      </c>
      <c r="I245" s="4" t="n">
        <v>0</v>
      </c>
      <c r="J245" s="4" t="n">
        <v>100</v>
      </c>
      <c r="K245" s="4" t="n">
        <v>80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2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31924987</v>
      </c>
      <c r="C246" s="4" t="s">
        <v>2361</v>
      </c>
      <c r="D246" s="4" t="s">
        <v>2775</v>
      </c>
      <c r="E246" s="4" t="s">
        <v>2784</v>
      </c>
      <c r="F246" s="127" t="n">
        <v>46279</v>
      </c>
      <c r="G246" s="127" t="n">
        <v>46293</v>
      </c>
      <c r="H246" s="127" t="n">
        <v>46289</v>
      </c>
      <c r="I246" s="4" t="n">
        <v>0</v>
      </c>
      <c r="J246" s="4" t="n">
        <v>81.818</v>
      </c>
      <c r="K246" s="4" t="n">
        <v>40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2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31924988</v>
      </c>
      <c r="C247" s="4" t="s">
        <v>2361</v>
      </c>
      <c r="D247" s="4" t="s">
        <v>2786</v>
      </c>
      <c r="E247" s="4" t="s">
        <v>2784</v>
      </c>
      <c r="F247" s="127" t="n">
        <v>46280</v>
      </c>
      <c r="G247" s="127" t="n">
        <v>46290</v>
      </c>
      <c r="H247" s="127" t="n">
        <v>46289</v>
      </c>
      <c r="I247" s="4" t="n">
        <v>0</v>
      </c>
      <c r="J247" s="4" t="n">
        <v>88.889</v>
      </c>
      <c r="K247" s="4" t="n">
        <v>35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2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31924989</v>
      </c>
      <c r="C248" s="4" t="s">
        <v>2361</v>
      </c>
      <c r="D248" s="4" t="s">
        <v>2778</v>
      </c>
      <c r="E248" s="4" t="s">
        <v>2784</v>
      </c>
      <c r="F248" s="127" t="n">
        <v>46293</v>
      </c>
      <c r="G248" s="127" t="n">
        <v>46293</v>
      </c>
      <c r="H248" s="127" t="n">
        <v>46289</v>
      </c>
      <c r="I248" s="4" t="n">
        <v>0</v>
      </c>
      <c r="J248" s="4" t="n">
        <v>0</v>
      </c>
      <c r="K248" s="4" t="n">
        <v>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2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29940909</v>
      </c>
      <c r="C249" s="4" t="s">
        <v>2341</v>
      </c>
      <c r="D249" s="4" t="s">
        <v>463</v>
      </c>
      <c r="E249" s="4" t="s">
        <v>2784</v>
      </c>
      <c r="F249" s="127" t="n">
        <v>46259</v>
      </c>
      <c r="G249" s="127" t="n">
        <v>46293</v>
      </c>
      <c r="H249" s="127" t="n">
        <v>46289</v>
      </c>
      <c r="I249" s="4" t="n">
        <v>79.31</v>
      </c>
      <c r="J249" s="4" t="n">
        <v>87.99992</v>
      </c>
      <c r="K249" s="4" t="n">
        <v>51.088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2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31528956</v>
      </c>
      <c r="C250" s="4" t="s">
        <v>2341</v>
      </c>
      <c r="D250" s="4" t="s">
        <v>2312</v>
      </c>
      <c r="E250" s="4" t="s">
        <v>2784</v>
      </c>
      <c r="F250" s="127" t="n">
        <v>46259</v>
      </c>
      <c r="G250" s="127" t="n">
        <v>46282</v>
      </c>
      <c r="H250" s="127" t="n">
        <v>46289</v>
      </c>
      <c r="I250" s="4" t="n">
        <v>0</v>
      </c>
      <c r="J250" s="4" t="n">
        <v>100</v>
      </c>
      <c r="K250" s="4" t="n">
        <v>60.6</v>
      </c>
      <c r="M250" s="2" t="str">
        <f aca="false">IF(C250="","",IFERROR(INDEX($S$5:$S$304,MATCH(C250,$R$5:$R$304,0))&amp;"","?"))</f>
        <v>17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31528957</v>
      </c>
      <c r="C251" s="4" t="s">
        <v>2341</v>
      </c>
      <c r="D251" s="4" t="s">
        <v>2309</v>
      </c>
      <c r="E251" s="4" t="s">
        <v>2784</v>
      </c>
      <c r="F251" s="127" t="n">
        <v>46283</v>
      </c>
      <c r="G251" s="127" t="n">
        <v>46290</v>
      </c>
      <c r="H251" s="127" t="n">
        <v>46289</v>
      </c>
      <c r="I251" s="4" t="n">
        <v>0</v>
      </c>
      <c r="J251" s="4" t="n">
        <v>83.333</v>
      </c>
      <c r="K251" s="4" t="n">
        <v>35.4</v>
      </c>
      <c r="M251" s="2" t="str">
        <f aca="false">IF(C251="","",IFERROR(INDEX($S$5:$S$304,MATCH(C251,$R$5:$R$304,0))&amp;"","?"))</f>
        <v>17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31528958</v>
      </c>
      <c r="C252" s="4" t="s">
        <v>2341</v>
      </c>
      <c r="D252" s="4" t="s">
        <v>2314</v>
      </c>
      <c r="E252" s="4" t="s">
        <v>2784</v>
      </c>
      <c r="F252" s="127" t="n">
        <v>46293</v>
      </c>
      <c r="G252" s="127" t="n">
        <v>46293</v>
      </c>
      <c r="H252" s="127" t="n">
        <v>46289</v>
      </c>
      <c r="I252" s="4" t="n">
        <v>0</v>
      </c>
      <c r="J252" s="4" t="n">
        <v>0</v>
      </c>
      <c r="K252" s="4" t="n">
        <v>17.3</v>
      </c>
      <c r="M252" s="2" t="str">
        <f aca="false">IF(C252="","",IFERROR(INDEX($S$5:$S$304,MATCH(C252,$R$5:$R$304,0))&amp;"","?"))</f>
        <v>17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31528959</v>
      </c>
      <c r="C253" s="4" t="s">
        <v>2341</v>
      </c>
      <c r="D253" s="4" t="s">
        <v>2758</v>
      </c>
      <c r="E253" s="4" t="s">
        <v>2784</v>
      </c>
      <c r="F253" s="127" t="n">
        <v>46293</v>
      </c>
      <c r="G253" s="127" t="n">
        <v>46293</v>
      </c>
      <c r="H253" s="127" t="n">
        <v>46289</v>
      </c>
      <c r="I253" s="4" t="n">
        <v>0</v>
      </c>
      <c r="J253" s="4" t="n">
        <v>0</v>
      </c>
      <c r="K253" s="4" t="n">
        <v>17.3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2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30608451</v>
      </c>
      <c r="C254" s="4" t="s">
        <v>2364</v>
      </c>
      <c r="D254" s="4" t="s">
        <v>463</v>
      </c>
      <c r="E254" s="4" t="s">
        <v>81</v>
      </c>
      <c r="F254" s="127" t="n">
        <v>46273</v>
      </c>
      <c r="G254" s="127" t="n">
        <v>46311</v>
      </c>
      <c r="H254" s="127" t="n">
        <v>46289</v>
      </c>
      <c r="I254" s="4" t="n">
        <v>0</v>
      </c>
      <c r="J254" s="4" t="n">
        <v>46.429</v>
      </c>
      <c r="K254" s="4" t="n">
        <v>0</v>
      </c>
      <c r="M254" s="2" t="str">
        <f aca="false">IF(C254="","",IFERROR(INDEX($S$5:$S$304,MATCH(C254,$R$5:$R$304,0))&amp;"","?"))</f>
        <v>14</v>
      </c>
      <c r="N254" s="2" t="str">
        <f aca="false">IF(E254="","",IF(ISNUMBER(SEARCH("SUBSOLO",E254)),IFERROR(-VALUE(LEFT(E254,FIND("º",SUBSTITUTE(E254,"°","º"))-1)),-1),IF(LEFT(E254,6)="TÉRREO",0,IFERROR(VALUE(LEFT(E254,FIND("º",SUBSTITUTE(E254,"°","º"))-1)),""))))</f>
        <v/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46237033</v>
      </c>
      <c r="C255" s="4" t="s">
        <v>2367</v>
      </c>
      <c r="D255" s="4" t="s">
        <v>463</v>
      </c>
      <c r="E255" s="4" t="s">
        <v>81</v>
      </c>
      <c r="F255" s="127" t="n">
        <v>46286</v>
      </c>
      <c r="G255" s="127" t="n">
        <v>46296</v>
      </c>
      <c r="H255" s="127" t="n">
        <v>46289</v>
      </c>
      <c r="I255" s="4" t="n">
        <v>0</v>
      </c>
      <c r="J255" s="4" t="n">
        <v>44.44444444</v>
      </c>
      <c r="K255" s="4" t="n">
        <v>0</v>
      </c>
      <c r="M255" s="2" t="str">
        <f aca="false">IF(C255="","",IFERROR(INDEX($S$5:$S$304,MATCH(C255,$R$5:$R$304,0))&amp;"","?"))</f>
        <v>16</v>
      </c>
      <c r="N255" s="2" t="str">
        <f aca="false">IF(E255="","",IF(ISNUMBER(SEARCH("SUBSOLO",E255)),IFERROR(-VALUE(LEFT(E255,FIND("º",SUBSTITUTE(E255,"°","º"))-1)),-1),IF(LEFT(E255,6)="TÉRREO",0,IFERROR(VALUE(LEFT(E255,FIND("º",SUBSTITUTE(E255,"°","º"))-1)),""))))</f>
        <v/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30974180</v>
      </c>
      <c r="C256" s="4" t="s">
        <v>2367</v>
      </c>
      <c r="D256" s="4" t="s">
        <v>2787</v>
      </c>
      <c r="E256" s="4" t="s">
        <v>81</v>
      </c>
      <c r="F256" s="127" t="n">
        <v>46286</v>
      </c>
      <c r="G256" s="127" t="n">
        <v>46289</v>
      </c>
      <c r="H256" s="127" t="n">
        <v>46289</v>
      </c>
      <c r="I256" s="4" t="n">
        <v>0</v>
      </c>
      <c r="J256" s="4" t="n">
        <v>100</v>
      </c>
      <c r="K256" s="4" t="n">
        <v>0</v>
      </c>
      <c r="M256" s="2" t="str">
        <f aca="false">IF(C256="","",IFERROR(INDEX($S$5:$S$304,MATCH(C256,$R$5:$R$304,0))&amp;"","?"))</f>
        <v>16</v>
      </c>
      <c r="N256" s="2" t="str">
        <f aca="false">IF(E256="","",IF(ISNUMBER(SEARCH("SUBSOLO",E256)),IFERROR(-VALUE(LEFT(E256,FIND("º",SUBSTITUTE(E256,"°","º"))-1)),-1),IF(LEFT(E256,6)="TÉRREO",0,IFERROR(VALUE(LEFT(E256,FIND("º",SUBSTITUTE(E256,"°","º"))-1)),""))))</f>
        <v/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30974181</v>
      </c>
      <c r="C257" s="4" t="s">
        <v>2367</v>
      </c>
      <c r="D257" s="4" t="s">
        <v>2788</v>
      </c>
      <c r="E257" s="4" t="s">
        <v>81</v>
      </c>
      <c r="F257" s="127" t="n">
        <v>46290</v>
      </c>
      <c r="G257" s="127" t="n">
        <v>46295</v>
      </c>
      <c r="H257" s="127" t="n">
        <v>46289</v>
      </c>
      <c r="I257" s="4" t="n">
        <v>0</v>
      </c>
      <c r="J257" s="4" t="n">
        <v>0</v>
      </c>
      <c r="K257" s="4" t="n">
        <v>0</v>
      </c>
      <c r="M257" s="2" t="str">
        <f aca="false">IF(C257="","",IFERROR(INDEX($S$5:$S$304,MATCH(C257,$R$5:$R$304,0))&amp;"","?"))</f>
        <v>16</v>
      </c>
      <c r="N257" s="2" t="str">
        <f aca="false">IF(E257="","",IF(ISNUMBER(SEARCH("SUBSOLO",E257)),IFERROR(-VALUE(LEFT(E257,FIND("º",SUBSTITUTE(E257,"°","º"))-1)),-1),IF(LEFT(E257,6)="TÉRREO",0,IFERROR(VALUE(LEFT(E257,FIND("º",SUBSTITUTE(E257,"°","º"))-1)),""))))</f>
        <v/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30974182</v>
      </c>
      <c r="C258" s="4" t="s">
        <v>2367</v>
      </c>
      <c r="D258" s="4" t="s">
        <v>2789</v>
      </c>
      <c r="E258" s="4" t="s">
        <v>81</v>
      </c>
      <c r="F258" s="127" t="n">
        <v>46296</v>
      </c>
      <c r="G258" s="127" t="n">
        <v>46296</v>
      </c>
      <c r="H258" s="127" t="n">
        <v>46289</v>
      </c>
      <c r="I258" s="4" t="n">
        <v>0</v>
      </c>
      <c r="J258" s="4" t="n">
        <v>0</v>
      </c>
      <c r="K258" s="4" t="n">
        <v>0</v>
      </c>
      <c r="M258" s="2" t="str">
        <f aca="false">IF(C258="","",IFERROR(INDEX($S$5:$S$304,MATCH(C258,$R$5:$R$304,0))&amp;"","?"))</f>
        <v>16</v>
      </c>
      <c r="N258" s="2" t="str">
        <f aca="false">IF(E258="","",IF(ISNUMBER(SEARCH("SUBSOLO",E258)),IFERROR(-VALUE(LEFT(E258,FIND("º",SUBSTITUTE(E258,"°","º"))-1)),-1),IF(LEFT(E258,6)="TÉRREO",0,IFERROR(VALUE(LEFT(E258,FIND("º",SUBSTITUTE(E258,"°","º"))-1)),""))))</f>
        <v/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29940607</v>
      </c>
      <c r="C259" s="4" t="s">
        <v>2341</v>
      </c>
      <c r="D259" s="4" t="s">
        <v>463</v>
      </c>
      <c r="E259" s="4" t="s">
        <v>2790</v>
      </c>
      <c r="F259" s="127" t="n">
        <v>46294</v>
      </c>
      <c r="G259" s="127" t="n">
        <v>46321</v>
      </c>
      <c r="H259" s="127" t="n">
        <v>46289</v>
      </c>
      <c r="I259" s="4" t="n">
        <v>0</v>
      </c>
      <c r="J259" s="4" t="n">
        <v>0</v>
      </c>
      <c r="K259" s="4" t="n">
        <v>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31528960</v>
      </c>
      <c r="C260" s="4" t="s">
        <v>2341</v>
      </c>
      <c r="D260" s="4" t="s">
        <v>2312</v>
      </c>
      <c r="E260" s="4" t="s">
        <v>2790</v>
      </c>
      <c r="F260" s="127" t="n">
        <v>46294</v>
      </c>
      <c r="G260" s="127" t="n">
        <v>46310</v>
      </c>
      <c r="H260" s="127" t="n">
        <v>46289</v>
      </c>
      <c r="I260" s="4" t="n">
        <v>0</v>
      </c>
      <c r="J260" s="4" t="n">
        <v>0</v>
      </c>
      <c r="K260" s="4" t="n">
        <v>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31528961</v>
      </c>
      <c r="C261" s="4" t="s">
        <v>2341</v>
      </c>
      <c r="D261" s="4" t="s">
        <v>2309</v>
      </c>
      <c r="E261" s="4" t="s">
        <v>2790</v>
      </c>
      <c r="F261" s="127" t="n">
        <v>46311</v>
      </c>
      <c r="G261" s="127" t="n">
        <v>46318</v>
      </c>
      <c r="H261" s="127" t="n">
        <v>46289</v>
      </c>
      <c r="I261" s="4" t="n">
        <v>0</v>
      </c>
      <c r="J261" s="4" t="n">
        <v>0</v>
      </c>
      <c r="K261" s="4" t="n">
        <v>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31528962</v>
      </c>
      <c r="C262" s="4" t="s">
        <v>2341</v>
      </c>
      <c r="D262" s="4" t="s">
        <v>2314</v>
      </c>
      <c r="E262" s="4" t="s">
        <v>2790</v>
      </c>
      <c r="F262" s="127" t="n">
        <v>46321</v>
      </c>
      <c r="G262" s="127" t="n">
        <v>46321</v>
      </c>
      <c r="H262" s="127" t="n">
        <v>46289</v>
      </c>
      <c r="I262" s="4" t="n">
        <v>0</v>
      </c>
      <c r="J262" s="4" t="n">
        <v>0</v>
      </c>
      <c r="K262" s="4" t="n">
        <v>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31528963</v>
      </c>
      <c r="C263" s="4" t="s">
        <v>2341</v>
      </c>
      <c r="D263" s="4" t="s">
        <v>2758</v>
      </c>
      <c r="E263" s="4" t="s">
        <v>2790</v>
      </c>
      <c r="F263" s="127" t="n">
        <v>46321</v>
      </c>
      <c r="G263" s="127" t="n">
        <v>46321</v>
      </c>
      <c r="H263" s="127" t="n">
        <v>46289</v>
      </c>
      <c r="I263" s="4" t="n">
        <v>0</v>
      </c>
      <c r="J263" s="4" t="n">
        <v>0</v>
      </c>
      <c r="K263" s="4" t="n">
        <v>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46237049</v>
      </c>
      <c r="C264" s="4" t="s">
        <v>2370</v>
      </c>
      <c r="D264" s="4" t="s">
        <v>463</v>
      </c>
      <c r="E264" s="4" t="s">
        <v>81</v>
      </c>
      <c r="F264" s="127" t="n">
        <v>46297</v>
      </c>
      <c r="G264" s="127" t="n">
        <v>46311</v>
      </c>
      <c r="H264" s="127" t="n">
        <v>46289</v>
      </c>
      <c r="I264" s="4" t="n">
        <v>0</v>
      </c>
      <c r="J264" s="4" t="n">
        <v>0</v>
      </c>
      <c r="K264" s="4" t="n">
        <v>0</v>
      </c>
      <c r="M264" s="2" t="str">
        <f aca="false">IF(C264="","",IFERROR(INDEX($S$5:$S$304,MATCH(C264,$R$5:$R$304,0))&amp;"","?"))</f>
        <v>16</v>
      </c>
      <c r="N264" s="2" t="str">
        <f aca="false">IF(E264="","",IF(ISNUMBER(SEARCH("SUBSOLO",E264)),IFERROR(-VALUE(LEFT(E264,FIND("º",SUBSTITUTE(E264,"°","º"))-1)),-1),IF(LEFT(E264,6)="TÉRREO",0,IFERROR(VALUE(LEFT(E264,FIND("º",SUBSTITUTE(E264,"°","º"))-1)),""))))</f>
        <v/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30974183</v>
      </c>
      <c r="C265" s="4" t="s">
        <v>2370</v>
      </c>
      <c r="D265" s="4" t="s">
        <v>2791</v>
      </c>
      <c r="E265" s="4" t="s">
        <v>81</v>
      </c>
      <c r="F265" s="127" t="n">
        <v>46297</v>
      </c>
      <c r="G265" s="127" t="n">
        <v>46302</v>
      </c>
      <c r="H265" s="127" t="n">
        <v>46289</v>
      </c>
      <c r="I265" s="4" t="n">
        <v>0</v>
      </c>
      <c r="J265" s="4" t="n">
        <v>0</v>
      </c>
      <c r="K265" s="4" t="n">
        <v>0</v>
      </c>
      <c r="M265" s="2" t="str">
        <f aca="false">IF(C265="","",IFERROR(INDEX($S$5:$S$304,MATCH(C265,$R$5:$R$304,0))&amp;"","?"))</f>
        <v>16</v>
      </c>
      <c r="N265" s="2" t="str">
        <f aca="false">IF(E265="","",IF(ISNUMBER(SEARCH("SUBSOLO",E265)),IFERROR(-VALUE(LEFT(E265,FIND("º",SUBSTITUTE(E265,"°","º"))-1)),-1),IF(LEFT(E265,6)="TÉRREO",0,IFERROR(VALUE(LEFT(E265,FIND("º",SUBSTITUTE(E265,"°","º"))-1)),""))))</f>
        <v/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30974184</v>
      </c>
      <c r="C266" s="4" t="s">
        <v>2370</v>
      </c>
      <c r="D266" s="4" t="s">
        <v>2792</v>
      </c>
      <c r="E266" s="4" t="s">
        <v>81</v>
      </c>
      <c r="F266" s="127" t="n">
        <v>46303</v>
      </c>
      <c r="G266" s="127" t="n">
        <v>46309</v>
      </c>
      <c r="H266" s="127" t="n">
        <v>46289</v>
      </c>
      <c r="I266" s="4" t="n">
        <v>0</v>
      </c>
      <c r="J266" s="4" t="n">
        <v>0</v>
      </c>
      <c r="K266" s="4" t="n">
        <v>0</v>
      </c>
      <c r="M266" s="2" t="str">
        <f aca="false">IF(C266="","",IFERROR(INDEX($S$5:$S$304,MATCH(C266,$R$5:$R$304,0))&amp;"","?"))</f>
        <v>16</v>
      </c>
      <c r="N266" s="2" t="str">
        <f aca="false">IF(E266="","",IF(ISNUMBER(SEARCH("SUBSOLO",E266)),IFERROR(-VALUE(LEFT(E266,FIND("º",SUBSTITUTE(E266,"°","º"))-1)),-1),IF(LEFT(E266,6)="TÉRREO",0,IFERROR(VALUE(LEFT(E266,FIND("º",SUBSTITUTE(E266,"°","º"))-1)),""))))</f>
        <v/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30974185</v>
      </c>
      <c r="C267" s="4" t="s">
        <v>2370</v>
      </c>
      <c r="D267" s="4" t="s">
        <v>2793</v>
      </c>
      <c r="E267" s="4" t="s">
        <v>81</v>
      </c>
      <c r="F267" s="127" t="n">
        <v>46310</v>
      </c>
      <c r="G267" s="127" t="n">
        <v>46311</v>
      </c>
      <c r="H267" s="127" t="n">
        <v>46289</v>
      </c>
      <c r="I267" s="4" t="n">
        <v>0</v>
      </c>
      <c r="J267" s="4" t="n">
        <v>0</v>
      </c>
      <c r="K267" s="4" t="n">
        <v>0</v>
      </c>
      <c r="M267" s="2" t="str">
        <f aca="false">IF(C267="","",IFERROR(INDEX($S$5:$S$304,MATCH(C267,$R$5:$R$304,0))&amp;"","?"))</f>
        <v>16</v>
      </c>
      <c r="N267" s="2" t="str">
        <f aca="false">IF(E267="","",IF(ISNUMBER(SEARCH("SUBSOLO",E267)),IFERROR(-VALUE(LEFT(E267,FIND("º",SUBSTITUTE(E267,"°","º"))-1)),-1),IF(LEFT(E267,6)="TÉRREO",0,IFERROR(VALUE(LEFT(E267,FIND("º",SUBSTITUTE(E267,"°","º"))-1)),""))))</f>
        <v/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35594308</v>
      </c>
      <c r="C268" s="4" t="s">
        <v>2373</v>
      </c>
      <c r="D268" s="4" t="s">
        <v>463</v>
      </c>
      <c r="E268" s="4" t="s">
        <v>81</v>
      </c>
      <c r="F268" s="127" t="n">
        <v>46314</v>
      </c>
      <c r="G268" s="127" t="n">
        <v>46356</v>
      </c>
      <c r="H268" s="127" t="n">
        <v>46289</v>
      </c>
      <c r="I268" s="4" t="n">
        <v>0</v>
      </c>
      <c r="J268" s="4" t="n">
        <v>0</v>
      </c>
      <c r="K268" s="4" t="n">
        <v>0</v>
      </c>
      <c r="M268" s="2" t="str">
        <f aca="false">IF(C268="","",IFERROR(INDEX($S$5:$S$304,MATCH(C268,$R$5:$R$304,0))&amp;"","?"))</f>
        <v>13</v>
      </c>
      <c r="N268" s="2" t="str">
        <f aca="false">IF(E268="","",IF(ISNUMBER(SEARCH("SUBSOLO",E268)),IFERROR(-VALUE(LEFT(E268,FIND("º",SUBSTITUTE(E268,"°","º"))-1)),-1),IF(LEFT(E268,6)="TÉRREO",0,IFERROR(VALUE(LEFT(E268,FIND("º",SUBSTITUTE(E268,"°","º"))-1)),""))))</f>
        <v/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46237078</v>
      </c>
      <c r="C269" s="4" t="s">
        <v>2376</v>
      </c>
      <c r="D269" s="4" t="s">
        <v>463</v>
      </c>
      <c r="E269" s="4" t="s">
        <v>81</v>
      </c>
      <c r="F269" s="127" t="n">
        <v>46314</v>
      </c>
      <c r="G269" s="127" t="n">
        <v>46325</v>
      </c>
      <c r="H269" s="127" t="n">
        <v>46289</v>
      </c>
      <c r="I269" s="4" t="n">
        <v>0</v>
      </c>
      <c r="J269" s="4" t="n">
        <v>0</v>
      </c>
      <c r="K269" s="4" t="n">
        <v>0</v>
      </c>
      <c r="M269" s="2" t="str">
        <f aca="false">IF(C269="","",IFERROR(INDEX($S$5:$S$304,MATCH(C269,$R$5:$R$304,0))&amp;"","?"))</f>
        <v>16</v>
      </c>
      <c r="N269" s="2" t="str">
        <f aca="false">IF(E269="","",IF(ISNUMBER(SEARCH("SUBSOLO",E269)),IFERROR(-VALUE(LEFT(E269,FIND("º",SUBSTITUTE(E269,"°","º"))-1)),-1),IF(LEFT(E269,6)="TÉRREO",0,IFERROR(VALUE(LEFT(E269,FIND("º",SUBSTITUTE(E269,"°","º"))-1)),""))))</f>
        <v/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30974192</v>
      </c>
      <c r="C270" s="4" t="s">
        <v>2376</v>
      </c>
      <c r="D270" s="4" t="s">
        <v>2794</v>
      </c>
      <c r="E270" s="4" t="s">
        <v>81</v>
      </c>
      <c r="F270" s="127" t="n">
        <v>46314</v>
      </c>
      <c r="G270" s="127" t="n">
        <v>46321</v>
      </c>
      <c r="H270" s="127" t="n">
        <v>46289</v>
      </c>
      <c r="I270" s="4" t="n">
        <v>0</v>
      </c>
      <c r="J270" s="4" t="n">
        <v>0</v>
      </c>
      <c r="K270" s="4" t="n">
        <v>0</v>
      </c>
      <c r="M270" s="2" t="str">
        <f aca="false">IF(C270="","",IFERROR(INDEX($S$5:$S$304,MATCH(C270,$R$5:$R$304,0))&amp;"","?"))</f>
        <v>16</v>
      </c>
      <c r="N270" s="2" t="str">
        <f aca="false">IF(E270="","",IF(ISNUMBER(SEARCH("SUBSOLO",E270)),IFERROR(-VALUE(LEFT(E270,FIND("º",SUBSTITUTE(E270,"°","º"))-1)),-1),IF(LEFT(E270,6)="TÉRREO",0,IFERROR(VALUE(LEFT(E270,FIND("º",SUBSTITUTE(E270,"°","º"))-1)),""))))</f>
        <v/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30974193</v>
      </c>
      <c r="C271" s="4" t="s">
        <v>2376</v>
      </c>
      <c r="D271" s="4" t="s">
        <v>2795</v>
      </c>
      <c r="E271" s="4" t="s">
        <v>81</v>
      </c>
      <c r="F271" s="127" t="n">
        <v>46322</v>
      </c>
      <c r="G271" s="127" t="n">
        <v>46324</v>
      </c>
      <c r="H271" s="127" t="n">
        <v>46289</v>
      </c>
      <c r="I271" s="4" t="n">
        <v>0</v>
      </c>
      <c r="J271" s="4" t="n">
        <v>0</v>
      </c>
      <c r="K271" s="4" t="n">
        <v>0</v>
      </c>
      <c r="M271" s="2" t="str">
        <f aca="false">IF(C271="","",IFERROR(INDEX($S$5:$S$304,MATCH(C271,$R$5:$R$304,0))&amp;"","?"))</f>
        <v>16</v>
      </c>
      <c r="N271" s="2" t="str">
        <f aca="false">IF(E271="","",IF(ISNUMBER(SEARCH("SUBSOLO",E271)),IFERROR(-VALUE(LEFT(E271,FIND("º",SUBSTITUTE(E271,"°","º"))-1)),-1),IF(LEFT(E271,6)="TÉRREO",0,IFERROR(VALUE(LEFT(E271,FIND("º",SUBSTITUTE(E271,"°","º"))-1)),""))))</f>
        <v/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30974194</v>
      </c>
      <c r="C272" s="4" t="s">
        <v>2376</v>
      </c>
      <c r="D272" s="4" t="s">
        <v>2796</v>
      </c>
      <c r="E272" s="4" t="s">
        <v>81</v>
      </c>
      <c r="F272" s="127" t="n">
        <v>46325</v>
      </c>
      <c r="G272" s="127" t="n">
        <v>46325</v>
      </c>
      <c r="H272" s="127" t="n">
        <v>46289</v>
      </c>
      <c r="I272" s="4" t="n">
        <v>0</v>
      </c>
      <c r="J272" s="4" t="n">
        <v>0</v>
      </c>
      <c r="K272" s="4" t="n">
        <v>0</v>
      </c>
      <c r="M272" s="2" t="str">
        <f aca="false">IF(C272="","",IFERROR(INDEX($S$5:$S$304,MATCH(C272,$R$5:$R$304,0))&amp;"","?"))</f>
        <v>16</v>
      </c>
      <c r="N272" s="2" t="str">
        <f aca="false">IF(E272="","",IF(ISNUMBER(SEARCH("SUBSOLO",E272)),IFERROR(-VALUE(LEFT(E272,FIND("º",SUBSTITUTE(E272,"°","º"))-1)),-1),IF(LEFT(E272,6)="TÉRREO",0,IFERROR(VALUE(LEFT(E272,FIND("º",SUBSTITUTE(E272,"°","º"))-1)),""))))</f>
        <v/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46237083</v>
      </c>
      <c r="C273" s="4" t="s">
        <v>2379</v>
      </c>
      <c r="D273" s="4" t="s">
        <v>463</v>
      </c>
      <c r="E273" s="4" t="s">
        <v>81</v>
      </c>
      <c r="F273" s="127" t="n">
        <v>46314</v>
      </c>
      <c r="G273" s="127" t="n">
        <v>46325</v>
      </c>
      <c r="H273" s="127" t="n">
        <v>46289</v>
      </c>
      <c r="I273" s="4" t="n">
        <v>0</v>
      </c>
      <c r="J273" s="4" t="n">
        <v>0</v>
      </c>
      <c r="K273" s="4" t="n">
        <v>0</v>
      </c>
      <c r="M273" s="2" t="str">
        <f aca="false">IF(C273="","",IFERROR(INDEX($S$5:$S$304,MATCH(C273,$R$5:$R$304,0))&amp;"","?"))</f>
        <v>16</v>
      </c>
      <c r="N273" s="2" t="str">
        <f aca="false">IF(E273="","",IF(ISNUMBER(SEARCH("SUBSOLO",E273)),IFERROR(-VALUE(LEFT(E273,FIND("º",SUBSTITUTE(E273,"°","º"))-1)),-1),IF(LEFT(E273,6)="TÉRREO",0,IFERROR(VALUE(LEFT(E273,FIND("º",SUBSTITUTE(E273,"°","º"))-1)),""))))</f>
        <v/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30974195</v>
      </c>
      <c r="C274" s="4" t="s">
        <v>2379</v>
      </c>
      <c r="D274" s="4" t="s">
        <v>2797</v>
      </c>
      <c r="E274" s="4" t="s">
        <v>81</v>
      </c>
      <c r="F274" s="127" t="n">
        <v>46314</v>
      </c>
      <c r="G274" s="127" t="n">
        <v>46317</v>
      </c>
      <c r="H274" s="127" t="n">
        <v>46289</v>
      </c>
      <c r="I274" s="4" t="n">
        <v>0</v>
      </c>
      <c r="J274" s="4" t="n">
        <v>0</v>
      </c>
      <c r="K274" s="4" t="n">
        <v>0</v>
      </c>
      <c r="M274" s="2" t="str">
        <f aca="false">IF(C274="","",IFERROR(INDEX($S$5:$S$304,MATCH(C274,$R$5:$R$304,0))&amp;"","?"))</f>
        <v>16</v>
      </c>
      <c r="N274" s="2" t="str">
        <f aca="false">IF(E274="","",IF(ISNUMBER(SEARCH("SUBSOLO",E274)),IFERROR(-VALUE(LEFT(E274,FIND("º",SUBSTITUTE(E274,"°","º"))-1)),-1),IF(LEFT(E274,6)="TÉRREO",0,IFERROR(VALUE(LEFT(E274,FIND("º",SUBSTITUTE(E274,"°","º"))-1)),""))))</f>
        <v/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30974196</v>
      </c>
      <c r="C275" s="4" t="s">
        <v>2379</v>
      </c>
      <c r="D275" s="4" t="s">
        <v>2798</v>
      </c>
      <c r="E275" s="4" t="s">
        <v>81</v>
      </c>
      <c r="F275" s="127" t="n">
        <v>46318</v>
      </c>
      <c r="G275" s="127" t="n">
        <v>46323</v>
      </c>
      <c r="H275" s="127" t="n">
        <v>46289</v>
      </c>
      <c r="I275" s="4" t="n">
        <v>0</v>
      </c>
      <c r="J275" s="4" t="n">
        <v>0</v>
      </c>
      <c r="K275" s="4" t="n">
        <v>0</v>
      </c>
      <c r="M275" s="2" t="str">
        <f aca="false">IF(C275="","",IFERROR(INDEX($S$5:$S$304,MATCH(C275,$R$5:$R$304,0))&amp;"","?"))</f>
        <v>16</v>
      </c>
      <c r="N275" s="2" t="str">
        <f aca="false">IF(E275="","",IF(ISNUMBER(SEARCH("SUBSOLO",E275)),IFERROR(-VALUE(LEFT(E275,FIND("º",SUBSTITUTE(E275,"°","º"))-1)),-1),IF(LEFT(E275,6)="TÉRREO",0,IFERROR(VALUE(LEFT(E275,FIND("º",SUBSTITUTE(E275,"°","º"))-1)),""))))</f>
        <v/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30974197</v>
      </c>
      <c r="C276" s="4" t="s">
        <v>2379</v>
      </c>
      <c r="D276" s="4" t="s">
        <v>2799</v>
      </c>
      <c r="E276" s="4" t="s">
        <v>81</v>
      </c>
      <c r="F276" s="127" t="n">
        <v>46324</v>
      </c>
      <c r="G276" s="127" t="n">
        <v>46325</v>
      </c>
      <c r="H276" s="127" t="n">
        <v>46289</v>
      </c>
      <c r="I276" s="4" t="n">
        <v>0</v>
      </c>
      <c r="J276" s="4" t="n">
        <v>0</v>
      </c>
      <c r="K276" s="4" t="n">
        <v>0</v>
      </c>
      <c r="M276" s="2" t="str">
        <f aca="false">IF(C276="","",IFERROR(INDEX($S$5:$S$304,MATCH(C276,$R$5:$R$304,0))&amp;"","?"))</f>
        <v>16</v>
      </c>
      <c r="N276" s="2" t="str">
        <f aca="false">IF(E276="","",IF(ISNUMBER(SEARCH("SUBSOLO",E276)),IFERROR(-VALUE(LEFT(E276,FIND("º",SUBSTITUTE(E276,"°","º"))-1)),-1),IF(LEFT(E276,6)="TÉRREO",0,IFERROR(VALUE(LEFT(E276,FIND("º",SUBSTITUTE(E276,"°","º"))-1)),""))))</f>
        <v/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30205736</v>
      </c>
      <c r="C277" s="4" t="s">
        <v>2382</v>
      </c>
      <c r="D277" s="4" t="s">
        <v>463</v>
      </c>
      <c r="E277" s="4" t="s">
        <v>2740</v>
      </c>
      <c r="F277" s="127" t="n">
        <v>46314</v>
      </c>
      <c r="G277" s="127" t="n">
        <v>46379</v>
      </c>
      <c r="H277" s="127" t="n">
        <v>46289</v>
      </c>
      <c r="I277" s="4" t="n">
        <v>0</v>
      </c>
      <c r="J277" s="4" t="n">
        <v>0</v>
      </c>
      <c r="K277" s="4" t="n">
        <v>0</v>
      </c>
      <c r="M277" s="2" t="str">
        <f aca="false">IF(C277="","",IFERROR(INDEX($S$5:$S$304,MATCH(C277,$R$5:$R$304,0))&amp;"","?"))</f>
        <v>35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-1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29940605</v>
      </c>
      <c r="C278" s="4" t="s">
        <v>2341</v>
      </c>
      <c r="D278" s="4" t="s">
        <v>463</v>
      </c>
      <c r="E278" s="4" t="s">
        <v>2800</v>
      </c>
      <c r="F278" s="127" t="n">
        <v>46322</v>
      </c>
      <c r="G278" s="127" t="n">
        <v>46350</v>
      </c>
      <c r="H278" s="127" t="n">
        <v>46289</v>
      </c>
      <c r="I278" s="4" t="n">
        <v>0</v>
      </c>
      <c r="J278" s="4" t="n">
        <v>0</v>
      </c>
      <c r="K278" s="4" t="n">
        <v>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31528964</v>
      </c>
      <c r="C279" s="4" t="s">
        <v>2341</v>
      </c>
      <c r="D279" s="4" t="s">
        <v>2312</v>
      </c>
      <c r="E279" s="4" t="s">
        <v>2800</v>
      </c>
      <c r="F279" s="127" t="n">
        <v>46322</v>
      </c>
      <c r="G279" s="127" t="n">
        <v>46338</v>
      </c>
      <c r="H279" s="127" t="n">
        <v>46289</v>
      </c>
      <c r="I279" s="4" t="n">
        <v>0</v>
      </c>
      <c r="J279" s="4" t="n">
        <v>0</v>
      </c>
      <c r="K279" s="4" t="n">
        <v>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31528965</v>
      </c>
      <c r="C280" s="4" t="s">
        <v>2341</v>
      </c>
      <c r="D280" s="4" t="s">
        <v>2309</v>
      </c>
      <c r="E280" s="4" t="s">
        <v>2800</v>
      </c>
      <c r="F280" s="127" t="n">
        <v>46339</v>
      </c>
      <c r="G280" s="127" t="n">
        <v>46349</v>
      </c>
      <c r="H280" s="127" t="n">
        <v>46289</v>
      </c>
      <c r="I280" s="4" t="n">
        <v>0</v>
      </c>
      <c r="J280" s="4" t="n">
        <v>0</v>
      </c>
      <c r="K280" s="4" t="n">
        <v>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31528966</v>
      </c>
      <c r="C281" s="4" t="s">
        <v>2341</v>
      </c>
      <c r="D281" s="4" t="s">
        <v>2314</v>
      </c>
      <c r="E281" s="4" t="s">
        <v>2800</v>
      </c>
      <c r="F281" s="127" t="n">
        <v>46350</v>
      </c>
      <c r="G281" s="127" t="n">
        <v>46350</v>
      </c>
      <c r="H281" s="127" t="n">
        <v>46289</v>
      </c>
      <c r="I281" s="4" t="n">
        <v>0</v>
      </c>
      <c r="J281" s="4" t="n">
        <v>0</v>
      </c>
      <c r="K281" s="4" t="n">
        <v>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31528967</v>
      </c>
      <c r="C282" s="4" t="s">
        <v>2341</v>
      </c>
      <c r="D282" s="4" t="s">
        <v>2758</v>
      </c>
      <c r="E282" s="4" t="s">
        <v>2800</v>
      </c>
      <c r="F282" s="127" t="n">
        <v>46350</v>
      </c>
      <c r="G282" s="127" t="n">
        <v>46350</v>
      </c>
      <c r="H282" s="127" t="n">
        <v>46289</v>
      </c>
      <c r="I282" s="4" t="n">
        <v>0</v>
      </c>
      <c r="J282" s="4" t="n">
        <v>0</v>
      </c>
      <c r="K282" s="4" t="n">
        <v>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35594317</v>
      </c>
      <c r="C283" s="4" t="s">
        <v>2385</v>
      </c>
      <c r="D283" s="4" t="s">
        <v>463</v>
      </c>
      <c r="E283" s="4" t="s">
        <v>81</v>
      </c>
      <c r="F283" s="127" t="n">
        <v>46339</v>
      </c>
      <c r="G283" s="127" t="n">
        <v>46379</v>
      </c>
      <c r="H283" s="127" t="n">
        <v>46289</v>
      </c>
      <c r="I283" s="4" t="n">
        <v>4.444</v>
      </c>
      <c r="J283" s="4" t="n">
        <v>0</v>
      </c>
      <c r="K283" s="4" t="n">
        <v>0</v>
      </c>
      <c r="M283" s="2" t="str">
        <f aca="false">IF(C283="","",IFERROR(INDEX($S$5:$S$304,MATCH(C283,$R$5:$R$304,0))&amp;"","?"))</f>
        <v>13</v>
      </c>
      <c r="N283" s="2" t="str">
        <f aca="false">IF(E283="","",IF(ISNUMBER(SEARCH("SUBSOLO",E283)),IFERROR(-VALUE(LEFT(E283,FIND("º",SUBSTITUTE(E283,"°","º"))-1)),-1),IF(LEFT(E283,6)="TÉRREO",0,IFERROR(VALUE(LEFT(E283,FIND("º",SUBSTITUTE(E283,"°","º"))-1)),""))))</f>
        <v/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29940927</v>
      </c>
      <c r="C284" s="4" t="s">
        <v>2341</v>
      </c>
      <c r="D284" s="4" t="s">
        <v>463</v>
      </c>
      <c r="E284" s="4" t="s">
        <v>2801</v>
      </c>
      <c r="F284" s="127" t="n">
        <v>46351</v>
      </c>
      <c r="G284" s="127" t="n">
        <v>46379</v>
      </c>
      <c r="H284" s="127" t="n">
        <v>46289</v>
      </c>
      <c r="I284" s="4" t="n">
        <v>0</v>
      </c>
      <c r="J284" s="4" t="n">
        <v>0</v>
      </c>
      <c r="K284" s="4" t="n">
        <v>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5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31528968</v>
      </c>
      <c r="C285" s="4" t="s">
        <v>2341</v>
      </c>
      <c r="D285" s="4" t="s">
        <v>2312</v>
      </c>
      <c r="E285" s="4" t="s">
        <v>2801</v>
      </c>
      <c r="F285" s="127" t="n">
        <v>46351</v>
      </c>
      <c r="G285" s="127" t="n">
        <v>46367</v>
      </c>
      <c r="H285" s="127" t="n">
        <v>46289</v>
      </c>
      <c r="I285" s="4" t="n">
        <v>0</v>
      </c>
      <c r="J285" s="4" t="n">
        <v>0</v>
      </c>
      <c r="K285" s="4" t="n">
        <v>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5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31528969</v>
      </c>
      <c r="C286" s="4" t="s">
        <v>2341</v>
      </c>
      <c r="D286" s="4" t="s">
        <v>2309</v>
      </c>
      <c r="E286" s="4" t="s">
        <v>2801</v>
      </c>
      <c r="F286" s="127" t="n">
        <v>46370</v>
      </c>
      <c r="G286" s="127" t="n">
        <v>46378</v>
      </c>
      <c r="H286" s="127" t="n">
        <v>46289</v>
      </c>
      <c r="I286" s="4" t="n">
        <v>0</v>
      </c>
      <c r="J286" s="4" t="n">
        <v>0</v>
      </c>
      <c r="K286" s="4" t="n">
        <v>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5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31528970</v>
      </c>
      <c r="C287" s="4" t="s">
        <v>2341</v>
      </c>
      <c r="D287" s="4" t="s">
        <v>2314</v>
      </c>
      <c r="E287" s="4" t="s">
        <v>2801</v>
      </c>
      <c r="F287" s="127" t="n">
        <v>46379</v>
      </c>
      <c r="G287" s="127" t="n">
        <v>46379</v>
      </c>
      <c r="H287" s="127" t="n">
        <v>46289</v>
      </c>
      <c r="I287" s="4" t="n">
        <v>0</v>
      </c>
      <c r="J287" s="4" t="n">
        <v>0</v>
      </c>
      <c r="K287" s="4" t="n">
        <v>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5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31528971</v>
      </c>
      <c r="C288" s="4" t="s">
        <v>2341</v>
      </c>
      <c r="D288" s="4" t="s">
        <v>2758</v>
      </c>
      <c r="E288" s="4" t="s">
        <v>2801</v>
      </c>
      <c r="F288" s="127" t="n">
        <v>46379</v>
      </c>
      <c r="G288" s="127" t="n">
        <v>46379</v>
      </c>
      <c r="H288" s="127" t="n">
        <v>46289</v>
      </c>
      <c r="I288" s="4" t="n">
        <v>0</v>
      </c>
      <c r="J288" s="4" t="n">
        <v>0</v>
      </c>
      <c r="K288" s="4" t="n">
        <v>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5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30171492</v>
      </c>
      <c r="C289" s="4" t="s">
        <v>2382</v>
      </c>
      <c r="D289" s="4" t="s">
        <v>463</v>
      </c>
      <c r="E289" s="4" t="s">
        <v>2784</v>
      </c>
      <c r="F289" s="127" t="n">
        <v>46391</v>
      </c>
      <c r="G289" s="127" t="n">
        <v>46420</v>
      </c>
      <c r="H289" s="127" t="n">
        <v>46289</v>
      </c>
      <c r="I289" s="4" t="n">
        <v>0</v>
      </c>
      <c r="J289" s="4" t="n">
        <v>0</v>
      </c>
      <c r="K289" s="4" t="n">
        <v>0</v>
      </c>
      <c r="M289" s="2" t="str">
        <f aca="false">IF(C289="","",IFERROR(INDEX($S$5:$S$304,MATCH(C289,$R$5:$R$304,0))&amp;"","?"))</f>
        <v>35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2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29940929</v>
      </c>
      <c r="C290" s="4" t="s">
        <v>2341</v>
      </c>
      <c r="D290" s="4" t="s">
        <v>463</v>
      </c>
      <c r="E290" s="4" t="s">
        <v>2802</v>
      </c>
      <c r="F290" s="127" t="n">
        <v>46391</v>
      </c>
      <c r="G290" s="127" t="n">
        <v>46414</v>
      </c>
      <c r="H290" s="127" t="n">
        <v>46289</v>
      </c>
      <c r="I290" s="4" t="n">
        <v>0</v>
      </c>
      <c r="J290" s="4" t="n">
        <v>0</v>
      </c>
      <c r="K290" s="4" t="n">
        <v>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6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31528972</v>
      </c>
      <c r="C291" s="4" t="s">
        <v>2341</v>
      </c>
      <c r="D291" s="4" t="s">
        <v>2312</v>
      </c>
      <c r="E291" s="4" t="s">
        <v>2802</v>
      </c>
      <c r="F291" s="127" t="n">
        <v>46391</v>
      </c>
      <c r="G291" s="127" t="n">
        <v>46406</v>
      </c>
      <c r="H291" s="127" t="n">
        <v>46289</v>
      </c>
      <c r="I291" s="4" t="n">
        <v>0</v>
      </c>
      <c r="J291" s="4" t="n">
        <v>0</v>
      </c>
      <c r="K291" s="4" t="n">
        <v>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6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31528973</v>
      </c>
      <c r="C292" s="4" t="s">
        <v>2341</v>
      </c>
      <c r="D292" s="4" t="s">
        <v>2309</v>
      </c>
      <c r="E292" s="4" t="s">
        <v>2802</v>
      </c>
      <c r="F292" s="127" t="n">
        <v>46407</v>
      </c>
      <c r="G292" s="127" t="n">
        <v>46413</v>
      </c>
      <c r="H292" s="127" t="n">
        <v>46289</v>
      </c>
      <c r="I292" s="4" t="n">
        <v>0</v>
      </c>
      <c r="J292" s="4" t="n">
        <v>0</v>
      </c>
      <c r="K292" s="4" t="n">
        <v>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6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31528974</v>
      </c>
      <c r="C293" s="4" t="s">
        <v>2341</v>
      </c>
      <c r="D293" s="4" t="s">
        <v>2314</v>
      </c>
      <c r="E293" s="4" t="s">
        <v>2802</v>
      </c>
      <c r="F293" s="127" t="n">
        <v>46414</v>
      </c>
      <c r="G293" s="127" t="n">
        <v>46414</v>
      </c>
      <c r="H293" s="127" t="n">
        <v>46289</v>
      </c>
      <c r="I293" s="4" t="n">
        <v>0</v>
      </c>
      <c r="J293" s="4" t="n">
        <v>0</v>
      </c>
      <c r="K293" s="4" t="n">
        <v>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6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31528975</v>
      </c>
      <c r="C294" s="4" t="s">
        <v>2341</v>
      </c>
      <c r="D294" s="4" t="s">
        <v>2758</v>
      </c>
      <c r="E294" s="4" t="s">
        <v>2802</v>
      </c>
      <c r="F294" s="127" t="n">
        <v>46414</v>
      </c>
      <c r="G294" s="127" t="n">
        <v>46414</v>
      </c>
      <c r="H294" s="127" t="n">
        <v>46289</v>
      </c>
      <c r="I294" s="4" t="n">
        <v>0</v>
      </c>
      <c r="J294" s="4" t="n">
        <v>0</v>
      </c>
      <c r="K294" s="4" t="n">
        <v>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6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31873345</v>
      </c>
      <c r="C295" s="4" t="s">
        <v>2387</v>
      </c>
      <c r="D295" s="4" t="s">
        <v>463</v>
      </c>
      <c r="E295" s="4" t="s">
        <v>2740</v>
      </c>
      <c r="F295" s="127" t="n">
        <v>46398</v>
      </c>
      <c r="G295" s="127" t="n">
        <v>46423</v>
      </c>
      <c r="H295" s="127" t="n">
        <v>46289</v>
      </c>
      <c r="I295" s="4" t="n">
        <v>0</v>
      </c>
      <c r="J295" s="4" t="n">
        <v>0</v>
      </c>
      <c r="K295" s="4" t="n">
        <v>0</v>
      </c>
      <c r="M295" s="2" t="str">
        <f aca="false">IF(C295="","",IFERROR(INDEX($S$5:$S$304,MATCH(C295,$R$5:$R$304,0))&amp;"","?"))</f>
        <v>21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-1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30205756</v>
      </c>
      <c r="C296" s="4" t="s">
        <v>2390</v>
      </c>
      <c r="D296" s="4" t="s">
        <v>463</v>
      </c>
      <c r="E296" s="4" t="s">
        <v>2740</v>
      </c>
      <c r="F296" s="127" t="n">
        <v>46405</v>
      </c>
      <c r="G296" s="127" t="n">
        <v>46423</v>
      </c>
      <c r="H296" s="127" t="n">
        <v>46289</v>
      </c>
      <c r="I296" s="4" t="n">
        <v>0</v>
      </c>
      <c r="J296" s="4" t="n">
        <v>0</v>
      </c>
      <c r="K296" s="4" t="n">
        <v>0</v>
      </c>
      <c r="M296" s="2" t="str">
        <f aca="false">IF(C296="","",IFERROR(INDEX($S$5:$S$304,MATCH(C296,$R$5:$R$304,0))&amp;"","?"))</f>
        <v>20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-1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39887260</v>
      </c>
      <c r="C297" s="4" t="s">
        <v>2393</v>
      </c>
      <c r="D297" s="4" t="s">
        <v>463</v>
      </c>
      <c r="E297" s="4" t="s">
        <v>2757</v>
      </c>
      <c r="F297" s="127" t="n">
        <v>46405</v>
      </c>
      <c r="G297" s="127" t="n">
        <v>46420</v>
      </c>
      <c r="H297" s="127" t="n">
        <v>46289</v>
      </c>
      <c r="I297" s="4" t="n">
        <v>0</v>
      </c>
      <c r="J297" s="4" t="n">
        <v>0</v>
      </c>
      <c r="K297" s="4" t="n">
        <v>0</v>
      </c>
      <c r="M297" s="2" t="str">
        <f aca="false">IF(C297="","",IFERROR(INDEX($S$5:$S$304,MATCH(C297,$R$5:$R$304,0))&amp;"","?"))</f>
        <v>17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0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29940932</v>
      </c>
      <c r="C298" s="4" t="s">
        <v>2341</v>
      </c>
      <c r="D298" s="4" t="s">
        <v>463</v>
      </c>
      <c r="E298" s="4" t="s">
        <v>2803</v>
      </c>
      <c r="F298" s="127" t="n">
        <v>46415</v>
      </c>
      <c r="G298" s="127" t="n">
        <v>46430</v>
      </c>
      <c r="H298" s="127" t="n">
        <v>46289</v>
      </c>
      <c r="I298" s="4" t="n">
        <v>0</v>
      </c>
      <c r="J298" s="4" t="n">
        <v>0</v>
      </c>
      <c r="K298" s="4" t="n">
        <v>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7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31528976</v>
      </c>
      <c r="C299" s="4" t="s">
        <v>2341</v>
      </c>
      <c r="D299" s="4" t="s">
        <v>2312</v>
      </c>
      <c r="E299" s="4" t="s">
        <v>2803</v>
      </c>
      <c r="F299" s="127" t="n">
        <v>46415</v>
      </c>
      <c r="G299" s="127" t="n">
        <v>46423</v>
      </c>
      <c r="H299" s="127" t="n">
        <v>46289</v>
      </c>
      <c r="I299" s="4" t="n">
        <v>0</v>
      </c>
      <c r="J299" s="4" t="n">
        <v>0</v>
      </c>
      <c r="K299" s="4" t="n">
        <v>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7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31528977</v>
      </c>
      <c r="C300" s="4" t="s">
        <v>2341</v>
      </c>
      <c r="D300" s="4" t="s">
        <v>2309</v>
      </c>
      <c r="E300" s="4" t="s">
        <v>2803</v>
      </c>
      <c r="F300" s="127" t="n">
        <v>46426</v>
      </c>
      <c r="G300" s="127" t="n">
        <v>46429</v>
      </c>
      <c r="H300" s="127" t="n">
        <v>46289</v>
      </c>
      <c r="I300" s="4" t="n">
        <v>0</v>
      </c>
      <c r="J300" s="4" t="n">
        <v>0</v>
      </c>
      <c r="K300" s="4" t="n">
        <v>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7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31528978</v>
      </c>
      <c r="C301" s="4" t="s">
        <v>2341</v>
      </c>
      <c r="D301" s="4" t="s">
        <v>2314</v>
      </c>
      <c r="E301" s="4" t="s">
        <v>2803</v>
      </c>
      <c r="F301" s="127" t="n">
        <v>46430</v>
      </c>
      <c r="G301" s="127" t="n">
        <v>46430</v>
      </c>
      <c r="H301" s="127" t="n">
        <v>46289</v>
      </c>
      <c r="I301" s="4" t="n">
        <v>0</v>
      </c>
      <c r="J301" s="4" t="n">
        <v>0</v>
      </c>
      <c r="K301" s="4" t="n">
        <v>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7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31528979</v>
      </c>
      <c r="C302" s="4" t="s">
        <v>2341</v>
      </c>
      <c r="D302" s="4" t="s">
        <v>2758</v>
      </c>
      <c r="E302" s="4" t="s">
        <v>2803</v>
      </c>
      <c r="F302" s="127" t="n">
        <v>46430</v>
      </c>
      <c r="G302" s="127" t="n">
        <v>46430</v>
      </c>
      <c r="H302" s="127" t="n">
        <v>46289</v>
      </c>
      <c r="I302" s="4" t="n">
        <v>0</v>
      </c>
      <c r="J302" s="4" t="n">
        <v>0</v>
      </c>
      <c r="K302" s="4" t="n">
        <v>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7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30171493</v>
      </c>
      <c r="C303" s="4" t="s">
        <v>2396</v>
      </c>
      <c r="D303" s="4" t="s">
        <v>463</v>
      </c>
      <c r="E303" s="4" t="s">
        <v>2784</v>
      </c>
      <c r="F303" s="127" t="n">
        <v>46421</v>
      </c>
      <c r="G303" s="127" t="n">
        <v>46485</v>
      </c>
      <c r="H303" s="127" t="n">
        <v>46289</v>
      </c>
      <c r="I303" s="4" t="n">
        <v>0</v>
      </c>
      <c r="J303" s="4" t="n">
        <v>0</v>
      </c>
      <c r="K303" s="4" t="n">
        <v>0</v>
      </c>
      <c r="M303" s="2" t="str">
        <f aca="false">IF(C303="","",IFERROR(INDEX($S$5:$S$304,MATCH(C303,$R$5:$R$304,0))&amp;"","?"))</f>
        <v>20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2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39887261</v>
      </c>
      <c r="C304" s="4" t="s">
        <v>2393</v>
      </c>
      <c r="D304" s="4" t="s">
        <v>463</v>
      </c>
      <c r="E304" s="4" t="s">
        <v>2784</v>
      </c>
      <c r="F304" s="127" t="n">
        <v>46421</v>
      </c>
      <c r="G304" s="127" t="n">
        <v>46436</v>
      </c>
      <c r="H304" s="127" t="n">
        <v>46289</v>
      </c>
      <c r="I304" s="4" t="n">
        <v>0</v>
      </c>
      <c r="J304" s="4" t="n">
        <v>0</v>
      </c>
      <c r="K304" s="4" t="n">
        <v>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2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30171464</v>
      </c>
      <c r="C305" s="4" t="s">
        <v>2382</v>
      </c>
      <c r="D305" s="4" t="s">
        <v>463</v>
      </c>
      <c r="E305" s="4" t="s">
        <v>2790</v>
      </c>
      <c r="F305" s="127" t="n">
        <v>46421</v>
      </c>
      <c r="G305" s="127" t="n">
        <v>46450</v>
      </c>
      <c r="H305" s="127" t="n">
        <v>46289</v>
      </c>
      <c r="I305" s="4" t="n">
        <v>0</v>
      </c>
      <c r="J305" s="4" t="n">
        <v>0</v>
      </c>
      <c r="K305" s="4" t="n">
        <v>0</v>
      </c>
      <c r="M305" s="2" t="str">
        <f aca="false">IF(C305="","",IFERROR(INDEX($S$5:$S$304,MATCH(C305,$R$5:$R$304,0))&amp;"","?"))</f>
        <v>35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3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31873335</v>
      </c>
      <c r="C306" s="4" t="s">
        <v>2399</v>
      </c>
      <c r="D306" s="4" t="s">
        <v>463</v>
      </c>
      <c r="E306" s="4" t="s">
        <v>2740</v>
      </c>
      <c r="F306" s="127" t="n">
        <v>46426</v>
      </c>
      <c r="G306" s="127" t="n">
        <v>46457</v>
      </c>
      <c r="H306" s="127" t="n">
        <v>46289</v>
      </c>
      <c r="I306" s="4" t="n">
        <v>0</v>
      </c>
      <c r="J306" s="4" t="n">
        <v>0</v>
      </c>
      <c r="K306" s="4" t="n">
        <v>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-1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29940933</v>
      </c>
      <c r="C307" s="4" t="s">
        <v>2341</v>
      </c>
      <c r="D307" s="4" t="s">
        <v>463</v>
      </c>
      <c r="E307" s="4" t="s">
        <v>2804</v>
      </c>
      <c r="F307" s="127" t="n">
        <v>46433</v>
      </c>
      <c r="G307" s="127" t="n">
        <v>46444</v>
      </c>
      <c r="H307" s="127" t="n">
        <v>46289</v>
      </c>
      <c r="I307" s="4" t="n">
        <v>0</v>
      </c>
      <c r="J307" s="4" t="n">
        <v>0</v>
      </c>
      <c r="K307" s="4" t="n">
        <v>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8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31528980</v>
      </c>
      <c r="C308" s="4" t="s">
        <v>2341</v>
      </c>
      <c r="D308" s="4" t="s">
        <v>2312</v>
      </c>
      <c r="E308" s="4" t="s">
        <v>2804</v>
      </c>
      <c r="F308" s="127" t="n">
        <v>46433</v>
      </c>
      <c r="G308" s="127" t="n">
        <v>46440</v>
      </c>
      <c r="H308" s="127" t="n">
        <v>46289</v>
      </c>
      <c r="I308" s="4" t="n">
        <v>0</v>
      </c>
      <c r="J308" s="4" t="n">
        <v>0</v>
      </c>
      <c r="K308" s="4" t="n">
        <v>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8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31528981</v>
      </c>
      <c r="C309" s="4" t="s">
        <v>2341</v>
      </c>
      <c r="D309" s="4" t="s">
        <v>2309</v>
      </c>
      <c r="E309" s="4" t="s">
        <v>2804</v>
      </c>
      <c r="F309" s="127" t="n">
        <v>46441</v>
      </c>
      <c r="G309" s="127" t="n">
        <v>46443</v>
      </c>
      <c r="H309" s="127" t="n">
        <v>46289</v>
      </c>
      <c r="I309" s="4" t="n">
        <v>0</v>
      </c>
      <c r="J309" s="4" t="n">
        <v>0</v>
      </c>
      <c r="K309" s="4" t="n">
        <v>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8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31528982</v>
      </c>
      <c r="C310" s="4" t="s">
        <v>2341</v>
      </c>
      <c r="D310" s="4" t="s">
        <v>2314</v>
      </c>
      <c r="E310" s="4" t="s">
        <v>2804</v>
      </c>
      <c r="F310" s="127" t="n">
        <v>46444</v>
      </c>
      <c r="G310" s="127" t="n">
        <v>46444</v>
      </c>
      <c r="H310" s="127" t="n">
        <v>46289</v>
      </c>
      <c r="I310" s="4" t="n">
        <v>0</v>
      </c>
      <c r="J310" s="4" t="n">
        <v>0</v>
      </c>
      <c r="K310" s="4" t="n">
        <v>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8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31528983</v>
      </c>
      <c r="C311" s="4" t="s">
        <v>2341</v>
      </c>
      <c r="D311" s="4" t="s">
        <v>2758</v>
      </c>
      <c r="E311" s="4" t="s">
        <v>2804</v>
      </c>
      <c r="F311" s="127" t="n">
        <v>46444</v>
      </c>
      <c r="G311" s="127" t="n">
        <v>46444</v>
      </c>
      <c r="H311" s="127" t="n">
        <v>46289</v>
      </c>
      <c r="I311" s="4" t="n">
        <v>0</v>
      </c>
      <c r="J311" s="4" t="n">
        <v>0</v>
      </c>
      <c r="K311" s="4" t="n">
        <v>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8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39887262</v>
      </c>
      <c r="C312" s="4" t="s">
        <v>2393</v>
      </c>
      <c r="D312" s="4" t="s">
        <v>463</v>
      </c>
      <c r="E312" s="4" t="s">
        <v>2790</v>
      </c>
      <c r="F312" s="127" t="n">
        <v>46437</v>
      </c>
      <c r="G312" s="127" t="n">
        <v>46456</v>
      </c>
      <c r="H312" s="127" t="n">
        <v>46289</v>
      </c>
      <c r="I312" s="4" t="n">
        <v>0</v>
      </c>
      <c r="J312" s="4" t="n">
        <v>0</v>
      </c>
      <c r="K312" s="4" t="n">
        <v>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3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29940949</v>
      </c>
      <c r="C313" s="4" t="s">
        <v>2341</v>
      </c>
      <c r="D313" s="4" t="s">
        <v>463</v>
      </c>
      <c r="E313" s="4" t="s">
        <v>2805</v>
      </c>
      <c r="F313" s="127" t="n">
        <v>46447</v>
      </c>
      <c r="G313" s="127" t="n">
        <v>46458</v>
      </c>
      <c r="H313" s="127" t="n">
        <v>46289</v>
      </c>
      <c r="I313" s="4" t="n">
        <v>0</v>
      </c>
      <c r="J313" s="4" t="n">
        <v>0</v>
      </c>
      <c r="K313" s="4" t="n">
        <v>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9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31528984</v>
      </c>
      <c r="C314" s="4" t="s">
        <v>2341</v>
      </c>
      <c r="D314" s="4" t="s">
        <v>2312</v>
      </c>
      <c r="E314" s="4" t="s">
        <v>2805</v>
      </c>
      <c r="F314" s="127" t="n">
        <v>46447</v>
      </c>
      <c r="G314" s="127" t="n">
        <v>46450</v>
      </c>
      <c r="H314" s="127" t="n">
        <v>46289</v>
      </c>
      <c r="I314" s="4" t="n">
        <v>0</v>
      </c>
      <c r="J314" s="4" t="n">
        <v>0</v>
      </c>
      <c r="K314" s="4" t="n">
        <v>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9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31528985</v>
      </c>
      <c r="C315" s="4" t="s">
        <v>2341</v>
      </c>
      <c r="D315" s="4" t="s">
        <v>2309</v>
      </c>
      <c r="E315" s="4" t="s">
        <v>2805</v>
      </c>
      <c r="F315" s="127" t="n">
        <v>46451</v>
      </c>
      <c r="G315" s="127" t="n">
        <v>46457</v>
      </c>
      <c r="H315" s="127" t="n">
        <v>46289</v>
      </c>
      <c r="I315" s="4" t="n">
        <v>0</v>
      </c>
      <c r="J315" s="4" t="n">
        <v>0</v>
      </c>
      <c r="K315" s="4" t="n">
        <v>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9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31528986</v>
      </c>
      <c r="C316" s="4" t="s">
        <v>2341</v>
      </c>
      <c r="D316" s="4" t="s">
        <v>2314</v>
      </c>
      <c r="E316" s="4" t="s">
        <v>2805</v>
      </c>
      <c r="F316" s="127" t="n">
        <v>46458</v>
      </c>
      <c r="G316" s="127" t="n">
        <v>46458</v>
      </c>
      <c r="H316" s="127" t="n">
        <v>46289</v>
      </c>
      <c r="I316" s="4" t="n">
        <v>0</v>
      </c>
      <c r="J316" s="4" t="n">
        <v>0</v>
      </c>
      <c r="K316" s="4" t="n">
        <v>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9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31528987</v>
      </c>
      <c r="C317" s="4" t="s">
        <v>2341</v>
      </c>
      <c r="D317" s="4" t="s">
        <v>2758</v>
      </c>
      <c r="E317" s="4" t="s">
        <v>2805</v>
      </c>
      <c r="F317" s="127" t="n">
        <v>46458</v>
      </c>
      <c r="G317" s="127" t="n">
        <v>46458</v>
      </c>
      <c r="H317" s="127" t="n">
        <v>46289</v>
      </c>
      <c r="I317" s="4" t="n">
        <v>0</v>
      </c>
      <c r="J317" s="4" t="n">
        <v>0</v>
      </c>
      <c r="K317" s="4" t="n">
        <v>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9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30171436</v>
      </c>
      <c r="C318" s="4" t="s">
        <v>2382</v>
      </c>
      <c r="D318" s="4" t="s">
        <v>463</v>
      </c>
      <c r="E318" s="4" t="s">
        <v>2800</v>
      </c>
      <c r="F318" s="127" t="n">
        <v>46451</v>
      </c>
      <c r="G318" s="127" t="n">
        <v>46485</v>
      </c>
      <c r="H318" s="127" t="n">
        <v>46289</v>
      </c>
      <c r="I318" s="4" t="n">
        <v>0</v>
      </c>
      <c r="J318" s="4" t="n">
        <v>0</v>
      </c>
      <c r="K318" s="4" t="n">
        <v>0</v>
      </c>
      <c r="M318" s="2" t="str">
        <f aca="false">IF(C318="","",IFERROR(INDEX($S$5:$S$304,MATCH(C318,$R$5:$R$304,0))&amp;"","?"))</f>
        <v>35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4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39887263</v>
      </c>
      <c r="C319" s="4" t="s">
        <v>2393</v>
      </c>
      <c r="D319" s="4" t="s">
        <v>463</v>
      </c>
      <c r="E319" s="4" t="s">
        <v>2800</v>
      </c>
      <c r="F319" s="127" t="n">
        <v>46457</v>
      </c>
      <c r="G319" s="127" t="n">
        <v>46475</v>
      </c>
      <c r="H319" s="127" t="n">
        <v>46289</v>
      </c>
      <c r="I319" s="4" t="n">
        <v>0</v>
      </c>
      <c r="J319" s="4" t="n">
        <v>0</v>
      </c>
      <c r="K319" s="4" t="n">
        <v>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4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30205737</v>
      </c>
      <c r="C320" s="4" t="s">
        <v>2396</v>
      </c>
      <c r="D320" s="4" t="s">
        <v>463</v>
      </c>
      <c r="E320" s="4" t="s">
        <v>2740</v>
      </c>
      <c r="F320" s="127" t="n">
        <v>46458</v>
      </c>
      <c r="G320" s="127" t="n">
        <v>46521</v>
      </c>
      <c r="H320" s="127" t="n">
        <v>46289</v>
      </c>
      <c r="I320" s="4" t="n">
        <v>0</v>
      </c>
      <c r="J320" s="4" t="n">
        <v>0</v>
      </c>
      <c r="K320" s="4" t="n">
        <v>0</v>
      </c>
      <c r="M320" s="2" t="str">
        <f aca="false">IF(C320="","",IFERROR(INDEX($S$5:$S$304,MATCH(C320,$R$5:$R$304,0))&amp;"","?"))</f>
        <v>20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-1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35100286</v>
      </c>
      <c r="C321" s="4" t="s">
        <v>2402</v>
      </c>
      <c r="D321" s="4" t="s">
        <v>463</v>
      </c>
      <c r="E321" s="4" t="s">
        <v>81</v>
      </c>
      <c r="F321" s="127" t="n">
        <v>46461</v>
      </c>
      <c r="G321" s="127" t="n">
        <v>46471</v>
      </c>
      <c r="H321" s="127" t="n">
        <v>46289</v>
      </c>
      <c r="I321" s="4" t="n">
        <v>0</v>
      </c>
      <c r="J321" s="4" t="n">
        <v>0</v>
      </c>
      <c r="K321" s="4" t="n">
        <v>0</v>
      </c>
      <c r="M321" s="2" t="str">
        <f aca="false">IF(C321="","",IFERROR(INDEX($S$5:$S$304,MATCH(C321,$R$5:$R$304,0))&amp;"","?"))</f>
        <v>16</v>
      </c>
      <c r="N321" s="2" t="str">
        <f aca="false">IF(E321="","",IF(ISNUMBER(SEARCH("SUBSOLO",E321)),IFERROR(-VALUE(LEFT(E321,FIND("º",SUBSTITUTE(E321,"°","º"))-1)),-1),IF(LEFT(E321,6)="TÉRREO",0,IFERROR(VALUE(LEFT(E321,FIND("º",SUBSTITUTE(E321,"°","º"))-1)),""))))</f>
        <v/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14351018</v>
      </c>
      <c r="C322" s="4" t="s">
        <v>2402</v>
      </c>
      <c r="D322" s="4" t="s">
        <v>2806</v>
      </c>
      <c r="E322" s="4" t="s">
        <v>81</v>
      </c>
      <c r="F322" s="127" t="n">
        <v>46461</v>
      </c>
      <c r="G322" s="127" t="n">
        <v>46463</v>
      </c>
      <c r="H322" s="127" t="n">
        <v>46289</v>
      </c>
      <c r="I322" s="4" t="n">
        <v>0</v>
      </c>
      <c r="J322" s="4" t="n">
        <v>0</v>
      </c>
      <c r="K322" s="4" t="n">
        <v>0</v>
      </c>
      <c r="M322" s="2" t="str">
        <f aca="false">IF(C322="","",IFERROR(INDEX($S$5:$S$304,MATCH(C322,$R$5:$R$304,0))&amp;"","?"))</f>
        <v>16</v>
      </c>
      <c r="N322" s="2" t="str">
        <f aca="false">IF(E322="","",IF(ISNUMBER(SEARCH("SUBSOLO",E322)),IFERROR(-VALUE(LEFT(E322,FIND("º",SUBSTITUTE(E322,"°","º"))-1)),-1),IF(LEFT(E322,6)="TÉRREO",0,IFERROR(VALUE(LEFT(E322,FIND("º",SUBSTITUTE(E322,"°","º"))-1)),""))))</f>
        <v/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14351019</v>
      </c>
      <c r="C323" s="4" t="s">
        <v>2402</v>
      </c>
      <c r="D323" s="4" t="s">
        <v>2807</v>
      </c>
      <c r="E323" s="4" t="s">
        <v>81</v>
      </c>
      <c r="F323" s="127" t="n">
        <v>46464</v>
      </c>
      <c r="G323" s="127" t="n">
        <v>46468</v>
      </c>
      <c r="H323" s="127" t="n">
        <v>46289</v>
      </c>
      <c r="I323" s="4" t="n">
        <v>0</v>
      </c>
      <c r="J323" s="4" t="n">
        <v>0</v>
      </c>
      <c r="K323" s="4" t="n">
        <v>0</v>
      </c>
      <c r="M323" s="2" t="str">
        <f aca="false">IF(C323="","",IFERROR(INDEX($S$5:$S$304,MATCH(C323,$R$5:$R$304,0))&amp;"","?"))</f>
        <v>16</v>
      </c>
      <c r="N323" s="2" t="str">
        <f aca="false">IF(E323="","",IF(ISNUMBER(SEARCH("SUBSOLO",E323)),IFERROR(-VALUE(LEFT(E323,FIND("º",SUBSTITUTE(E323,"°","º"))-1)),-1),IF(LEFT(E323,6)="TÉRREO",0,IFERROR(VALUE(LEFT(E323,FIND("º",SUBSTITUTE(E323,"°","º"))-1)),""))))</f>
        <v/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14351020</v>
      </c>
      <c r="C324" s="4" t="s">
        <v>2402</v>
      </c>
      <c r="D324" s="4" t="s">
        <v>2808</v>
      </c>
      <c r="E324" s="4" t="s">
        <v>81</v>
      </c>
      <c r="F324" s="127" t="n">
        <v>46469</v>
      </c>
      <c r="G324" s="127" t="n">
        <v>46471</v>
      </c>
      <c r="H324" s="127" t="n">
        <v>46289</v>
      </c>
      <c r="I324" s="4" t="n">
        <v>0</v>
      </c>
      <c r="J324" s="4" t="n">
        <v>0</v>
      </c>
      <c r="K324" s="4" t="n">
        <v>0</v>
      </c>
      <c r="M324" s="2" t="str">
        <f aca="false">IF(C324="","",IFERROR(INDEX($S$5:$S$304,MATCH(C324,$R$5:$R$304,0))&amp;"","?"))</f>
        <v>16</v>
      </c>
      <c r="N324" s="2" t="str">
        <f aca="false">IF(E324="","",IF(ISNUMBER(SEARCH("SUBSOLO",E324)),IFERROR(-VALUE(LEFT(E324,FIND("º",SUBSTITUTE(E324,"°","º"))-1)),-1),IF(LEFT(E324,6)="TÉRREO",0,IFERROR(VALUE(LEFT(E324,FIND("º",SUBSTITUTE(E324,"°","º"))-1)),""))))</f>
        <v/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29940950</v>
      </c>
      <c r="C325" s="4" t="s">
        <v>2341</v>
      </c>
      <c r="D325" s="4" t="s">
        <v>463</v>
      </c>
      <c r="E325" s="4" t="s">
        <v>2809</v>
      </c>
      <c r="F325" s="127" t="n">
        <v>46461</v>
      </c>
      <c r="G325" s="127" t="n">
        <v>46471</v>
      </c>
      <c r="H325" s="127" t="n">
        <v>46289</v>
      </c>
      <c r="I325" s="4" t="n">
        <v>0</v>
      </c>
      <c r="J325" s="4" t="n">
        <v>0</v>
      </c>
      <c r="K325" s="4" t="n">
        <v>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10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31528992</v>
      </c>
      <c r="C326" s="4" t="s">
        <v>2341</v>
      </c>
      <c r="D326" s="4" t="s">
        <v>2312</v>
      </c>
      <c r="E326" s="4" t="s">
        <v>2809</v>
      </c>
      <c r="F326" s="127" t="n">
        <v>46461</v>
      </c>
      <c r="G326" s="127" t="n">
        <v>46465</v>
      </c>
      <c r="H326" s="127" t="n">
        <v>46289</v>
      </c>
      <c r="I326" s="4" t="n">
        <v>0</v>
      </c>
      <c r="J326" s="4" t="n">
        <v>0</v>
      </c>
      <c r="K326" s="4" t="n">
        <v>0</v>
      </c>
      <c r="M326" s="2" t="str">
        <f aca="false">IF(C326="","",IFERROR(INDEX($S$5:$S$304,MATCH(C326,$R$5:$R$304,0))&amp;"","?"))</f>
        <v>17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10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31528993</v>
      </c>
      <c r="C327" s="4" t="s">
        <v>2341</v>
      </c>
      <c r="D327" s="4" t="s">
        <v>2309</v>
      </c>
      <c r="E327" s="4" t="s">
        <v>2809</v>
      </c>
      <c r="F327" s="127" t="n">
        <v>46468</v>
      </c>
      <c r="G327" s="127" t="n">
        <v>46470</v>
      </c>
      <c r="H327" s="127" t="n">
        <v>46289</v>
      </c>
      <c r="I327" s="4" t="n">
        <v>0</v>
      </c>
      <c r="J327" s="4" t="n">
        <v>0</v>
      </c>
      <c r="K327" s="4" t="n">
        <v>0</v>
      </c>
      <c r="M327" s="2" t="str">
        <f aca="false">IF(C327="","",IFERROR(INDEX($S$5:$S$304,MATCH(C327,$R$5:$R$304,0))&amp;"","?"))</f>
        <v>17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10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31528994</v>
      </c>
      <c r="C328" s="4" t="s">
        <v>2341</v>
      </c>
      <c r="D328" s="4" t="s">
        <v>2314</v>
      </c>
      <c r="E328" s="4" t="s">
        <v>2809</v>
      </c>
      <c r="F328" s="127" t="n">
        <v>46471</v>
      </c>
      <c r="G328" s="127" t="n">
        <v>46471</v>
      </c>
      <c r="H328" s="127" t="n">
        <v>46289</v>
      </c>
      <c r="I328" s="4" t="n">
        <v>0</v>
      </c>
      <c r="J328" s="4" t="n">
        <v>0</v>
      </c>
      <c r="K328" s="4" t="n">
        <v>0</v>
      </c>
      <c r="M328" s="2" t="str">
        <f aca="false">IF(C328="","",IFERROR(INDEX($S$5:$S$304,MATCH(C328,$R$5:$R$304,0))&amp;"","?"))</f>
        <v>17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10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31528995</v>
      </c>
      <c r="C329" s="4" t="s">
        <v>2341</v>
      </c>
      <c r="D329" s="4" t="s">
        <v>2758</v>
      </c>
      <c r="E329" s="4" t="s">
        <v>2809</v>
      </c>
      <c r="F329" s="127" t="n">
        <v>46471</v>
      </c>
      <c r="G329" s="127" t="n">
        <v>46471</v>
      </c>
      <c r="H329" s="127" t="n">
        <v>46289</v>
      </c>
      <c r="I329" s="4" t="n">
        <v>0</v>
      </c>
      <c r="J329" s="4" t="n">
        <v>0</v>
      </c>
      <c r="K329" s="4" t="n">
        <v>0</v>
      </c>
      <c r="M329" s="2" t="str">
        <f aca="false">IF(C329="","",IFERROR(INDEX($S$5:$S$304,MATCH(C329,$R$5:$R$304,0))&amp;"","?"))</f>
        <v>17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10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29981543</v>
      </c>
      <c r="C330" s="4" t="s">
        <v>168</v>
      </c>
      <c r="D330" s="4" t="s">
        <v>463</v>
      </c>
      <c r="E330" s="4" t="s">
        <v>2803</v>
      </c>
      <c r="F330" s="127" t="n">
        <v>46462</v>
      </c>
      <c r="G330" s="127" t="n">
        <v>46475</v>
      </c>
      <c r="H330" s="127" t="n">
        <v>46289</v>
      </c>
      <c r="I330" s="4" t="n">
        <v>0</v>
      </c>
      <c r="J330" s="4" t="n">
        <v>0</v>
      </c>
      <c r="K330" s="4" t="n">
        <v>0</v>
      </c>
      <c r="M330" s="2" t="str">
        <f aca="false">IF(C330="","",IFERROR(INDEX($S$5:$S$304,MATCH(C330,$R$5:$R$304,0))&amp;"","?"))</f>
        <v>18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7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46237348</v>
      </c>
      <c r="C331" s="4" t="s">
        <v>2407</v>
      </c>
      <c r="D331" s="4" t="s">
        <v>463</v>
      </c>
      <c r="E331" s="4" t="s">
        <v>81</v>
      </c>
      <c r="F331" s="127" t="n">
        <v>46475</v>
      </c>
      <c r="G331" s="127" t="n">
        <v>46486</v>
      </c>
      <c r="H331" s="127" t="n">
        <v>46289</v>
      </c>
      <c r="I331" s="4" t="n">
        <v>0</v>
      </c>
      <c r="J331" s="4" t="n">
        <v>0</v>
      </c>
      <c r="K331" s="4" t="n">
        <v>0</v>
      </c>
      <c r="M331" s="2" t="str">
        <f aca="false">IF(C331="","",IFERROR(INDEX($S$5:$S$304,MATCH(C331,$R$5:$R$304,0))&amp;"","?"))</f>
        <v>16</v>
      </c>
      <c r="N331" s="2" t="str">
        <f aca="false">IF(E331="","",IF(ISNUMBER(SEARCH("SUBSOLO",E331)),IFERROR(-VALUE(LEFT(E331,FIND("º",SUBSTITUTE(E331,"°","º"))-1)),-1),IF(LEFT(E331,6)="TÉRREO",0,IFERROR(VALUE(LEFT(E331,FIND("º",SUBSTITUTE(E331,"°","º"))-1)),""))))</f>
        <v/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29940951</v>
      </c>
      <c r="C332" s="4" t="s">
        <v>2341</v>
      </c>
      <c r="D332" s="4" t="s">
        <v>463</v>
      </c>
      <c r="E332" s="4" t="s">
        <v>2810</v>
      </c>
      <c r="F332" s="127" t="n">
        <v>46475</v>
      </c>
      <c r="G332" s="127" t="n">
        <v>46485</v>
      </c>
      <c r="H332" s="127" t="n">
        <v>46289</v>
      </c>
      <c r="I332" s="4" t="n">
        <v>0</v>
      </c>
      <c r="J332" s="4" t="n">
        <v>0</v>
      </c>
      <c r="K332" s="4" t="n">
        <v>0</v>
      </c>
      <c r="M332" s="2" t="str">
        <f aca="false">IF(C332="","",IFERROR(INDEX($S$5:$S$304,MATCH(C332,$R$5:$R$304,0))&amp;"","?"))</f>
        <v>17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11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31528988</v>
      </c>
      <c r="C333" s="4" t="s">
        <v>2341</v>
      </c>
      <c r="D333" s="4" t="s">
        <v>2312</v>
      </c>
      <c r="E333" s="4" t="s">
        <v>2810</v>
      </c>
      <c r="F333" s="127" t="n">
        <v>46475</v>
      </c>
      <c r="G333" s="127" t="n">
        <v>46479</v>
      </c>
      <c r="H333" s="127" t="n">
        <v>46289</v>
      </c>
      <c r="I333" s="4" t="n">
        <v>0</v>
      </c>
      <c r="J333" s="4" t="n">
        <v>0</v>
      </c>
      <c r="K333" s="4" t="n">
        <v>0</v>
      </c>
      <c r="M333" s="2" t="str">
        <f aca="false">IF(C333="","",IFERROR(INDEX($S$5:$S$304,MATCH(C333,$R$5:$R$304,0))&amp;"","?"))</f>
        <v>17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11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31528989</v>
      </c>
      <c r="C334" s="4" t="s">
        <v>2341</v>
      </c>
      <c r="D334" s="4" t="s">
        <v>2309</v>
      </c>
      <c r="E334" s="4" t="s">
        <v>2810</v>
      </c>
      <c r="F334" s="127" t="n">
        <v>46482</v>
      </c>
      <c r="G334" s="127" t="n">
        <v>46484</v>
      </c>
      <c r="H334" s="127" t="n">
        <v>46289</v>
      </c>
      <c r="I334" s="4" t="n">
        <v>0</v>
      </c>
      <c r="J334" s="4" t="n">
        <v>0</v>
      </c>
      <c r="K334" s="4" t="n">
        <v>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11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31528990</v>
      </c>
      <c r="C335" s="4" t="s">
        <v>2341</v>
      </c>
      <c r="D335" s="4" t="s">
        <v>2314</v>
      </c>
      <c r="E335" s="4" t="s">
        <v>2810</v>
      </c>
      <c r="F335" s="127" t="n">
        <v>46485</v>
      </c>
      <c r="G335" s="127" t="n">
        <v>46485</v>
      </c>
      <c r="H335" s="127" t="n">
        <v>46289</v>
      </c>
      <c r="I335" s="4" t="n">
        <v>0</v>
      </c>
      <c r="J335" s="4" t="n">
        <v>0</v>
      </c>
      <c r="K335" s="4" t="n">
        <v>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11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31528991</v>
      </c>
      <c r="C336" s="4" t="s">
        <v>2341</v>
      </c>
      <c r="D336" s="4" t="s">
        <v>2758</v>
      </c>
      <c r="E336" s="4" t="s">
        <v>2810</v>
      </c>
      <c r="F336" s="127" t="n">
        <v>46485</v>
      </c>
      <c r="G336" s="127" t="n">
        <v>46485</v>
      </c>
      <c r="H336" s="127" t="n">
        <v>46289</v>
      </c>
      <c r="I336" s="4" t="n">
        <v>0</v>
      </c>
      <c r="J336" s="4" t="n">
        <v>0</v>
      </c>
      <c r="K336" s="4" t="n">
        <v>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11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39887264</v>
      </c>
      <c r="C337" s="4" t="s">
        <v>2393</v>
      </c>
      <c r="D337" s="4" t="s">
        <v>463</v>
      </c>
      <c r="E337" s="4" t="s">
        <v>2801</v>
      </c>
      <c r="F337" s="127" t="n">
        <v>46476</v>
      </c>
      <c r="G337" s="127" t="n">
        <v>46491</v>
      </c>
      <c r="H337" s="127" t="n">
        <v>46289</v>
      </c>
      <c r="I337" s="4" t="n">
        <v>0</v>
      </c>
      <c r="J337" s="4" t="n">
        <v>0</v>
      </c>
      <c r="K337" s="4" t="n">
        <v>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5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29981555</v>
      </c>
      <c r="C338" s="4" t="s">
        <v>2410</v>
      </c>
      <c r="D338" s="4" t="s">
        <v>463</v>
      </c>
      <c r="E338" s="4" t="s">
        <v>2803</v>
      </c>
      <c r="F338" s="127" t="n">
        <v>46476</v>
      </c>
      <c r="G338" s="127" t="n">
        <v>46486</v>
      </c>
      <c r="H338" s="127" t="n">
        <v>46289</v>
      </c>
      <c r="I338" s="4" t="n">
        <v>0</v>
      </c>
      <c r="J338" s="4" t="n">
        <v>0</v>
      </c>
      <c r="K338" s="4" t="n">
        <v>0</v>
      </c>
      <c r="M338" s="2" t="str">
        <f aca="false">IF(C338="","",IFERROR(INDEX($S$5:$S$304,MATCH(C338,$R$5:$R$304,0))&amp;"","?"))</f>
        <v>22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7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29981506</v>
      </c>
      <c r="C339" s="4" t="s">
        <v>168</v>
      </c>
      <c r="D339" s="4" t="s">
        <v>463</v>
      </c>
      <c r="E339" s="4" t="s">
        <v>2804</v>
      </c>
      <c r="F339" s="127" t="n">
        <v>46476</v>
      </c>
      <c r="G339" s="127" t="n">
        <v>46486</v>
      </c>
      <c r="H339" s="127" t="n">
        <v>46289</v>
      </c>
      <c r="I339" s="4" t="n">
        <v>0</v>
      </c>
      <c r="J339" s="4" t="n">
        <v>0</v>
      </c>
      <c r="K339" s="4" t="n">
        <v>0</v>
      </c>
      <c r="M339" s="2" t="str">
        <f aca="false">IF(C339="","",IFERROR(INDEX($S$5:$S$304,MATCH(C339,$R$5:$R$304,0))&amp;"","?"))</f>
        <v>18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8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29981545</v>
      </c>
      <c r="C340" s="4" t="s">
        <v>2413</v>
      </c>
      <c r="D340" s="4" t="s">
        <v>463</v>
      </c>
      <c r="E340" s="4" t="s">
        <v>2803</v>
      </c>
      <c r="F340" s="127" t="n">
        <v>46482</v>
      </c>
      <c r="G340" s="127" t="n">
        <v>46492</v>
      </c>
      <c r="H340" s="127" t="n">
        <v>46289</v>
      </c>
      <c r="I340" s="4" t="n">
        <v>0</v>
      </c>
      <c r="J340" s="4" t="n">
        <v>0</v>
      </c>
      <c r="K340" s="4" t="n">
        <v>0</v>
      </c>
      <c r="M340" s="2" t="str">
        <f aca="false">IF(C340="","",IFERROR(INDEX($S$5:$S$304,MATCH(C340,$R$5:$R$304,0))&amp;"","?"))</f>
        <v>21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7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29981544</v>
      </c>
      <c r="C341" s="4" t="s">
        <v>2416</v>
      </c>
      <c r="D341" s="4" t="s">
        <v>463</v>
      </c>
      <c r="E341" s="4" t="s">
        <v>2803</v>
      </c>
      <c r="F341" s="127" t="n">
        <v>46484</v>
      </c>
      <c r="G341" s="127" t="n">
        <v>46496</v>
      </c>
      <c r="H341" s="127" t="n">
        <v>46289</v>
      </c>
      <c r="I341" s="4" t="n">
        <v>0</v>
      </c>
      <c r="J341" s="4" t="n">
        <v>0</v>
      </c>
      <c r="K341" s="4" t="n">
        <v>0</v>
      </c>
      <c r="M341" s="2" t="str">
        <f aca="false">IF(C341="","",IFERROR(INDEX($S$5:$S$304,MATCH(C341,$R$5:$R$304,0))&amp;"","?"))</f>
        <v>18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7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35594323</v>
      </c>
      <c r="C342" s="4" t="s">
        <v>2419</v>
      </c>
      <c r="D342" s="4" t="s">
        <v>463</v>
      </c>
      <c r="E342" s="4" t="s">
        <v>81</v>
      </c>
      <c r="F342" s="127" t="n">
        <v>46486</v>
      </c>
      <c r="G342" s="127" t="n">
        <v>46518</v>
      </c>
      <c r="H342" s="127" t="n">
        <v>46289</v>
      </c>
      <c r="I342" s="4" t="n">
        <v>0</v>
      </c>
      <c r="J342" s="4" t="n">
        <v>0</v>
      </c>
      <c r="K342" s="4" t="n">
        <v>0</v>
      </c>
      <c r="M342" s="2" t="str">
        <f aca="false">IF(C342="","",IFERROR(INDEX($S$5:$S$304,MATCH(C342,$R$5:$R$304,0))&amp;"","?"))</f>
        <v>18</v>
      </c>
      <c r="N342" s="2" t="str">
        <f aca="false">IF(E342="","",IF(ISNUMBER(SEARCH("SUBSOLO",E342)),IFERROR(-VALUE(LEFT(E342,FIND("º",SUBSTITUTE(E342,"°","º"))-1)),-1),IF(LEFT(E342,6)="TÉRREO",0,IFERROR(VALUE(LEFT(E342,FIND("º",SUBSTITUTE(E342,"°","º"))-1)),""))))</f>
        <v/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30171481</v>
      </c>
      <c r="C343" s="4" t="s">
        <v>168</v>
      </c>
      <c r="D343" s="4" t="s">
        <v>463</v>
      </c>
      <c r="E343" s="4" t="s">
        <v>2784</v>
      </c>
      <c r="F343" s="127" t="n">
        <v>46486</v>
      </c>
      <c r="G343" s="127" t="n">
        <v>46549</v>
      </c>
      <c r="H343" s="127" t="n">
        <v>46289</v>
      </c>
      <c r="I343" s="4" t="n">
        <v>0</v>
      </c>
      <c r="J343" s="4" t="n">
        <v>0</v>
      </c>
      <c r="K343" s="4" t="n">
        <v>0</v>
      </c>
      <c r="M343" s="2" t="str">
        <f aca="false">IF(C343="","",IFERROR(INDEX($S$5:$S$304,MATCH(C343,$R$5:$R$304,0))&amp;"","?"))</f>
        <v>18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2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30171465</v>
      </c>
      <c r="C344" s="4" t="s">
        <v>2396</v>
      </c>
      <c r="D344" s="4" t="s">
        <v>463</v>
      </c>
      <c r="E344" s="4" t="s">
        <v>2790</v>
      </c>
      <c r="F344" s="127" t="n">
        <v>46486</v>
      </c>
      <c r="G344" s="127" t="n">
        <v>46549</v>
      </c>
      <c r="H344" s="127" t="n">
        <v>46289</v>
      </c>
      <c r="I344" s="4" t="n">
        <v>0</v>
      </c>
      <c r="J344" s="4" t="n">
        <v>0</v>
      </c>
      <c r="K344" s="4" t="n">
        <v>0</v>
      </c>
      <c r="M344" s="2" t="str">
        <f aca="false">IF(C344="","",IFERROR(INDEX($S$5:$S$304,MATCH(C344,$R$5:$R$304,0))&amp;"","?"))</f>
        <v>20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3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30171408</v>
      </c>
      <c r="C345" s="4" t="s">
        <v>2382</v>
      </c>
      <c r="D345" s="4" t="s">
        <v>463</v>
      </c>
      <c r="E345" s="4" t="s">
        <v>2801</v>
      </c>
      <c r="F345" s="127" t="n">
        <v>46486</v>
      </c>
      <c r="G345" s="127" t="n">
        <v>46517</v>
      </c>
      <c r="H345" s="127" t="n">
        <v>46289</v>
      </c>
      <c r="I345" s="4" t="n">
        <v>0</v>
      </c>
      <c r="J345" s="4" t="n">
        <v>0</v>
      </c>
      <c r="K345" s="4" t="n">
        <v>0</v>
      </c>
      <c r="M345" s="2" t="str">
        <f aca="false">IF(C345="","",IFERROR(INDEX($S$5:$S$304,MATCH(C345,$R$5:$R$304,0))&amp;"","?"))</f>
        <v>35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5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29940952</v>
      </c>
      <c r="C346" s="4" t="s">
        <v>2341</v>
      </c>
      <c r="D346" s="4" t="s">
        <v>463</v>
      </c>
      <c r="E346" s="4" t="s">
        <v>2811</v>
      </c>
      <c r="F346" s="127" t="n">
        <v>46486</v>
      </c>
      <c r="G346" s="127" t="n">
        <v>46497</v>
      </c>
      <c r="H346" s="127" t="n">
        <v>46289</v>
      </c>
      <c r="I346" s="4" t="n">
        <v>0</v>
      </c>
      <c r="J346" s="4" t="n">
        <v>0</v>
      </c>
      <c r="K346" s="4" t="n">
        <v>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12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31528996</v>
      </c>
      <c r="C347" s="4" t="s">
        <v>2341</v>
      </c>
      <c r="D347" s="4" t="s">
        <v>2312</v>
      </c>
      <c r="E347" s="4" t="s">
        <v>2811</v>
      </c>
      <c r="F347" s="127" t="n">
        <v>46486</v>
      </c>
      <c r="G347" s="127" t="n">
        <v>46491</v>
      </c>
      <c r="H347" s="127" t="n">
        <v>46289</v>
      </c>
      <c r="I347" s="4" t="n">
        <v>0</v>
      </c>
      <c r="J347" s="4" t="n">
        <v>0</v>
      </c>
      <c r="K347" s="4" t="n">
        <v>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12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31528997</v>
      </c>
      <c r="C348" s="4" t="s">
        <v>2341</v>
      </c>
      <c r="D348" s="4" t="s">
        <v>2309</v>
      </c>
      <c r="E348" s="4" t="s">
        <v>2811</v>
      </c>
      <c r="F348" s="127" t="n">
        <v>46492</v>
      </c>
      <c r="G348" s="127" t="n">
        <v>46496</v>
      </c>
      <c r="H348" s="127" t="n">
        <v>46289</v>
      </c>
      <c r="I348" s="4" t="n">
        <v>0</v>
      </c>
      <c r="J348" s="4" t="n">
        <v>0</v>
      </c>
      <c r="K348" s="4" t="n">
        <v>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12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31528998</v>
      </c>
      <c r="C349" s="4" t="s">
        <v>2341</v>
      </c>
      <c r="D349" s="4" t="s">
        <v>2314</v>
      </c>
      <c r="E349" s="4" t="s">
        <v>2811</v>
      </c>
      <c r="F349" s="127" t="n">
        <v>46497</v>
      </c>
      <c r="G349" s="127" t="n">
        <v>46497</v>
      </c>
      <c r="H349" s="127" t="n">
        <v>46289</v>
      </c>
      <c r="I349" s="4" t="n">
        <v>0</v>
      </c>
      <c r="J349" s="4" t="n">
        <v>0</v>
      </c>
      <c r="K349" s="4" t="n">
        <v>0</v>
      </c>
      <c r="M349" s="2" t="str">
        <f aca="false">IF(C349="","",IFERROR(INDEX($S$5:$S$304,MATCH(C349,$R$5:$R$304,0))&amp;"","?"))</f>
        <v>17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12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31528999</v>
      </c>
      <c r="C350" s="4" t="s">
        <v>2341</v>
      </c>
      <c r="D350" s="4" t="s">
        <v>2758</v>
      </c>
      <c r="E350" s="4" t="s">
        <v>2811</v>
      </c>
      <c r="F350" s="127" t="n">
        <v>46497</v>
      </c>
      <c r="G350" s="127" t="n">
        <v>46497</v>
      </c>
      <c r="H350" s="127" t="n">
        <v>46289</v>
      </c>
      <c r="I350" s="4" t="n">
        <v>0</v>
      </c>
      <c r="J350" s="4" t="n">
        <v>0</v>
      </c>
      <c r="K350" s="4" t="n">
        <v>0</v>
      </c>
      <c r="M350" s="2" t="str">
        <f aca="false">IF(C350="","",IFERROR(INDEX($S$5:$S$304,MATCH(C350,$R$5:$R$304,0))&amp;"","?"))</f>
        <v>17</v>
      </c>
      <c r="N350" s="2" t="n">
        <f aca="false">IF(E350="","",IF(ISNUMBER(SEARCH("SUBSOLO",E350)),IFERROR(-VALUE(LEFT(E350,FIND("º",SUBSTITUTE(E350,"°","º"))-1)),-1),IF(LEFT(E350,6)="TÉRREO",0,IFERROR(VALUE(LEFT(E350,FIND("º",SUBSTITUTE(E350,"°","º"))-1)),""))))</f>
        <v>12</v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29981518</v>
      </c>
      <c r="C351" s="4" t="s">
        <v>2410</v>
      </c>
      <c r="D351" s="4" t="s">
        <v>463</v>
      </c>
      <c r="E351" s="4" t="s">
        <v>2804</v>
      </c>
      <c r="F351" s="127" t="n">
        <v>46489</v>
      </c>
      <c r="G351" s="127" t="n">
        <v>46500</v>
      </c>
      <c r="H351" s="127" t="n">
        <v>46289</v>
      </c>
      <c r="I351" s="4" t="n">
        <v>0</v>
      </c>
      <c r="J351" s="4" t="n">
        <v>0</v>
      </c>
      <c r="K351" s="4" t="n">
        <v>0</v>
      </c>
      <c r="M351" s="2" t="str">
        <f aca="false">IF(C351="","",IFERROR(INDEX($S$5:$S$304,MATCH(C351,$R$5:$R$304,0))&amp;"","?"))</f>
        <v>22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8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29981469</v>
      </c>
      <c r="C352" s="4" t="s">
        <v>168</v>
      </c>
      <c r="D352" s="4" t="s">
        <v>463</v>
      </c>
      <c r="E352" s="4" t="s">
        <v>2805</v>
      </c>
      <c r="F352" s="127" t="n">
        <v>46489</v>
      </c>
      <c r="G352" s="127" t="n">
        <v>46500</v>
      </c>
      <c r="H352" s="127" t="n">
        <v>46289</v>
      </c>
      <c r="I352" s="4" t="n">
        <v>0</v>
      </c>
      <c r="J352" s="4" t="n">
        <v>0</v>
      </c>
      <c r="K352" s="4" t="n">
        <v>0</v>
      </c>
      <c r="M352" s="2" t="str">
        <f aca="false">IF(C352="","",IFERROR(INDEX($S$5:$S$304,MATCH(C352,$R$5:$R$304,0))&amp;"","?"))</f>
        <v>18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9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39887265</v>
      </c>
      <c r="C353" s="4" t="s">
        <v>2393</v>
      </c>
      <c r="D353" s="4" t="s">
        <v>463</v>
      </c>
      <c r="E353" s="4" t="s">
        <v>2802</v>
      </c>
      <c r="F353" s="127" t="n">
        <v>46492</v>
      </c>
      <c r="G353" s="127" t="n">
        <v>46510</v>
      </c>
      <c r="H353" s="127" t="n">
        <v>46289</v>
      </c>
      <c r="I353" s="4" t="n">
        <v>0</v>
      </c>
      <c r="J353" s="4" t="n">
        <v>0</v>
      </c>
      <c r="K353" s="4" t="n">
        <v>0</v>
      </c>
      <c r="M353" s="2" t="str">
        <f aca="false">IF(C353="","",IFERROR(INDEX($S$5:$S$304,MATCH(C353,$R$5:$R$304,0))&amp;"","?"))</f>
        <v>17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6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29981542</v>
      </c>
      <c r="C354" s="4" t="s">
        <v>2422</v>
      </c>
      <c r="D354" s="4" t="s">
        <v>463</v>
      </c>
      <c r="E354" s="4" t="s">
        <v>2803</v>
      </c>
      <c r="F354" s="127" t="n">
        <v>46493</v>
      </c>
      <c r="G354" s="127" t="n">
        <v>46506</v>
      </c>
      <c r="H354" s="127" t="n">
        <v>46289</v>
      </c>
      <c r="I354" s="4" t="n">
        <v>0</v>
      </c>
      <c r="J354" s="4" t="n">
        <v>0</v>
      </c>
      <c r="K354" s="4" t="n">
        <v>0</v>
      </c>
      <c r="M354" s="2" t="str">
        <f aca="false">IF(C354="","",IFERROR(INDEX($S$5:$S$304,MATCH(C354,$R$5:$R$304,0))&amp;"","?"))</f>
        <v>29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7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29981508</v>
      </c>
      <c r="C355" s="4" t="s">
        <v>2413</v>
      </c>
      <c r="D355" s="4" t="s">
        <v>463</v>
      </c>
      <c r="E355" s="4" t="s">
        <v>2804</v>
      </c>
      <c r="F355" s="127" t="n">
        <v>46493</v>
      </c>
      <c r="G355" s="127" t="n">
        <v>46506</v>
      </c>
      <c r="H355" s="127" t="n">
        <v>46289</v>
      </c>
      <c r="I355" s="4" t="n">
        <v>0</v>
      </c>
      <c r="J355" s="4" t="n">
        <v>0</v>
      </c>
      <c r="K355" s="4" t="n">
        <v>0</v>
      </c>
      <c r="M355" s="2" t="str">
        <f aca="false">IF(C355="","",IFERROR(INDEX($S$5:$S$304,MATCH(C355,$R$5:$R$304,0))&amp;"","?"))</f>
        <v>21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8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29981507</v>
      </c>
      <c r="C356" s="4" t="s">
        <v>2416</v>
      </c>
      <c r="D356" s="4" t="s">
        <v>463</v>
      </c>
      <c r="E356" s="4" t="s">
        <v>2804</v>
      </c>
      <c r="F356" s="127" t="n">
        <v>46497</v>
      </c>
      <c r="G356" s="127" t="n">
        <v>46510</v>
      </c>
      <c r="H356" s="127" t="n">
        <v>46289</v>
      </c>
      <c r="I356" s="4" t="n">
        <v>0</v>
      </c>
      <c r="J356" s="4" t="n">
        <v>0</v>
      </c>
      <c r="K356" s="4" t="n">
        <v>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8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29940953</v>
      </c>
      <c r="C357" s="4" t="s">
        <v>2341</v>
      </c>
      <c r="D357" s="4" t="s">
        <v>463</v>
      </c>
      <c r="E357" s="4" t="s">
        <v>2812</v>
      </c>
      <c r="F357" s="127" t="n">
        <v>46499</v>
      </c>
      <c r="G357" s="127" t="n">
        <v>46510</v>
      </c>
      <c r="H357" s="127" t="n">
        <v>46289</v>
      </c>
      <c r="I357" s="4" t="n">
        <v>0</v>
      </c>
      <c r="J357" s="4" t="n">
        <v>0</v>
      </c>
      <c r="K357" s="4" t="n">
        <v>0</v>
      </c>
      <c r="M357" s="2" t="str">
        <f aca="false">IF(C357="","",IFERROR(INDEX($S$5:$S$304,MATCH(C357,$R$5:$R$304,0))&amp;"","?"))</f>
        <v>17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13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31529000</v>
      </c>
      <c r="C358" s="4" t="s">
        <v>2341</v>
      </c>
      <c r="D358" s="4" t="s">
        <v>2312</v>
      </c>
      <c r="E358" s="4" t="s">
        <v>2812</v>
      </c>
      <c r="F358" s="127" t="n">
        <v>46499</v>
      </c>
      <c r="G358" s="127" t="n">
        <v>46504</v>
      </c>
      <c r="H358" s="127" t="n">
        <v>46289</v>
      </c>
      <c r="I358" s="4" t="n">
        <v>0</v>
      </c>
      <c r="J358" s="4" t="n">
        <v>0</v>
      </c>
      <c r="K358" s="4" t="n">
        <v>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13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31529001</v>
      </c>
      <c r="C359" s="4" t="s">
        <v>2341</v>
      </c>
      <c r="D359" s="4" t="s">
        <v>2309</v>
      </c>
      <c r="E359" s="4" t="s">
        <v>2812</v>
      </c>
      <c r="F359" s="127" t="n">
        <v>46505</v>
      </c>
      <c r="G359" s="127" t="n">
        <v>46507</v>
      </c>
      <c r="H359" s="127" t="n">
        <v>46289</v>
      </c>
      <c r="I359" s="4" t="n">
        <v>0</v>
      </c>
      <c r="J359" s="4" t="n">
        <v>0</v>
      </c>
      <c r="K359" s="4" t="n">
        <v>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13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31529002</v>
      </c>
      <c r="C360" s="4" t="s">
        <v>2341</v>
      </c>
      <c r="D360" s="4" t="s">
        <v>2314</v>
      </c>
      <c r="E360" s="4" t="s">
        <v>2812</v>
      </c>
      <c r="F360" s="127" t="n">
        <v>46510</v>
      </c>
      <c r="G360" s="127" t="n">
        <v>46510</v>
      </c>
      <c r="H360" s="127" t="n">
        <v>46289</v>
      </c>
      <c r="I360" s="4" t="n">
        <v>0</v>
      </c>
      <c r="J360" s="4" t="n">
        <v>0</v>
      </c>
      <c r="K360" s="4" t="n">
        <v>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13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31529003</v>
      </c>
      <c r="C361" s="4" t="s">
        <v>2341</v>
      </c>
      <c r="D361" s="4" t="s">
        <v>2758</v>
      </c>
      <c r="E361" s="4" t="s">
        <v>2812</v>
      </c>
      <c r="F361" s="127" t="n">
        <v>46510</v>
      </c>
      <c r="G361" s="127" t="n">
        <v>46510</v>
      </c>
      <c r="H361" s="127" t="n">
        <v>46289</v>
      </c>
      <c r="I361" s="4" t="n">
        <v>0</v>
      </c>
      <c r="J361" s="4" t="n">
        <v>0</v>
      </c>
      <c r="K361" s="4" t="n">
        <v>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13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29981481</v>
      </c>
      <c r="C362" s="4" t="s">
        <v>2410</v>
      </c>
      <c r="D362" s="4" t="s">
        <v>463</v>
      </c>
      <c r="E362" s="4" t="s">
        <v>2805</v>
      </c>
      <c r="F362" s="127" t="n">
        <v>46503</v>
      </c>
      <c r="G362" s="127" t="n">
        <v>46513</v>
      </c>
      <c r="H362" s="127" t="n">
        <v>46289</v>
      </c>
      <c r="I362" s="4" t="n">
        <v>0</v>
      </c>
      <c r="J362" s="4" t="n">
        <v>0</v>
      </c>
      <c r="K362" s="4" t="n">
        <v>0</v>
      </c>
      <c r="M362" s="2" t="str">
        <f aca="false">IF(C362="","",IFERROR(INDEX($S$5:$S$304,MATCH(C362,$R$5:$R$304,0))&amp;"","?"))</f>
        <v>22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9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29981432</v>
      </c>
      <c r="C363" s="4" t="s">
        <v>168</v>
      </c>
      <c r="D363" s="4" t="s">
        <v>463</v>
      </c>
      <c r="E363" s="4" t="s">
        <v>2809</v>
      </c>
      <c r="F363" s="127" t="n">
        <v>46503</v>
      </c>
      <c r="G363" s="127" t="n">
        <v>46513</v>
      </c>
      <c r="H363" s="127" t="n">
        <v>46289</v>
      </c>
      <c r="I363" s="4" t="n">
        <v>0</v>
      </c>
      <c r="J363" s="4" t="n">
        <v>0</v>
      </c>
      <c r="K363" s="4" t="n">
        <v>0</v>
      </c>
      <c r="M363" s="2" t="str">
        <f aca="false">IF(C363="","",IFERROR(INDEX($S$5:$S$304,MATCH(C363,$R$5:$R$304,0))&amp;"","?"))</f>
        <v>18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10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29981556</v>
      </c>
      <c r="C364" s="4" t="s">
        <v>2425</v>
      </c>
      <c r="D364" s="4" t="s">
        <v>463</v>
      </c>
      <c r="E364" s="4" t="s">
        <v>2803</v>
      </c>
      <c r="F364" s="127" t="n">
        <v>46507</v>
      </c>
      <c r="G364" s="127" t="n">
        <v>46519</v>
      </c>
      <c r="H364" s="127" t="n">
        <v>46289</v>
      </c>
      <c r="I364" s="4" t="n">
        <v>0</v>
      </c>
      <c r="J364" s="4" t="n">
        <v>0</v>
      </c>
      <c r="K364" s="4" t="n">
        <v>0</v>
      </c>
      <c r="M364" s="2" t="str">
        <f aca="false">IF(C364="","",IFERROR(INDEX($S$5:$S$304,MATCH(C364,$R$5:$R$304,0))&amp;"","?"))</f>
        <v>21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29981525</v>
      </c>
      <c r="C365" s="4" t="s">
        <v>2428</v>
      </c>
      <c r="D365" s="4" t="s">
        <v>463</v>
      </c>
      <c r="E365" s="4" t="s">
        <v>2803</v>
      </c>
      <c r="F365" s="127" t="n">
        <v>46507</v>
      </c>
      <c r="G365" s="127" t="n">
        <v>46519</v>
      </c>
      <c r="H365" s="127" t="n">
        <v>46289</v>
      </c>
      <c r="I365" s="4" t="n">
        <v>0</v>
      </c>
      <c r="J365" s="4" t="n">
        <v>0</v>
      </c>
      <c r="K365" s="4" t="n">
        <v>0</v>
      </c>
      <c r="M365" s="2" t="str">
        <f aca="false">IF(C365="","",IFERROR(INDEX($S$5:$S$304,MATCH(C365,$R$5:$R$304,0))&amp;"","?"))</f>
        <v>20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29981558</v>
      </c>
      <c r="C366" s="4" t="s">
        <v>2431</v>
      </c>
      <c r="D366" s="4" t="s">
        <v>463</v>
      </c>
      <c r="E366" s="4" t="s">
        <v>2803</v>
      </c>
      <c r="F366" s="127" t="n">
        <v>46507</v>
      </c>
      <c r="G366" s="127" t="n">
        <v>46519</v>
      </c>
      <c r="H366" s="127" t="n">
        <v>46289</v>
      </c>
      <c r="I366" s="4" t="n">
        <v>0</v>
      </c>
      <c r="J366" s="4" t="n">
        <v>0</v>
      </c>
      <c r="K366" s="4" t="n">
        <v>0</v>
      </c>
      <c r="M366" s="2" t="str">
        <f aca="false">IF(C366="","",IFERROR(INDEX($S$5:$S$304,MATCH(C366,$R$5:$R$304,0))&amp;"","?"))</f>
        <v>21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29981505</v>
      </c>
      <c r="C367" s="4" t="s">
        <v>2422</v>
      </c>
      <c r="D367" s="4" t="s">
        <v>463</v>
      </c>
      <c r="E367" s="4" t="s">
        <v>2804</v>
      </c>
      <c r="F367" s="127" t="n">
        <v>46507</v>
      </c>
      <c r="G367" s="127" t="n">
        <v>46519</v>
      </c>
      <c r="H367" s="127" t="n">
        <v>46289</v>
      </c>
      <c r="I367" s="4" t="n">
        <v>0</v>
      </c>
      <c r="J367" s="4" t="n">
        <v>0</v>
      </c>
      <c r="K367" s="4" t="n">
        <v>0</v>
      </c>
      <c r="M367" s="2" t="str">
        <f aca="false">IF(C367="","",IFERROR(INDEX($S$5:$S$304,MATCH(C367,$R$5:$R$304,0))&amp;"","?"))</f>
        <v>29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8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29981471</v>
      </c>
      <c r="C368" s="4" t="s">
        <v>2413</v>
      </c>
      <c r="D368" s="4" t="s">
        <v>463</v>
      </c>
      <c r="E368" s="4" t="s">
        <v>2805</v>
      </c>
      <c r="F368" s="127" t="n">
        <v>46507</v>
      </c>
      <c r="G368" s="127" t="n">
        <v>46519</v>
      </c>
      <c r="H368" s="127" t="n">
        <v>46289</v>
      </c>
      <c r="I368" s="4" t="n">
        <v>0</v>
      </c>
      <c r="J368" s="4" t="n">
        <v>0</v>
      </c>
      <c r="K368" s="4" t="n">
        <v>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9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29981470</v>
      </c>
      <c r="C369" s="4" t="s">
        <v>2416</v>
      </c>
      <c r="D369" s="4" t="s">
        <v>463</v>
      </c>
      <c r="E369" s="4" t="s">
        <v>2805</v>
      </c>
      <c r="F369" s="127" t="n">
        <v>46511</v>
      </c>
      <c r="G369" s="127" t="n">
        <v>46521</v>
      </c>
      <c r="H369" s="127" t="n">
        <v>46289</v>
      </c>
      <c r="I369" s="4" t="n">
        <v>0</v>
      </c>
      <c r="J369" s="4" t="n">
        <v>0</v>
      </c>
      <c r="K369" s="4" t="n">
        <v>0</v>
      </c>
      <c r="M369" s="2" t="str">
        <f aca="false">IF(C369="","",IFERROR(INDEX($S$5:$S$304,MATCH(C369,$R$5:$R$304,0))&amp;"","?"))</f>
        <v>18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9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29940954</v>
      </c>
      <c r="C370" s="4" t="s">
        <v>2341</v>
      </c>
      <c r="D370" s="4" t="s">
        <v>463</v>
      </c>
      <c r="E370" s="4" t="s">
        <v>2813</v>
      </c>
      <c r="F370" s="127" t="n">
        <v>46511</v>
      </c>
      <c r="G370" s="127" t="n">
        <v>46520</v>
      </c>
      <c r="H370" s="127" t="n">
        <v>46289</v>
      </c>
      <c r="I370" s="4" t="n">
        <v>0</v>
      </c>
      <c r="J370" s="4" t="n">
        <v>0</v>
      </c>
      <c r="K370" s="4" t="n">
        <v>0</v>
      </c>
      <c r="M370" s="2" t="str">
        <f aca="false">IF(C370="","",IFERROR(INDEX($S$5:$S$304,MATCH(C370,$R$5:$R$304,0))&amp;"","?"))</f>
        <v>17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14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31529004</v>
      </c>
      <c r="C371" s="4" t="s">
        <v>2341</v>
      </c>
      <c r="D371" s="4" t="s">
        <v>2312</v>
      </c>
      <c r="E371" s="4" t="s">
        <v>2813</v>
      </c>
      <c r="F371" s="127" t="n">
        <v>46511</v>
      </c>
      <c r="G371" s="127" t="n">
        <v>46514</v>
      </c>
      <c r="H371" s="127" t="n">
        <v>46289</v>
      </c>
      <c r="I371" s="4" t="n">
        <v>0</v>
      </c>
      <c r="J371" s="4" t="n">
        <v>0</v>
      </c>
      <c r="K371" s="4" t="n">
        <v>0</v>
      </c>
      <c r="M371" s="2" t="str">
        <f aca="false">IF(C371="","",IFERROR(INDEX($S$5:$S$304,MATCH(C371,$R$5:$R$304,0))&amp;"","?"))</f>
        <v>17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14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31529005</v>
      </c>
      <c r="C372" s="4" t="s">
        <v>2341</v>
      </c>
      <c r="D372" s="4" t="s">
        <v>2309</v>
      </c>
      <c r="E372" s="4" t="s">
        <v>2813</v>
      </c>
      <c r="F372" s="127" t="n">
        <v>46517</v>
      </c>
      <c r="G372" s="127" t="n">
        <v>46519</v>
      </c>
      <c r="H372" s="127" t="n">
        <v>46289</v>
      </c>
      <c r="I372" s="4" t="n">
        <v>0</v>
      </c>
      <c r="J372" s="4" t="n">
        <v>0</v>
      </c>
      <c r="K372" s="4" t="n">
        <v>0</v>
      </c>
      <c r="M372" s="2" t="str">
        <f aca="false">IF(C372="","",IFERROR(INDEX($S$5:$S$304,MATCH(C372,$R$5:$R$304,0))&amp;"","?"))</f>
        <v>17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14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31529006</v>
      </c>
      <c r="C373" s="4" t="s">
        <v>2341</v>
      </c>
      <c r="D373" s="4" t="s">
        <v>2314</v>
      </c>
      <c r="E373" s="4" t="s">
        <v>2813</v>
      </c>
      <c r="F373" s="127" t="n">
        <v>46520</v>
      </c>
      <c r="G373" s="127" t="n">
        <v>46520</v>
      </c>
      <c r="H373" s="127" t="n">
        <v>46289</v>
      </c>
      <c r="I373" s="4" t="n">
        <v>0</v>
      </c>
      <c r="J373" s="4" t="n">
        <v>0</v>
      </c>
      <c r="K373" s="4" t="n">
        <v>0</v>
      </c>
      <c r="M373" s="2" t="str">
        <f aca="false">IF(C373="","",IFERROR(INDEX($S$5:$S$304,MATCH(C373,$R$5:$R$304,0))&amp;"","?"))</f>
        <v>17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14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31529007</v>
      </c>
      <c r="C374" s="4" t="s">
        <v>2341</v>
      </c>
      <c r="D374" s="4" t="s">
        <v>2758</v>
      </c>
      <c r="E374" s="4" t="s">
        <v>2813</v>
      </c>
      <c r="F374" s="127" t="n">
        <v>46520</v>
      </c>
      <c r="G374" s="127" t="n">
        <v>46520</v>
      </c>
      <c r="H374" s="127" t="n">
        <v>46289</v>
      </c>
      <c r="I374" s="4" t="n">
        <v>0</v>
      </c>
      <c r="J374" s="4" t="n">
        <v>0</v>
      </c>
      <c r="K374" s="4" t="n">
        <v>0</v>
      </c>
      <c r="M374" s="2" t="str">
        <f aca="false">IF(C374="","",IFERROR(INDEX($S$5:$S$304,MATCH(C374,$R$5:$R$304,0))&amp;"","?"))</f>
        <v>17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14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29981444</v>
      </c>
      <c r="C375" s="4" t="s">
        <v>2410</v>
      </c>
      <c r="D375" s="4" t="s">
        <v>463</v>
      </c>
      <c r="E375" s="4" t="s">
        <v>2809</v>
      </c>
      <c r="F375" s="127" t="n">
        <v>46514</v>
      </c>
      <c r="G375" s="127" t="n">
        <v>46526</v>
      </c>
      <c r="H375" s="127" t="n">
        <v>46289</v>
      </c>
      <c r="I375" s="4" t="n">
        <v>0</v>
      </c>
      <c r="J375" s="4" t="n">
        <v>0</v>
      </c>
      <c r="K375" s="4" t="n">
        <v>0</v>
      </c>
      <c r="M375" s="2" t="str">
        <f aca="false">IF(C375="","",IFERROR(INDEX($S$5:$S$304,MATCH(C375,$R$5:$R$304,0))&amp;"","?"))</f>
        <v>22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10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29981395</v>
      </c>
      <c r="C376" s="4" t="s">
        <v>168</v>
      </c>
      <c r="D376" s="4" t="s">
        <v>463</v>
      </c>
      <c r="E376" s="4" t="s">
        <v>2810</v>
      </c>
      <c r="F376" s="127" t="n">
        <v>46514</v>
      </c>
      <c r="G376" s="127" t="n">
        <v>46526</v>
      </c>
      <c r="H376" s="127" t="n">
        <v>46289</v>
      </c>
      <c r="I376" s="4" t="n">
        <v>0</v>
      </c>
      <c r="J376" s="4" t="n">
        <v>0</v>
      </c>
      <c r="K376" s="4" t="n">
        <v>0</v>
      </c>
      <c r="M376" s="2" t="str">
        <f aca="false">IF(C376="","",IFERROR(INDEX($S$5:$S$304,MATCH(C376,$R$5:$R$304,0))&amp;"","?"))</f>
        <v>18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11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29981526</v>
      </c>
      <c r="C377" s="4" t="s">
        <v>2434</v>
      </c>
      <c r="D377" s="4" t="s">
        <v>463</v>
      </c>
      <c r="E377" s="4" t="s">
        <v>2803</v>
      </c>
      <c r="F377" s="127" t="n">
        <v>46520</v>
      </c>
      <c r="G377" s="127" t="n">
        <v>46532</v>
      </c>
      <c r="H377" s="127" t="n">
        <v>46289</v>
      </c>
      <c r="I377" s="4" t="n">
        <v>0</v>
      </c>
      <c r="J377" s="4" t="n">
        <v>0</v>
      </c>
      <c r="K377" s="4" t="n">
        <v>0</v>
      </c>
      <c r="M377" s="2" t="str">
        <f aca="false">IF(C377="","",IFERROR(INDEX($S$5:$S$304,MATCH(C377,$R$5:$R$304,0))&amp;"","?"))</f>
        <v>25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7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29981519</v>
      </c>
      <c r="C378" s="4" t="s">
        <v>2425</v>
      </c>
      <c r="D378" s="4" t="s">
        <v>463</v>
      </c>
      <c r="E378" s="4" t="s">
        <v>2804</v>
      </c>
      <c r="F378" s="127" t="n">
        <v>46520</v>
      </c>
      <c r="G378" s="127" t="n">
        <v>46532</v>
      </c>
      <c r="H378" s="127" t="n">
        <v>46289</v>
      </c>
      <c r="I378" s="4" t="n">
        <v>0</v>
      </c>
      <c r="J378" s="4" t="n">
        <v>0</v>
      </c>
      <c r="K378" s="4" t="n">
        <v>0</v>
      </c>
      <c r="M378" s="2" t="str">
        <f aca="false">IF(C378="","",IFERROR(INDEX($S$5:$S$304,MATCH(C378,$R$5:$R$304,0))&amp;"","?"))</f>
        <v>21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8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29981488</v>
      </c>
      <c r="C379" s="4" t="s">
        <v>2428</v>
      </c>
      <c r="D379" s="4" t="s">
        <v>463</v>
      </c>
      <c r="E379" s="4" t="s">
        <v>2804</v>
      </c>
      <c r="F379" s="127" t="n">
        <v>46520</v>
      </c>
      <c r="G379" s="127" t="n">
        <v>46532</v>
      </c>
      <c r="H379" s="127" t="n">
        <v>46289</v>
      </c>
      <c r="I379" s="4" t="n">
        <v>0</v>
      </c>
      <c r="J379" s="4" t="n">
        <v>0</v>
      </c>
      <c r="K379" s="4" t="n">
        <v>0</v>
      </c>
      <c r="M379" s="2" t="str">
        <f aca="false">IF(C379="","",IFERROR(INDEX($S$5:$S$304,MATCH(C379,$R$5:$R$304,0))&amp;"","?"))</f>
        <v>20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8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29981521</v>
      </c>
      <c r="C380" s="4" t="s">
        <v>2431</v>
      </c>
      <c r="D380" s="4" t="s">
        <v>463</v>
      </c>
      <c r="E380" s="4" t="s">
        <v>2804</v>
      </c>
      <c r="F380" s="127" t="n">
        <v>46520</v>
      </c>
      <c r="G380" s="127" t="n">
        <v>46532</v>
      </c>
      <c r="H380" s="127" t="n">
        <v>46289</v>
      </c>
      <c r="I380" s="4" t="n">
        <v>0</v>
      </c>
      <c r="J380" s="4" t="n">
        <v>0</v>
      </c>
      <c r="K380" s="4" t="n">
        <v>0</v>
      </c>
      <c r="M380" s="2" t="str">
        <f aca="false">IF(C380="","",IFERROR(INDEX($S$5:$S$304,MATCH(C380,$R$5:$R$304,0))&amp;"","?"))</f>
        <v>21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8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29981468</v>
      </c>
      <c r="C381" s="4" t="s">
        <v>2422</v>
      </c>
      <c r="D381" s="4" t="s">
        <v>463</v>
      </c>
      <c r="E381" s="4" t="s">
        <v>2805</v>
      </c>
      <c r="F381" s="127" t="n">
        <v>46520</v>
      </c>
      <c r="G381" s="127" t="n">
        <v>46532</v>
      </c>
      <c r="H381" s="127" t="n">
        <v>46289</v>
      </c>
      <c r="I381" s="4" t="n">
        <v>0</v>
      </c>
      <c r="J381" s="4" t="n">
        <v>0</v>
      </c>
      <c r="K381" s="4" t="n">
        <v>0</v>
      </c>
      <c r="M381" s="2" t="str">
        <f aca="false">IF(C381="","",IFERROR(INDEX($S$5:$S$304,MATCH(C381,$R$5:$R$304,0))&amp;"","?"))</f>
        <v>29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9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29981434</v>
      </c>
      <c r="C382" s="4" t="s">
        <v>2413</v>
      </c>
      <c r="D382" s="4" t="s">
        <v>463</v>
      </c>
      <c r="E382" s="4" t="s">
        <v>2809</v>
      </c>
      <c r="F382" s="127" t="n">
        <v>46520</v>
      </c>
      <c r="G382" s="127" t="n">
        <v>46532</v>
      </c>
      <c r="H382" s="127" t="n">
        <v>46289</v>
      </c>
      <c r="I382" s="4" t="n">
        <v>0</v>
      </c>
      <c r="J382" s="4" t="n">
        <v>0</v>
      </c>
      <c r="K382" s="4" t="n">
        <v>0</v>
      </c>
      <c r="M382" s="2" t="str">
        <f aca="false">IF(C382="","",IFERROR(INDEX($S$5:$S$304,MATCH(C382,$R$5:$R$304,0))&amp;"","?"))</f>
        <v>21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10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29940955</v>
      </c>
      <c r="C383" s="4" t="s">
        <v>2341</v>
      </c>
      <c r="D383" s="4" t="s">
        <v>463</v>
      </c>
      <c r="E383" s="4" t="s">
        <v>2814</v>
      </c>
      <c r="F383" s="127" t="n">
        <v>46521</v>
      </c>
      <c r="G383" s="127" t="n">
        <v>46532</v>
      </c>
      <c r="H383" s="127" t="n">
        <v>46289</v>
      </c>
      <c r="I383" s="4" t="n">
        <v>0</v>
      </c>
      <c r="J383" s="4" t="n">
        <v>0</v>
      </c>
      <c r="K383" s="4" t="n">
        <v>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15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31529008</v>
      </c>
      <c r="C384" s="4" t="s">
        <v>2341</v>
      </c>
      <c r="D384" s="4" t="s">
        <v>2312</v>
      </c>
      <c r="E384" s="4" t="s">
        <v>2814</v>
      </c>
      <c r="F384" s="127" t="n">
        <v>46521</v>
      </c>
      <c r="G384" s="127" t="n">
        <v>46526</v>
      </c>
      <c r="H384" s="127" t="n">
        <v>46289</v>
      </c>
      <c r="I384" s="4" t="n">
        <v>0</v>
      </c>
      <c r="J384" s="4" t="n">
        <v>0</v>
      </c>
      <c r="K384" s="4" t="n">
        <v>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15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31529009</v>
      </c>
      <c r="C385" s="4" t="s">
        <v>2341</v>
      </c>
      <c r="D385" s="4" t="s">
        <v>2309</v>
      </c>
      <c r="E385" s="4" t="s">
        <v>2814</v>
      </c>
      <c r="F385" s="127" t="n">
        <v>46527</v>
      </c>
      <c r="G385" s="127" t="n">
        <v>46531</v>
      </c>
      <c r="H385" s="127" t="n">
        <v>46289</v>
      </c>
      <c r="I385" s="4" t="n">
        <v>0</v>
      </c>
      <c r="J385" s="4" t="n">
        <v>0</v>
      </c>
      <c r="K385" s="4" t="n">
        <v>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15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31529010</v>
      </c>
      <c r="C386" s="4" t="s">
        <v>2341</v>
      </c>
      <c r="D386" s="4" t="s">
        <v>2314</v>
      </c>
      <c r="E386" s="4" t="s">
        <v>2814</v>
      </c>
      <c r="F386" s="127" t="n">
        <v>46532</v>
      </c>
      <c r="G386" s="127" t="n">
        <v>46532</v>
      </c>
      <c r="H386" s="127" t="n">
        <v>46289</v>
      </c>
      <c r="I386" s="4" t="n">
        <v>0</v>
      </c>
      <c r="J386" s="4" t="n">
        <v>0</v>
      </c>
      <c r="K386" s="4" t="n">
        <v>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15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31529011</v>
      </c>
      <c r="C387" s="4" t="s">
        <v>2341</v>
      </c>
      <c r="D387" s="4" t="s">
        <v>2758</v>
      </c>
      <c r="E387" s="4" t="s">
        <v>2814</v>
      </c>
      <c r="F387" s="127" t="n">
        <v>46532</v>
      </c>
      <c r="G387" s="127" t="n">
        <v>46532</v>
      </c>
      <c r="H387" s="127" t="n">
        <v>46289</v>
      </c>
      <c r="I387" s="4" t="n">
        <v>0</v>
      </c>
      <c r="J387" s="4" t="n">
        <v>0</v>
      </c>
      <c r="K387" s="4" t="n">
        <v>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15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30205725</v>
      </c>
      <c r="C388" s="4" t="s">
        <v>168</v>
      </c>
      <c r="D388" s="4" t="s">
        <v>463</v>
      </c>
      <c r="E388" s="4" t="s">
        <v>2740</v>
      </c>
      <c r="F388" s="127" t="n">
        <v>46524</v>
      </c>
      <c r="G388" s="127" t="n">
        <v>46554</v>
      </c>
      <c r="H388" s="127" t="n">
        <v>46289</v>
      </c>
      <c r="I388" s="4" t="n">
        <v>0</v>
      </c>
      <c r="J388" s="4" t="n">
        <v>0</v>
      </c>
      <c r="K388" s="4" t="n">
        <v>0</v>
      </c>
      <c r="M388" s="2" t="str">
        <f aca="false">IF(C388="","",IFERROR(INDEX($S$5:$S$304,MATCH(C388,$R$5:$R$304,0))&amp;"","?"))</f>
        <v>18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-1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29981433</v>
      </c>
      <c r="C389" s="4" t="s">
        <v>2416</v>
      </c>
      <c r="D389" s="4" t="s">
        <v>463</v>
      </c>
      <c r="E389" s="4" t="s">
        <v>2809</v>
      </c>
      <c r="F389" s="127" t="n">
        <v>46524</v>
      </c>
      <c r="G389" s="127" t="n">
        <v>46535</v>
      </c>
      <c r="H389" s="127" t="n">
        <v>46289</v>
      </c>
      <c r="I389" s="4" t="n">
        <v>0</v>
      </c>
      <c r="J389" s="4" t="n">
        <v>0</v>
      </c>
      <c r="K389" s="4" t="n">
        <v>0</v>
      </c>
      <c r="M389" s="2" t="str">
        <f aca="false">IF(C389="","",IFERROR(INDEX($S$5:$S$304,MATCH(C389,$R$5:$R$304,0))&amp;"","?"))</f>
        <v>18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10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29981407</v>
      </c>
      <c r="C390" s="4" t="s">
        <v>2410</v>
      </c>
      <c r="D390" s="4" t="s">
        <v>463</v>
      </c>
      <c r="E390" s="4" t="s">
        <v>2810</v>
      </c>
      <c r="F390" s="127" t="n">
        <v>46527</v>
      </c>
      <c r="G390" s="127" t="n">
        <v>46540</v>
      </c>
      <c r="H390" s="127" t="n">
        <v>46289</v>
      </c>
      <c r="I390" s="4" t="n">
        <v>0</v>
      </c>
      <c r="J390" s="4" t="n">
        <v>0</v>
      </c>
      <c r="K390" s="4" t="n">
        <v>0</v>
      </c>
      <c r="M390" s="2" t="str">
        <f aca="false">IF(C390="","",IFERROR(INDEX($S$5:$S$304,MATCH(C390,$R$5:$R$304,0))&amp;"","?"))</f>
        <v>22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11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29981358</v>
      </c>
      <c r="C391" s="4" t="s">
        <v>168</v>
      </c>
      <c r="D391" s="4" t="s">
        <v>463</v>
      </c>
      <c r="E391" s="4" t="s">
        <v>2811</v>
      </c>
      <c r="F391" s="127" t="n">
        <v>46527</v>
      </c>
      <c r="G391" s="127" t="n">
        <v>46540</v>
      </c>
      <c r="H391" s="127" t="n">
        <v>46289</v>
      </c>
      <c r="I391" s="4" t="n">
        <v>0</v>
      </c>
      <c r="J391" s="4" t="n">
        <v>0</v>
      </c>
      <c r="K391" s="4" t="n">
        <v>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12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29981523</v>
      </c>
      <c r="C392" s="4" t="s">
        <v>2437</v>
      </c>
      <c r="D392" s="4" t="s">
        <v>463</v>
      </c>
      <c r="E392" s="4" t="s">
        <v>2803</v>
      </c>
      <c r="F392" s="127" t="n">
        <v>46533</v>
      </c>
      <c r="G392" s="127" t="n">
        <v>46546</v>
      </c>
      <c r="H392" s="127" t="n">
        <v>46289</v>
      </c>
      <c r="I392" s="4" t="n">
        <v>0</v>
      </c>
      <c r="J392" s="4" t="n">
        <v>0</v>
      </c>
      <c r="K392" s="4" t="n">
        <v>0</v>
      </c>
      <c r="M392" s="2" t="str">
        <f aca="false">IF(C392="","",IFERROR(INDEX($S$5:$S$304,MATCH(C392,$R$5:$R$304,0))&amp;"","?"))</f>
        <v>29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7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29981489</v>
      </c>
      <c r="C393" s="4" t="s">
        <v>2434</v>
      </c>
      <c r="D393" s="4" t="s">
        <v>463</v>
      </c>
      <c r="E393" s="4" t="s">
        <v>2804</v>
      </c>
      <c r="F393" s="127" t="n">
        <v>46533</v>
      </c>
      <c r="G393" s="127" t="n">
        <v>46546</v>
      </c>
      <c r="H393" s="127" t="n">
        <v>46289</v>
      </c>
      <c r="I393" s="4" t="n">
        <v>0</v>
      </c>
      <c r="J393" s="4" t="n">
        <v>0</v>
      </c>
      <c r="K393" s="4" t="n">
        <v>0</v>
      </c>
      <c r="M393" s="2" t="str">
        <f aca="false">IF(C393="","",IFERROR(INDEX($S$5:$S$304,MATCH(C393,$R$5:$R$304,0))&amp;"","?"))</f>
        <v>25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8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29981482</v>
      </c>
      <c r="C394" s="4" t="s">
        <v>2425</v>
      </c>
      <c r="D394" s="4" t="s">
        <v>463</v>
      </c>
      <c r="E394" s="4" t="s">
        <v>2805</v>
      </c>
      <c r="F394" s="127" t="n">
        <v>46533</v>
      </c>
      <c r="G394" s="127" t="n">
        <v>46546</v>
      </c>
      <c r="H394" s="127" t="n">
        <v>46289</v>
      </c>
      <c r="I394" s="4" t="n">
        <v>0</v>
      </c>
      <c r="J394" s="4" t="n">
        <v>0</v>
      </c>
      <c r="K394" s="4" t="n">
        <v>0</v>
      </c>
      <c r="M394" s="2" t="str">
        <f aca="false">IF(C394="","",IFERROR(INDEX($S$5:$S$304,MATCH(C394,$R$5:$R$304,0))&amp;"","?"))</f>
        <v>21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9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29981451</v>
      </c>
      <c r="C395" s="4" t="s">
        <v>2428</v>
      </c>
      <c r="D395" s="4" t="s">
        <v>463</v>
      </c>
      <c r="E395" s="4" t="s">
        <v>2805</v>
      </c>
      <c r="F395" s="127" t="n">
        <v>46533</v>
      </c>
      <c r="G395" s="127" t="n">
        <v>46546</v>
      </c>
      <c r="H395" s="127" t="n">
        <v>46289</v>
      </c>
      <c r="I395" s="4" t="n">
        <v>0</v>
      </c>
      <c r="J395" s="4" t="n">
        <v>0</v>
      </c>
      <c r="K395" s="4" t="n">
        <v>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9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29981484</v>
      </c>
      <c r="C396" s="4" t="s">
        <v>2431</v>
      </c>
      <c r="D396" s="4" t="s">
        <v>463</v>
      </c>
      <c r="E396" s="4" t="s">
        <v>2805</v>
      </c>
      <c r="F396" s="127" t="n">
        <v>46533</v>
      </c>
      <c r="G396" s="127" t="n">
        <v>46546</v>
      </c>
      <c r="H396" s="127" t="n">
        <v>46289</v>
      </c>
      <c r="I396" s="4" t="n">
        <v>0</v>
      </c>
      <c r="J396" s="4" t="n">
        <v>0</v>
      </c>
      <c r="K396" s="4" t="n">
        <v>0</v>
      </c>
      <c r="M396" s="2" t="str">
        <f aca="false">IF(C396="","",IFERROR(INDEX($S$5:$S$304,MATCH(C396,$R$5:$R$304,0))&amp;"","?"))</f>
        <v>21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9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29981431</v>
      </c>
      <c r="C397" s="4" t="s">
        <v>2422</v>
      </c>
      <c r="D397" s="4" t="s">
        <v>463</v>
      </c>
      <c r="E397" s="4" t="s">
        <v>2809</v>
      </c>
      <c r="F397" s="127" t="n">
        <v>46533</v>
      </c>
      <c r="G397" s="127" t="n">
        <v>46546</v>
      </c>
      <c r="H397" s="127" t="n">
        <v>46289</v>
      </c>
      <c r="I397" s="4" t="n">
        <v>0</v>
      </c>
      <c r="J397" s="4" t="n">
        <v>0</v>
      </c>
      <c r="K397" s="4" t="n">
        <v>0</v>
      </c>
      <c r="M397" s="2" t="str">
        <f aca="false">IF(C397="","",IFERROR(INDEX($S$5:$S$304,MATCH(C397,$R$5:$R$304,0))&amp;"","?"))</f>
        <v>29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10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29981397</v>
      </c>
      <c r="C398" s="4" t="s">
        <v>2413</v>
      </c>
      <c r="D398" s="4" t="s">
        <v>463</v>
      </c>
      <c r="E398" s="4" t="s">
        <v>2810</v>
      </c>
      <c r="F398" s="127" t="n">
        <v>46533</v>
      </c>
      <c r="G398" s="127" t="n">
        <v>46546</v>
      </c>
      <c r="H398" s="127" t="n">
        <v>46289</v>
      </c>
      <c r="I398" s="4" t="n">
        <v>0</v>
      </c>
      <c r="J398" s="4" t="n">
        <v>0</v>
      </c>
      <c r="K398" s="4" t="n">
        <v>0</v>
      </c>
      <c r="M398" s="2" t="str">
        <f aca="false">IF(C398="","",IFERROR(INDEX($S$5:$S$304,MATCH(C398,$R$5:$R$304,0))&amp;"","?"))</f>
        <v>21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11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29940956</v>
      </c>
      <c r="C399" s="4" t="s">
        <v>2341</v>
      </c>
      <c r="D399" s="4" t="s">
        <v>463</v>
      </c>
      <c r="E399" s="4" t="s">
        <v>2815</v>
      </c>
      <c r="F399" s="127" t="n">
        <v>46533</v>
      </c>
      <c r="G399" s="127" t="n">
        <v>46545</v>
      </c>
      <c r="H399" s="127" t="n">
        <v>46289</v>
      </c>
      <c r="I399" s="4" t="n">
        <v>0</v>
      </c>
      <c r="J399" s="4" t="n">
        <v>0</v>
      </c>
      <c r="K399" s="4" t="n">
        <v>0</v>
      </c>
      <c r="M399" s="2" t="str">
        <f aca="false">IF(C399="","",IFERROR(INDEX($S$5:$S$304,MATCH(C399,$R$5:$R$304,0))&amp;"","?"))</f>
        <v>17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16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31529012</v>
      </c>
      <c r="C400" s="4" t="s">
        <v>2341</v>
      </c>
      <c r="D400" s="4" t="s">
        <v>2312</v>
      </c>
      <c r="E400" s="4" t="s">
        <v>2815</v>
      </c>
      <c r="F400" s="127" t="n">
        <v>46533</v>
      </c>
      <c r="G400" s="127" t="n">
        <v>46539</v>
      </c>
      <c r="H400" s="127" t="n">
        <v>46289</v>
      </c>
      <c r="I400" s="4" t="n">
        <v>0</v>
      </c>
      <c r="J400" s="4" t="n">
        <v>0</v>
      </c>
      <c r="K400" s="4" t="n">
        <v>0</v>
      </c>
      <c r="M400" s="2" t="str">
        <f aca="false">IF(C400="","",IFERROR(INDEX($S$5:$S$304,MATCH(C400,$R$5:$R$304,0))&amp;"","?"))</f>
        <v>17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16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31529013</v>
      </c>
      <c r="C401" s="4" t="s">
        <v>2341</v>
      </c>
      <c r="D401" s="4" t="s">
        <v>2309</v>
      </c>
      <c r="E401" s="4" t="s">
        <v>2815</v>
      </c>
      <c r="F401" s="127" t="n">
        <v>46540</v>
      </c>
      <c r="G401" s="127" t="n">
        <v>46542</v>
      </c>
      <c r="H401" s="127" t="n">
        <v>46289</v>
      </c>
      <c r="I401" s="4" t="n">
        <v>0</v>
      </c>
      <c r="J401" s="4" t="n">
        <v>0</v>
      </c>
      <c r="K401" s="4" t="n">
        <v>0</v>
      </c>
      <c r="M401" s="2" t="str">
        <f aca="false">IF(C401="","",IFERROR(INDEX($S$5:$S$304,MATCH(C401,$R$5:$R$304,0))&amp;"","?"))</f>
        <v>17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16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31529014</v>
      </c>
      <c r="C402" s="4" t="s">
        <v>2341</v>
      </c>
      <c r="D402" s="4" t="s">
        <v>2314</v>
      </c>
      <c r="E402" s="4" t="s">
        <v>2815</v>
      </c>
      <c r="F402" s="127" t="n">
        <v>46545</v>
      </c>
      <c r="G402" s="127" t="n">
        <v>46545</v>
      </c>
      <c r="H402" s="127" t="n">
        <v>46289</v>
      </c>
      <c r="I402" s="4" t="n">
        <v>0</v>
      </c>
      <c r="J402" s="4" t="n">
        <v>0</v>
      </c>
      <c r="K402" s="4" t="n">
        <v>0</v>
      </c>
      <c r="M402" s="2" t="str">
        <f aca="false">IF(C402="","",IFERROR(INDEX($S$5:$S$304,MATCH(C402,$R$5:$R$304,0))&amp;"","?"))</f>
        <v>17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16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31529015</v>
      </c>
      <c r="C403" s="4" t="s">
        <v>2341</v>
      </c>
      <c r="D403" s="4" t="s">
        <v>2758</v>
      </c>
      <c r="E403" s="4" t="s">
        <v>2815</v>
      </c>
      <c r="F403" s="127" t="n">
        <v>46545</v>
      </c>
      <c r="G403" s="127" t="n">
        <v>46545</v>
      </c>
      <c r="H403" s="127" t="n">
        <v>46289</v>
      </c>
      <c r="I403" s="4" t="n">
        <v>0</v>
      </c>
      <c r="J403" s="4" t="n">
        <v>0</v>
      </c>
      <c r="K403" s="4" t="n">
        <v>0</v>
      </c>
      <c r="M403" s="2" t="str">
        <f aca="false">IF(C403="","",IFERROR(INDEX($S$5:$S$304,MATCH(C403,$R$5:$R$304,0))&amp;"","?"))</f>
        <v>17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16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30171653</v>
      </c>
      <c r="C404" s="4" t="s">
        <v>2437</v>
      </c>
      <c r="D404" s="4" t="s">
        <v>463</v>
      </c>
      <c r="E404" s="4" t="s">
        <v>2816</v>
      </c>
      <c r="F404" s="127" t="n">
        <v>46535</v>
      </c>
      <c r="G404" s="127" t="n">
        <v>46862</v>
      </c>
      <c r="H404" s="127" t="n">
        <v>46289</v>
      </c>
      <c r="I404" s="4" t="n">
        <v>0</v>
      </c>
      <c r="J404" s="4" t="n">
        <v>0</v>
      </c>
      <c r="K404" s="4" t="n">
        <v>0</v>
      </c>
      <c r="M404" s="2" t="str">
        <f aca="false">IF(C404="","",IFERROR(INDEX($S$5:$S$304,MATCH(C404,$R$5:$R$304,0))&amp;"","?"))</f>
        <v>29</v>
      </c>
      <c r="N404" s="2" t="str">
        <f aca="false">IF(E404="","",IF(ISNUMBER(SEARCH("SUBSOLO",E404)),IFERROR(-VALUE(LEFT(E404,FIND("º",SUBSTITUTE(E404,"°","º"))-1)),-1),IF(LEFT(E404,6)="TÉRREO",0,IFERROR(VALUE(LEFT(E404,FIND("º",SUBSTITUTE(E404,"°","º"))-1)),""))))</f>
        <v/>
      </c>
      <c r="O404" s="2" t="str">
        <f aca="false">IF(OR(F404="",G404=""),"",IF(G404&lt;='RETRATO 2027'!$K$5,"CONCLUÍDA",IF(F404&lt;='RETRATO 2027'!$K$5,"EM ANDAMENTO","A INICIAR")))</f>
        <v>EM ANDAMENTO</v>
      </c>
    </row>
    <row r="405" customFormat="false" ht="15" hidden="false" customHeight="false" outlineLevel="0" collapsed="false">
      <c r="B405" s="4" t="n">
        <v>30171496</v>
      </c>
      <c r="C405" s="4" t="s">
        <v>2437</v>
      </c>
      <c r="D405" s="4" t="s">
        <v>463</v>
      </c>
      <c r="E405" s="4" t="s">
        <v>2817</v>
      </c>
      <c r="F405" s="127" t="n">
        <v>46535</v>
      </c>
      <c r="G405" s="127" t="n">
        <v>46862</v>
      </c>
      <c r="H405" s="127" t="n">
        <v>46289</v>
      </c>
      <c r="I405" s="4" t="n">
        <v>0</v>
      </c>
      <c r="J405" s="4" t="n">
        <v>0</v>
      </c>
      <c r="K405" s="4" t="n">
        <v>0</v>
      </c>
      <c r="M405" s="2" t="str">
        <f aca="false">IF(C405="","",IFERROR(INDEX($S$5:$S$304,MATCH(C405,$R$5:$R$304,0))&amp;"","?"))</f>
        <v>29</v>
      </c>
      <c r="N405" s="2" t="str">
        <f aca="false">IF(E405="","",IF(ISNUMBER(SEARCH("SUBSOLO",E405)),IFERROR(-VALUE(LEFT(E405,FIND("º",SUBSTITUTE(E405,"°","º"))-1)),-1),IF(LEFT(E405,6)="TÉRREO",0,IFERROR(VALUE(LEFT(E405,FIND("º",SUBSTITUTE(E405,"°","º"))-1)),""))))</f>
        <v/>
      </c>
      <c r="O405" s="2" t="str">
        <f aca="false">IF(OR(F405="",G405=""),"",IF(G405&lt;='RETRATO 2027'!$K$5,"CONCLUÍDA",IF(F405&lt;='RETRATO 2027'!$K$5,"EM ANDAMENTO","A INICIAR")))</f>
        <v>EM ANDAMENTO</v>
      </c>
    </row>
    <row r="406" customFormat="false" ht="15" hidden="false" customHeight="false" outlineLevel="0" collapsed="false">
      <c r="B406" s="4" t="n">
        <v>29981396</v>
      </c>
      <c r="C406" s="4" t="s">
        <v>2416</v>
      </c>
      <c r="D406" s="4" t="s">
        <v>463</v>
      </c>
      <c r="E406" s="4" t="s">
        <v>2810</v>
      </c>
      <c r="F406" s="127" t="n">
        <v>46538</v>
      </c>
      <c r="G406" s="127" t="n">
        <v>46548</v>
      </c>
      <c r="H406" s="127" t="n">
        <v>46289</v>
      </c>
      <c r="I406" s="4" t="n">
        <v>0</v>
      </c>
      <c r="J406" s="4" t="n">
        <v>0</v>
      </c>
      <c r="K406" s="4" t="n">
        <v>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11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29981370</v>
      </c>
      <c r="C407" s="4" t="s">
        <v>2410</v>
      </c>
      <c r="D407" s="4" t="s">
        <v>463</v>
      </c>
      <c r="E407" s="4" t="s">
        <v>2811</v>
      </c>
      <c r="F407" s="127" t="n">
        <v>46541</v>
      </c>
      <c r="G407" s="127" t="n">
        <v>46553</v>
      </c>
      <c r="H407" s="127" t="n">
        <v>46289</v>
      </c>
      <c r="I407" s="4" t="n">
        <v>0</v>
      </c>
      <c r="J407" s="4" t="n">
        <v>0</v>
      </c>
      <c r="K407" s="4" t="n">
        <v>0</v>
      </c>
      <c r="M407" s="2" t="str">
        <f aca="false">IF(C407="","",IFERROR(INDEX($S$5:$S$304,MATCH(C407,$R$5:$R$304,0))&amp;"","?"))</f>
        <v>22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12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29981321</v>
      </c>
      <c r="C408" s="4" t="s">
        <v>168</v>
      </c>
      <c r="D408" s="4" t="s">
        <v>463</v>
      </c>
      <c r="E408" s="4" t="s">
        <v>2812</v>
      </c>
      <c r="F408" s="127" t="n">
        <v>46541</v>
      </c>
      <c r="G408" s="127" t="n">
        <v>46553</v>
      </c>
      <c r="H408" s="127" t="n">
        <v>46289</v>
      </c>
      <c r="I408" s="4" t="n">
        <v>0</v>
      </c>
      <c r="J408" s="4" t="n">
        <v>0</v>
      </c>
      <c r="K408" s="4" t="n">
        <v>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13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29940957</v>
      </c>
      <c r="C409" s="4" t="s">
        <v>2341</v>
      </c>
      <c r="D409" s="4" t="s">
        <v>463</v>
      </c>
      <c r="E409" s="4" t="s">
        <v>2818</v>
      </c>
      <c r="F409" s="127" t="n">
        <v>46546</v>
      </c>
      <c r="G409" s="127" t="n">
        <v>46555</v>
      </c>
      <c r="H409" s="127" t="n">
        <v>46289</v>
      </c>
      <c r="I409" s="4" t="n">
        <v>0</v>
      </c>
      <c r="J409" s="4" t="n">
        <v>0</v>
      </c>
      <c r="K409" s="4" t="n">
        <v>0</v>
      </c>
      <c r="M409" s="2" t="str">
        <f aca="false">IF(C409="","",IFERROR(INDEX($S$5:$S$304,MATCH(C409,$R$5:$R$304,0))&amp;"","?"))</f>
        <v>17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17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31529016</v>
      </c>
      <c r="C410" s="4" t="s">
        <v>2341</v>
      </c>
      <c r="D410" s="4" t="s">
        <v>2312</v>
      </c>
      <c r="E410" s="4" t="s">
        <v>2818</v>
      </c>
      <c r="F410" s="127" t="n">
        <v>46546</v>
      </c>
      <c r="G410" s="127" t="n">
        <v>46549</v>
      </c>
      <c r="H410" s="127" t="n">
        <v>46289</v>
      </c>
      <c r="I410" s="4" t="n">
        <v>0</v>
      </c>
      <c r="J410" s="4" t="n">
        <v>0</v>
      </c>
      <c r="K410" s="4" t="n">
        <v>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17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31529017</v>
      </c>
      <c r="C411" s="4" t="s">
        <v>2341</v>
      </c>
      <c r="D411" s="4" t="s">
        <v>2309</v>
      </c>
      <c r="E411" s="4" t="s">
        <v>2818</v>
      </c>
      <c r="F411" s="127" t="n">
        <v>46552</v>
      </c>
      <c r="G411" s="127" t="n">
        <v>46554</v>
      </c>
      <c r="H411" s="127" t="n">
        <v>46289</v>
      </c>
      <c r="I411" s="4" t="n">
        <v>0</v>
      </c>
      <c r="J411" s="4" t="n">
        <v>0</v>
      </c>
      <c r="K411" s="4" t="n">
        <v>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17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31529018</v>
      </c>
      <c r="C412" s="4" t="s">
        <v>2341</v>
      </c>
      <c r="D412" s="4" t="s">
        <v>2314</v>
      </c>
      <c r="E412" s="4" t="s">
        <v>2818</v>
      </c>
      <c r="F412" s="127" t="n">
        <v>46555</v>
      </c>
      <c r="G412" s="127" t="n">
        <v>46555</v>
      </c>
      <c r="H412" s="127" t="n">
        <v>46289</v>
      </c>
      <c r="I412" s="4" t="n">
        <v>0</v>
      </c>
      <c r="J412" s="4" t="n">
        <v>0</v>
      </c>
      <c r="K412" s="4" t="n">
        <v>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17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31529019</v>
      </c>
      <c r="C413" s="4" t="s">
        <v>2341</v>
      </c>
      <c r="D413" s="4" t="s">
        <v>2758</v>
      </c>
      <c r="E413" s="4" t="s">
        <v>2818</v>
      </c>
      <c r="F413" s="127" t="n">
        <v>46555</v>
      </c>
      <c r="G413" s="127" t="n">
        <v>46555</v>
      </c>
      <c r="H413" s="127" t="n">
        <v>46289</v>
      </c>
      <c r="I413" s="4" t="n">
        <v>0</v>
      </c>
      <c r="J413" s="4" t="n">
        <v>0</v>
      </c>
      <c r="K413" s="4" t="n">
        <v>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17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29981524</v>
      </c>
      <c r="C414" s="4" t="s">
        <v>2440</v>
      </c>
      <c r="D414" s="4" t="s">
        <v>463</v>
      </c>
      <c r="E414" s="4" t="s">
        <v>2803</v>
      </c>
      <c r="F414" s="127" t="n">
        <v>46547</v>
      </c>
      <c r="G414" s="127" t="n">
        <v>46559</v>
      </c>
      <c r="H414" s="127" t="n">
        <v>46289</v>
      </c>
      <c r="I414" s="4" t="n">
        <v>0</v>
      </c>
      <c r="J414" s="4" t="n">
        <v>0</v>
      </c>
      <c r="K414" s="4" t="n">
        <v>0</v>
      </c>
      <c r="M414" s="2" t="str">
        <f aca="false">IF(C414="","",IFERROR(INDEX($S$5:$S$304,MATCH(C414,$R$5:$R$304,0))&amp;"","?"))</f>
        <v>21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7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29981557</v>
      </c>
      <c r="C415" s="4" t="s">
        <v>2443</v>
      </c>
      <c r="D415" s="4" t="s">
        <v>463</v>
      </c>
      <c r="E415" s="4" t="s">
        <v>2803</v>
      </c>
      <c r="F415" s="127" t="n">
        <v>46547</v>
      </c>
      <c r="G415" s="127" t="n">
        <v>46559</v>
      </c>
      <c r="H415" s="127" t="n">
        <v>46289</v>
      </c>
      <c r="I415" s="4" t="n">
        <v>0</v>
      </c>
      <c r="J415" s="4" t="n">
        <v>0</v>
      </c>
      <c r="K415" s="4" t="n">
        <v>0</v>
      </c>
      <c r="M415" s="2" t="str">
        <f aca="false">IF(C415="","",IFERROR(INDEX($S$5:$S$304,MATCH(C415,$R$5:$R$304,0))&amp;"","?"))</f>
        <v>20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7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29981486</v>
      </c>
      <c r="C416" s="4" t="s">
        <v>2437</v>
      </c>
      <c r="D416" s="4" t="s">
        <v>463</v>
      </c>
      <c r="E416" s="4" t="s">
        <v>2804</v>
      </c>
      <c r="F416" s="127" t="n">
        <v>46547</v>
      </c>
      <c r="G416" s="127" t="n">
        <v>46559</v>
      </c>
      <c r="H416" s="127" t="n">
        <v>46289</v>
      </c>
      <c r="I416" s="4" t="n">
        <v>0</v>
      </c>
      <c r="J416" s="4" t="n">
        <v>0</v>
      </c>
      <c r="K416" s="4" t="n">
        <v>0</v>
      </c>
      <c r="M416" s="2" t="str">
        <f aca="false">IF(C416="","",IFERROR(INDEX($S$5:$S$304,MATCH(C416,$R$5:$R$304,0))&amp;"","?"))</f>
        <v>29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8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29981452</v>
      </c>
      <c r="C417" s="4" t="s">
        <v>2434</v>
      </c>
      <c r="D417" s="4" t="s">
        <v>463</v>
      </c>
      <c r="E417" s="4" t="s">
        <v>2805</v>
      </c>
      <c r="F417" s="127" t="n">
        <v>46547</v>
      </c>
      <c r="G417" s="127" t="n">
        <v>46559</v>
      </c>
      <c r="H417" s="127" t="n">
        <v>46289</v>
      </c>
      <c r="I417" s="4" t="n">
        <v>0</v>
      </c>
      <c r="J417" s="4" t="n">
        <v>0</v>
      </c>
      <c r="K417" s="4" t="n">
        <v>0</v>
      </c>
      <c r="M417" s="2" t="str">
        <f aca="false">IF(C417="","",IFERROR(INDEX($S$5:$S$304,MATCH(C417,$R$5:$R$304,0))&amp;"","?"))</f>
        <v>25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29981445</v>
      </c>
      <c r="C418" s="4" t="s">
        <v>2425</v>
      </c>
      <c r="D418" s="4" t="s">
        <v>463</v>
      </c>
      <c r="E418" s="4" t="s">
        <v>2809</v>
      </c>
      <c r="F418" s="127" t="n">
        <v>46547</v>
      </c>
      <c r="G418" s="127" t="n">
        <v>46559</v>
      </c>
      <c r="H418" s="127" t="n">
        <v>46289</v>
      </c>
      <c r="I418" s="4" t="n">
        <v>0</v>
      </c>
      <c r="J418" s="4" t="n">
        <v>0</v>
      </c>
      <c r="K418" s="4" t="n">
        <v>0</v>
      </c>
      <c r="M418" s="2" t="str">
        <f aca="false">IF(C418="","",IFERROR(INDEX($S$5:$S$304,MATCH(C418,$R$5:$R$304,0))&amp;"","?"))</f>
        <v>21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10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29981414</v>
      </c>
      <c r="C419" s="4" t="s">
        <v>2428</v>
      </c>
      <c r="D419" s="4" t="s">
        <v>463</v>
      </c>
      <c r="E419" s="4" t="s">
        <v>2809</v>
      </c>
      <c r="F419" s="127" t="n">
        <v>46547</v>
      </c>
      <c r="G419" s="127" t="n">
        <v>46559</v>
      </c>
      <c r="H419" s="127" t="n">
        <v>46289</v>
      </c>
      <c r="I419" s="4" t="n">
        <v>0</v>
      </c>
      <c r="J419" s="4" t="n">
        <v>0</v>
      </c>
      <c r="K419" s="4" t="n">
        <v>0</v>
      </c>
      <c r="M419" s="2" t="str">
        <f aca="false">IF(C419="","",IFERROR(INDEX($S$5:$S$304,MATCH(C419,$R$5:$R$304,0))&amp;"","?"))</f>
        <v>20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10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29981447</v>
      </c>
      <c r="C420" s="4" t="s">
        <v>2431</v>
      </c>
      <c r="D420" s="4" t="s">
        <v>463</v>
      </c>
      <c r="E420" s="4" t="s">
        <v>2809</v>
      </c>
      <c r="F420" s="127" t="n">
        <v>46547</v>
      </c>
      <c r="G420" s="127" t="n">
        <v>46559</v>
      </c>
      <c r="H420" s="127" t="n">
        <v>46289</v>
      </c>
      <c r="I420" s="4" t="n">
        <v>0</v>
      </c>
      <c r="J420" s="4" t="n">
        <v>0</v>
      </c>
      <c r="K420" s="4" t="n">
        <v>0</v>
      </c>
      <c r="M420" s="2" t="str">
        <f aca="false">IF(C420="","",IFERROR(INDEX($S$5:$S$304,MATCH(C420,$R$5:$R$304,0))&amp;"","?"))</f>
        <v>21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10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29981394</v>
      </c>
      <c r="C421" s="4" t="s">
        <v>2422</v>
      </c>
      <c r="D421" s="4" t="s">
        <v>463</v>
      </c>
      <c r="E421" s="4" t="s">
        <v>2810</v>
      </c>
      <c r="F421" s="127" t="n">
        <v>46547</v>
      </c>
      <c r="G421" s="127" t="n">
        <v>46559</v>
      </c>
      <c r="H421" s="127" t="n">
        <v>46289</v>
      </c>
      <c r="I421" s="4" t="n">
        <v>0</v>
      </c>
      <c r="J421" s="4" t="n">
        <v>0</v>
      </c>
      <c r="K421" s="4" t="n">
        <v>0</v>
      </c>
      <c r="M421" s="2" t="str">
        <f aca="false">IF(C421="","",IFERROR(INDEX($S$5:$S$304,MATCH(C421,$R$5:$R$304,0))&amp;"","?"))</f>
        <v>29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11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29981360</v>
      </c>
      <c r="C422" s="4" t="s">
        <v>2413</v>
      </c>
      <c r="D422" s="4" t="s">
        <v>463</v>
      </c>
      <c r="E422" s="4" t="s">
        <v>2811</v>
      </c>
      <c r="F422" s="127" t="n">
        <v>46547</v>
      </c>
      <c r="G422" s="127" t="n">
        <v>46559</v>
      </c>
      <c r="H422" s="127" t="n">
        <v>46289</v>
      </c>
      <c r="I422" s="4" t="n">
        <v>0</v>
      </c>
      <c r="J422" s="4" t="n">
        <v>0</v>
      </c>
      <c r="K422" s="4" t="n">
        <v>0</v>
      </c>
      <c r="M422" s="2" t="str">
        <f aca="false">IF(C422="","",IFERROR(INDEX($S$5:$S$304,MATCH(C422,$R$5:$R$304,0))&amp;"","?"))</f>
        <v>21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12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29981359</v>
      </c>
      <c r="C423" s="4" t="s">
        <v>2416</v>
      </c>
      <c r="D423" s="4" t="s">
        <v>463</v>
      </c>
      <c r="E423" s="4" t="s">
        <v>2811</v>
      </c>
      <c r="F423" s="127" t="n">
        <v>46549</v>
      </c>
      <c r="G423" s="127" t="n">
        <v>46561</v>
      </c>
      <c r="H423" s="127" t="n">
        <v>46289</v>
      </c>
      <c r="I423" s="4" t="n">
        <v>0</v>
      </c>
      <c r="J423" s="4" t="n">
        <v>0</v>
      </c>
      <c r="K423" s="4" t="n">
        <v>0</v>
      </c>
      <c r="M423" s="2" t="str">
        <f aca="false">IF(C423="","",IFERROR(INDEX($S$5:$S$304,MATCH(C423,$R$5:$R$304,0))&amp;"","?"))</f>
        <v>18</v>
      </c>
      <c r="N423" s="2" t="n">
        <f aca="false">IF(E423="","",IF(ISNUMBER(SEARCH("SUBSOLO",E423)),IFERROR(-VALUE(LEFT(E423,FIND("º",SUBSTITUTE(E423,"°","º"))-1)),-1),IF(LEFT(E423,6)="TÉRREO",0,IFERROR(VALUE(LEFT(E423,FIND("º",SUBSTITUTE(E423,"°","º"))-1)),""))))</f>
        <v>12</v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30171482</v>
      </c>
      <c r="C424" s="4" t="s">
        <v>2422</v>
      </c>
      <c r="D424" s="4" t="s">
        <v>463</v>
      </c>
      <c r="E424" s="4" t="s">
        <v>2784</v>
      </c>
      <c r="F424" s="127" t="n">
        <v>46552</v>
      </c>
      <c r="G424" s="127" t="n">
        <v>46563</v>
      </c>
      <c r="H424" s="127" t="n">
        <v>46289</v>
      </c>
      <c r="I424" s="4" t="n">
        <v>0</v>
      </c>
      <c r="J424" s="4" t="n">
        <v>0</v>
      </c>
      <c r="K424" s="4" t="n">
        <v>0</v>
      </c>
      <c r="M424" s="2" t="str">
        <f aca="false">IF(C424="","",IFERROR(INDEX($S$5:$S$304,MATCH(C424,$R$5:$R$304,0))&amp;"","?"))</f>
        <v>29</v>
      </c>
      <c r="N424" s="2" t="n">
        <f aca="false">IF(E424="","",IF(ISNUMBER(SEARCH("SUBSOLO",E424)),IFERROR(-VALUE(LEFT(E424,FIND("º",SUBSTITUTE(E424,"°","º"))-1)),-1),IF(LEFT(E424,6)="TÉRREO",0,IFERROR(VALUE(LEFT(E424,FIND("º",SUBSTITUTE(E424,"°","º"))-1)),""))))</f>
        <v>2</v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30171488</v>
      </c>
      <c r="C425" s="4" t="s">
        <v>2446</v>
      </c>
      <c r="D425" s="4" t="s">
        <v>463</v>
      </c>
      <c r="E425" s="4" t="s">
        <v>2784</v>
      </c>
      <c r="F425" s="127" t="n">
        <v>46552</v>
      </c>
      <c r="G425" s="127" t="n">
        <v>46563</v>
      </c>
      <c r="H425" s="127" t="n">
        <v>46289</v>
      </c>
      <c r="I425" s="4" t="n">
        <v>0</v>
      </c>
      <c r="J425" s="4" t="n">
        <v>0</v>
      </c>
      <c r="K425" s="4" t="n">
        <v>0</v>
      </c>
      <c r="M425" s="2" t="str">
        <f aca="false">IF(C425="","",IFERROR(INDEX($S$5:$S$304,MATCH(C425,$R$5:$R$304,0))&amp;"","?"))</f>
        <v>26</v>
      </c>
      <c r="N425" s="2" t="n">
        <f aca="false">IF(E425="","",IF(ISNUMBER(SEARCH("SUBSOLO",E425)),IFERROR(-VALUE(LEFT(E425,FIND("º",SUBSTITUTE(E425,"°","º"))-1)),-1),IF(LEFT(E425,6)="TÉRREO",0,IFERROR(VALUE(LEFT(E425,FIND("º",SUBSTITUTE(E425,"°","º"))-1)),""))))</f>
        <v>2</v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30171453</v>
      </c>
      <c r="C426" s="4" t="s">
        <v>168</v>
      </c>
      <c r="D426" s="4" t="s">
        <v>463</v>
      </c>
      <c r="E426" s="4" t="s">
        <v>2790</v>
      </c>
      <c r="F426" s="127" t="n">
        <v>46552</v>
      </c>
      <c r="G426" s="127" t="n">
        <v>46611</v>
      </c>
      <c r="H426" s="127" t="n">
        <v>46289</v>
      </c>
      <c r="I426" s="4" t="n">
        <v>0</v>
      </c>
      <c r="J426" s="4" t="n">
        <v>0</v>
      </c>
      <c r="K426" s="4" t="n">
        <v>0</v>
      </c>
      <c r="M426" s="2" t="str">
        <f aca="false">IF(C426="","",IFERROR(INDEX($S$5:$S$304,MATCH(C426,$R$5:$R$304,0))&amp;"","?"))</f>
        <v>18</v>
      </c>
      <c r="N426" s="2" t="n">
        <f aca="false">IF(E426="","",IF(ISNUMBER(SEARCH("SUBSOLO",E426)),IFERROR(-VALUE(LEFT(E426,FIND("º",SUBSTITUTE(E426,"°","º"))-1)),-1),IF(LEFT(E426,6)="TÉRREO",0,IFERROR(VALUE(LEFT(E426,FIND("º",SUBSTITUTE(E426,"°","º"))-1)),""))))</f>
        <v>3</v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30171437</v>
      </c>
      <c r="C427" s="4" t="s">
        <v>2396</v>
      </c>
      <c r="D427" s="4" t="s">
        <v>463</v>
      </c>
      <c r="E427" s="4" t="s">
        <v>2800</v>
      </c>
      <c r="F427" s="127" t="n">
        <v>46552</v>
      </c>
      <c r="G427" s="127" t="n">
        <v>46611</v>
      </c>
      <c r="H427" s="127" t="n">
        <v>46289</v>
      </c>
      <c r="I427" s="4" t="n">
        <v>0</v>
      </c>
      <c r="J427" s="4" t="n">
        <v>0</v>
      </c>
      <c r="K427" s="4" t="n">
        <v>0</v>
      </c>
      <c r="M427" s="2" t="str">
        <f aca="false">IF(C427="","",IFERROR(INDEX($S$5:$S$304,MATCH(C427,$R$5:$R$304,0))&amp;"","?"))</f>
        <v>20</v>
      </c>
      <c r="N427" s="2" t="n">
        <f aca="false">IF(E427="","",IF(ISNUMBER(SEARCH("SUBSOLO",E427)),IFERROR(-VALUE(LEFT(E427,FIND("º",SUBSTITUTE(E427,"°","º"))-1)),-1),IF(LEFT(E427,6)="TÉRREO",0,IFERROR(VALUE(LEFT(E427,FIND("º",SUBSTITUTE(E427,"°","º"))-1)),""))))</f>
        <v>4</v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29981333</v>
      </c>
      <c r="C428" s="4" t="s">
        <v>2410</v>
      </c>
      <c r="D428" s="4" t="s">
        <v>463</v>
      </c>
      <c r="E428" s="4" t="s">
        <v>2812</v>
      </c>
      <c r="F428" s="127" t="n">
        <v>46554</v>
      </c>
      <c r="G428" s="127" t="n">
        <v>46566</v>
      </c>
      <c r="H428" s="127" t="n">
        <v>46289</v>
      </c>
      <c r="I428" s="4" t="n">
        <v>0</v>
      </c>
      <c r="J428" s="4" t="n">
        <v>0</v>
      </c>
      <c r="K428" s="4" t="n">
        <v>0</v>
      </c>
      <c r="M428" s="2" t="str">
        <f aca="false">IF(C428="","",IFERROR(INDEX($S$5:$S$304,MATCH(C428,$R$5:$R$304,0))&amp;"","?"))</f>
        <v>22</v>
      </c>
      <c r="N428" s="2" t="n">
        <f aca="false">IF(E428="","",IF(ISNUMBER(SEARCH("SUBSOLO",E428)),IFERROR(-VALUE(LEFT(E428,FIND("º",SUBSTITUTE(E428,"°","º"))-1)),-1),IF(LEFT(E428,6)="TÉRREO",0,IFERROR(VALUE(LEFT(E428,FIND("º",SUBSTITUTE(E428,"°","º"))-1)),""))))</f>
        <v>13</v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29981284</v>
      </c>
      <c r="C429" s="4" t="s">
        <v>168</v>
      </c>
      <c r="D429" s="4" t="s">
        <v>463</v>
      </c>
      <c r="E429" s="4" t="s">
        <v>2813</v>
      </c>
      <c r="F429" s="127" t="n">
        <v>46554</v>
      </c>
      <c r="G429" s="127" t="n">
        <v>46566</v>
      </c>
      <c r="H429" s="127" t="n">
        <v>46289</v>
      </c>
      <c r="I429" s="4" t="n">
        <v>0</v>
      </c>
      <c r="J429" s="4" t="n">
        <v>0</v>
      </c>
      <c r="K429" s="4" t="n">
        <v>0</v>
      </c>
      <c r="M429" s="2" t="str">
        <f aca="false">IF(C429="","",IFERROR(INDEX($S$5:$S$304,MATCH(C429,$R$5:$R$304,0))&amp;"","?"))</f>
        <v>18</v>
      </c>
      <c r="N429" s="2" t="n">
        <f aca="false">IF(E429="","",IF(ISNUMBER(SEARCH("SUBSOLO",E429)),IFERROR(-VALUE(LEFT(E429,FIND("º",SUBSTITUTE(E429,"°","º"))-1)),-1),IF(LEFT(E429,6)="TÉRREO",0,IFERROR(VALUE(LEFT(E429,FIND("º",SUBSTITUTE(E429,"°","º"))-1)),""))))</f>
        <v>14</v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30205726</v>
      </c>
      <c r="C430" s="4" t="s">
        <v>2422</v>
      </c>
      <c r="D430" s="4" t="s">
        <v>463</v>
      </c>
      <c r="E430" s="4" t="s">
        <v>2740</v>
      </c>
      <c r="F430" s="127" t="n">
        <v>46555</v>
      </c>
      <c r="G430" s="127" t="n">
        <v>46568</v>
      </c>
      <c r="H430" s="127" t="n">
        <v>46289</v>
      </c>
      <c r="I430" s="4" t="n">
        <v>0</v>
      </c>
      <c r="J430" s="4" t="n">
        <v>0</v>
      </c>
      <c r="K430" s="4" t="n">
        <v>0</v>
      </c>
      <c r="M430" s="2" t="str">
        <f aca="false">IF(C430="","",IFERROR(INDEX($S$5:$S$304,MATCH(C430,$R$5:$R$304,0))&amp;"","?"))</f>
        <v>29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-1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30205732</v>
      </c>
      <c r="C431" s="4" t="s">
        <v>2446</v>
      </c>
      <c r="D431" s="4" t="s">
        <v>463</v>
      </c>
      <c r="E431" s="4" t="s">
        <v>2740</v>
      </c>
      <c r="F431" s="127" t="n">
        <v>46555</v>
      </c>
      <c r="G431" s="127" t="n">
        <v>46568</v>
      </c>
      <c r="H431" s="127" t="n">
        <v>46289</v>
      </c>
      <c r="I431" s="4" t="n">
        <v>0</v>
      </c>
      <c r="J431" s="4" t="n">
        <v>0</v>
      </c>
      <c r="K431" s="4" t="n">
        <v>0</v>
      </c>
      <c r="M431" s="2" t="str">
        <f aca="false">IF(C431="","",IFERROR(INDEX($S$5:$S$304,MATCH(C431,$R$5:$R$304,0))&amp;"","?"))</f>
        <v>26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-1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30205683</v>
      </c>
      <c r="C432" s="4" t="s">
        <v>168</v>
      </c>
      <c r="D432" s="4" t="s">
        <v>463</v>
      </c>
      <c r="E432" s="4" t="s">
        <v>2819</v>
      </c>
      <c r="F432" s="127" t="n">
        <v>46555</v>
      </c>
      <c r="G432" s="127" t="n">
        <v>46568</v>
      </c>
      <c r="H432" s="127" t="n">
        <v>46289</v>
      </c>
      <c r="I432" s="4" t="n">
        <v>0</v>
      </c>
      <c r="J432" s="4" t="n">
        <v>0</v>
      </c>
      <c r="K432" s="4" t="n">
        <v>0</v>
      </c>
      <c r="M432" s="2" t="str">
        <f aca="false">IF(C432="","",IFERROR(INDEX($S$5:$S$304,MATCH(C432,$R$5:$R$304,0))&amp;"","?"))</f>
        <v>18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29940958</v>
      </c>
      <c r="C433" s="4" t="s">
        <v>2341</v>
      </c>
      <c r="D433" s="4" t="s">
        <v>463</v>
      </c>
      <c r="E433" s="4" t="s">
        <v>2820</v>
      </c>
      <c r="F433" s="127" t="n">
        <v>46556</v>
      </c>
      <c r="G433" s="127" t="n">
        <v>46568</v>
      </c>
      <c r="H433" s="127" t="n">
        <v>46289</v>
      </c>
      <c r="I433" s="4" t="n">
        <v>0</v>
      </c>
      <c r="J433" s="4" t="n">
        <v>0</v>
      </c>
      <c r="K433" s="4" t="n">
        <v>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18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31529020</v>
      </c>
      <c r="C434" s="4" t="s">
        <v>2341</v>
      </c>
      <c r="D434" s="4" t="s">
        <v>2312</v>
      </c>
      <c r="E434" s="4" t="s">
        <v>2820</v>
      </c>
      <c r="F434" s="127" t="n">
        <v>46556</v>
      </c>
      <c r="G434" s="127" t="n">
        <v>46562</v>
      </c>
      <c r="H434" s="127" t="n">
        <v>46289</v>
      </c>
      <c r="I434" s="4" t="n">
        <v>0</v>
      </c>
      <c r="J434" s="4" t="n">
        <v>0</v>
      </c>
      <c r="K434" s="4" t="n">
        <v>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18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31529021</v>
      </c>
      <c r="C435" s="4" t="s">
        <v>2341</v>
      </c>
      <c r="D435" s="4" t="s">
        <v>2309</v>
      </c>
      <c r="E435" s="4" t="s">
        <v>2820</v>
      </c>
      <c r="F435" s="127" t="n">
        <v>46563</v>
      </c>
      <c r="G435" s="127" t="n">
        <v>46567</v>
      </c>
      <c r="H435" s="127" t="n">
        <v>46289</v>
      </c>
      <c r="I435" s="4" t="n">
        <v>0</v>
      </c>
      <c r="J435" s="4" t="n">
        <v>0</v>
      </c>
      <c r="K435" s="4" t="n">
        <v>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18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31529022</v>
      </c>
      <c r="C436" s="4" t="s">
        <v>2341</v>
      </c>
      <c r="D436" s="4" t="s">
        <v>2314</v>
      </c>
      <c r="E436" s="4" t="s">
        <v>2820</v>
      </c>
      <c r="F436" s="127" t="n">
        <v>46568</v>
      </c>
      <c r="G436" s="127" t="n">
        <v>46568</v>
      </c>
      <c r="H436" s="127" t="n">
        <v>46289</v>
      </c>
      <c r="I436" s="4" t="n">
        <v>0</v>
      </c>
      <c r="J436" s="4" t="n">
        <v>0</v>
      </c>
      <c r="K436" s="4" t="n">
        <v>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18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31529023</v>
      </c>
      <c r="C437" s="4" t="s">
        <v>2341</v>
      </c>
      <c r="D437" s="4" t="s">
        <v>2758</v>
      </c>
      <c r="E437" s="4" t="s">
        <v>2820</v>
      </c>
      <c r="F437" s="127" t="n">
        <v>46568</v>
      </c>
      <c r="G437" s="127" t="n">
        <v>46568</v>
      </c>
      <c r="H437" s="127" t="n">
        <v>46289</v>
      </c>
      <c r="I437" s="4" t="n">
        <v>0</v>
      </c>
      <c r="J437" s="4" t="n">
        <v>0</v>
      </c>
      <c r="K437" s="4" t="n">
        <v>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18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30171483</v>
      </c>
      <c r="C438" s="4" t="s">
        <v>2416</v>
      </c>
      <c r="D438" s="4" t="s">
        <v>463</v>
      </c>
      <c r="E438" s="4" t="s">
        <v>2784</v>
      </c>
      <c r="F438" s="127" t="n">
        <v>46560</v>
      </c>
      <c r="G438" s="127" t="n">
        <v>46573</v>
      </c>
      <c r="H438" s="127" t="n">
        <v>46289</v>
      </c>
      <c r="I438" s="4" t="n">
        <v>0</v>
      </c>
      <c r="J438" s="4" t="n">
        <v>0</v>
      </c>
      <c r="K438" s="4" t="n">
        <v>0</v>
      </c>
      <c r="M438" s="2" t="str">
        <f aca="false">IF(C438="","",IFERROR(INDEX($S$5:$S$304,MATCH(C438,$R$5:$R$304,0))&amp;"","?"))</f>
        <v>18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2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29981547</v>
      </c>
      <c r="C439" s="4" t="s">
        <v>2449</v>
      </c>
      <c r="D439" s="4" t="s">
        <v>463</v>
      </c>
      <c r="E439" s="4" t="s">
        <v>2803</v>
      </c>
      <c r="F439" s="127" t="n">
        <v>46560</v>
      </c>
      <c r="G439" s="127" t="n">
        <v>46570</v>
      </c>
      <c r="H439" s="127" t="n">
        <v>46289</v>
      </c>
      <c r="I439" s="4" t="n">
        <v>0</v>
      </c>
      <c r="J439" s="4" t="n">
        <v>0</v>
      </c>
      <c r="K439" s="4" t="n">
        <v>0</v>
      </c>
      <c r="M439" s="2" t="str">
        <f aca="false">IF(C439="","",IFERROR(INDEX($S$5:$S$304,MATCH(C439,$R$5:$R$304,0))&amp;"","?"))</f>
        <v>28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7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29981487</v>
      </c>
      <c r="C440" s="4" t="s">
        <v>2440</v>
      </c>
      <c r="D440" s="4" t="s">
        <v>463</v>
      </c>
      <c r="E440" s="4" t="s">
        <v>2804</v>
      </c>
      <c r="F440" s="127" t="n">
        <v>46560</v>
      </c>
      <c r="G440" s="127" t="n">
        <v>46570</v>
      </c>
      <c r="H440" s="127" t="n">
        <v>46289</v>
      </c>
      <c r="I440" s="4" t="n">
        <v>0</v>
      </c>
      <c r="J440" s="4" t="n">
        <v>0</v>
      </c>
      <c r="K440" s="4" t="n">
        <v>0</v>
      </c>
      <c r="M440" s="2" t="str">
        <f aca="false">IF(C440="","",IFERROR(INDEX($S$5:$S$304,MATCH(C440,$R$5:$R$304,0))&amp;"","?"))</f>
        <v>21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8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29981520</v>
      </c>
      <c r="C441" s="4" t="s">
        <v>2443</v>
      </c>
      <c r="D441" s="4" t="s">
        <v>463</v>
      </c>
      <c r="E441" s="4" t="s">
        <v>2804</v>
      </c>
      <c r="F441" s="127" t="n">
        <v>46560</v>
      </c>
      <c r="G441" s="127" t="n">
        <v>46570</v>
      </c>
      <c r="H441" s="127" t="n">
        <v>46289</v>
      </c>
      <c r="I441" s="4" t="n">
        <v>0</v>
      </c>
      <c r="J441" s="4" t="n">
        <v>0</v>
      </c>
      <c r="K441" s="4" t="n">
        <v>0</v>
      </c>
      <c r="M441" s="2" t="str">
        <f aca="false">IF(C441="","",IFERROR(INDEX($S$5:$S$304,MATCH(C441,$R$5:$R$304,0))&amp;"","?"))</f>
        <v>20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8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29981449</v>
      </c>
      <c r="C442" s="4" t="s">
        <v>2437</v>
      </c>
      <c r="D442" s="4" t="s">
        <v>463</v>
      </c>
      <c r="E442" s="4" t="s">
        <v>2805</v>
      </c>
      <c r="F442" s="127" t="n">
        <v>46560</v>
      </c>
      <c r="G442" s="127" t="n">
        <v>46570</v>
      </c>
      <c r="H442" s="127" t="n">
        <v>46289</v>
      </c>
      <c r="I442" s="4" t="n">
        <v>0</v>
      </c>
      <c r="J442" s="4" t="n">
        <v>0</v>
      </c>
      <c r="K442" s="4" t="n">
        <v>0</v>
      </c>
      <c r="M442" s="2" t="str">
        <f aca="false">IF(C442="","",IFERROR(INDEX($S$5:$S$304,MATCH(C442,$R$5:$R$304,0))&amp;"","?"))</f>
        <v>29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9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29981415</v>
      </c>
      <c r="C443" s="4" t="s">
        <v>2434</v>
      </c>
      <c r="D443" s="4" t="s">
        <v>463</v>
      </c>
      <c r="E443" s="4" t="s">
        <v>2809</v>
      </c>
      <c r="F443" s="127" t="n">
        <v>46560</v>
      </c>
      <c r="G443" s="127" t="n">
        <v>46570</v>
      </c>
      <c r="H443" s="127" t="n">
        <v>46289</v>
      </c>
      <c r="I443" s="4" t="n">
        <v>0</v>
      </c>
      <c r="J443" s="4" t="n">
        <v>0</v>
      </c>
      <c r="K443" s="4" t="n">
        <v>0</v>
      </c>
      <c r="M443" s="2" t="str">
        <f aca="false">IF(C443="","",IFERROR(INDEX($S$5:$S$304,MATCH(C443,$R$5:$R$304,0))&amp;"","?"))</f>
        <v>25</v>
      </c>
      <c r="N443" s="2" t="n">
        <f aca="false">IF(E443="","",IF(ISNUMBER(SEARCH("SUBSOLO",E443)),IFERROR(-VALUE(LEFT(E443,FIND("º",SUBSTITUTE(E443,"°","º"))-1)),-1),IF(LEFT(E443,6)="TÉRREO",0,IFERROR(VALUE(LEFT(E443,FIND("º",SUBSTITUTE(E443,"°","º"))-1)),""))))</f>
        <v>10</v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29981408</v>
      </c>
      <c r="C444" s="4" t="s">
        <v>2425</v>
      </c>
      <c r="D444" s="4" t="s">
        <v>463</v>
      </c>
      <c r="E444" s="4" t="s">
        <v>2810</v>
      </c>
      <c r="F444" s="127" t="n">
        <v>46560</v>
      </c>
      <c r="G444" s="127" t="n">
        <v>46570</v>
      </c>
      <c r="H444" s="127" t="n">
        <v>46289</v>
      </c>
      <c r="I444" s="4" t="n">
        <v>0</v>
      </c>
      <c r="J444" s="4" t="n">
        <v>0</v>
      </c>
      <c r="K444" s="4" t="n">
        <v>0</v>
      </c>
      <c r="M444" s="2" t="str">
        <f aca="false">IF(C444="","",IFERROR(INDEX($S$5:$S$304,MATCH(C444,$R$5:$R$304,0))&amp;"","?"))</f>
        <v>21</v>
      </c>
      <c r="N444" s="2" t="n">
        <f aca="false">IF(E444="","",IF(ISNUMBER(SEARCH("SUBSOLO",E444)),IFERROR(-VALUE(LEFT(E444,FIND("º",SUBSTITUTE(E444,"°","º"))-1)),-1),IF(LEFT(E444,6)="TÉRREO",0,IFERROR(VALUE(LEFT(E444,FIND("º",SUBSTITUTE(E444,"°","º"))-1)),""))))</f>
        <v>11</v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29981377</v>
      </c>
      <c r="C445" s="4" t="s">
        <v>2428</v>
      </c>
      <c r="D445" s="4" t="s">
        <v>463</v>
      </c>
      <c r="E445" s="4" t="s">
        <v>2810</v>
      </c>
      <c r="F445" s="127" t="n">
        <v>46560</v>
      </c>
      <c r="G445" s="127" t="n">
        <v>46570</v>
      </c>
      <c r="H445" s="127" t="n">
        <v>46289</v>
      </c>
      <c r="I445" s="4" t="n">
        <v>0</v>
      </c>
      <c r="J445" s="4" t="n">
        <v>0</v>
      </c>
      <c r="K445" s="4" t="n">
        <v>0</v>
      </c>
      <c r="M445" s="2" t="str">
        <f aca="false">IF(C445="","",IFERROR(INDEX($S$5:$S$304,MATCH(C445,$R$5:$R$304,0))&amp;"","?"))</f>
        <v>20</v>
      </c>
      <c r="N445" s="2" t="n">
        <f aca="false">IF(E445="","",IF(ISNUMBER(SEARCH("SUBSOLO",E445)),IFERROR(-VALUE(LEFT(E445,FIND("º",SUBSTITUTE(E445,"°","º"))-1)),-1),IF(LEFT(E445,6)="TÉRREO",0,IFERROR(VALUE(LEFT(E445,FIND("º",SUBSTITUTE(E445,"°","º"))-1)),""))))</f>
        <v>11</v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29981410</v>
      </c>
      <c r="C446" s="4" t="s">
        <v>2431</v>
      </c>
      <c r="D446" s="4" t="s">
        <v>463</v>
      </c>
      <c r="E446" s="4" t="s">
        <v>2810</v>
      </c>
      <c r="F446" s="127" t="n">
        <v>46560</v>
      </c>
      <c r="G446" s="127" t="n">
        <v>46570</v>
      </c>
      <c r="H446" s="127" t="n">
        <v>46289</v>
      </c>
      <c r="I446" s="4" t="n">
        <v>0</v>
      </c>
      <c r="J446" s="4" t="n">
        <v>0</v>
      </c>
      <c r="K446" s="4" t="n">
        <v>0</v>
      </c>
      <c r="M446" s="2" t="str">
        <f aca="false">IF(C446="","",IFERROR(INDEX($S$5:$S$304,MATCH(C446,$R$5:$R$304,0))&amp;"","?"))</f>
        <v>21</v>
      </c>
      <c r="N446" s="2" t="n">
        <f aca="false">IF(E446="","",IF(ISNUMBER(SEARCH("SUBSOLO",E446)),IFERROR(-VALUE(LEFT(E446,FIND("º",SUBSTITUTE(E446,"°","º"))-1)),-1),IF(LEFT(E446,6)="TÉRREO",0,IFERROR(VALUE(LEFT(E446,FIND("º",SUBSTITUTE(E446,"°","º"))-1)),""))))</f>
        <v>11</v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29981357</v>
      </c>
      <c r="C447" s="4" t="s">
        <v>2422</v>
      </c>
      <c r="D447" s="4" t="s">
        <v>463</v>
      </c>
      <c r="E447" s="4" t="s">
        <v>2811</v>
      </c>
      <c r="F447" s="127" t="n">
        <v>46560</v>
      </c>
      <c r="G447" s="127" t="n">
        <v>46570</v>
      </c>
      <c r="H447" s="127" t="n">
        <v>46289</v>
      </c>
      <c r="I447" s="4" t="n">
        <v>0</v>
      </c>
      <c r="J447" s="4" t="n">
        <v>0</v>
      </c>
      <c r="K447" s="4" t="n">
        <v>0</v>
      </c>
      <c r="M447" s="2" t="str">
        <f aca="false">IF(C447="","",IFERROR(INDEX($S$5:$S$304,MATCH(C447,$R$5:$R$304,0))&amp;"","?"))</f>
        <v>29</v>
      </c>
      <c r="N447" s="2" t="n">
        <f aca="false">IF(E447="","",IF(ISNUMBER(SEARCH("SUBSOLO",E447)),IFERROR(-VALUE(LEFT(E447,FIND("º",SUBSTITUTE(E447,"°","º"))-1)),-1),IF(LEFT(E447,6)="TÉRREO",0,IFERROR(VALUE(LEFT(E447,FIND("º",SUBSTITUTE(E447,"°","º"))-1)),""))))</f>
        <v>12</v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29981323</v>
      </c>
      <c r="C448" s="4" t="s">
        <v>2413</v>
      </c>
      <c r="D448" s="4" t="s">
        <v>463</v>
      </c>
      <c r="E448" s="4" t="s">
        <v>2812</v>
      </c>
      <c r="F448" s="127" t="n">
        <v>46560</v>
      </c>
      <c r="G448" s="127" t="n">
        <v>46570</v>
      </c>
      <c r="H448" s="127" t="n">
        <v>46289</v>
      </c>
      <c r="I448" s="4" t="n">
        <v>0</v>
      </c>
      <c r="J448" s="4" t="n">
        <v>0</v>
      </c>
      <c r="K448" s="4" t="n">
        <v>0</v>
      </c>
      <c r="M448" s="2" t="str">
        <f aca="false">IF(C448="","",IFERROR(INDEX($S$5:$S$304,MATCH(C448,$R$5:$R$304,0))&amp;"","?"))</f>
        <v>21</v>
      </c>
      <c r="N448" s="2" t="n">
        <f aca="false">IF(E448="","",IF(ISNUMBER(SEARCH("SUBSOLO",E448)),IFERROR(-VALUE(LEFT(E448,FIND("º",SUBSTITUTE(E448,"°","º"))-1)),-1),IF(LEFT(E448,6)="TÉRREO",0,IFERROR(VALUE(LEFT(E448,FIND("º",SUBSTITUTE(E448,"°","º"))-1)),""))))</f>
        <v>13</v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29981322</v>
      </c>
      <c r="C449" s="4" t="s">
        <v>2416</v>
      </c>
      <c r="D449" s="4" t="s">
        <v>463</v>
      </c>
      <c r="E449" s="4" t="s">
        <v>2812</v>
      </c>
      <c r="F449" s="127" t="n">
        <v>46562</v>
      </c>
      <c r="G449" s="127" t="n">
        <v>46574</v>
      </c>
      <c r="H449" s="127" t="n">
        <v>46289</v>
      </c>
      <c r="I449" s="4" t="n">
        <v>0</v>
      </c>
      <c r="J449" s="4" t="n">
        <v>0</v>
      </c>
      <c r="K449" s="4" t="n">
        <v>0</v>
      </c>
      <c r="M449" s="2" t="str">
        <f aca="false">IF(C449="","",IFERROR(INDEX($S$5:$S$304,MATCH(C449,$R$5:$R$304,0))&amp;"","?"))</f>
        <v>18</v>
      </c>
      <c r="N449" s="2" t="n">
        <f aca="false">IF(E449="","",IF(ISNUMBER(SEARCH("SUBSOLO",E449)),IFERROR(-VALUE(LEFT(E449,FIND("º",SUBSTITUTE(E449,"°","º"))-1)),-1),IF(LEFT(E449,6)="TÉRREO",0,IFERROR(VALUE(LEFT(E449,FIND("º",SUBSTITUTE(E449,"°","º"))-1)),""))))</f>
        <v>13</v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30205727</v>
      </c>
      <c r="C450" s="4" t="s">
        <v>2416</v>
      </c>
      <c r="D450" s="4" t="s">
        <v>463</v>
      </c>
      <c r="E450" s="4" t="s">
        <v>2740</v>
      </c>
      <c r="F450" s="127" t="n">
        <v>46563</v>
      </c>
      <c r="G450" s="127" t="n">
        <v>46576</v>
      </c>
      <c r="H450" s="127" t="n">
        <v>46289</v>
      </c>
      <c r="I450" s="4" t="n">
        <v>0</v>
      </c>
      <c r="J450" s="4" t="n">
        <v>0</v>
      </c>
      <c r="K450" s="4" t="n">
        <v>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-1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30171491</v>
      </c>
      <c r="C451" s="4" t="s">
        <v>2428</v>
      </c>
      <c r="D451" s="4" t="s">
        <v>463</v>
      </c>
      <c r="E451" s="4" t="s">
        <v>2784</v>
      </c>
      <c r="F451" s="127" t="n">
        <v>46566</v>
      </c>
      <c r="G451" s="127" t="n">
        <v>46605</v>
      </c>
      <c r="H451" s="127" t="n">
        <v>46289</v>
      </c>
      <c r="I451" s="4" t="n">
        <v>0</v>
      </c>
      <c r="J451" s="4" t="n">
        <v>0</v>
      </c>
      <c r="K451" s="4" t="n">
        <v>0</v>
      </c>
      <c r="M451" s="2" t="str">
        <f aca="false">IF(C451="","",IFERROR(INDEX($S$5:$S$304,MATCH(C451,$R$5:$R$304,0))&amp;"","?"))</f>
        <v>20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2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30171476</v>
      </c>
      <c r="C452" s="4" t="s">
        <v>2452</v>
      </c>
      <c r="D452" s="4" t="s">
        <v>463</v>
      </c>
      <c r="E452" s="4" t="s">
        <v>2784</v>
      </c>
      <c r="F452" s="127" t="n">
        <v>46566</v>
      </c>
      <c r="G452" s="127" t="n">
        <v>46605</v>
      </c>
      <c r="H452" s="127" t="n">
        <v>46289</v>
      </c>
      <c r="I452" s="4" t="n">
        <v>0</v>
      </c>
      <c r="J452" s="4" t="n">
        <v>0</v>
      </c>
      <c r="K452" s="4" t="n">
        <v>0</v>
      </c>
      <c r="M452" s="2" t="str">
        <f aca="false">IF(C452="","",IFERROR(INDEX($S$5:$S$304,MATCH(C452,$R$5:$R$304,0))&amp;"","?"))</f>
        <v>21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2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29981296</v>
      </c>
      <c r="C453" s="4" t="s">
        <v>2410</v>
      </c>
      <c r="D453" s="4" t="s">
        <v>463</v>
      </c>
      <c r="E453" s="4" t="s">
        <v>2813</v>
      </c>
      <c r="F453" s="127" t="n">
        <v>46567</v>
      </c>
      <c r="G453" s="127" t="n">
        <v>46577</v>
      </c>
      <c r="H453" s="127" t="n">
        <v>46289</v>
      </c>
      <c r="I453" s="4" t="n">
        <v>0</v>
      </c>
      <c r="J453" s="4" t="n">
        <v>0</v>
      </c>
      <c r="K453" s="4" t="n">
        <v>0</v>
      </c>
      <c r="M453" s="2" t="str">
        <f aca="false">IF(C453="","",IFERROR(INDEX($S$5:$S$304,MATCH(C453,$R$5:$R$304,0))&amp;"","?"))</f>
        <v>22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14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29981247</v>
      </c>
      <c r="C454" s="4" t="s">
        <v>168</v>
      </c>
      <c r="D454" s="4" t="s">
        <v>463</v>
      </c>
      <c r="E454" s="4" t="s">
        <v>2814</v>
      </c>
      <c r="F454" s="127" t="n">
        <v>46567</v>
      </c>
      <c r="G454" s="127" t="n">
        <v>46577</v>
      </c>
      <c r="H454" s="127" t="n">
        <v>46289</v>
      </c>
      <c r="I454" s="4" t="n">
        <v>0</v>
      </c>
      <c r="J454" s="4" t="n">
        <v>0</v>
      </c>
      <c r="K454" s="4" t="n">
        <v>0</v>
      </c>
      <c r="M454" s="2" t="str">
        <f aca="false">IF(C454="","",IFERROR(INDEX($S$5:$S$304,MATCH(C454,$R$5:$R$304,0))&amp;"","?"))</f>
        <v>18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15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30205735</v>
      </c>
      <c r="C455" s="4" t="s">
        <v>2428</v>
      </c>
      <c r="D455" s="4" t="s">
        <v>463</v>
      </c>
      <c r="E455" s="4" t="s">
        <v>2740</v>
      </c>
      <c r="F455" s="127" t="n">
        <v>46569</v>
      </c>
      <c r="G455" s="127" t="n">
        <v>46630</v>
      </c>
      <c r="H455" s="127" t="n">
        <v>46289</v>
      </c>
      <c r="I455" s="4" t="n">
        <v>0</v>
      </c>
      <c r="J455" s="4" t="n">
        <v>0</v>
      </c>
      <c r="K455" s="4" t="n">
        <v>0</v>
      </c>
      <c r="M455" s="2" t="str">
        <f aca="false">IF(C455="","",IFERROR(INDEX($S$5:$S$304,MATCH(C455,$R$5:$R$304,0))&amp;"","?"))</f>
        <v>20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-1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30205720</v>
      </c>
      <c r="C456" s="4" t="s">
        <v>2452</v>
      </c>
      <c r="D456" s="4" t="s">
        <v>463</v>
      </c>
      <c r="E456" s="4" t="s">
        <v>2740</v>
      </c>
      <c r="F456" s="127" t="n">
        <v>46569</v>
      </c>
      <c r="G456" s="127" t="n">
        <v>46598</v>
      </c>
      <c r="H456" s="127" t="n">
        <v>46289</v>
      </c>
      <c r="I456" s="4" t="n">
        <v>0</v>
      </c>
      <c r="J456" s="4" t="n">
        <v>0</v>
      </c>
      <c r="K456" s="4" t="n">
        <v>0</v>
      </c>
      <c r="M456" s="2" t="str">
        <f aca="false">IF(C456="","",IFERROR(INDEX($S$5:$S$304,MATCH(C456,$R$5:$R$304,0))&amp;"","?"))</f>
        <v>21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-1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30205685</v>
      </c>
      <c r="C457" s="4" t="s">
        <v>2413</v>
      </c>
      <c r="D457" s="4" t="s">
        <v>463</v>
      </c>
      <c r="E457" s="4" t="s">
        <v>2819</v>
      </c>
      <c r="F457" s="127" t="n">
        <v>46569</v>
      </c>
      <c r="G457" s="127" t="n">
        <v>46582</v>
      </c>
      <c r="H457" s="127" t="n">
        <v>46289</v>
      </c>
      <c r="I457" s="4" t="n">
        <v>0</v>
      </c>
      <c r="J457" s="4" t="n">
        <v>0</v>
      </c>
      <c r="K457" s="4" t="n">
        <v>0</v>
      </c>
      <c r="M457" s="2" t="str">
        <f aca="false">IF(C457="","",IFERROR(INDEX($S$5:$S$304,MATCH(C457,$R$5:$R$304,0))&amp;"","?"))</f>
        <v>21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0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30205684</v>
      </c>
      <c r="C458" s="4" t="s">
        <v>2410</v>
      </c>
      <c r="D458" s="4" t="s">
        <v>463</v>
      </c>
      <c r="E458" s="4" t="s">
        <v>2819</v>
      </c>
      <c r="F458" s="127" t="n">
        <v>46569</v>
      </c>
      <c r="G458" s="127" t="n">
        <v>46582</v>
      </c>
      <c r="H458" s="127" t="n">
        <v>46289</v>
      </c>
      <c r="I458" s="4" t="n">
        <v>0</v>
      </c>
      <c r="J458" s="4" t="n">
        <v>0</v>
      </c>
      <c r="K458" s="4" t="n">
        <v>0</v>
      </c>
      <c r="M458" s="2" t="str">
        <f aca="false">IF(C458="","",IFERROR(INDEX($S$5:$S$304,MATCH(C458,$R$5:$R$304,0))&amp;"","?"))</f>
        <v>22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0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30205686</v>
      </c>
      <c r="C459" s="4" t="s">
        <v>2416</v>
      </c>
      <c r="D459" s="4" t="s">
        <v>463</v>
      </c>
      <c r="E459" s="4" t="s">
        <v>2819</v>
      </c>
      <c r="F459" s="127" t="n">
        <v>46569</v>
      </c>
      <c r="G459" s="127" t="n">
        <v>46582</v>
      </c>
      <c r="H459" s="127" t="n">
        <v>46289</v>
      </c>
      <c r="I459" s="4" t="n">
        <v>0</v>
      </c>
      <c r="J459" s="4" t="n">
        <v>0</v>
      </c>
      <c r="K459" s="4" t="n">
        <v>0</v>
      </c>
      <c r="M459" s="2" t="str">
        <f aca="false">IF(C459="","",IFERROR(INDEX($S$5:$S$304,MATCH(C459,$R$5:$R$304,0))&amp;"","?"))</f>
        <v>18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0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30205656</v>
      </c>
      <c r="C460" s="4" t="s">
        <v>168</v>
      </c>
      <c r="D460" s="4" t="s">
        <v>463</v>
      </c>
      <c r="E460" s="4" t="s">
        <v>2821</v>
      </c>
      <c r="F460" s="127" t="n">
        <v>46569</v>
      </c>
      <c r="G460" s="127" t="n">
        <v>46582</v>
      </c>
      <c r="H460" s="127" t="n">
        <v>46289</v>
      </c>
      <c r="I460" s="4" t="n">
        <v>0</v>
      </c>
      <c r="J460" s="4" t="n">
        <v>0</v>
      </c>
      <c r="K460" s="4" t="n">
        <v>0</v>
      </c>
      <c r="M460" s="2" t="str">
        <f aca="false">IF(C460="","",IFERROR(INDEX($S$5:$S$304,MATCH(C460,$R$5:$R$304,0))&amp;"","?"))</f>
        <v>18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0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29940959</v>
      </c>
      <c r="C461" s="4" t="s">
        <v>2341</v>
      </c>
      <c r="D461" s="4" t="s">
        <v>463</v>
      </c>
      <c r="E461" s="4" t="s">
        <v>2822</v>
      </c>
      <c r="F461" s="127" t="n">
        <v>46569</v>
      </c>
      <c r="G461" s="127" t="n">
        <v>46580</v>
      </c>
      <c r="H461" s="127" t="n">
        <v>46289</v>
      </c>
      <c r="I461" s="4" t="n">
        <v>0</v>
      </c>
      <c r="J461" s="4" t="n">
        <v>0</v>
      </c>
      <c r="K461" s="4" t="n">
        <v>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19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31529024</v>
      </c>
      <c r="C462" s="4" t="s">
        <v>2341</v>
      </c>
      <c r="D462" s="4" t="s">
        <v>2312</v>
      </c>
      <c r="E462" s="4" t="s">
        <v>2822</v>
      </c>
      <c r="F462" s="127" t="n">
        <v>46569</v>
      </c>
      <c r="G462" s="127" t="n">
        <v>46574</v>
      </c>
      <c r="H462" s="127" t="n">
        <v>46289</v>
      </c>
      <c r="I462" s="4" t="n">
        <v>0</v>
      </c>
      <c r="J462" s="4" t="n">
        <v>0</v>
      </c>
      <c r="K462" s="4" t="n">
        <v>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19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31529025</v>
      </c>
      <c r="C463" s="4" t="s">
        <v>2341</v>
      </c>
      <c r="D463" s="4" t="s">
        <v>2309</v>
      </c>
      <c r="E463" s="4" t="s">
        <v>2822</v>
      </c>
      <c r="F463" s="127" t="n">
        <v>46575</v>
      </c>
      <c r="G463" s="127" t="n">
        <v>46577</v>
      </c>
      <c r="H463" s="127" t="n">
        <v>46289</v>
      </c>
      <c r="I463" s="4" t="n">
        <v>0</v>
      </c>
      <c r="J463" s="4" t="n">
        <v>0</v>
      </c>
      <c r="K463" s="4" t="n">
        <v>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19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31529026</v>
      </c>
      <c r="C464" s="4" t="s">
        <v>2341</v>
      </c>
      <c r="D464" s="4" t="s">
        <v>2314</v>
      </c>
      <c r="E464" s="4" t="s">
        <v>2822</v>
      </c>
      <c r="F464" s="127" t="n">
        <v>46580</v>
      </c>
      <c r="G464" s="127" t="n">
        <v>46580</v>
      </c>
      <c r="H464" s="127" t="n">
        <v>46289</v>
      </c>
      <c r="I464" s="4" t="n">
        <v>0</v>
      </c>
      <c r="J464" s="4" t="n">
        <v>0</v>
      </c>
      <c r="K464" s="4" t="n">
        <v>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19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31529027</v>
      </c>
      <c r="C465" s="4" t="s">
        <v>2341</v>
      </c>
      <c r="D465" s="4" t="s">
        <v>2758</v>
      </c>
      <c r="E465" s="4" t="s">
        <v>2822</v>
      </c>
      <c r="F465" s="127" t="n">
        <v>46580</v>
      </c>
      <c r="G465" s="127" t="n">
        <v>46580</v>
      </c>
      <c r="H465" s="127" t="n">
        <v>46289</v>
      </c>
      <c r="I465" s="4" t="n">
        <v>0</v>
      </c>
      <c r="J465" s="4" t="n">
        <v>0</v>
      </c>
      <c r="K465" s="4" t="n">
        <v>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19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30171502</v>
      </c>
      <c r="C466" s="4" t="s">
        <v>2449</v>
      </c>
      <c r="D466" s="4" t="s">
        <v>463</v>
      </c>
      <c r="E466" s="4" t="s">
        <v>2817</v>
      </c>
      <c r="F466" s="127" t="n">
        <v>46573</v>
      </c>
      <c r="G466" s="127" t="n">
        <v>46905</v>
      </c>
      <c r="H466" s="127" t="n">
        <v>46289</v>
      </c>
      <c r="I466" s="4" t="n">
        <v>0</v>
      </c>
      <c r="J466" s="4" t="n">
        <v>0</v>
      </c>
      <c r="K466" s="4" t="n">
        <v>0</v>
      </c>
      <c r="M466" s="2" t="str">
        <f aca="false">IF(C466="","",IFERROR(INDEX($S$5:$S$304,MATCH(C466,$R$5:$R$304,0))&amp;"","?"))</f>
        <v>28</v>
      </c>
      <c r="N466" s="2" t="str">
        <f aca="false">IF(E466="","",IF(ISNUMBER(SEARCH("SUBSOLO",E466)),IFERROR(-VALUE(LEFT(E466,FIND("º",SUBSTITUTE(E466,"°","º"))-1)),-1),IF(LEFT(E466,6)="TÉRREO",0,IFERROR(VALUE(LEFT(E466,FIND("º",SUBSTITUTE(E466,"°","º"))-1)),""))))</f>
        <v/>
      </c>
      <c r="O466" s="2" t="str">
        <f aca="false">IF(OR(F466="",G466=""),"",IF(G466&lt;='RETRATO 2027'!$K$5,"CONCLUÍDA",IF(F466&lt;='RETRATO 2027'!$K$5,"EM ANDAMENTO","A INICIAR")))</f>
        <v>EM ANDAMENTO</v>
      </c>
    </row>
    <row r="467" customFormat="false" ht="15" hidden="false" customHeight="false" outlineLevel="0" collapsed="false">
      <c r="B467" s="4" t="n">
        <v>32749850</v>
      </c>
      <c r="C467" s="4" t="s">
        <v>2455</v>
      </c>
      <c r="D467" s="4" t="s">
        <v>463</v>
      </c>
      <c r="E467" s="4" t="s">
        <v>2803</v>
      </c>
      <c r="F467" s="127" t="n">
        <v>46573</v>
      </c>
      <c r="G467" s="127" t="n">
        <v>46583</v>
      </c>
      <c r="H467" s="127" t="n">
        <v>46289</v>
      </c>
      <c r="I467" s="4" t="n">
        <v>0</v>
      </c>
      <c r="J467" s="4" t="n">
        <v>0</v>
      </c>
      <c r="K467" s="4" t="n">
        <v>0</v>
      </c>
      <c r="M467" s="2" t="str">
        <f aca="false">IF(C467="","",IFERROR(INDEX($S$5:$S$304,MATCH(C467,$R$5:$R$304,0))&amp;"","?"))</f>
        <v>18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7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29981510</v>
      </c>
      <c r="C468" s="4" t="s">
        <v>2449</v>
      </c>
      <c r="D468" s="4" t="s">
        <v>463</v>
      </c>
      <c r="E468" s="4" t="s">
        <v>2804</v>
      </c>
      <c r="F468" s="127" t="n">
        <v>46573</v>
      </c>
      <c r="G468" s="127" t="n">
        <v>46583</v>
      </c>
      <c r="H468" s="127" t="n">
        <v>46289</v>
      </c>
      <c r="I468" s="4" t="n">
        <v>0</v>
      </c>
      <c r="J468" s="4" t="n">
        <v>0</v>
      </c>
      <c r="K468" s="4" t="n">
        <v>0</v>
      </c>
      <c r="M468" s="2" t="str">
        <f aca="false">IF(C468="","",IFERROR(INDEX($S$5:$S$304,MATCH(C468,$R$5:$R$304,0))&amp;"","?"))</f>
        <v>28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8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29981450</v>
      </c>
      <c r="C469" s="4" t="s">
        <v>2440</v>
      </c>
      <c r="D469" s="4" t="s">
        <v>463</v>
      </c>
      <c r="E469" s="4" t="s">
        <v>2805</v>
      </c>
      <c r="F469" s="127" t="n">
        <v>46573</v>
      </c>
      <c r="G469" s="127" t="n">
        <v>46583</v>
      </c>
      <c r="H469" s="127" t="n">
        <v>46289</v>
      </c>
      <c r="I469" s="4" t="n">
        <v>0</v>
      </c>
      <c r="J469" s="4" t="n">
        <v>0</v>
      </c>
      <c r="K469" s="4" t="n">
        <v>0</v>
      </c>
      <c r="M469" s="2" t="str">
        <f aca="false">IF(C469="","",IFERROR(INDEX($S$5:$S$304,MATCH(C469,$R$5:$R$304,0))&amp;"","?"))</f>
        <v>21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9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29981483</v>
      </c>
      <c r="C470" s="4" t="s">
        <v>2443</v>
      </c>
      <c r="D470" s="4" t="s">
        <v>463</v>
      </c>
      <c r="E470" s="4" t="s">
        <v>2805</v>
      </c>
      <c r="F470" s="127" t="n">
        <v>46573</v>
      </c>
      <c r="G470" s="127" t="n">
        <v>46583</v>
      </c>
      <c r="H470" s="127" t="n">
        <v>46289</v>
      </c>
      <c r="I470" s="4" t="n">
        <v>0</v>
      </c>
      <c r="J470" s="4" t="n">
        <v>0</v>
      </c>
      <c r="K470" s="4" t="n">
        <v>0</v>
      </c>
      <c r="M470" s="2" t="str">
        <f aca="false">IF(C470="","",IFERROR(INDEX($S$5:$S$304,MATCH(C470,$R$5:$R$304,0))&amp;"","?"))</f>
        <v>20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9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29981412</v>
      </c>
      <c r="C471" s="4" t="s">
        <v>2437</v>
      </c>
      <c r="D471" s="4" t="s">
        <v>463</v>
      </c>
      <c r="E471" s="4" t="s">
        <v>2809</v>
      </c>
      <c r="F471" s="127" t="n">
        <v>46573</v>
      </c>
      <c r="G471" s="127" t="n">
        <v>46583</v>
      </c>
      <c r="H471" s="127" t="n">
        <v>46289</v>
      </c>
      <c r="I471" s="4" t="n">
        <v>0</v>
      </c>
      <c r="J471" s="4" t="n">
        <v>0</v>
      </c>
      <c r="K471" s="4" t="n">
        <v>0</v>
      </c>
      <c r="M471" s="2" t="str">
        <f aca="false">IF(C471="","",IFERROR(INDEX($S$5:$S$304,MATCH(C471,$R$5:$R$304,0))&amp;"","?"))</f>
        <v>29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10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29981378</v>
      </c>
      <c r="C472" s="4" t="s">
        <v>2434</v>
      </c>
      <c r="D472" s="4" t="s">
        <v>463</v>
      </c>
      <c r="E472" s="4" t="s">
        <v>2810</v>
      </c>
      <c r="F472" s="127" t="n">
        <v>46573</v>
      </c>
      <c r="G472" s="127" t="n">
        <v>46583</v>
      </c>
      <c r="H472" s="127" t="n">
        <v>46289</v>
      </c>
      <c r="I472" s="4" t="n">
        <v>0</v>
      </c>
      <c r="J472" s="4" t="n">
        <v>0</v>
      </c>
      <c r="K472" s="4" t="n">
        <v>0</v>
      </c>
      <c r="M472" s="2" t="str">
        <f aca="false">IF(C472="","",IFERROR(INDEX($S$5:$S$304,MATCH(C472,$R$5:$R$304,0))&amp;"","?"))</f>
        <v>25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11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29981371</v>
      </c>
      <c r="C473" s="4" t="s">
        <v>2425</v>
      </c>
      <c r="D473" s="4" t="s">
        <v>463</v>
      </c>
      <c r="E473" s="4" t="s">
        <v>2811</v>
      </c>
      <c r="F473" s="127" t="n">
        <v>46573</v>
      </c>
      <c r="G473" s="127" t="n">
        <v>46583</v>
      </c>
      <c r="H473" s="127" t="n">
        <v>46289</v>
      </c>
      <c r="I473" s="4" t="n">
        <v>0</v>
      </c>
      <c r="J473" s="4" t="n">
        <v>0</v>
      </c>
      <c r="K473" s="4" t="n">
        <v>0</v>
      </c>
      <c r="M473" s="2" t="str">
        <f aca="false">IF(C473="","",IFERROR(INDEX($S$5:$S$304,MATCH(C473,$R$5:$R$304,0))&amp;"","?"))</f>
        <v>21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12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29981340</v>
      </c>
      <c r="C474" s="4" t="s">
        <v>2428</v>
      </c>
      <c r="D474" s="4" t="s">
        <v>463</v>
      </c>
      <c r="E474" s="4" t="s">
        <v>2811</v>
      </c>
      <c r="F474" s="127" t="n">
        <v>46573</v>
      </c>
      <c r="G474" s="127" t="n">
        <v>46583</v>
      </c>
      <c r="H474" s="127" t="n">
        <v>46289</v>
      </c>
      <c r="I474" s="4" t="n">
        <v>0</v>
      </c>
      <c r="J474" s="4" t="n">
        <v>0</v>
      </c>
      <c r="K474" s="4" t="n">
        <v>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12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29981373</v>
      </c>
      <c r="C475" s="4" t="s">
        <v>2431</v>
      </c>
      <c r="D475" s="4" t="s">
        <v>463</v>
      </c>
      <c r="E475" s="4" t="s">
        <v>2811</v>
      </c>
      <c r="F475" s="127" t="n">
        <v>46573</v>
      </c>
      <c r="G475" s="127" t="n">
        <v>46583</v>
      </c>
      <c r="H475" s="127" t="n">
        <v>46289</v>
      </c>
      <c r="I475" s="4" t="n">
        <v>0</v>
      </c>
      <c r="J475" s="4" t="n">
        <v>0</v>
      </c>
      <c r="K475" s="4" t="n">
        <v>0</v>
      </c>
      <c r="M475" s="2" t="str">
        <f aca="false">IF(C475="","",IFERROR(INDEX($S$5:$S$304,MATCH(C475,$R$5:$R$304,0))&amp;"","?"))</f>
        <v>21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12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29981320</v>
      </c>
      <c r="C476" s="4" t="s">
        <v>2422</v>
      </c>
      <c r="D476" s="4" t="s">
        <v>463</v>
      </c>
      <c r="E476" s="4" t="s">
        <v>2812</v>
      </c>
      <c r="F476" s="127" t="n">
        <v>46573</v>
      </c>
      <c r="G476" s="127" t="n">
        <v>46583</v>
      </c>
      <c r="H476" s="127" t="n">
        <v>46289</v>
      </c>
      <c r="I476" s="4" t="n">
        <v>0</v>
      </c>
      <c r="J476" s="4" t="n">
        <v>0</v>
      </c>
      <c r="K476" s="4" t="n">
        <v>0</v>
      </c>
      <c r="M476" s="2" t="str">
        <f aca="false">IF(C476="","",IFERROR(INDEX($S$5:$S$304,MATCH(C476,$R$5:$R$304,0))&amp;"","?"))</f>
        <v>29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13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29981286</v>
      </c>
      <c r="C477" s="4" t="s">
        <v>2413</v>
      </c>
      <c r="D477" s="4" t="s">
        <v>463</v>
      </c>
      <c r="E477" s="4" t="s">
        <v>2813</v>
      </c>
      <c r="F477" s="127" t="n">
        <v>46573</v>
      </c>
      <c r="G477" s="127" t="n">
        <v>46583</v>
      </c>
      <c r="H477" s="127" t="n">
        <v>46289</v>
      </c>
      <c r="I477" s="4" t="n">
        <v>0</v>
      </c>
      <c r="J477" s="4" t="n">
        <v>0</v>
      </c>
      <c r="K477" s="4" t="n">
        <v>0</v>
      </c>
      <c r="M477" s="2" t="str">
        <f aca="false">IF(C477="","",IFERROR(INDEX($S$5:$S$304,MATCH(C477,$R$5:$R$304,0))&amp;"","?"))</f>
        <v>21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14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29981285</v>
      </c>
      <c r="C478" s="4" t="s">
        <v>2416</v>
      </c>
      <c r="D478" s="4" t="s">
        <v>463</v>
      </c>
      <c r="E478" s="4" t="s">
        <v>2813</v>
      </c>
      <c r="F478" s="127" t="n">
        <v>46575</v>
      </c>
      <c r="G478" s="127" t="n">
        <v>46587</v>
      </c>
      <c r="H478" s="127" t="n">
        <v>46289</v>
      </c>
      <c r="I478" s="4" t="n">
        <v>0</v>
      </c>
      <c r="J478" s="4" t="n">
        <v>0</v>
      </c>
      <c r="K478" s="4" t="n">
        <v>0</v>
      </c>
      <c r="M478" s="2" t="str">
        <f aca="false">IF(C478="","",IFERROR(INDEX($S$5:$S$304,MATCH(C478,$R$5:$R$304,0))&amp;"","?"))</f>
        <v>18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14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29981259</v>
      </c>
      <c r="C479" s="4" t="s">
        <v>2410</v>
      </c>
      <c r="D479" s="4" t="s">
        <v>463</v>
      </c>
      <c r="E479" s="4" t="s">
        <v>2814</v>
      </c>
      <c r="F479" s="127" t="n">
        <v>46580</v>
      </c>
      <c r="G479" s="127" t="n">
        <v>46590</v>
      </c>
      <c r="H479" s="127" t="n">
        <v>46289</v>
      </c>
      <c r="I479" s="4" t="n">
        <v>0</v>
      </c>
      <c r="J479" s="4" t="n">
        <v>0</v>
      </c>
      <c r="K479" s="4" t="n">
        <v>0</v>
      </c>
      <c r="M479" s="2" t="str">
        <f aca="false">IF(C479="","",IFERROR(INDEX($S$5:$S$304,MATCH(C479,$R$5:$R$304,0))&amp;"","?"))</f>
        <v>22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15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29981210</v>
      </c>
      <c r="C480" s="4" t="s">
        <v>168</v>
      </c>
      <c r="D480" s="4" t="s">
        <v>463</v>
      </c>
      <c r="E480" s="4" t="s">
        <v>2815</v>
      </c>
      <c r="F480" s="127" t="n">
        <v>46580</v>
      </c>
      <c r="G480" s="127" t="n">
        <v>46590</v>
      </c>
      <c r="H480" s="127" t="n">
        <v>46289</v>
      </c>
      <c r="I480" s="4" t="n">
        <v>0</v>
      </c>
      <c r="J480" s="4" t="n">
        <v>0</v>
      </c>
      <c r="K480" s="4" t="n">
        <v>0</v>
      </c>
      <c r="M480" s="2" t="str">
        <f aca="false">IF(C480="","",IFERROR(INDEX($S$5:$S$304,MATCH(C480,$R$5:$R$304,0))&amp;"","?"))</f>
        <v>18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16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29940960</v>
      </c>
      <c r="C481" s="4" t="s">
        <v>2341</v>
      </c>
      <c r="D481" s="4" t="s">
        <v>463</v>
      </c>
      <c r="E481" s="4" t="s">
        <v>2823</v>
      </c>
      <c r="F481" s="127" t="n">
        <v>46581</v>
      </c>
      <c r="G481" s="127" t="n">
        <v>46590</v>
      </c>
      <c r="H481" s="127" t="n">
        <v>46289</v>
      </c>
      <c r="I481" s="4" t="n">
        <v>0</v>
      </c>
      <c r="J481" s="4" t="n">
        <v>0</v>
      </c>
      <c r="K481" s="4" t="n">
        <v>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20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31529028</v>
      </c>
      <c r="C482" s="4" t="s">
        <v>2341</v>
      </c>
      <c r="D482" s="4" t="s">
        <v>2312</v>
      </c>
      <c r="E482" s="4" t="s">
        <v>2823</v>
      </c>
      <c r="F482" s="127" t="n">
        <v>46581</v>
      </c>
      <c r="G482" s="127" t="n">
        <v>46584</v>
      </c>
      <c r="H482" s="127" t="n">
        <v>46289</v>
      </c>
      <c r="I482" s="4" t="n">
        <v>0</v>
      </c>
      <c r="J482" s="4" t="n">
        <v>0</v>
      </c>
      <c r="K482" s="4" t="n">
        <v>0</v>
      </c>
      <c r="M482" s="2" t="str">
        <f aca="false">IF(C482="","",IFERROR(INDEX($S$5:$S$304,MATCH(C482,$R$5:$R$304,0))&amp;"","?"))</f>
        <v>17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20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31529029</v>
      </c>
      <c r="C483" s="4" t="s">
        <v>2341</v>
      </c>
      <c r="D483" s="4" t="s">
        <v>2309</v>
      </c>
      <c r="E483" s="4" t="s">
        <v>2823</v>
      </c>
      <c r="F483" s="127" t="n">
        <v>46587</v>
      </c>
      <c r="G483" s="127" t="n">
        <v>46589</v>
      </c>
      <c r="H483" s="127" t="n">
        <v>46289</v>
      </c>
      <c r="I483" s="4" t="n">
        <v>0</v>
      </c>
      <c r="J483" s="4" t="n">
        <v>0</v>
      </c>
      <c r="K483" s="4" t="n">
        <v>0</v>
      </c>
      <c r="M483" s="2" t="str">
        <f aca="false">IF(C483="","",IFERROR(INDEX($S$5:$S$304,MATCH(C483,$R$5:$R$304,0))&amp;"","?"))</f>
        <v>17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20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31529030</v>
      </c>
      <c r="C484" s="4" t="s">
        <v>2341</v>
      </c>
      <c r="D484" s="4" t="s">
        <v>2314</v>
      </c>
      <c r="E484" s="4" t="s">
        <v>2823</v>
      </c>
      <c r="F484" s="127" t="n">
        <v>46590</v>
      </c>
      <c r="G484" s="127" t="n">
        <v>46590</v>
      </c>
      <c r="H484" s="127" t="n">
        <v>46289</v>
      </c>
      <c r="I484" s="4" t="n">
        <v>0</v>
      </c>
      <c r="J484" s="4" t="n">
        <v>0</v>
      </c>
      <c r="K484" s="4" t="n">
        <v>0</v>
      </c>
      <c r="M484" s="2" t="str">
        <f aca="false">IF(C484="","",IFERROR(INDEX($S$5:$S$304,MATCH(C484,$R$5:$R$304,0))&amp;"","?"))</f>
        <v>17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20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31529031</v>
      </c>
      <c r="C485" s="4" t="s">
        <v>2341</v>
      </c>
      <c r="D485" s="4" t="s">
        <v>2758</v>
      </c>
      <c r="E485" s="4" t="s">
        <v>2823</v>
      </c>
      <c r="F485" s="127" t="n">
        <v>46590</v>
      </c>
      <c r="G485" s="127" t="n">
        <v>46590</v>
      </c>
      <c r="H485" s="127" t="n">
        <v>46289</v>
      </c>
      <c r="I485" s="4" t="n">
        <v>0</v>
      </c>
      <c r="J485" s="4" t="n">
        <v>0</v>
      </c>
      <c r="K485" s="4" t="n">
        <v>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20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30205691</v>
      </c>
      <c r="C486" s="4" t="s">
        <v>2422</v>
      </c>
      <c r="D486" s="4" t="s">
        <v>463</v>
      </c>
      <c r="E486" s="4" t="s">
        <v>2819</v>
      </c>
      <c r="F486" s="127" t="n">
        <v>46583</v>
      </c>
      <c r="G486" s="127" t="n">
        <v>46596</v>
      </c>
      <c r="H486" s="127" t="n">
        <v>46289</v>
      </c>
      <c r="I486" s="4" t="n">
        <v>0</v>
      </c>
      <c r="J486" s="4" t="n">
        <v>0</v>
      </c>
      <c r="K486" s="4" t="n">
        <v>0</v>
      </c>
      <c r="M486" s="2" t="str">
        <f aca="false">IF(C486="","",IFERROR(INDEX($S$5:$S$304,MATCH(C486,$R$5:$R$304,0))&amp;"","?"))</f>
        <v>29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0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30205658</v>
      </c>
      <c r="C487" s="4" t="s">
        <v>2413</v>
      </c>
      <c r="D487" s="4" t="s">
        <v>463</v>
      </c>
      <c r="E487" s="4" t="s">
        <v>2821</v>
      </c>
      <c r="F487" s="127" t="n">
        <v>46583</v>
      </c>
      <c r="G487" s="127" t="n">
        <v>46596</v>
      </c>
      <c r="H487" s="127" t="n">
        <v>46289</v>
      </c>
      <c r="I487" s="4" t="n">
        <v>0</v>
      </c>
      <c r="J487" s="4" t="n">
        <v>0</v>
      </c>
      <c r="K487" s="4" t="n">
        <v>0</v>
      </c>
      <c r="M487" s="2" t="str">
        <f aca="false">IF(C487="","",IFERROR(INDEX($S$5:$S$304,MATCH(C487,$R$5:$R$304,0))&amp;"","?"))</f>
        <v>21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0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30205657</v>
      </c>
      <c r="C488" s="4" t="s">
        <v>2410</v>
      </c>
      <c r="D488" s="4" t="s">
        <v>463</v>
      </c>
      <c r="E488" s="4" t="s">
        <v>2821</v>
      </c>
      <c r="F488" s="127" t="n">
        <v>46583</v>
      </c>
      <c r="G488" s="127" t="n">
        <v>46596</v>
      </c>
      <c r="H488" s="127" t="n">
        <v>46289</v>
      </c>
      <c r="I488" s="4" t="n">
        <v>0</v>
      </c>
      <c r="J488" s="4" t="n">
        <v>0</v>
      </c>
      <c r="K488" s="4" t="n">
        <v>0</v>
      </c>
      <c r="M488" s="2" t="str">
        <f aca="false">IF(C488="","",IFERROR(INDEX($S$5:$S$304,MATCH(C488,$R$5:$R$304,0))&amp;"","?"))</f>
        <v>22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0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30205659</v>
      </c>
      <c r="C489" s="4" t="s">
        <v>2416</v>
      </c>
      <c r="D489" s="4" t="s">
        <v>463</v>
      </c>
      <c r="E489" s="4" t="s">
        <v>2821</v>
      </c>
      <c r="F489" s="127" t="n">
        <v>46583</v>
      </c>
      <c r="G489" s="127" t="n">
        <v>46596</v>
      </c>
      <c r="H489" s="127" t="n">
        <v>46289</v>
      </c>
      <c r="I489" s="4" t="n">
        <v>0</v>
      </c>
      <c r="J489" s="4" t="n">
        <v>0</v>
      </c>
      <c r="K489" s="4" t="n">
        <v>0</v>
      </c>
      <c r="M489" s="2" t="str">
        <f aca="false">IF(C489="","",IFERROR(INDEX($S$5:$S$304,MATCH(C489,$R$5:$R$304,0))&amp;"","?"))</f>
        <v>18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0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30205629</v>
      </c>
      <c r="C490" s="4" t="s">
        <v>168</v>
      </c>
      <c r="D490" s="4" t="s">
        <v>463</v>
      </c>
      <c r="E490" s="4" t="s">
        <v>2824</v>
      </c>
      <c r="F490" s="127" t="n">
        <v>46583</v>
      </c>
      <c r="G490" s="127" t="n">
        <v>46596</v>
      </c>
      <c r="H490" s="127" t="n">
        <v>46289</v>
      </c>
      <c r="I490" s="4" t="n">
        <v>0</v>
      </c>
      <c r="J490" s="4" t="n">
        <v>0</v>
      </c>
      <c r="K490" s="4" t="n">
        <v>0</v>
      </c>
      <c r="M490" s="2" t="str">
        <f aca="false">IF(C490="","",IFERROR(INDEX($S$5:$S$304,MATCH(C490,$R$5:$R$304,0))&amp;"","?"))</f>
        <v>18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0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32750355</v>
      </c>
      <c r="C491" s="4" t="s">
        <v>2458</v>
      </c>
      <c r="D491" s="4" t="s">
        <v>463</v>
      </c>
      <c r="E491" s="4" t="s">
        <v>2803</v>
      </c>
      <c r="F491" s="127" t="n">
        <v>46584</v>
      </c>
      <c r="G491" s="127" t="n">
        <v>46596</v>
      </c>
      <c r="H491" s="127" t="n">
        <v>46289</v>
      </c>
      <c r="I491" s="4" t="n">
        <v>0</v>
      </c>
      <c r="J491" s="4" t="n">
        <v>0</v>
      </c>
      <c r="K491" s="4" t="n">
        <v>0</v>
      </c>
      <c r="M491" s="2" t="str">
        <f aca="false">IF(C491="","",IFERROR(INDEX($S$5:$S$304,MATCH(C491,$R$5:$R$304,0))&amp;"","?"))</f>
        <v>21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7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32750381</v>
      </c>
      <c r="C492" s="4" t="s">
        <v>2461</v>
      </c>
      <c r="D492" s="4" t="s">
        <v>463</v>
      </c>
      <c r="E492" s="4" t="s">
        <v>2803</v>
      </c>
      <c r="F492" s="127" t="n">
        <v>46584</v>
      </c>
      <c r="G492" s="127" t="n">
        <v>46596</v>
      </c>
      <c r="H492" s="127" t="n">
        <v>46289</v>
      </c>
      <c r="I492" s="4" t="n">
        <v>0</v>
      </c>
      <c r="J492" s="4" t="n">
        <v>0</v>
      </c>
      <c r="K492" s="4" t="n">
        <v>0</v>
      </c>
      <c r="M492" s="2" t="str">
        <f aca="false">IF(C492="","",IFERROR(INDEX($S$5:$S$304,MATCH(C492,$R$5:$R$304,0))&amp;"","?"))</f>
        <v>20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7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32750407</v>
      </c>
      <c r="C493" s="4" t="s">
        <v>2464</v>
      </c>
      <c r="D493" s="4" t="s">
        <v>463</v>
      </c>
      <c r="E493" s="4" t="s">
        <v>2803</v>
      </c>
      <c r="F493" s="127" t="n">
        <v>46584</v>
      </c>
      <c r="G493" s="127" t="n">
        <v>46596</v>
      </c>
      <c r="H493" s="127" t="n">
        <v>46289</v>
      </c>
      <c r="I493" s="4" t="n">
        <v>0</v>
      </c>
      <c r="J493" s="4" t="n">
        <v>0</v>
      </c>
      <c r="K493" s="4" t="n">
        <v>0</v>
      </c>
      <c r="M493" s="2" t="str">
        <f aca="false">IF(C493="","",IFERROR(INDEX($S$5:$S$304,MATCH(C493,$R$5:$R$304,0))&amp;"","?"))</f>
        <v>21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7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33896825</v>
      </c>
      <c r="C494" s="4" t="s">
        <v>2467</v>
      </c>
      <c r="D494" s="4" t="s">
        <v>463</v>
      </c>
      <c r="E494" s="4" t="s">
        <v>2803</v>
      </c>
      <c r="F494" s="127" t="n">
        <v>46584</v>
      </c>
      <c r="G494" s="127" t="n">
        <v>46596</v>
      </c>
      <c r="H494" s="127" t="n">
        <v>46289</v>
      </c>
      <c r="I494" s="4" t="n">
        <v>0</v>
      </c>
      <c r="J494" s="4" t="n">
        <v>0</v>
      </c>
      <c r="K494" s="4" t="n">
        <v>0</v>
      </c>
      <c r="M494" s="2" t="str">
        <f aca="false">IF(C494="","",IFERROR(INDEX($S$5:$S$304,MATCH(C494,$R$5:$R$304,0))&amp;"","?"))</f>
        <v>23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7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32749851</v>
      </c>
      <c r="C495" s="4" t="s">
        <v>2455</v>
      </c>
      <c r="D495" s="4" t="s">
        <v>463</v>
      </c>
      <c r="E495" s="4" t="s">
        <v>2804</v>
      </c>
      <c r="F495" s="127" t="n">
        <v>46584</v>
      </c>
      <c r="G495" s="127" t="n">
        <v>46596</v>
      </c>
      <c r="H495" s="127" t="n">
        <v>46289</v>
      </c>
      <c r="I495" s="4" t="n">
        <v>0</v>
      </c>
      <c r="J495" s="4" t="n">
        <v>0</v>
      </c>
      <c r="K495" s="4" t="n">
        <v>0</v>
      </c>
      <c r="M495" s="2" t="str">
        <f aca="false">IF(C495="","",IFERROR(INDEX($S$5:$S$304,MATCH(C495,$R$5:$R$304,0))&amp;"","?"))</f>
        <v>18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8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29981473</v>
      </c>
      <c r="C496" s="4" t="s">
        <v>2449</v>
      </c>
      <c r="D496" s="4" t="s">
        <v>463</v>
      </c>
      <c r="E496" s="4" t="s">
        <v>2805</v>
      </c>
      <c r="F496" s="127" t="n">
        <v>46584</v>
      </c>
      <c r="G496" s="127" t="n">
        <v>46596</v>
      </c>
      <c r="H496" s="127" t="n">
        <v>46289</v>
      </c>
      <c r="I496" s="4" t="n">
        <v>0</v>
      </c>
      <c r="J496" s="4" t="n">
        <v>0</v>
      </c>
      <c r="K496" s="4" t="n">
        <v>0</v>
      </c>
      <c r="M496" s="2" t="str">
        <f aca="false">IF(C496="","",IFERROR(INDEX($S$5:$S$304,MATCH(C496,$R$5:$R$304,0))&amp;"","?"))</f>
        <v>28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9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29981413</v>
      </c>
      <c r="C497" s="4" t="s">
        <v>2440</v>
      </c>
      <c r="D497" s="4" t="s">
        <v>463</v>
      </c>
      <c r="E497" s="4" t="s">
        <v>2809</v>
      </c>
      <c r="F497" s="127" t="n">
        <v>46584</v>
      </c>
      <c r="G497" s="127" t="n">
        <v>46596</v>
      </c>
      <c r="H497" s="127" t="n">
        <v>46289</v>
      </c>
      <c r="I497" s="4" t="n">
        <v>0</v>
      </c>
      <c r="J497" s="4" t="n">
        <v>0</v>
      </c>
      <c r="K497" s="4" t="n">
        <v>0</v>
      </c>
      <c r="M497" s="2" t="str">
        <f aca="false">IF(C497="","",IFERROR(INDEX($S$5:$S$304,MATCH(C497,$R$5:$R$304,0))&amp;"","?"))</f>
        <v>21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10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29981446</v>
      </c>
      <c r="C498" s="4" t="s">
        <v>2443</v>
      </c>
      <c r="D498" s="4" t="s">
        <v>463</v>
      </c>
      <c r="E498" s="4" t="s">
        <v>2809</v>
      </c>
      <c r="F498" s="127" t="n">
        <v>46584</v>
      </c>
      <c r="G498" s="127" t="n">
        <v>46596</v>
      </c>
      <c r="H498" s="127" t="n">
        <v>46289</v>
      </c>
      <c r="I498" s="4" t="n">
        <v>0</v>
      </c>
      <c r="J498" s="4" t="n">
        <v>0</v>
      </c>
      <c r="K498" s="4" t="n">
        <v>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10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29981375</v>
      </c>
      <c r="C499" s="4" t="s">
        <v>2437</v>
      </c>
      <c r="D499" s="4" t="s">
        <v>463</v>
      </c>
      <c r="E499" s="4" t="s">
        <v>2810</v>
      </c>
      <c r="F499" s="127" t="n">
        <v>46584</v>
      </c>
      <c r="G499" s="127" t="n">
        <v>46596</v>
      </c>
      <c r="H499" s="127" t="n">
        <v>46289</v>
      </c>
      <c r="I499" s="4" t="n">
        <v>0</v>
      </c>
      <c r="J499" s="4" t="n">
        <v>0</v>
      </c>
      <c r="K499" s="4" t="n">
        <v>0</v>
      </c>
      <c r="M499" s="2" t="str">
        <f aca="false">IF(C499="","",IFERROR(INDEX($S$5:$S$304,MATCH(C499,$R$5:$R$304,0))&amp;"","?"))</f>
        <v>29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11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29981341</v>
      </c>
      <c r="C500" s="4" t="s">
        <v>2434</v>
      </c>
      <c r="D500" s="4" t="s">
        <v>463</v>
      </c>
      <c r="E500" s="4" t="s">
        <v>2811</v>
      </c>
      <c r="F500" s="127" t="n">
        <v>46584</v>
      </c>
      <c r="G500" s="127" t="n">
        <v>46596</v>
      </c>
      <c r="H500" s="127" t="n">
        <v>46289</v>
      </c>
      <c r="I500" s="4" t="n">
        <v>0</v>
      </c>
      <c r="J500" s="4" t="n">
        <v>0</v>
      </c>
      <c r="K500" s="4" t="n">
        <v>0</v>
      </c>
      <c r="M500" s="2" t="str">
        <f aca="false">IF(C500="","",IFERROR(INDEX($S$5:$S$304,MATCH(C500,$R$5:$R$304,0))&amp;"","?"))</f>
        <v>25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12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29981334</v>
      </c>
      <c r="C501" s="4" t="s">
        <v>2425</v>
      </c>
      <c r="D501" s="4" t="s">
        <v>463</v>
      </c>
      <c r="E501" s="4" t="s">
        <v>2812</v>
      </c>
      <c r="F501" s="127" t="n">
        <v>46584</v>
      </c>
      <c r="G501" s="127" t="n">
        <v>46596</v>
      </c>
      <c r="H501" s="127" t="n">
        <v>46289</v>
      </c>
      <c r="I501" s="4" t="n">
        <v>0</v>
      </c>
      <c r="J501" s="4" t="n">
        <v>0</v>
      </c>
      <c r="K501" s="4" t="n">
        <v>0</v>
      </c>
      <c r="M501" s="2" t="str">
        <f aca="false">IF(C501="","",IFERROR(INDEX($S$5:$S$304,MATCH(C501,$R$5:$R$304,0))&amp;"","?"))</f>
        <v>21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29981303</v>
      </c>
      <c r="C502" s="4" t="s">
        <v>2428</v>
      </c>
      <c r="D502" s="4" t="s">
        <v>463</v>
      </c>
      <c r="E502" s="4" t="s">
        <v>2812</v>
      </c>
      <c r="F502" s="127" t="n">
        <v>46584</v>
      </c>
      <c r="G502" s="127" t="n">
        <v>46596</v>
      </c>
      <c r="H502" s="127" t="n">
        <v>46289</v>
      </c>
      <c r="I502" s="4" t="n">
        <v>0</v>
      </c>
      <c r="J502" s="4" t="n">
        <v>0</v>
      </c>
      <c r="K502" s="4" t="n">
        <v>0</v>
      </c>
      <c r="M502" s="2" t="str">
        <f aca="false">IF(C502="","",IFERROR(INDEX($S$5:$S$304,MATCH(C502,$R$5:$R$304,0))&amp;"","?"))</f>
        <v>20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29981336</v>
      </c>
      <c r="C503" s="4" t="s">
        <v>2431</v>
      </c>
      <c r="D503" s="4" t="s">
        <v>463</v>
      </c>
      <c r="E503" s="4" t="s">
        <v>2812</v>
      </c>
      <c r="F503" s="127" t="n">
        <v>46584</v>
      </c>
      <c r="G503" s="127" t="n">
        <v>46596</v>
      </c>
      <c r="H503" s="127" t="n">
        <v>46289</v>
      </c>
      <c r="I503" s="4" t="n">
        <v>0</v>
      </c>
      <c r="J503" s="4" t="n">
        <v>0</v>
      </c>
      <c r="K503" s="4" t="n">
        <v>0</v>
      </c>
      <c r="M503" s="2" t="str">
        <f aca="false">IF(C503="","",IFERROR(INDEX($S$5:$S$304,MATCH(C503,$R$5:$R$304,0))&amp;"","?"))</f>
        <v>21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29981283</v>
      </c>
      <c r="C504" s="4" t="s">
        <v>2422</v>
      </c>
      <c r="D504" s="4" t="s">
        <v>463</v>
      </c>
      <c r="E504" s="4" t="s">
        <v>2813</v>
      </c>
      <c r="F504" s="127" t="n">
        <v>46584</v>
      </c>
      <c r="G504" s="127" t="n">
        <v>46596</v>
      </c>
      <c r="H504" s="127" t="n">
        <v>46289</v>
      </c>
      <c r="I504" s="4" t="n">
        <v>0</v>
      </c>
      <c r="J504" s="4" t="n">
        <v>0</v>
      </c>
      <c r="K504" s="4" t="n">
        <v>0</v>
      </c>
      <c r="M504" s="2" t="str">
        <f aca="false">IF(C504="","",IFERROR(INDEX($S$5:$S$304,MATCH(C504,$R$5:$R$304,0))&amp;"","?"))</f>
        <v>29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14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29981249</v>
      </c>
      <c r="C505" s="4" t="s">
        <v>2413</v>
      </c>
      <c r="D505" s="4" t="s">
        <v>463</v>
      </c>
      <c r="E505" s="4" t="s">
        <v>2814</v>
      </c>
      <c r="F505" s="127" t="n">
        <v>46584</v>
      </c>
      <c r="G505" s="127" t="n">
        <v>46596</v>
      </c>
      <c r="H505" s="127" t="n">
        <v>46289</v>
      </c>
      <c r="I505" s="4" t="n">
        <v>0</v>
      </c>
      <c r="J505" s="4" t="n">
        <v>0</v>
      </c>
      <c r="K505" s="4" t="n">
        <v>0</v>
      </c>
      <c r="M505" s="2" t="str">
        <f aca="false">IF(C505="","",IFERROR(INDEX($S$5:$S$304,MATCH(C505,$R$5:$R$304,0))&amp;"","?"))</f>
        <v>21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15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29981248</v>
      </c>
      <c r="C506" s="4" t="s">
        <v>2416</v>
      </c>
      <c r="D506" s="4" t="s">
        <v>463</v>
      </c>
      <c r="E506" s="4" t="s">
        <v>2814</v>
      </c>
      <c r="F506" s="127" t="n">
        <v>46588</v>
      </c>
      <c r="G506" s="127" t="n">
        <v>46598</v>
      </c>
      <c r="H506" s="127" t="n">
        <v>46289</v>
      </c>
      <c r="I506" s="4" t="n">
        <v>0</v>
      </c>
      <c r="J506" s="4" t="n">
        <v>0</v>
      </c>
      <c r="K506" s="4" t="n">
        <v>0</v>
      </c>
      <c r="M506" s="2" t="str">
        <f aca="false">IF(C506="","",IFERROR(INDEX($S$5:$S$304,MATCH(C506,$R$5:$R$304,0))&amp;"","?"))</f>
        <v>18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15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29981222</v>
      </c>
      <c r="C507" s="4" t="s">
        <v>2410</v>
      </c>
      <c r="D507" s="4" t="s">
        <v>463</v>
      </c>
      <c r="E507" s="4" t="s">
        <v>2815</v>
      </c>
      <c r="F507" s="127" t="n">
        <v>46591</v>
      </c>
      <c r="G507" s="127" t="n">
        <v>46603</v>
      </c>
      <c r="H507" s="127" t="n">
        <v>46289</v>
      </c>
      <c r="I507" s="4" t="n">
        <v>0</v>
      </c>
      <c r="J507" s="4" t="n">
        <v>0</v>
      </c>
      <c r="K507" s="4" t="n">
        <v>0</v>
      </c>
      <c r="M507" s="2" t="str">
        <f aca="false">IF(C507="","",IFERROR(INDEX($S$5:$S$304,MATCH(C507,$R$5:$R$304,0))&amp;"","?"))</f>
        <v>22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16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29981173</v>
      </c>
      <c r="C508" s="4" t="s">
        <v>168</v>
      </c>
      <c r="D508" s="4" t="s">
        <v>463</v>
      </c>
      <c r="E508" s="4" t="s">
        <v>2818</v>
      </c>
      <c r="F508" s="127" t="n">
        <v>46591</v>
      </c>
      <c r="G508" s="127" t="n">
        <v>46603</v>
      </c>
      <c r="H508" s="127" t="n">
        <v>46289</v>
      </c>
      <c r="I508" s="4" t="n">
        <v>0</v>
      </c>
      <c r="J508" s="4" t="n">
        <v>0</v>
      </c>
      <c r="K508" s="4" t="n">
        <v>0</v>
      </c>
      <c r="M508" s="2" t="str">
        <f aca="false">IF(C508="","",IFERROR(INDEX($S$5:$S$304,MATCH(C508,$R$5:$R$304,0))&amp;"","?"))</f>
        <v>18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17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29940961</v>
      </c>
      <c r="C509" s="4" t="s">
        <v>2341</v>
      </c>
      <c r="D509" s="4" t="s">
        <v>463</v>
      </c>
      <c r="E509" s="4" t="s">
        <v>2825</v>
      </c>
      <c r="F509" s="127" t="n">
        <v>46591</v>
      </c>
      <c r="G509" s="127" t="n">
        <v>46603</v>
      </c>
      <c r="H509" s="127" t="n">
        <v>46289</v>
      </c>
      <c r="I509" s="4" t="n">
        <v>0</v>
      </c>
      <c r="J509" s="4" t="n">
        <v>0</v>
      </c>
      <c r="K509" s="4" t="n">
        <v>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21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31529032</v>
      </c>
      <c r="C510" s="4" t="s">
        <v>2341</v>
      </c>
      <c r="D510" s="4" t="s">
        <v>2312</v>
      </c>
      <c r="E510" s="4" t="s">
        <v>2825</v>
      </c>
      <c r="F510" s="127" t="n">
        <v>46591</v>
      </c>
      <c r="G510" s="127" t="n">
        <v>46597</v>
      </c>
      <c r="H510" s="127" t="n">
        <v>46289</v>
      </c>
      <c r="I510" s="4" t="n">
        <v>0</v>
      </c>
      <c r="J510" s="4" t="n">
        <v>0</v>
      </c>
      <c r="K510" s="4" t="n">
        <v>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21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31529033</v>
      </c>
      <c r="C511" s="4" t="s">
        <v>2341</v>
      </c>
      <c r="D511" s="4" t="s">
        <v>2309</v>
      </c>
      <c r="E511" s="4" t="s">
        <v>2825</v>
      </c>
      <c r="F511" s="127" t="n">
        <v>46598</v>
      </c>
      <c r="G511" s="127" t="n">
        <v>46602</v>
      </c>
      <c r="H511" s="127" t="n">
        <v>46289</v>
      </c>
      <c r="I511" s="4" t="n">
        <v>0</v>
      </c>
      <c r="J511" s="4" t="n">
        <v>0</v>
      </c>
      <c r="K511" s="4" t="n">
        <v>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21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31529034</v>
      </c>
      <c r="C512" s="4" t="s">
        <v>2341</v>
      </c>
      <c r="D512" s="4" t="s">
        <v>2314</v>
      </c>
      <c r="E512" s="4" t="s">
        <v>2825</v>
      </c>
      <c r="F512" s="127" t="n">
        <v>46603</v>
      </c>
      <c r="G512" s="127" t="n">
        <v>46603</v>
      </c>
      <c r="H512" s="127" t="n">
        <v>46289</v>
      </c>
      <c r="I512" s="4" t="n">
        <v>0</v>
      </c>
      <c r="J512" s="4" t="n">
        <v>0</v>
      </c>
      <c r="K512" s="4" t="n">
        <v>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21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31529035</v>
      </c>
      <c r="C513" s="4" t="s">
        <v>2341</v>
      </c>
      <c r="D513" s="4" t="s">
        <v>2758</v>
      </c>
      <c r="E513" s="4" t="s">
        <v>2825</v>
      </c>
      <c r="F513" s="127" t="n">
        <v>46603</v>
      </c>
      <c r="G513" s="127" t="n">
        <v>46603</v>
      </c>
      <c r="H513" s="127" t="n">
        <v>46289</v>
      </c>
      <c r="I513" s="4" t="n">
        <v>0</v>
      </c>
      <c r="J513" s="4" t="n">
        <v>0</v>
      </c>
      <c r="K513" s="4" t="n">
        <v>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21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30205692</v>
      </c>
      <c r="C514" s="4" t="s">
        <v>2428</v>
      </c>
      <c r="D514" s="4" t="s">
        <v>463</v>
      </c>
      <c r="E514" s="4" t="s">
        <v>2819</v>
      </c>
      <c r="F514" s="127" t="n">
        <v>46597</v>
      </c>
      <c r="G514" s="127" t="n">
        <v>46605</v>
      </c>
      <c r="H514" s="127" t="n">
        <v>46289</v>
      </c>
      <c r="I514" s="4" t="n">
        <v>0</v>
      </c>
      <c r="J514" s="4" t="n">
        <v>0</v>
      </c>
      <c r="K514" s="4" t="n">
        <v>0</v>
      </c>
      <c r="M514" s="2" t="str">
        <f aca="false">IF(C514="","",IFERROR(INDEX($S$5:$S$304,MATCH(C514,$R$5:$R$304,0))&amp;"","?"))</f>
        <v>20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0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30205693</v>
      </c>
      <c r="C515" s="4" t="s">
        <v>2452</v>
      </c>
      <c r="D515" s="4" t="s">
        <v>463</v>
      </c>
      <c r="E515" s="4" t="s">
        <v>2819</v>
      </c>
      <c r="F515" s="127" t="n">
        <v>46597</v>
      </c>
      <c r="G515" s="127" t="n">
        <v>46610</v>
      </c>
      <c r="H515" s="127" t="n">
        <v>46289</v>
      </c>
      <c r="I515" s="4" t="n">
        <v>0</v>
      </c>
      <c r="J515" s="4" t="n">
        <v>0</v>
      </c>
      <c r="K515" s="4" t="n">
        <v>0</v>
      </c>
      <c r="M515" s="2" t="str">
        <f aca="false">IF(C515="","",IFERROR(INDEX($S$5:$S$304,MATCH(C515,$R$5:$R$304,0))&amp;"","?"))</f>
        <v>21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0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30205664</v>
      </c>
      <c r="C516" s="4" t="s">
        <v>2422</v>
      </c>
      <c r="D516" s="4" t="s">
        <v>463</v>
      </c>
      <c r="E516" s="4" t="s">
        <v>2821</v>
      </c>
      <c r="F516" s="127" t="n">
        <v>46597</v>
      </c>
      <c r="G516" s="127" t="n">
        <v>46610</v>
      </c>
      <c r="H516" s="127" t="n">
        <v>46289</v>
      </c>
      <c r="I516" s="4" t="n">
        <v>0</v>
      </c>
      <c r="J516" s="4" t="n">
        <v>0</v>
      </c>
      <c r="K516" s="4" t="n">
        <v>0</v>
      </c>
      <c r="M516" s="2" t="str">
        <f aca="false">IF(C516="","",IFERROR(INDEX($S$5:$S$304,MATCH(C516,$R$5:$R$304,0))&amp;"","?"))</f>
        <v>29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0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30205631</v>
      </c>
      <c r="C517" s="4" t="s">
        <v>2413</v>
      </c>
      <c r="D517" s="4" t="s">
        <v>463</v>
      </c>
      <c r="E517" s="4" t="s">
        <v>2824</v>
      </c>
      <c r="F517" s="127" t="n">
        <v>46597</v>
      </c>
      <c r="G517" s="127" t="n">
        <v>46610</v>
      </c>
      <c r="H517" s="127" t="n">
        <v>46289</v>
      </c>
      <c r="I517" s="4" t="n">
        <v>0</v>
      </c>
      <c r="J517" s="4" t="n">
        <v>0</v>
      </c>
      <c r="K517" s="4" t="n">
        <v>0</v>
      </c>
      <c r="M517" s="2" t="str">
        <f aca="false">IF(C517="","",IFERROR(INDEX($S$5:$S$304,MATCH(C517,$R$5:$R$304,0))&amp;"","?"))</f>
        <v>21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0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30205630</v>
      </c>
      <c r="C518" s="4" t="s">
        <v>2410</v>
      </c>
      <c r="D518" s="4" t="s">
        <v>463</v>
      </c>
      <c r="E518" s="4" t="s">
        <v>2824</v>
      </c>
      <c r="F518" s="127" t="n">
        <v>46597</v>
      </c>
      <c r="G518" s="127" t="n">
        <v>46610</v>
      </c>
      <c r="H518" s="127" t="n">
        <v>46289</v>
      </c>
      <c r="I518" s="4" t="n">
        <v>0</v>
      </c>
      <c r="J518" s="4" t="n">
        <v>0</v>
      </c>
      <c r="K518" s="4" t="n">
        <v>0</v>
      </c>
      <c r="M518" s="2" t="str">
        <f aca="false">IF(C518="","",IFERROR(INDEX($S$5:$S$304,MATCH(C518,$R$5:$R$304,0))&amp;"","?"))</f>
        <v>22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0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30205632</v>
      </c>
      <c r="C519" s="4" t="s">
        <v>2416</v>
      </c>
      <c r="D519" s="4" t="s">
        <v>463</v>
      </c>
      <c r="E519" s="4" t="s">
        <v>2824</v>
      </c>
      <c r="F519" s="127" t="n">
        <v>46597</v>
      </c>
      <c r="G519" s="127" t="n">
        <v>46610</v>
      </c>
      <c r="H519" s="127" t="n">
        <v>46289</v>
      </c>
      <c r="I519" s="4" t="n">
        <v>0</v>
      </c>
      <c r="J519" s="4" t="n">
        <v>0</v>
      </c>
      <c r="K519" s="4" t="n">
        <v>0</v>
      </c>
      <c r="M519" s="2" t="str">
        <f aca="false">IF(C519="","",IFERROR(INDEX($S$5:$S$304,MATCH(C519,$R$5:$R$304,0))&amp;"","?"))</f>
        <v>18</v>
      </c>
      <c r="N519" s="2" t="n">
        <f aca="false">IF(E519="","",IF(ISNUMBER(SEARCH("SUBSOLO",E519)),IFERROR(-VALUE(LEFT(E519,FIND("º",SUBSTITUTE(E519,"°","º"))-1)),-1),IF(LEFT(E519,6)="TÉRREO",0,IFERROR(VALUE(LEFT(E519,FIND("º",SUBSTITUTE(E519,"°","º"))-1)),""))))</f>
        <v>0</v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30205602</v>
      </c>
      <c r="C520" s="4" t="s">
        <v>168</v>
      </c>
      <c r="D520" s="4" t="s">
        <v>463</v>
      </c>
      <c r="E520" s="4" t="s">
        <v>2826</v>
      </c>
      <c r="F520" s="127" t="n">
        <v>46597</v>
      </c>
      <c r="G520" s="127" t="n">
        <v>46610</v>
      </c>
      <c r="H520" s="127" t="n">
        <v>46289</v>
      </c>
      <c r="I520" s="4" t="n">
        <v>0</v>
      </c>
      <c r="J520" s="4" t="n">
        <v>0</v>
      </c>
      <c r="K520" s="4" t="n">
        <v>0</v>
      </c>
      <c r="M520" s="2" t="str">
        <f aca="false">IF(C520="","",IFERROR(INDEX($S$5:$S$304,MATCH(C520,$R$5:$R$304,0))&amp;"","?"))</f>
        <v>18</v>
      </c>
      <c r="N520" s="2" t="n">
        <f aca="false">IF(E520="","",IF(ISNUMBER(SEARCH("SUBSOLO",E520)),IFERROR(-VALUE(LEFT(E520,FIND("º",SUBSTITUTE(E520,"°","º"))-1)),-1),IF(LEFT(E520,6)="TÉRREO",0,IFERROR(VALUE(LEFT(E520,FIND("º",SUBSTITUTE(E520,"°","º"))-1)),""))))</f>
        <v>0</v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32750433</v>
      </c>
      <c r="C521" s="4" t="s">
        <v>2470</v>
      </c>
      <c r="D521" s="4" t="s">
        <v>463</v>
      </c>
      <c r="E521" s="4" t="s">
        <v>2803</v>
      </c>
      <c r="F521" s="127" t="n">
        <v>46597</v>
      </c>
      <c r="G521" s="127" t="n">
        <v>46609</v>
      </c>
      <c r="H521" s="127" t="n">
        <v>46289</v>
      </c>
      <c r="I521" s="4" t="n">
        <v>0</v>
      </c>
      <c r="J521" s="4" t="n">
        <v>0</v>
      </c>
      <c r="K521" s="4" t="n">
        <v>0</v>
      </c>
      <c r="M521" s="2" t="str">
        <f aca="false">IF(C521="","",IFERROR(INDEX($S$5:$S$304,MATCH(C521,$R$5:$R$304,0))&amp;"","?"))</f>
        <v>18</v>
      </c>
      <c r="N521" s="2" t="n">
        <f aca="false">IF(E521="","",IF(ISNUMBER(SEARCH("SUBSOLO",E521)),IFERROR(-VALUE(LEFT(E521,FIND("º",SUBSTITUTE(E521,"°","º"))-1)),-1),IF(LEFT(E521,6)="TÉRREO",0,IFERROR(VALUE(LEFT(E521,FIND("º",SUBSTITUTE(E521,"°","º"))-1)),""))))</f>
        <v>7</v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32750356</v>
      </c>
      <c r="C522" s="4" t="s">
        <v>2458</v>
      </c>
      <c r="D522" s="4" t="s">
        <v>463</v>
      </c>
      <c r="E522" s="4" t="s">
        <v>2804</v>
      </c>
      <c r="F522" s="127" t="n">
        <v>46597</v>
      </c>
      <c r="G522" s="127" t="n">
        <v>46609</v>
      </c>
      <c r="H522" s="127" t="n">
        <v>46289</v>
      </c>
      <c r="I522" s="4" t="n">
        <v>0</v>
      </c>
      <c r="J522" s="4" t="n">
        <v>0</v>
      </c>
      <c r="K522" s="4" t="n">
        <v>0</v>
      </c>
      <c r="M522" s="2" t="str">
        <f aca="false">IF(C522="","",IFERROR(INDEX($S$5:$S$304,MATCH(C522,$R$5:$R$304,0))&amp;"","?"))</f>
        <v>21</v>
      </c>
      <c r="N522" s="2" t="n">
        <f aca="false">IF(E522="","",IF(ISNUMBER(SEARCH("SUBSOLO",E522)),IFERROR(-VALUE(LEFT(E522,FIND("º",SUBSTITUTE(E522,"°","º"))-1)),-1),IF(LEFT(E522,6)="TÉRREO",0,IFERROR(VALUE(LEFT(E522,FIND("º",SUBSTITUTE(E522,"°","º"))-1)),""))))</f>
        <v>8</v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32750382</v>
      </c>
      <c r="C523" s="4" t="s">
        <v>2461</v>
      </c>
      <c r="D523" s="4" t="s">
        <v>463</v>
      </c>
      <c r="E523" s="4" t="s">
        <v>2804</v>
      </c>
      <c r="F523" s="127" t="n">
        <v>46597</v>
      </c>
      <c r="G523" s="127" t="n">
        <v>46609</v>
      </c>
      <c r="H523" s="127" t="n">
        <v>46289</v>
      </c>
      <c r="I523" s="4" t="n">
        <v>0</v>
      </c>
      <c r="J523" s="4" t="n">
        <v>0</v>
      </c>
      <c r="K523" s="4" t="n">
        <v>0</v>
      </c>
      <c r="M523" s="2" t="str">
        <f aca="false">IF(C523="","",IFERROR(INDEX($S$5:$S$304,MATCH(C523,$R$5:$R$304,0))&amp;"","?"))</f>
        <v>20</v>
      </c>
      <c r="N523" s="2" t="n">
        <f aca="false">IF(E523="","",IF(ISNUMBER(SEARCH("SUBSOLO",E523)),IFERROR(-VALUE(LEFT(E523,FIND("º",SUBSTITUTE(E523,"°","º"))-1)),-1),IF(LEFT(E523,6)="TÉRREO",0,IFERROR(VALUE(LEFT(E523,FIND("º",SUBSTITUTE(E523,"°","º"))-1)),""))))</f>
        <v>8</v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32750408</v>
      </c>
      <c r="C524" s="4" t="s">
        <v>2464</v>
      </c>
      <c r="D524" s="4" t="s">
        <v>463</v>
      </c>
      <c r="E524" s="4" t="s">
        <v>2804</v>
      </c>
      <c r="F524" s="127" t="n">
        <v>46597</v>
      </c>
      <c r="G524" s="127" t="n">
        <v>46609</v>
      </c>
      <c r="H524" s="127" t="n">
        <v>46289</v>
      </c>
      <c r="I524" s="4" t="n">
        <v>0</v>
      </c>
      <c r="J524" s="4" t="n">
        <v>0</v>
      </c>
      <c r="K524" s="4" t="n">
        <v>0</v>
      </c>
      <c r="M524" s="2" t="str">
        <f aca="false">IF(C524="","",IFERROR(INDEX($S$5:$S$304,MATCH(C524,$R$5:$R$304,0))&amp;"","?"))</f>
        <v>21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8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33896826</v>
      </c>
      <c r="C525" s="4" t="s">
        <v>2467</v>
      </c>
      <c r="D525" s="4" t="s">
        <v>463</v>
      </c>
      <c r="E525" s="4" t="s">
        <v>2804</v>
      </c>
      <c r="F525" s="127" t="n">
        <v>46597</v>
      </c>
      <c r="G525" s="127" t="n">
        <v>46609</v>
      </c>
      <c r="H525" s="127" t="n">
        <v>46289</v>
      </c>
      <c r="I525" s="4" t="n">
        <v>0</v>
      </c>
      <c r="J525" s="4" t="n">
        <v>0</v>
      </c>
      <c r="K525" s="4" t="n">
        <v>0</v>
      </c>
      <c r="M525" s="2" t="str">
        <f aca="false">IF(C525="","",IFERROR(INDEX($S$5:$S$304,MATCH(C525,$R$5:$R$304,0))&amp;"","?"))</f>
        <v>23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8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32749852</v>
      </c>
      <c r="C526" s="4" t="s">
        <v>2455</v>
      </c>
      <c r="D526" s="4" t="s">
        <v>463</v>
      </c>
      <c r="E526" s="4" t="s">
        <v>2805</v>
      </c>
      <c r="F526" s="127" t="n">
        <v>46597</v>
      </c>
      <c r="G526" s="127" t="n">
        <v>46609</v>
      </c>
      <c r="H526" s="127" t="n">
        <v>46289</v>
      </c>
      <c r="I526" s="4" t="n">
        <v>0</v>
      </c>
      <c r="J526" s="4" t="n">
        <v>0</v>
      </c>
      <c r="K526" s="4" t="n">
        <v>0</v>
      </c>
      <c r="M526" s="2" t="str">
        <f aca="false">IF(C526="","",IFERROR(INDEX($S$5:$S$304,MATCH(C526,$R$5:$R$304,0))&amp;"","?"))</f>
        <v>18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9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29981436</v>
      </c>
      <c r="C527" s="4" t="s">
        <v>2449</v>
      </c>
      <c r="D527" s="4" t="s">
        <v>463</v>
      </c>
      <c r="E527" s="4" t="s">
        <v>2809</v>
      </c>
      <c r="F527" s="127" t="n">
        <v>46597</v>
      </c>
      <c r="G527" s="127" t="n">
        <v>46609</v>
      </c>
      <c r="H527" s="127" t="n">
        <v>46289</v>
      </c>
      <c r="I527" s="4" t="n">
        <v>0</v>
      </c>
      <c r="J527" s="4" t="n">
        <v>0</v>
      </c>
      <c r="K527" s="4" t="n">
        <v>0</v>
      </c>
      <c r="M527" s="2" t="str">
        <f aca="false">IF(C527="","",IFERROR(INDEX($S$5:$S$304,MATCH(C527,$R$5:$R$304,0))&amp;"","?"))</f>
        <v>28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10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29981376</v>
      </c>
      <c r="C528" s="4" t="s">
        <v>2440</v>
      </c>
      <c r="D528" s="4" t="s">
        <v>463</v>
      </c>
      <c r="E528" s="4" t="s">
        <v>2810</v>
      </c>
      <c r="F528" s="127" t="n">
        <v>46597</v>
      </c>
      <c r="G528" s="127" t="n">
        <v>46609</v>
      </c>
      <c r="H528" s="127" t="n">
        <v>46289</v>
      </c>
      <c r="I528" s="4" t="n">
        <v>0</v>
      </c>
      <c r="J528" s="4" t="n">
        <v>0</v>
      </c>
      <c r="K528" s="4" t="n">
        <v>0</v>
      </c>
      <c r="M528" s="2" t="str">
        <f aca="false">IF(C528="","",IFERROR(INDEX($S$5:$S$304,MATCH(C528,$R$5:$R$304,0))&amp;"","?"))</f>
        <v>21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11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29981409</v>
      </c>
      <c r="C529" s="4" t="s">
        <v>2443</v>
      </c>
      <c r="D529" s="4" t="s">
        <v>463</v>
      </c>
      <c r="E529" s="4" t="s">
        <v>2810</v>
      </c>
      <c r="F529" s="127" t="n">
        <v>46597</v>
      </c>
      <c r="G529" s="127" t="n">
        <v>46609</v>
      </c>
      <c r="H529" s="127" t="n">
        <v>46289</v>
      </c>
      <c r="I529" s="4" t="n">
        <v>0</v>
      </c>
      <c r="J529" s="4" t="n">
        <v>0</v>
      </c>
      <c r="K529" s="4" t="n">
        <v>0</v>
      </c>
      <c r="M529" s="2" t="str">
        <f aca="false">IF(C529="","",IFERROR(INDEX($S$5:$S$304,MATCH(C529,$R$5:$R$304,0))&amp;"","?"))</f>
        <v>20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11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29981338</v>
      </c>
      <c r="C530" s="4" t="s">
        <v>2437</v>
      </c>
      <c r="D530" s="4" t="s">
        <v>463</v>
      </c>
      <c r="E530" s="4" t="s">
        <v>2811</v>
      </c>
      <c r="F530" s="127" t="n">
        <v>46597</v>
      </c>
      <c r="G530" s="127" t="n">
        <v>46609</v>
      </c>
      <c r="H530" s="127" t="n">
        <v>46289</v>
      </c>
      <c r="I530" s="4" t="n">
        <v>0</v>
      </c>
      <c r="J530" s="4" t="n">
        <v>0</v>
      </c>
      <c r="K530" s="4" t="n">
        <v>0</v>
      </c>
      <c r="M530" s="2" t="str">
        <f aca="false">IF(C530="","",IFERROR(INDEX($S$5:$S$304,MATCH(C530,$R$5:$R$304,0))&amp;"","?"))</f>
        <v>29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12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29981304</v>
      </c>
      <c r="C531" s="4" t="s">
        <v>2434</v>
      </c>
      <c r="D531" s="4" t="s">
        <v>463</v>
      </c>
      <c r="E531" s="4" t="s">
        <v>2812</v>
      </c>
      <c r="F531" s="127" t="n">
        <v>46597</v>
      </c>
      <c r="G531" s="127" t="n">
        <v>46609</v>
      </c>
      <c r="H531" s="127" t="n">
        <v>46289</v>
      </c>
      <c r="I531" s="4" t="n">
        <v>0</v>
      </c>
      <c r="J531" s="4" t="n">
        <v>0</v>
      </c>
      <c r="K531" s="4" t="n">
        <v>0</v>
      </c>
      <c r="M531" s="2" t="str">
        <f aca="false">IF(C531="","",IFERROR(INDEX($S$5:$S$304,MATCH(C531,$R$5:$R$304,0))&amp;"","?"))</f>
        <v>25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13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29981297</v>
      </c>
      <c r="C532" s="4" t="s">
        <v>2425</v>
      </c>
      <c r="D532" s="4" t="s">
        <v>463</v>
      </c>
      <c r="E532" s="4" t="s">
        <v>2813</v>
      </c>
      <c r="F532" s="127" t="n">
        <v>46597</v>
      </c>
      <c r="G532" s="127" t="n">
        <v>46609</v>
      </c>
      <c r="H532" s="127" t="n">
        <v>46289</v>
      </c>
      <c r="I532" s="4" t="n">
        <v>0</v>
      </c>
      <c r="J532" s="4" t="n">
        <v>0</v>
      </c>
      <c r="K532" s="4" t="n">
        <v>0</v>
      </c>
      <c r="M532" s="2" t="str">
        <f aca="false">IF(C532="","",IFERROR(INDEX($S$5:$S$304,MATCH(C532,$R$5:$R$304,0))&amp;"","?"))</f>
        <v>21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14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29981266</v>
      </c>
      <c r="C533" s="4" t="s">
        <v>2428</v>
      </c>
      <c r="D533" s="4" t="s">
        <v>463</v>
      </c>
      <c r="E533" s="4" t="s">
        <v>2813</v>
      </c>
      <c r="F533" s="127" t="n">
        <v>46597</v>
      </c>
      <c r="G533" s="127" t="n">
        <v>46609</v>
      </c>
      <c r="H533" s="127" t="n">
        <v>46289</v>
      </c>
      <c r="I533" s="4" t="n">
        <v>0</v>
      </c>
      <c r="J533" s="4" t="n">
        <v>0</v>
      </c>
      <c r="K533" s="4" t="n">
        <v>0</v>
      </c>
      <c r="M533" s="2" t="str">
        <f aca="false">IF(C533="","",IFERROR(INDEX($S$5:$S$304,MATCH(C533,$R$5:$R$304,0))&amp;"","?"))</f>
        <v>20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14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29981299</v>
      </c>
      <c r="C534" s="4" t="s">
        <v>2431</v>
      </c>
      <c r="D534" s="4" t="s">
        <v>463</v>
      </c>
      <c r="E534" s="4" t="s">
        <v>2813</v>
      </c>
      <c r="F534" s="127" t="n">
        <v>46597</v>
      </c>
      <c r="G534" s="127" t="n">
        <v>46609</v>
      </c>
      <c r="H534" s="127" t="n">
        <v>46289</v>
      </c>
      <c r="I534" s="4" t="n">
        <v>0</v>
      </c>
      <c r="J534" s="4" t="n">
        <v>0</v>
      </c>
      <c r="K534" s="4" t="n">
        <v>0</v>
      </c>
      <c r="M534" s="2" t="str">
        <f aca="false">IF(C534="","",IFERROR(INDEX($S$5:$S$304,MATCH(C534,$R$5:$R$304,0))&amp;"","?"))</f>
        <v>21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14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29981246</v>
      </c>
      <c r="C535" s="4" t="s">
        <v>2422</v>
      </c>
      <c r="D535" s="4" t="s">
        <v>463</v>
      </c>
      <c r="E535" s="4" t="s">
        <v>2814</v>
      </c>
      <c r="F535" s="127" t="n">
        <v>46597</v>
      </c>
      <c r="G535" s="127" t="n">
        <v>46609</v>
      </c>
      <c r="H535" s="127" t="n">
        <v>46289</v>
      </c>
      <c r="I535" s="4" t="n">
        <v>0</v>
      </c>
      <c r="J535" s="4" t="n">
        <v>0</v>
      </c>
      <c r="K535" s="4" t="n">
        <v>0</v>
      </c>
      <c r="M535" s="2" t="str">
        <f aca="false">IF(C535="","",IFERROR(INDEX($S$5:$S$304,MATCH(C535,$R$5:$R$304,0))&amp;"","?"))</f>
        <v>29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15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29981212</v>
      </c>
      <c r="C536" s="4" t="s">
        <v>2413</v>
      </c>
      <c r="D536" s="4" t="s">
        <v>463</v>
      </c>
      <c r="E536" s="4" t="s">
        <v>2815</v>
      </c>
      <c r="F536" s="127" t="n">
        <v>46597</v>
      </c>
      <c r="G536" s="127" t="n">
        <v>46609</v>
      </c>
      <c r="H536" s="127" t="n">
        <v>46289</v>
      </c>
      <c r="I536" s="4" t="n">
        <v>0</v>
      </c>
      <c r="J536" s="4" t="n">
        <v>0</v>
      </c>
      <c r="K536" s="4" t="n">
        <v>0</v>
      </c>
      <c r="M536" s="2" t="str">
        <f aca="false">IF(C536="","",IFERROR(INDEX($S$5:$S$304,MATCH(C536,$R$5:$R$304,0))&amp;"","?"))</f>
        <v>21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16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30205721</v>
      </c>
      <c r="C537" s="4" t="s">
        <v>194</v>
      </c>
      <c r="D537" s="4" t="s">
        <v>463</v>
      </c>
      <c r="E537" s="4" t="s">
        <v>2740</v>
      </c>
      <c r="F537" s="127" t="n">
        <v>46601</v>
      </c>
      <c r="G537" s="127" t="n">
        <v>46612</v>
      </c>
      <c r="H537" s="127" t="n">
        <v>46289</v>
      </c>
      <c r="I537" s="4" t="n">
        <v>0</v>
      </c>
      <c r="J537" s="4" t="n">
        <v>0</v>
      </c>
      <c r="K537" s="4" t="n">
        <v>0</v>
      </c>
      <c r="M537" s="2" t="str">
        <f aca="false">IF(C537="","",IFERROR(INDEX($S$5:$S$304,MATCH(C537,$R$5:$R$304,0))&amp;"","?"))</f>
        <v>26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-1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29981211</v>
      </c>
      <c r="C538" s="4" t="s">
        <v>2416</v>
      </c>
      <c r="D538" s="4" t="s">
        <v>463</v>
      </c>
      <c r="E538" s="4" t="s">
        <v>2815</v>
      </c>
      <c r="F538" s="127" t="n">
        <v>46601</v>
      </c>
      <c r="G538" s="127" t="n">
        <v>46611</v>
      </c>
      <c r="H538" s="127" t="n">
        <v>46289</v>
      </c>
      <c r="I538" s="4" t="n">
        <v>0</v>
      </c>
      <c r="J538" s="4" t="n">
        <v>0</v>
      </c>
      <c r="K538" s="4" t="n">
        <v>0</v>
      </c>
      <c r="M538" s="2" t="str">
        <f aca="false">IF(C538="","",IFERROR(INDEX($S$5:$S$304,MATCH(C538,$R$5:$R$304,0))&amp;"","?"))</f>
        <v>18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16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29981185</v>
      </c>
      <c r="C539" s="4" t="s">
        <v>2410</v>
      </c>
      <c r="D539" s="4" t="s">
        <v>463</v>
      </c>
      <c r="E539" s="4" t="s">
        <v>2818</v>
      </c>
      <c r="F539" s="127" t="n">
        <v>46604</v>
      </c>
      <c r="G539" s="127" t="n">
        <v>46616</v>
      </c>
      <c r="H539" s="127" t="n">
        <v>46289</v>
      </c>
      <c r="I539" s="4" t="n">
        <v>0</v>
      </c>
      <c r="J539" s="4" t="n">
        <v>0</v>
      </c>
      <c r="K539" s="4" t="n">
        <v>0</v>
      </c>
      <c r="M539" s="2" t="str">
        <f aca="false">IF(C539="","",IFERROR(INDEX($S$5:$S$304,MATCH(C539,$R$5:$R$304,0))&amp;"","?"))</f>
        <v>22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17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29981136</v>
      </c>
      <c r="C540" s="4" t="s">
        <v>168</v>
      </c>
      <c r="D540" s="4" t="s">
        <v>463</v>
      </c>
      <c r="E540" s="4" t="s">
        <v>2820</v>
      </c>
      <c r="F540" s="127" t="n">
        <v>46604</v>
      </c>
      <c r="G540" s="127" t="n">
        <v>46616</v>
      </c>
      <c r="H540" s="127" t="n">
        <v>46289</v>
      </c>
      <c r="I540" s="4" t="n">
        <v>0</v>
      </c>
      <c r="J540" s="4" t="n">
        <v>0</v>
      </c>
      <c r="K540" s="4" t="n">
        <v>0</v>
      </c>
      <c r="M540" s="2" t="str">
        <f aca="false">IF(C540="","",IFERROR(INDEX($S$5:$S$304,MATCH(C540,$R$5:$R$304,0))&amp;"","?"))</f>
        <v>18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18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29940962</v>
      </c>
      <c r="C541" s="4" t="s">
        <v>2341</v>
      </c>
      <c r="D541" s="4" t="s">
        <v>463</v>
      </c>
      <c r="E541" s="4" t="s">
        <v>2827</v>
      </c>
      <c r="F541" s="127" t="n">
        <v>46604</v>
      </c>
      <c r="G541" s="127" t="n">
        <v>46615</v>
      </c>
      <c r="H541" s="127" t="n">
        <v>46289</v>
      </c>
      <c r="I541" s="4" t="n">
        <v>0</v>
      </c>
      <c r="J541" s="4" t="n">
        <v>0</v>
      </c>
      <c r="K541" s="4" t="n">
        <v>0</v>
      </c>
      <c r="M541" s="2" t="str">
        <f aca="false">IF(C541="","",IFERROR(INDEX($S$5:$S$304,MATCH(C541,$R$5:$R$304,0))&amp;"","?"))</f>
        <v>17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22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31529036</v>
      </c>
      <c r="C542" s="4" t="s">
        <v>2341</v>
      </c>
      <c r="D542" s="4" t="s">
        <v>2312</v>
      </c>
      <c r="E542" s="4" t="s">
        <v>2827</v>
      </c>
      <c r="F542" s="127" t="n">
        <v>46604</v>
      </c>
      <c r="G542" s="127" t="n">
        <v>46609</v>
      </c>
      <c r="H542" s="127" t="n">
        <v>46289</v>
      </c>
      <c r="I542" s="4" t="n">
        <v>0</v>
      </c>
      <c r="J542" s="4" t="n">
        <v>0</v>
      </c>
      <c r="K542" s="4" t="n">
        <v>0</v>
      </c>
      <c r="M542" s="2" t="str">
        <f aca="false">IF(C542="","",IFERROR(INDEX($S$5:$S$304,MATCH(C542,$R$5:$R$304,0))&amp;"","?"))</f>
        <v>17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22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31529037</v>
      </c>
      <c r="C543" s="4" t="s">
        <v>2341</v>
      </c>
      <c r="D543" s="4" t="s">
        <v>2309</v>
      </c>
      <c r="E543" s="4" t="s">
        <v>2827</v>
      </c>
      <c r="F543" s="127" t="n">
        <v>46610</v>
      </c>
      <c r="G543" s="127" t="n">
        <v>46612</v>
      </c>
      <c r="H543" s="127" t="n">
        <v>46289</v>
      </c>
      <c r="I543" s="4" t="n">
        <v>0</v>
      </c>
      <c r="J543" s="4" t="n">
        <v>0</v>
      </c>
      <c r="K543" s="4" t="n">
        <v>0</v>
      </c>
      <c r="M543" s="2" t="str">
        <f aca="false">IF(C543="","",IFERROR(INDEX($S$5:$S$304,MATCH(C543,$R$5:$R$304,0))&amp;"","?"))</f>
        <v>17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22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31529038</v>
      </c>
      <c r="C544" s="4" t="s">
        <v>2341</v>
      </c>
      <c r="D544" s="4" t="s">
        <v>2314</v>
      </c>
      <c r="E544" s="4" t="s">
        <v>2827</v>
      </c>
      <c r="F544" s="127" t="n">
        <v>46615</v>
      </c>
      <c r="G544" s="127" t="n">
        <v>46615</v>
      </c>
      <c r="H544" s="127" t="n">
        <v>46289</v>
      </c>
      <c r="I544" s="4" t="n">
        <v>0</v>
      </c>
      <c r="J544" s="4" t="n">
        <v>0</v>
      </c>
      <c r="K544" s="4" t="n">
        <v>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22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31529039</v>
      </c>
      <c r="C545" s="4" t="s">
        <v>2341</v>
      </c>
      <c r="D545" s="4" t="s">
        <v>2758</v>
      </c>
      <c r="E545" s="4" t="s">
        <v>2827</v>
      </c>
      <c r="F545" s="127" t="n">
        <v>46615</v>
      </c>
      <c r="G545" s="127" t="n">
        <v>46615</v>
      </c>
      <c r="H545" s="127" t="n">
        <v>46289</v>
      </c>
      <c r="I545" s="4" t="n">
        <v>0</v>
      </c>
      <c r="J545" s="4" t="n">
        <v>0</v>
      </c>
      <c r="K545" s="4" t="n">
        <v>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22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30171477</v>
      </c>
      <c r="C546" s="4" t="s">
        <v>194</v>
      </c>
      <c r="D546" s="4" t="s">
        <v>463</v>
      </c>
      <c r="E546" s="4" t="s">
        <v>2784</v>
      </c>
      <c r="F546" s="127" t="n">
        <v>46608</v>
      </c>
      <c r="G546" s="127" t="n">
        <v>46619</v>
      </c>
      <c r="H546" s="127" t="n">
        <v>46289</v>
      </c>
      <c r="I546" s="4" t="n">
        <v>0</v>
      </c>
      <c r="J546" s="4" t="n">
        <v>0</v>
      </c>
      <c r="K546" s="4" t="n">
        <v>0</v>
      </c>
      <c r="M546" s="2" t="str">
        <f aca="false">IF(C546="","",IFERROR(INDEX($S$5:$S$304,MATCH(C546,$R$5:$R$304,0))&amp;"","?"))</f>
        <v>26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2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30171478</v>
      </c>
      <c r="C547" s="4" t="s">
        <v>2437</v>
      </c>
      <c r="D547" s="4" t="s">
        <v>463</v>
      </c>
      <c r="E547" s="4" t="s">
        <v>2784</v>
      </c>
      <c r="F547" s="127" t="n">
        <v>46608</v>
      </c>
      <c r="G547" s="127" t="n">
        <v>46668</v>
      </c>
      <c r="H547" s="127" t="n">
        <v>46289</v>
      </c>
      <c r="I547" s="4" t="n">
        <v>0</v>
      </c>
      <c r="J547" s="4" t="n">
        <v>0</v>
      </c>
      <c r="K547" s="4" t="n">
        <v>0</v>
      </c>
      <c r="M547" s="2" t="str">
        <f aca="false">IF(C547="","",IFERROR(INDEX($S$5:$S$304,MATCH(C547,$R$5:$R$304,0))&amp;"","?"))</f>
        <v>29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2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29981546</v>
      </c>
      <c r="C548" s="4" t="s">
        <v>171</v>
      </c>
      <c r="D548" s="4" t="s">
        <v>463</v>
      </c>
      <c r="E548" s="4" t="s">
        <v>2803</v>
      </c>
      <c r="F548" s="127" t="n">
        <v>46610</v>
      </c>
      <c r="G548" s="127" t="n">
        <v>46622</v>
      </c>
      <c r="H548" s="127" t="n">
        <v>46289</v>
      </c>
      <c r="I548" s="4" t="n">
        <v>0</v>
      </c>
      <c r="J548" s="4" t="n">
        <v>0</v>
      </c>
      <c r="K548" s="4" t="n">
        <v>0</v>
      </c>
      <c r="M548" s="2" t="str">
        <f aca="false">IF(C548="","",IFERROR(INDEX($S$5:$S$304,MATCH(C548,$R$5:$R$304,0))&amp;"","?"))</f>
        <v>19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7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32750434</v>
      </c>
      <c r="C549" s="4" t="s">
        <v>2470</v>
      </c>
      <c r="D549" s="4" t="s">
        <v>463</v>
      </c>
      <c r="E549" s="4" t="s">
        <v>2804</v>
      </c>
      <c r="F549" s="127" t="n">
        <v>46610</v>
      </c>
      <c r="G549" s="127" t="n">
        <v>46622</v>
      </c>
      <c r="H549" s="127" t="n">
        <v>46289</v>
      </c>
      <c r="I549" s="4" t="n">
        <v>0</v>
      </c>
      <c r="J549" s="4" t="n">
        <v>0</v>
      </c>
      <c r="K549" s="4" t="n">
        <v>0</v>
      </c>
      <c r="M549" s="2" t="str">
        <f aca="false">IF(C549="","",IFERROR(INDEX($S$5:$S$304,MATCH(C549,$R$5:$R$304,0))&amp;"","?"))</f>
        <v>18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8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32750357</v>
      </c>
      <c r="C550" s="4" t="s">
        <v>2458</v>
      </c>
      <c r="D550" s="4" t="s">
        <v>463</v>
      </c>
      <c r="E550" s="4" t="s">
        <v>2805</v>
      </c>
      <c r="F550" s="127" t="n">
        <v>46610</v>
      </c>
      <c r="G550" s="127" t="n">
        <v>46622</v>
      </c>
      <c r="H550" s="127" t="n">
        <v>46289</v>
      </c>
      <c r="I550" s="4" t="n">
        <v>0</v>
      </c>
      <c r="J550" s="4" t="n">
        <v>0</v>
      </c>
      <c r="K550" s="4" t="n">
        <v>0</v>
      </c>
      <c r="M550" s="2" t="str">
        <f aca="false">IF(C550="","",IFERROR(INDEX($S$5:$S$304,MATCH(C550,$R$5:$R$304,0))&amp;"","?"))</f>
        <v>21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9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32750383</v>
      </c>
      <c r="C551" s="4" t="s">
        <v>2461</v>
      </c>
      <c r="D551" s="4" t="s">
        <v>463</v>
      </c>
      <c r="E551" s="4" t="s">
        <v>2805</v>
      </c>
      <c r="F551" s="127" t="n">
        <v>46610</v>
      </c>
      <c r="G551" s="127" t="n">
        <v>46622</v>
      </c>
      <c r="H551" s="127" t="n">
        <v>46289</v>
      </c>
      <c r="I551" s="4" t="n">
        <v>0</v>
      </c>
      <c r="J551" s="4" t="n">
        <v>0</v>
      </c>
      <c r="K551" s="4" t="n">
        <v>0</v>
      </c>
      <c r="M551" s="2" t="str">
        <f aca="false">IF(C551="","",IFERROR(INDEX($S$5:$S$304,MATCH(C551,$R$5:$R$304,0))&amp;"","?"))</f>
        <v>20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9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32750409</v>
      </c>
      <c r="C552" s="4" t="s">
        <v>2464</v>
      </c>
      <c r="D552" s="4" t="s">
        <v>463</v>
      </c>
      <c r="E552" s="4" t="s">
        <v>2805</v>
      </c>
      <c r="F552" s="127" t="n">
        <v>46610</v>
      </c>
      <c r="G552" s="127" t="n">
        <v>46622</v>
      </c>
      <c r="H552" s="127" t="n">
        <v>46289</v>
      </c>
      <c r="I552" s="4" t="n">
        <v>0</v>
      </c>
      <c r="J552" s="4" t="n">
        <v>0</v>
      </c>
      <c r="K552" s="4" t="n">
        <v>0</v>
      </c>
      <c r="M552" s="2" t="str">
        <f aca="false">IF(C552="","",IFERROR(INDEX($S$5:$S$304,MATCH(C552,$R$5:$R$304,0))&amp;"","?"))</f>
        <v>21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9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33896827</v>
      </c>
      <c r="C553" s="4" t="s">
        <v>2467</v>
      </c>
      <c r="D553" s="4" t="s">
        <v>463</v>
      </c>
      <c r="E553" s="4" t="s">
        <v>2805</v>
      </c>
      <c r="F553" s="127" t="n">
        <v>46610</v>
      </c>
      <c r="G553" s="127" t="n">
        <v>46622</v>
      </c>
      <c r="H553" s="127" t="n">
        <v>46289</v>
      </c>
      <c r="I553" s="4" t="n">
        <v>0</v>
      </c>
      <c r="J553" s="4" t="n">
        <v>0</v>
      </c>
      <c r="K553" s="4" t="n">
        <v>0</v>
      </c>
      <c r="M553" s="2" t="str">
        <f aca="false">IF(C553="","",IFERROR(INDEX($S$5:$S$304,MATCH(C553,$R$5:$R$304,0))&amp;"","?"))</f>
        <v>23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9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32749853</v>
      </c>
      <c r="C554" s="4" t="s">
        <v>2455</v>
      </c>
      <c r="D554" s="4" t="s">
        <v>463</v>
      </c>
      <c r="E554" s="4" t="s">
        <v>2809</v>
      </c>
      <c r="F554" s="127" t="n">
        <v>46610</v>
      </c>
      <c r="G554" s="127" t="n">
        <v>46622</v>
      </c>
      <c r="H554" s="127" t="n">
        <v>46289</v>
      </c>
      <c r="I554" s="4" t="n">
        <v>0</v>
      </c>
      <c r="J554" s="4" t="n">
        <v>0</v>
      </c>
      <c r="K554" s="4" t="n">
        <v>0</v>
      </c>
      <c r="M554" s="2" t="str">
        <f aca="false">IF(C554="","",IFERROR(INDEX($S$5:$S$304,MATCH(C554,$R$5:$R$304,0))&amp;"","?"))</f>
        <v>18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10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29981399</v>
      </c>
      <c r="C555" s="4" t="s">
        <v>2449</v>
      </c>
      <c r="D555" s="4" t="s">
        <v>463</v>
      </c>
      <c r="E555" s="4" t="s">
        <v>2810</v>
      </c>
      <c r="F555" s="127" t="n">
        <v>46610</v>
      </c>
      <c r="G555" s="127" t="n">
        <v>46622</v>
      </c>
      <c r="H555" s="127" t="n">
        <v>46289</v>
      </c>
      <c r="I555" s="4" t="n">
        <v>0</v>
      </c>
      <c r="J555" s="4" t="n">
        <v>0</v>
      </c>
      <c r="K555" s="4" t="n">
        <v>0</v>
      </c>
      <c r="M555" s="2" t="str">
        <f aca="false">IF(C555="","",IFERROR(INDEX($S$5:$S$304,MATCH(C555,$R$5:$R$304,0))&amp;"","?"))</f>
        <v>28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11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29981339</v>
      </c>
      <c r="C556" s="4" t="s">
        <v>2440</v>
      </c>
      <c r="D556" s="4" t="s">
        <v>463</v>
      </c>
      <c r="E556" s="4" t="s">
        <v>2811</v>
      </c>
      <c r="F556" s="127" t="n">
        <v>46610</v>
      </c>
      <c r="G556" s="127" t="n">
        <v>46622</v>
      </c>
      <c r="H556" s="127" t="n">
        <v>46289</v>
      </c>
      <c r="I556" s="4" t="n">
        <v>0</v>
      </c>
      <c r="J556" s="4" t="n">
        <v>0</v>
      </c>
      <c r="K556" s="4" t="n">
        <v>0</v>
      </c>
      <c r="M556" s="2" t="str">
        <f aca="false">IF(C556="","",IFERROR(INDEX($S$5:$S$304,MATCH(C556,$R$5:$R$304,0))&amp;"","?"))</f>
        <v>21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12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29981372</v>
      </c>
      <c r="C557" s="4" t="s">
        <v>2443</v>
      </c>
      <c r="D557" s="4" t="s">
        <v>463</v>
      </c>
      <c r="E557" s="4" t="s">
        <v>2811</v>
      </c>
      <c r="F557" s="127" t="n">
        <v>46610</v>
      </c>
      <c r="G557" s="127" t="n">
        <v>46622</v>
      </c>
      <c r="H557" s="127" t="n">
        <v>46289</v>
      </c>
      <c r="I557" s="4" t="n">
        <v>0</v>
      </c>
      <c r="J557" s="4" t="n">
        <v>0</v>
      </c>
      <c r="K557" s="4" t="n">
        <v>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12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29981301</v>
      </c>
      <c r="C558" s="4" t="s">
        <v>2437</v>
      </c>
      <c r="D558" s="4" t="s">
        <v>463</v>
      </c>
      <c r="E558" s="4" t="s">
        <v>2812</v>
      </c>
      <c r="F558" s="127" t="n">
        <v>46610</v>
      </c>
      <c r="G558" s="127" t="n">
        <v>46622</v>
      </c>
      <c r="H558" s="127" t="n">
        <v>46289</v>
      </c>
      <c r="I558" s="4" t="n">
        <v>0</v>
      </c>
      <c r="J558" s="4" t="n">
        <v>0</v>
      </c>
      <c r="K558" s="4" t="n">
        <v>0</v>
      </c>
      <c r="M558" s="2" t="str">
        <f aca="false">IF(C558="","",IFERROR(INDEX($S$5:$S$304,MATCH(C558,$R$5:$R$304,0))&amp;"","?"))</f>
        <v>29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13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29981267</v>
      </c>
      <c r="C559" s="4" t="s">
        <v>2434</v>
      </c>
      <c r="D559" s="4" t="s">
        <v>463</v>
      </c>
      <c r="E559" s="4" t="s">
        <v>2813</v>
      </c>
      <c r="F559" s="127" t="n">
        <v>46610</v>
      </c>
      <c r="G559" s="127" t="n">
        <v>46622</v>
      </c>
      <c r="H559" s="127" t="n">
        <v>46289</v>
      </c>
      <c r="I559" s="4" t="n">
        <v>0</v>
      </c>
      <c r="J559" s="4" t="n">
        <v>0</v>
      </c>
      <c r="K559" s="4" t="n">
        <v>0</v>
      </c>
      <c r="M559" s="2" t="str">
        <f aca="false">IF(C559="","",IFERROR(INDEX($S$5:$S$304,MATCH(C559,$R$5:$R$304,0))&amp;"","?"))</f>
        <v>25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14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29981260</v>
      </c>
      <c r="C560" s="4" t="s">
        <v>2425</v>
      </c>
      <c r="D560" s="4" t="s">
        <v>463</v>
      </c>
      <c r="E560" s="4" t="s">
        <v>2814</v>
      </c>
      <c r="F560" s="127" t="n">
        <v>46610</v>
      </c>
      <c r="G560" s="127" t="n">
        <v>46622</v>
      </c>
      <c r="H560" s="127" t="n">
        <v>46289</v>
      </c>
      <c r="I560" s="4" t="n">
        <v>0</v>
      </c>
      <c r="J560" s="4" t="n">
        <v>0</v>
      </c>
      <c r="K560" s="4" t="n">
        <v>0</v>
      </c>
      <c r="M560" s="2" t="str">
        <f aca="false">IF(C560="","",IFERROR(INDEX($S$5:$S$304,MATCH(C560,$R$5:$R$304,0))&amp;"","?"))</f>
        <v>21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15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29981229</v>
      </c>
      <c r="C561" s="4" t="s">
        <v>2428</v>
      </c>
      <c r="D561" s="4" t="s">
        <v>463</v>
      </c>
      <c r="E561" s="4" t="s">
        <v>2814</v>
      </c>
      <c r="F561" s="127" t="n">
        <v>46610</v>
      </c>
      <c r="G561" s="127" t="n">
        <v>46622</v>
      </c>
      <c r="H561" s="127" t="n">
        <v>46289</v>
      </c>
      <c r="I561" s="4" t="n">
        <v>0</v>
      </c>
      <c r="J561" s="4" t="n">
        <v>0</v>
      </c>
      <c r="K561" s="4" t="n">
        <v>0</v>
      </c>
      <c r="M561" s="2" t="str">
        <f aca="false">IF(C561="","",IFERROR(INDEX($S$5:$S$304,MATCH(C561,$R$5:$R$304,0))&amp;"","?"))</f>
        <v>20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15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29981262</v>
      </c>
      <c r="C562" s="4" t="s">
        <v>2431</v>
      </c>
      <c r="D562" s="4" t="s">
        <v>463</v>
      </c>
      <c r="E562" s="4" t="s">
        <v>2814</v>
      </c>
      <c r="F562" s="127" t="n">
        <v>46610</v>
      </c>
      <c r="G562" s="127" t="n">
        <v>46622</v>
      </c>
      <c r="H562" s="127" t="n">
        <v>46289</v>
      </c>
      <c r="I562" s="4" t="n">
        <v>0</v>
      </c>
      <c r="J562" s="4" t="n">
        <v>0</v>
      </c>
      <c r="K562" s="4" t="n">
        <v>0</v>
      </c>
      <c r="M562" s="2" t="str">
        <f aca="false">IF(C562="","",IFERROR(INDEX($S$5:$S$304,MATCH(C562,$R$5:$R$304,0))&amp;"","?"))</f>
        <v>21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15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29981209</v>
      </c>
      <c r="C563" s="4" t="s">
        <v>2422</v>
      </c>
      <c r="D563" s="4" t="s">
        <v>463</v>
      </c>
      <c r="E563" s="4" t="s">
        <v>2815</v>
      </c>
      <c r="F563" s="127" t="n">
        <v>46610</v>
      </c>
      <c r="G563" s="127" t="n">
        <v>46622</v>
      </c>
      <c r="H563" s="127" t="n">
        <v>46289</v>
      </c>
      <c r="I563" s="4" t="n">
        <v>0</v>
      </c>
      <c r="J563" s="4" t="n">
        <v>0</v>
      </c>
      <c r="K563" s="4" t="n">
        <v>0</v>
      </c>
      <c r="M563" s="2" t="str">
        <f aca="false">IF(C563="","",IFERROR(INDEX($S$5:$S$304,MATCH(C563,$R$5:$R$304,0))&amp;"","?"))</f>
        <v>29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16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29981175</v>
      </c>
      <c r="C564" s="4" t="s">
        <v>2413</v>
      </c>
      <c r="D564" s="4" t="s">
        <v>463</v>
      </c>
      <c r="E564" s="4" t="s">
        <v>2818</v>
      </c>
      <c r="F564" s="127" t="n">
        <v>46610</v>
      </c>
      <c r="G564" s="127" t="n">
        <v>46622</v>
      </c>
      <c r="H564" s="127" t="n">
        <v>46289</v>
      </c>
      <c r="I564" s="4" t="n">
        <v>0</v>
      </c>
      <c r="J564" s="4" t="n">
        <v>0</v>
      </c>
      <c r="K564" s="4" t="n">
        <v>0</v>
      </c>
      <c r="M564" s="2" t="str">
        <f aca="false">IF(C564="","",IFERROR(INDEX($S$5:$S$304,MATCH(C564,$R$5:$R$304,0))&amp;"","?"))</f>
        <v>21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17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30205696</v>
      </c>
      <c r="C565" s="4" t="s">
        <v>2437</v>
      </c>
      <c r="D565" s="4" t="s">
        <v>463</v>
      </c>
      <c r="E565" s="4" t="s">
        <v>2819</v>
      </c>
      <c r="F565" s="127" t="n">
        <v>46611</v>
      </c>
      <c r="G565" s="127" t="n">
        <v>46624</v>
      </c>
      <c r="H565" s="127" t="n">
        <v>46289</v>
      </c>
      <c r="I565" s="4" t="n">
        <v>0</v>
      </c>
      <c r="J565" s="4" t="n">
        <v>0</v>
      </c>
      <c r="K565" s="4" t="n">
        <v>0</v>
      </c>
      <c r="M565" s="2" t="str">
        <f aca="false">IF(C565="","",IFERROR(INDEX($S$5:$S$304,MATCH(C565,$R$5:$R$304,0))&amp;"","?"))</f>
        <v>29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0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30205665</v>
      </c>
      <c r="C566" s="4" t="s">
        <v>2428</v>
      </c>
      <c r="D566" s="4" t="s">
        <v>463</v>
      </c>
      <c r="E566" s="4" t="s">
        <v>2821</v>
      </c>
      <c r="F566" s="127" t="n">
        <v>46611</v>
      </c>
      <c r="G566" s="127" t="n">
        <v>46619</v>
      </c>
      <c r="H566" s="127" t="n">
        <v>46289</v>
      </c>
      <c r="I566" s="4" t="n">
        <v>0</v>
      </c>
      <c r="J566" s="4" t="n">
        <v>0</v>
      </c>
      <c r="K566" s="4" t="n">
        <v>0</v>
      </c>
      <c r="M566" s="2" t="str">
        <f aca="false">IF(C566="","",IFERROR(INDEX($S$5:$S$304,MATCH(C566,$R$5:$R$304,0))&amp;"","?"))</f>
        <v>20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0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30205666</v>
      </c>
      <c r="C567" s="4" t="s">
        <v>2452</v>
      </c>
      <c r="D567" s="4" t="s">
        <v>463</v>
      </c>
      <c r="E567" s="4" t="s">
        <v>2821</v>
      </c>
      <c r="F567" s="127" t="n">
        <v>46611</v>
      </c>
      <c r="G567" s="127" t="n">
        <v>46624</v>
      </c>
      <c r="H567" s="127" t="n">
        <v>46289</v>
      </c>
      <c r="I567" s="4" t="n">
        <v>0</v>
      </c>
      <c r="J567" s="4" t="n">
        <v>0</v>
      </c>
      <c r="K567" s="4" t="n">
        <v>0</v>
      </c>
      <c r="M567" s="2" t="str">
        <f aca="false">IF(C567="","",IFERROR(INDEX($S$5:$S$304,MATCH(C567,$R$5:$R$304,0))&amp;"","?"))</f>
        <v>21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0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30205637</v>
      </c>
      <c r="C568" s="4" t="s">
        <v>2422</v>
      </c>
      <c r="D568" s="4" t="s">
        <v>463</v>
      </c>
      <c r="E568" s="4" t="s">
        <v>2824</v>
      </c>
      <c r="F568" s="127" t="n">
        <v>46611</v>
      </c>
      <c r="G568" s="127" t="n">
        <v>46624</v>
      </c>
      <c r="H568" s="127" t="n">
        <v>46289</v>
      </c>
      <c r="I568" s="4" t="n">
        <v>0</v>
      </c>
      <c r="J568" s="4" t="n">
        <v>0</v>
      </c>
      <c r="K568" s="4" t="n">
        <v>0</v>
      </c>
      <c r="M568" s="2" t="str">
        <f aca="false">IF(C568="","",IFERROR(INDEX($S$5:$S$304,MATCH(C568,$R$5:$R$304,0))&amp;"","?"))</f>
        <v>29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0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30205604</v>
      </c>
      <c r="C569" s="4" t="s">
        <v>2413</v>
      </c>
      <c r="D569" s="4" t="s">
        <v>463</v>
      </c>
      <c r="E569" s="4" t="s">
        <v>2826</v>
      </c>
      <c r="F569" s="127" t="n">
        <v>46611</v>
      </c>
      <c r="G569" s="127" t="n">
        <v>46624</v>
      </c>
      <c r="H569" s="127" t="n">
        <v>46289</v>
      </c>
      <c r="I569" s="4" t="n">
        <v>0</v>
      </c>
      <c r="J569" s="4" t="n">
        <v>0</v>
      </c>
      <c r="K569" s="4" t="n">
        <v>0</v>
      </c>
      <c r="M569" s="2" t="str">
        <f aca="false">IF(C569="","",IFERROR(INDEX($S$5:$S$304,MATCH(C569,$R$5:$R$304,0))&amp;"","?"))</f>
        <v>21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0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30205603</v>
      </c>
      <c r="C570" s="4" t="s">
        <v>2410</v>
      </c>
      <c r="D570" s="4" t="s">
        <v>463</v>
      </c>
      <c r="E570" s="4" t="s">
        <v>2826</v>
      </c>
      <c r="F570" s="127" t="n">
        <v>46611</v>
      </c>
      <c r="G570" s="127" t="n">
        <v>46624</v>
      </c>
      <c r="H570" s="127" t="n">
        <v>46289</v>
      </c>
      <c r="I570" s="4" t="n">
        <v>0</v>
      </c>
      <c r="J570" s="4" t="n">
        <v>0</v>
      </c>
      <c r="K570" s="4" t="n">
        <v>0</v>
      </c>
      <c r="M570" s="2" t="str">
        <f aca="false">IF(C570="","",IFERROR(INDEX($S$5:$S$304,MATCH(C570,$R$5:$R$304,0))&amp;"","?"))</f>
        <v>22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0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30205605</v>
      </c>
      <c r="C571" s="4" t="s">
        <v>2416</v>
      </c>
      <c r="D571" s="4" t="s">
        <v>463</v>
      </c>
      <c r="E571" s="4" t="s">
        <v>2826</v>
      </c>
      <c r="F571" s="127" t="n">
        <v>46611</v>
      </c>
      <c r="G571" s="127" t="n">
        <v>46624</v>
      </c>
      <c r="H571" s="127" t="n">
        <v>46289</v>
      </c>
      <c r="I571" s="4" t="n">
        <v>0</v>
      </c>
      <c r="J571" s="4" t="n">
        <v>0</v>
      </c>
      <c r="K571" s="4" t="n">
        <v>0</v>
      </c>
      <c r="M571" s="2" t="str">
        <f aca="false">IF(C571="","",IFERROR(INDEX($S$5:$S$304,MATCH(C571,$R$5:$R$304,0))&amp;"","?"))</f>
        <v>18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0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30205575</v>
      </c>
      <c r="C572" s="4" t="s">
        <v>168</v>
      </c>
      <c r="D572" s="4" t="s">
        <v>463</v>
      </c>
      <c r="E572" s="4" t="s">
        <v>2828</v>
      </c>
      <c r="F572" s="127" t="n">
        <v>46611</v>
      </c>
      <c r="G572" s="127" t="n">
        <v>46624</v>
      </c>
      <c r="H572" s="127" t="n">
        <v>46289</v>
      </c>
      <c r="I572" s="4" t="n">
        <v>0</v>
      </c>
      <c r="J572" s="4" t="n">
        <v>0</v>
      </c>
      <c r="K572" s="4" t="n">
        <v>0</v>
      </c>
      <c r="M572" s="2" t="str">
        <f aca="false">IF(C572="","",IFERROR(INDEX($S$5:$S$304,MATCH(C572,$R$5:$R$304,0))&amp;"","?"))</f>
        <v>18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0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30171454</v>
      </c>
      <c r="C573" s="4" t="s">
        <v>2422</v>
      </c>
      <c r="D573" s="4" t="s">
        <v>463</v>
      </c>
      <c r="E573" s="4" t="s">
        <v>2790</v>
      </c>
      <c r="F573" s="127" t="n">
        <v>46612</v>
      </c>
      <c r="G573" s="127" t="n">
        <v>46625</v>
      </c>
      <c r="H573" s="127" t="n">
        <v>46289</v>
      </c>
      <c r="I573" s="4" t="n">
        <v>0</v>
      </c>
      <c r="J573" s="4" t="n">
        <v>0</v>
      </c>
      <c r="K573" s="4" t="n">
        <v>0</v>
      </c>
      <c r="M573" s="2" t="str">
        <f aca="false">IF(C573="","",IFERROR(INDEX($S$5:$S$304,MATCH(C573,$R$5:$R$304,0))&amp;"","?"))</f>
        <v>29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3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30171460</v>
      </c>
      <c r="C574" s="4" t="s">
        <v>2446</v>
      </c>
      <c r="D574" s="4" t="s">
        <v>463</v>
      </c>
      <c r="E574" s="4" t="s">
        <v>2790</v>
      </c>
      <c r="F574" s="127" t="n">
        <v>46612</v>
      </c>
      <c r="G574" s="127" t="n">
        <v>46625</v>
      </c>
      <c r="H574" s="127" t="n">
        <v>46289</v>
      </c>
      <c r="I574" s="4" t="n">
        <v>0</v>
      </c>
      <c r="J574" s="4" t="n">
        <v>0</v>
      </c>
      <c r="K574" s="4" t="n">
        <v>0</v>
      </c>
      <c r="M574" s="2" t="str">
        <f aca="false">IF(C574="","",IFERROR(INDEX($S$5:$S$304,MATCH(C574,$R$5:$R$304,0))&amp;"","?"))</f>
        <v>26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3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30171425</v>
      </c>
      <c r="C575" s="4" t="s">
        <v>168</v>
      </c>
      <c r="D575" s="4" t="s">
        <v>463</v>
      </c>
      <c r="E575" s="4" t="s">
        <v>2800</v>
      </c>
      <c r="F575" s="127" t="n">
        <v>46612</v>
      </c>
      <c r="G575" s="127" t="n">
        <v>46675</v>
      </c>
      <c r="H575" s="127" t="n">
        <v>46289</v>
      </c>
      <c r="I575" s="4" t="n">
        <v>0</v>
      </c>
      <c r="J575" s="4" t="n">
        <v>0</v>
      </c>
      <c r="K575" s="4" t="n">
        <v>0</v>
      </c>
      <c r="M575" s="2" t="str">
        <f aca="false">IF(C575="","",IFERROR(INDEX($S$5:$S$304,MATCH(C575,$R$5:$R$304,0))&amp;"","?"))</f>
        <v>18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4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30171409</v>
      </c>
      <c r="C576" s="4" t="s">
        <v>2396</v>
      </c>
      <c r="D576" s="4" t="s">
        <v>463</v>
      </c>
      <c r="E576" s="4" t="s">
        <v>2801</v>
      </c>
      <c r="F576" s="127" t="n">
        <v>46612</v>
      </c>
      <c r="G576" s="127" t="n">
        <v>46675</v>
      </c>
      <c r="H576" s="127" t="n">
        <v>46289</v>
      </c>
      <c r="I576" s="4" t="n">
        <v>0</v>
      </c>
      <c r="J576" s="4" t="n">
        <v>0</v>
      </c>
      <c r="K576" s="4" t="n">
        <v>0</v>
      </c>
      <c r="M576" s="2" t="str">
        <f aca="false">IF(C576="","",IFERROR(INDEX($S$5:$S$304,MATCH(C576,$R$5:$R$304,0))&amp;"","?"))</f>
        <v>20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29981174</v>
      </c>
      <c r="C577" s="4" t="s">
        <v>2416</v>
      </c>
      <c r="D577" s="4" t="s">
        <v>463</v>
      </c>
      <c r="E577" s="4" t="s">
        <v>2818</v>
      </c>
      <c r="F577" s="127" t="n">
        <v>46612</v>
      </c>
      <c r="G577" s="127" t="n">
        <v>46624</v>
      </c>
      <c r="H577" s="127" t="n">
        <v>46289</v>
      </c>
      <c r="I577" s="4" t="n">
        <v>0</v>
      </c>
      <c r="J577" s="4" t="n">
        <v>0</v>
      </c>
      <c r="K577" s="4" t="n">
        <v>0</v>
      </c>
      <c r="M577" s="2" t="str">
        <f aca="false">IF(C577="","",IFERROR(INDEX($S$5:$S$304,MATCH(C577,$R$5:$R$304,0))&amp;"","?"))</f>
        <v>18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17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29940963</v>
      </c>
      <c r="C578" s="4" t="s">
        <v>2341</v>
      </c>
      <c r="D578" s="4" t="s">
        <v>463</v>
      </c>
      <c r="E578" s="4" t="s">
        <v>2829</v>
      </c>
      <c r="F578" s="127" t="n">
        <v>46616</v>
      </c>
      <c r="G578" s="127" t="n">
        <v>46625</v>
      </c>
      <c r="H578" s="127" t="n">
        <v>46289</v>
      </c>
      <c r="I578" s="4" t="n">
        <v>0</v>
      </c>
      <c r="J578" s="4" t="n">
        <v>0</v>
      </c>
      <c r="K578" s="4" t="n">
        <v>0</v>
      </c>
      <c r="M578" s="2" t="str">
        <f aca="false">IF(C578="","",IFERROR(INDEX($S$5:$S$304,MATCH(C578,$R$5:$R$304,0))&amp;"","?"))</f>
        <v>17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23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31529040</v>
      </c>
      <c r="C579" s="4" t="s">
        <v>2341</v>
      </c>
      <c r="D579" s="4" t="s">
        <v>2312</v>
      </c>
      <c r="E579" s="4" t="s">
        <v>2829</v>
      </c>
      <c r="F579" s="127" t="n">
        <v>46616</v>
      </c>
      <c r="G579" s="127" t="n">
        <v>46619</v>
      </c>
      <c r="H579" s="127" t="n">
        <v>46289</v>
      </c>
      <c r="I579" s="4" t="n">
        <v>0</v>
      </c>
      <c r="J579" s="4" t="n">
        <v>0</v>
      </c>
      <c r="K579" s="4" t="n">
        <v>0</v>
      </c>
      <c r="M579" s="2" t="str">
        <f aca="false">IF(C579="","",IFERROR(INDEX($S$5:$S$304,MATCH(C579,$R$5:$R$304,0))&amp;"","?"))</f>
        <v>17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23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31529041</v>
      </c>
      <c r="C580" s="4" t="s">
        <v>2341</v>
      </c>
      <c r="D580" s="4" t="s">
        <v>2309</v>
      </c>
      <c r="E580" s="4" t="s">
        <v>2829</v>
      </c>
      <c r="F580" s="127" t="n">
        <v>46622</v>
      </c>
      <c r="G580" s="127" t="n">
        <v>46624</v>
      </c>
      <c r="H580" s="127" t="n">
        <v>46289</v>
      </c>
      <c r="I580" s="4" t="n">
        <v>0</v>
      </c>
      <c r="J580" s="4" t="n">
        <v>0</v>
      </c>
      <c r="K580" s="4" t="n">
        <v>0</v>
      </c>
      <c r="M580" s="2" t="str">
        <f aca="false">IF(C580="","",IFERROR(INDEX($S$5:$S$304,MATCH(C580,$R$5:$R$304,0))&amp;"","?"))</f>
        <v>17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23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31529042</v>
      </c>
      <c r="C581" s="4" t="s">
        <v>2341</v>
      </c>
      <c r="D581" s="4" t="s">
        <v>2314</v>
      </c>
      <c r="E581" s="4" t="s">
        <v>2829</v>
      </c>
      <c r="F581" s="127" t="n">
        <v>46625</v>
      </c>
      <c r="G581" s="127" t="n">
        <v>46625</v>
      </c>
      <c r="H581" s="127" t="n">
        <v>46289</v>
      </c>
      <c r="I581" s="4" t="n">
        <v>0</v>
      </c>
      <c r="J581" s="4" t="n">
        <v>0</v>
      </c>
      <c r="K581" s="4" t="n">
        <v>0</v>
      </c>
      <c r="M581" s="2" t="str">
        <f aca="false">IF(C581="","",IFERROR(INDEX($S$5:$S$304,MATCH(C581,$R$5:$R$304,0))&amp;"","?"))</f>
        <v>17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23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31529043</v>
      </c>
      <c r="C582" s="4" t="s">
        <v>2341</v>
      </c>
      <c r="D582" s="4" t="s">
        <v>2758</v>
      </c>
      <c r="E582" s="4" t="s">
        <v>2829</v>
      </c>
      <c r="F582" s="127" t="n">
        <v>46625</v>
      </c>
      <c r="G582" s="127" t="n">
        <v>46625</v>
      </c>
      <c r="H582" s="127" t="n">
        <v>46289</v>
      </c>
      <c r="I582" s="4" t="n">
        <v>0</v>
      </c>
      <c r="J582" s="4" t="n">
        <v>0</v>
      </c>
      <c r="K582" s="4" t="n">
        <v>0</v>
      </c>
      <c r="M582" s="2" t="str">
        <f aca="false">IF(C582="","",IFERROR(INDEX($S$5:$S$304,MATCH(C582,$R$5:$R$304,0))&amp;"","?"))</f>
        <v>17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23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29981148</v>
      </c>
      <c r="C583" s="4" t="s">
        <v>2410</v>
      </c>
      <c r="D583" s="4" t="s">
        <v>463</v>
      </c>
      <c r="E583" s="4" t="s">
        <v>2820</v>
      </c>
      <c r="F583" s="127" t="n">
        <v>46617</v>
      </c>
      <c r="G583" s="127" t="n">
        <v>46629</v>
      </c>
      <c r="H583" s="127" t="n">
        <v>46289</v>
      </c>
      <c r="I583" s="4" t="n">
        <v>0</v>
      </c>
      <c r="J583" s="4" t="n">
        <v>0</v>
      </c>
      <c r="K583" s="4" t="n">
        <v>0</v>
      </c>
      <c r="M583" s="2" t="str">
        <f aca="false">IF(C583="","",IFERROR(INDEX($S$5:$S$304,MATCH(C583,$R$5:$R$304,0))&amp;"","?"))</f>
        <v>22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18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29981062</v>
      </c>
      <c r="C584" s="4" t="s">
        <v>168</v>
      </c>
      <c r="D584" s="4" t="s">
        <v>463</v>
      </c>
      <c r="E584" s="4" t="s">
        <v>2823</v>
      </c>
      <c r="F584" s="127" t="n">
        <v>46617</v>
      </c>
      <c r="G584" s="127" t="n">
        <v>46629</v>
      </c>
      <c r="H584" s="127" t="n">
        <v>46289</v>
      </c>
      <c r="I584" s="4" t="n">
        <v>0</v>
      </c>
      <c r="J584" s="4" t="n">
        <v>0</v>
      </c>
      <c r="K584" s="4" t="n">
        <v>0</v>
      </c>
      <c r="M584" s="2" t="str">
        <f aca="false">IF(C584="","",IFERROR(INDEX($S$5:$S$304,MATCH(C584,$R$5:$R$304,0))&amp;"","?"))</f>
        <v>18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20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31789419</v>
      </c>
      <c r="C585" s="4" t="s">
        <v>2477</v>
      </c>
      <c r="D585" s="4" t="s">
        <v>463</v>
      </c>
      <c r="E585" s="4" t="s">
        <v>2678</v>
      </c>
      <c r="F585" s="127" t="n">
        <v>46617</v>
      </c>
      <c r="G585" s="127" t="n">
        <v>46638</v>
      </c>
      <c r="H585" s="127" t="n">
        <v>46289</v>
      </c>
      <c r="I585" s="4" t="n">
        <v>0</v>
      </c>
      <c r="J585" s="4" t="n">
        <v>0</v>
      </c>
      <c r="K585" s="4" t="n">
        <v>0</v>
      </c>
      <c r="M585" s="2" t="str">
        <f aca="false">IF(C585="","",IFERROR(INDEX($S$5:$S$304,MATCH(C585,$R$5:$R$304,0))&amp;"","?"))</f>
        <v>32</v>
      </c>
      <c r="N585" s="2" t="str">
        <f aca="false">IF(E585="","",IF(ISNUMBER(SEARCH("SUBSOLO",E585)),IFERROR(-VALUE(LEFT(E585,FIND("º",SUBSTITUTE(E585,"°","º"))-1)),-1),IF(LEFT(E585,6)="TÉRREO",0,IFERROR(VALUE(LEFT(E585,FIND("º",SUBSTITUTE(E585,"°","º"))-1)),""))))</f>
        <v/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30171455</v>
      </c>
      <c r="C586" s="4" t="s">
        <v>2416</v>
      </c>
      <c r="D586" s="4" t="s">
        <v>463</v>
      </c>
      <c r="E586" s="4" t="s">
        <v>2790</v>
      </c>
      <c r="F586" s="127" t="n">
        <v>46622</v>
      </c>
      <c r="G586" s="127" t="n">
        <v>46633</v>
      </c>
      <c r="H586" s="127" t="n">
        <v>46289</v>
      </c>
      <c r="I586" s="4" t="n">
        <v>0</v>
      </c>
      <c r="J586" s="4" t="n">
        <v>0</v>
      </c>
      <c r="K586" s="4" t="n">
        <v>0</v>
      </c>
      <c r="M586" s="2" t="str">
        <f aca="false">IF(C586="","",IFERROR(INDEX($S$5:$S$304,MATCH(C586,$R$5:$R$304,0))&amp;"","?"))</f>
        <v>18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29981548</v>
      </c>
      <c r="C587" s="4" t="s">
        <v>2480</v>
      </c>
      <c r="D587" s="4" t="s">
        <v>463</v>
      </c>
      <c r="E587" s="4" t="s">
        <v>2803</v>
      </c>
      <c r="F587" s="127" t="n">
        <v>46623</v>
      </c>
      <c r="G587" s="127" t="n">
        <v>46633</v>
      </c>
      <c r="H587" s="127" t="n">
        <v>46289</v>
      </c>
      <c r="I587" s="4" t="n">
        <v>0</v>
      </c>
      <c r="J587" s="4" t="n">
        <v>0</v>
      </c>
      <c r="K587" s="4" t="n">
        <v>0</v>
      </c>
      <c r="M587" s="2" t="str">
        <f aca="false">IF(C587="","",IFERROR(INDEX($S$5:$S$304,MATCH(C587,$R$5:$R$304,0))&amp;"","?"))</f>
        <v>30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7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29981509</v>
      </c>
      <c r="C588" s="4" t="s">
        <v>171</v>
      </c>
      <c r="D588" s="4" t="s">
        <v>463</v>
      </c>
      <c r="E588" s="4" t="s">
        <v>2804</v>
      </c>
      <c r="F588" s="127" t="n">
        <v>46623</v>
      </c>
      <c r="G588" s="127" t="n">
        <v>46633</v>
      </c>
      <c r="H588" s="127" t="n">
        <v>46289</v>
      </c>
      <c r="I588" s="4" t="n">
        <v>0</v>
      </c>
      <c r="J588" s="4" t="n">
        <v>0</v>
      </c>
      <c r="K588" s="4" t="n">
        <v>0</v>
      </c>
      <c r="M588" s="2" t="str">
        <f aca="false">IF(C588="","",IFERROR(INDEX($S$5:$S$304,MATCH(C588,$R$5:$R$304,0))&amp;"","?"))</f>
        <v>19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8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32750435</v>
      </c>
      <c r="C589" s="4" t="s">
        <v>2470</v>
      </c>
      <c r="D589" s="4" t="s">
        <v>463</v>
      </c>
      <c r="E589" s="4" t="s">
        <v>2805</v>
      </c>
      <c r="F589" s="127" t="n">
        <v>46623</v>
      </c>
      <c r="G589" s="127" t="n">
        <v>46633</v>
      </c>
      <c r="H589" s="127" t="n">
        <v>46289</v>
      </c>
      <c r="I589" s="4" t="n">
        <v>0</v>
      </c>
      <c r="J589" s="4" t="n">
        <v>0</v>
      </c>
      <c r="K589" s="4" t="n">
        <v>0</v>
      </c>
      <c r="M589" s="2" t="str">
        <f aca="false">IF(C589="","",IFERROR(INDEX($S$5:$S$304,MATCH(C589,$R$5:$R$304,0))&amp;"","?"))</f>
        <v>18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9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32750358</v>
      </c>
      <c r="C590" s="4" t="s">
        <v>2458</v>
      </c>
      <c r="D590" s="4" t="s">
        <v>463</v>
      </c>
      <c r="E590" s="4" t="s">
        <v>2809</v>
      </c>
      <c r="F590" s="127" t="n">
        <v>46623</v>
      </c>
      <c r="G590" s="127" t="n">
        <v>46633</v>
      </c>
      <c r="H590" s="127" t="n">
        <v>46289</v>
      </c>
      <c r="I590" s="4" t="n">
        <v>0</v>
      </c>
      <c r="J590" s="4" t="n">
        <v>0</v>
      </c>
      <c r="K590" s="4" t="n">
        <v>0</v>
      </c>
      <c r="M590" s="2" t="str">
        <f aca="false">IF(C590="","",IFERROR(INDEX($S$5:$S$304,MATCH(C590,$R$5:$R$304,0))&amp;"","?"))</f>
        <v>21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10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32750384</v>
      </c>
      <c r="C591" s="4" t="s">
        <v>2461</v>
      </c>
      <c r="D591" s="4" t="s">
        <v>463</v>
      </c>
      <c r="E591" s="4" t="s">
        <v>2809</v>
      </c>
      <c r="F591" s="127" t="n">
        <v>46623</v>
      </c>
      <c r="G591" s="127" t="n">
        <v>46633</v>
      </c>
      <c r="H591" s="127" t="n">
        <v>46289</v>
      </c>
      <c r="I591" s="4" t="n">
        <v>0</v>
      </c>
      <c r="J591" s="4" t="n">
        <v>0</v>
      </c>
      <c r="K591" s="4" t="n">
        <v>0</v>
      </c>
      <c r="M591" s="2" t="str">
        <f aca="false">IF(C591="","",IFERROR(INDEX($S$5:$S$304,MATCH(C591,$R$5:$R$304,0))&amp;"","?"))</f>
        <v>20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32750410</v>
      </c>
      <c r="C592" s="4" t="s">
        <v>2464</v>
      </c>
      <c r="D592" s="4" t="s">
        <v>463</v>
      </c>
      <c r="E592" s="4" t="s">
        <v>2809</v>
      </c>
      <c r="F592" s="127" t="n">
        <v>46623</v>
      </c>
      <c r="G592" s="127" t="n">
        <v>46633</v>
      </c>
      <c r="H592" s="127" t="n">
        <v>46289</v>
      </c>
      <c r="I592" s="4" t="n">
        <v>0</v>
      </c>
      <c r="J592" s="4" t="n">
        <v>0</v>
      </c>
      <c r="K592" s="4" t="n">
        <v>0</v>
      </c>
      <c r="M592" s="2" t="str">
        <f aca="false">IF(C592="","",IFERROR(INDEX($S$5:$S$304,MATCH(C592,$R$5:$R$304,0))&amp;"","?"))</f>
        <v>21</v>
      </c>
      <c r="N592" s="2" t="n">
        <f aca="false">IF(E592="","",IF(ISNUMBER(SEARCH("SUBSOLO",E592)),IFERROR(-VALUE(LEFT(E592,FIND("º",SUBSTITUTE(E592,"°","º"))-1)),-1),IF(LEFT(E592,6)="TÉRREO",0,IFERROR(VALUE(LEFT(E592,FIND("º",SUBSTITUTE(E592,"°","º"))-1)),""))))</f>
        <v>10</v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33896828</v>
      </c>
      <c r="C593" s="4" t="s">
        <v>2467</v>
      </c>
      <c r="D593" s="4" t="s">
        <v>463</v>
      </c>
      <c r="E593" s="4" t="s">
        <v>2809</v>
      </c>
      <c r="F593" s="127" t="n">
        <v>46623</v>
      </c>
      <c r="G593" s="127" t="n">
        <v>46633</v>
      </c>
      <c r="H593" s="127" t="n">
        <v>46289</v>
      </c>
      <c r="I593" s="4" t="n">
        <v>0</v>
      </c>
      <c r="J593" s="4" t="n">
        <v>0</v>
      </c>
      <c r="K593" s="4" t="n">
        <v>0</v>
      </c>
      <c r="M593" s="2" t="str">
        <f aca="false">IF(C593="","",IFERROR(INDEX($S$5:$S$304,MATCH(C593,$R$5:$R$304,0))&amp;"","?"))</f>
        <v>23</v>
      </c>
      <c r="N593" s="2" t="n">
        <f aca="false">IF(E593="","",IF(ISNUMBER(SEARCH("SUBSOLO",E593)),IFERROR(-VALUE(LEFT(E593,FIND("º",SUBSTITUTE(E593,"°","º"))-1)),-1),IF(LEFT(E593,6)="TÉRREO",0,IFERROR(VALUE(LEFT(E593,FIND("º",SUBSTITUTE(E593,"°","º"))-1)),""))))</f>
        <v>10</v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32749854</v>
      </c>
      <c r="C594" s="4" t="s">
        <v>2455</v>
      </c>
      <c r="D594" s="4" t="s">
        <v>463</v>
      </c>
      <c r="E594" s="4" t="s">
        <v>2810</v>
      </c>
      <c r="F594" s="127" t="n">
        <v>46623</v>
      </c>
      <c r="G594" s="127" t="n">
        <v>46633</v>
      </c>
      <c r="H594" s="127" t="n">
        <v>46289</v>
      </c>
      <c r="I594" s="4" t="n">
        <v>0</v>
      </c>
      <c r="J594" s="4" t="n">
        <v>0</v>
      </c>
      <c r="K594" s="4" t="n">
        <v>0</v>
      </c>
      <c r="M594" s="2" t="str">
        <f aca="false">IF(C594="","",IFERROR(INDEX($S$5:$S$304,MATCH(C594,$R$5:$R$304,0))&amp;"","?"))</f>
        <v>18</v>
      </c>
      <c r="N594" s="2" t="n">
        <f aca="false">IF(E594="","",IF(ISNUMBER(SEARCH("SUBSOLO",E594)),IFERROR(-VALUE(LEFT(E594,FIND("º",SUBSTITUTE(E594,"°","º"))-1)),-1),IF(LEFT(E594,6)="TÉRREO",0,IFERROR(VALUE(LEFT(E594,FIND("º",SUBSTITUTE(E594,"°","º"))-1)),""))))</f>
        <v>11</v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29981362</v>
      </c>
      <c r="C595" s="4" t="s">
        <v>2449</v>
      </c>
      <c r="D595" s="4" t="s">
        <v>463</v>
      </c>
      <c r="E595" s="4" t="s">
        <v>2811</v>
      </c>
      <c r="F595" s="127" t="n">
        <v>46623</v>
      </c>
      <c r="G595" s="127" t="n">
        <v>46633</v>
      </c>
      <c r="H595" s="127" t="n">
        <v>46289</v>
      </c>
      <c r="I595" s="4" t="n">
        <v>0</v>
      </c>
      <c r="J595" s="4" t="n">
        <v>0</v>
      </c>
      <c r="K595" s="4" t="n">
        <v>0</v>
      </c>
      <c r="M595" s="2" t="str">
        <f aca="false">IF(C595="","",IFERROR(INDEX($S$5:$S$304,MATCH(C595,$R$5:$R$304,0))&amp;"","?"))</f>
        <v>28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12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29981302</v>
      </c>
      <c r="C596" s="4" t="s">
        <v>2440</v>
      </c>
      <c r="D596" s="4" t="s">
        <v>463</v>
      </c>
      <c r="E596" s="4" t="s">
        <v>2812</v>
      </c>
      <c r="F596" s="127" t="n">
        <v>46623</v>
      </c>
      <c r="G596" s="127" t="n">
        <v>46633</v>
      </c>
      <c r="H596" s="127" t="n">
        <v>46289</v>
      </c>
      <c r="I596" s="4" t="n">
        <v>0</v>
      </c>
      <c r="J596" s="4" t="n">
        <v>0</v>
      </c>
      <c r="K596" s="4" t="n">
        <v>0</v>
      </c>
      <c r="M596" s="2" t="str">
        <f aca="false">IF(C596="","",IFERROR(INDEX($S$5:$S$304,MATCH(C596,$R$5:$R$304,0))&amp;"","?"))</f>
        <v>21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13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29981335</v>
      </c>
      <c r="C597" s="4" t="s">
        <v>2443</v>
      </c>
      <c r="D597" s="4" t="s">
        <v>463</v>
      </c>
      <c r="E597" s="4" t="s">
        <v>2812</v>
      </c>
      <c r="F597" s="127" t="n">
        <v>46623</v>
      </c>
      <c r="G597" s="127" t="n">
        <v>46633</v>
      </c>
      <c r="H597" s="127" t="n">
        <v>46289</v>
      </c>
      <c r="I597" s="4" t="n">
        <v>0</v>
      </c>
      <c r="J597" s="4" t="n">
        <v>0</v>
      </c>
      <c r="K597" s="4" t="n">
        <v>0</v>
      </c>
      <c r="M597" s="2" t="str">
        <f aca="false">IF(C597="","",IFERROR(INDEX($S$5:$S$304,MATCH(C597,$R$5:$R$304,0))&amp;"","?"))</f>
        <v>20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13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29981264</v>
      </c>
      <c r="C598" s="4" t="s">
        <v>2437</v>
      </c>
      <c r="D598" s="4" t="s">
        <v>463</v>
      </c>
      <c r="E598" s="4" t="s">
        <v>2813</v>
      </c>
      <c r="F598" s="127" t="n">
        <v>46623</v>
      </c>
      <c r="G598" s="127" t="n">
        <v>46633</v>
      </c>
      <c r="H598" s="127" t="n">
        <v>46289</v>
      </c>
      <c r="I598" s="4" t="n">
        <v>0</v>
      </c>
      <c r="J598" s="4" t="n">
        <v>0</v>
      </c>
      <c r="K598" s="4" t="n">
        <v>0</v>
      </c>
      <c r="M598" s="2" t="str">
        <f aca="false">IF(C598="","",IFERROR(INDEX($S$5:$S$304,MATCH(C598,$R$5:$R$304,0))&amp;"","?"))</f>
        <v>29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14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29981230</v>
      </c>
      <c r="C599" s="4" t="s">
        <v>2434</v>
      </c>
      <c r="D599" s="4" t="s">
        <v>463</v>
      </c>
      <c r="E599" s="4" t="s">
        <v>2814</v>
      </c>
      <c r="F599" s="127" t="n">
        <v>46623</v>
      </c>
      <c r="G599" s="127" t="n">
        <v>46633</v>
      </c>
      <c r="H599" s="127" t="n">
        <v>46289</v>
      </c>
      <c r="I599" s="4" t="n">
        <v>0</v>
      </c>
      <c r="J599" s="4" t="n">
        <v>0</v>
      </c>
      <c r="K599" s="4" t="n">
        <v>0</v>
      </c>
      <c r="M599" s="2" t="str">
        <f aca="false">IF(C599="","",IFERROR(INDEX($S$5:$S$304,MATCH(C599,$R$5:$R$304,0))&amp;"","?"))</f>
        <v>25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15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29981223</v>
      </c>
      <c r="C600" s="4" t="s">
        <v>2425</v>
      </c>
      <c r="D600" s="4" t="s">
        <v>463</v>
      </c>
      <c r="E600" s="4" t="s">
        <v>2815</v>
      </c>
      <c r="F600" s="127" t="n">
        <v>46623</v>
      </c>
      <c r="G600" s="127" t="n">
        <v>46633</v>
      </c>
      <c r="H600" s="127" t="n">
        <v>46289</v>
      </c>
      <c r="I600" s="4" t="n">
        <v>0</v>
      </c>
      <c r="J600" s="4" t="n">
        <v>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16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29981192</v>
      </c>
      <c r="C601" s="4" t="s">
        <v>2428</v>
      </c>
      <c r="D601" s="4" t="s">
        <v>463</v>
      </c>
      <c r="E601" s="4" t="s">
        <v>2815</v>
      </c>
      <c r="F601" s="127" t="n">
        <v>46623</v>
      </c>
      <c r="G601" s="127" t="n">
        <v>46633</v>
      </c>
      <c r="H601" s="127" t="n">
        <v>46289</v>
      </c>
      <c r="I601" s="4" t="n">
        <v>0</v>
      </c>
      <c r="J601" s="4" t="n">
        <v>0</v>
      </c>
      <c r="K601" s="4" t="n">
        <v>0</v>
      </c>
      <c r="M601" s="2" t="str">
        <f aca="false">IF(C601="","",IFERROR(INDEX($S$5:$S$304,MATCH(C601,$R$5:$R$304,0))&amp;"","?"))</f>
        <v>20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16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29981225</v>
      </c>
      <c r="C602" s="4" t="s">
        <v>2431</v>
      </c>
      <c r="D602" s="4" t="s">
        <v>463</v>
      </c>
      <c r="E602" s="4" t="s">
        <v>2815</v>
      </c>
      <c r="F602" s="127" t="n">
        <v>46623</v>
      </c>
      <c r="G602" s="127" t="n">
        <v>46633</v>
      </c>
      <c r="H602" s="127" t="n">
        <v>46289</v>
      </c>
      <c r="I602" s="4" t="n">
        <v>0</v>
      </c>
      <c r="J602" s="4" t="n">
        <v>0</v>
      </c>
      <c r="K602" s="4" t="n">
        <v>0</v>
      </c>
      <c r="M602" s="2" t="str">
        <f aca="false">IF(C602="","",IFERROR(INDEX($S$5:$S$304,MATCH(C602,$R$5:$R$304,0))&amp;"","?"))</f>
        <v>21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16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29981172</v>
      </c>
      <c r="C603" s="4" t="s">
        <v>2422</v>
      </c>
      <c r="D603" s="4" t="s">
        <v>463</v>
      </c>
      <c r="E603" s="4" t="s">
        <v>2818</v>
      </c>
      <c r="F603" s="127" t="n">
        <v>46623</v>
      </c>
      <c r="G603" s="127" t="n">
        <v>46633</v>
      </c>
      <c r="H603" s="127" t="n">
        <v>46289</v>
      </c>
      <c r="I603" s="4" t="n">
        <v>0</v>
      </c>
      <c r="J603" s="4" t="n">
        <v>0</v>
      </c>
      <c r="K603" s="4" t="n">
        <v>0</v>
      </c>
      <c r="M603" s="2" t="str">
        <f aca="false">IF(C603="","",IFERROR(INDEX($S$5:$S$304,MATCH(C603,$R$5:$R$304,0))&amp;"","?"))</f>
        <v>29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17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29981138</v>
      </c>
      <c r="C604" s="4" t="s">
        <v>2413</v>
      </c>
      <c r="D604" s="4" t="s">
        <v>463</v>
      </c>
      <c r="E604" s="4" t="s">
        <v>2820</v>
      </c>
      <c r="F604" s="127" t="n">
        <v>46623</v>
      </c>
      <c r="G604" s="127" t="n">
        <v>46633</v>
      </c>
      <c r="H604" s="127" t="n">
        <v>46289</v>
      </c>
      <c r="I604" s="4" t="n">
        <v>0</v>
      </c>
      <c r="J604" s="4" t="n">
        <v>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18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30205700</v>
      </c>
      <c r="C605" s="4" t="s">
        <v>2449</v>
      </c>
      <c r="D605" s="4" t="s">
        <v>463</v>
      </c>
      <c r="E605" s="4" t="s">
        <v>2819</v>
      </c>
      <c r="F605" s="127" t="n">
        <v>46625</v>
      </c>
      <c r="G605" s="127" t="n">
        <v>46639</v>
      </c>
      <c r="H605" s="127" t="n">
        <v>46289</v>
      </c>
      <c r="I605" s="4" t="n">
        <v>0</v>
      </c>
      <c r="J605" s="4" t="n">
        <v>0</v>
      </c>
      <c r="K605" s="4" t="n">
        <v>0</v>
      </c>
      <c r="M605" s="2" t="str">
        <f aca="false">IF(C605="","",IFERROR(INDEX($S$5:$S$304,MATCH(C605,$R$5:$R$304,0))&amp;"","?"))</f>
        <v>28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31803885</v>
      </c>
      <c r="C606" s="4" t="s">
        <v>2483</v>
      </c>
      <c r="D606" s="4" t="s">
        <v>463</v>
      </c>
      <c r="E606" s="4" t="s">
        <v>2819</v>
      </c>
      <c r="F606" s="127" t="n">
        <v>46625</v>
      </c>
      <c r="G606" s="127" t="n">
        <v>46673</v>
      </c>
      <c r="H606" s="127" t="n">
        <v>46289</v>
      </c>
      <c r="I606" s="4" t="n">
        <v>0</v>
      </c>
      <c r="J606" s="4" t="n">
        <v>0</v>
      </c>
      <c r="K606" s="4" t="n">
        <v>0</v>
      </c>
      <c r="M606" s="2" t="str">
        <f aca="false">IF(C606="","",IFERROR(INDEX($S$5:$S$304,MATCH(C606,$R$5:$R$304,0))&amp;"","?"))</f>
        <v>32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0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30205669</v>
      </c>
      <c r="C607" s="4" t="s">
        <v>2437</v>
      </c>
      <c r="D607" s="4" t="s">
        <v>463</v>
      </c>
      <c r="E607" s="4" t="s">
        <v>2821</v>
      </c>
      <c r="F607" s="127" t="n">
        <v>46625</v>
      </c>
      <c r="G607" s="127" t="n">
        <v>46639</v>
      </c>
      <c r="H607" s="127" t="n">
        <v>46289</v>
      </c>
      <c r="I607" s="4" t="n">
        <v>0</v>
      </c>
      <c r="J607" s="4" t="n">
        <v>0</v>
      </c>
      <c r="K607" s="4" t="n">
        <v>0</v>
      </c>
      <c r="M607" s="2" t="str">
        <f aca="false">IF(C607="","",IFERROR(INDEX($S$5:$S$304,MATCH(C607,$R$5:$R$304,0))&amp;"","?"))</f>
        <v>29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0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30205638</v>
      </c>
      <c r="C608" s="4" t="s">
        <v>2428</v>
      </c>
      <c r="D608" s="4" t="s">
        <v>463</v>
      </c>
      <c r="E608" s="4" t="s">
        <v>2824</v>
      </c>
      <c r="F608" s="127" t="n">
        <v>46625</v>
      </c>
      <c r="G608" s="127" t="n">
        <v>46633</v>
      </c>
      <c r="H608" s="127" t="n">
        <v>46289</v>
      </c>
      <c r="I608" s="4" t="n">
        <v>0</v>
      </c>
      <c r="J608" s="4" t="n">
        <v>0</v>
      </c>
      <c r="K608" s="4" t="n">
        <v>0</v>
      </c>
      <c r="M608" s="2" t="str">
        <f aca="false">IF(C608="","",IFERROR(INDEX($S$5:$S$304,MATCH(C608,$R$5:$R$304,0))&amp;"","?"))</f>
        <v>20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0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30205639</v>
      </c>
      <c r="C609" s="4" t="s">
        <v>2452</v>
      </c>
      <c r="D609" s="4" t="s">
        <v>463</v>
      </c>
      <c r="E609" s="4" t="s">
        <v>2824</v>
      </c>
      <c r="F609" s="127" t="n">
        <v>46625</v>
      </c>
      <c r="G609" s="127" t="n">
        <v>46639</v>
      </c>
      <c r="H609" s="127" t="n">
        <v>46289</v>
      </c>
      <c r="I609" s="4" t="n">
        <v>0</v>
      </c>
      <c r="J609" s="4" t="n">
        <v>0</v>
      </c>
      <c r="K609" s="4" t="n">
        <v>0</v>
      </c>
      <c r="M609" s="2" t="str">
        <f aca="false">IF(C609="","",IFERROR(INDEX($S$5:$S$304,MATCH(C609,$R$5:$R$304,0))&amp;"","?"))</f>
        <v>21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0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30205610</v>
      </c>
      <c r="C610" s="4" t="s">
        <v>2422</v>
      </c>
      <c r="D610" s="4" t="s">
        <v>463</v>
      </c>
      <c r="E610" s="4" t="s">
        <v>2826</v>
      </c>
      <c r="F610" s="127" t="n">
        <v>46625</v>
      </c>
      <c r="G610" s="127" t="n">
        <v>46639</v>
      </c>
      <c r="H610" s="127" t="n">
        <v>46289</v>
      </c>
      <c r="I610" s="4" t="n">
        <v>0</v>
      </c>
      <c r="J610" s="4" t="n">
        <v>0</v>
      </c>
      <c r="K610" s="4" t="n">
        <v>0</v>
      </c>
      <c r="M610" s="2" t="str">
        <f aca="false">IF(C610="","",IFERROR(INDEX($S$5:$S$304,MATCH(C610,$R$5:$R$304,0))&amp;"","?"))</f>
        <v>29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0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30205577</v>
      </c>
      <c r="C611" s="4" t="s">
        <v>2413</v>
      </c>
      <c r="D611" s="4" t="s">
        <v>463</v>
      </c>
      <c r="E611" s="4" t="s">
        <v>2828</v>
      </c>
      <c r="F611" s="127" t="n">
        <v>46625</v>
      </c>
      <c r="G611" s="127" t="n">
        <v>46639</v>
      </c>
      <c r="H611" s="127" t="n">
        <v>46289</v>
      </c>
      <c r="I611" s="4" t="n">
        <v>0</v>
      </c>
      <c r="J611" s="4" t="n">
        <v>0</v>
      </c>
      <c r="K611" s="4" t="n">
        <v>0</v>
      </c>
      <c r="M611" s="2" t="str">
        <f aca="false">IF(C611="","",IFERROR(INDEX($S$5:$S$304,MATCH(C611,$R$5:$R$304,0))&amp;"","?"))</f>
        <v>21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0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30205576</v>
      </c>
      <c r="C612" s="4" t="s">
        <v>2410</v>
      </c>
      <c r="D612" s="4" t="s">
        <v>463</v>
      </c>
      <c r="E612" s="4" t="s">
        <v>2828</v>
      </c>
      <c r="F612" s="127" t="n">
        <v>46625</v>
      </c>
      <c r="G612" s="127" t="n">
        <v>46639</v>
      </c>
      <c r="H612" s="127" t="n">
        <v>46289</v>
      </c>
      <c r="I612" s="4" t="n">
        <v>0</v>
      </c>
      <c r="J612" s="4" t="n">
        <v>0</v>
      </c>
      <c r="K612" s="4" t="n">
        <v>0</v>
      </c>
      <c r="M612" s="2" t="str">
        <f aca="false">IF(C612="","",IFERROR(INDEX($S$5:$S$304,MATCH(C612,$R$5:$R$304,0))&amp;"","?"))</f>
        <v>22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0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30205578</v>
      </c>
      <c r="C613" s="4" t="s">
        <v>2416</v>
      </c>
      <c r="D613" s="4" t="s">
        <v>463</v>
      </c>
      <c r="E613" s="4" t="s">
        <v>2828</v>
      </c>
      <c r="F613" s="127" t="n">
        <v>46625</v>
      </c>
      <c r="G613" s="127" t="n">
        <v>46639</v>
      </c>
      <c r="H613" s="127" t="n">
        <v>46289</v>
      </c>
      <c r="I613" s="4" t="n">
        <v>0</v>
      </c>
      <c r="J613" s="4" t="n">
        <v>0</v>
      </c>
      <c r="K613" s="4" t="n">
        <v>0</v>
      </c>
      <c r="M613" s="2" t="str">
        <f aca="false">IF(C613="","",IFERROR(INDEX($S$5:$S$304,MATCH(C613,$R$5:$R$304,0))&amp;"","?"))</f>
        <v>18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0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30205548</v>
      </c>
      <c r="C614" s="4" t="s">
        <v>168</v>
      </c>
      <c r="D614" s="4" t="s">
        <v>463</v>
      </c>
      <c r="E614" s="4" t="s">
        <v>2830</v>
      </c>
      <c r="F614" s="127" t="n">
        <v>46625</v>
      </c>
      <c r="G614" s="127" t="n">
        <v>46639</v>
      </c>
      <c r="H614" s="127" t="n">
        <v>46289</v>
      </c>
      <c r="I614" s="4" t="n">
        <v>0</v>
      </c>
      <c r="J614" s="4" t="n">
        <v>0</v>
      </c>
      <c r="K614" s="4" t="n">
        <v>0</v>
      </c>
      <c r="M614" s="2" t="str">
        <f aca="false">IF(C614="","",IFERROR(INDEX($S$5:$S$304,MATCH(C614,$R$5:$R$304,0))&amp;"","?"))</f>
        <v>18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0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29981137</v>
      </c>
      <c r="C615" s="4" t="s">
        <v>2416</v>
      </c>
      <c r="D615" s="4" t="s">
        <v>463</v>
      </c>
      <c r="E615" s="4" t="s">
        <v>2820</v>
      </c>
      <c r="F615" s="127" t="n">
        <v>46625</v>
      </c>
      <c r="G615" s="127" t="n">
        <v>46638</v>
      </c>
      <c r="H615" s="127" t="n">
        <v>46289</v>
      </c>
      <c r="I615" s="4" t="n">
        <v>0</v>
      </c>
      <c r="J615" s="4" t="n">
        <v>0</v>
      </c>
      <c r="K615" s="4" t="n">
        <v>0</v>
      </c>
      <c r="M615" s="2" t="str">
        <f aca="false">IF(C615="","",IFERROR(INDEX($S$5:$S$304,MATCH(C615,$R$5:$R$304,0))&amp;"","?"))</f>
        <v>18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18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30171463</v>
      </c>
      <c r="C616" s="4" t="s">
        <v>2428</v>
      </c>
      <c r="D616" s="4" t="s">
        <v>463</v>
      </c>
      <c r="E616" s="4" t="s">
        <v>2790</v>
      </c>
      <c r="F616" s="127" t="n">
        <v>46626</v>
      </c>
      <c r="G616" s="127" t="n">
        <v>46668</v>
      </c>
      <c r="H616" s="127" t="n">
        <v>46289</v>
      </c>
      <c r="I616" s="4" t="n">
        <v>0</v>
      </c>
      <c r="J616" s="4" t="n">
        <v>0</v>
      </c>
      <c r="K616" s="4" t="n">
        <v>0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3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30171448</v>
      </c>
      <c r="C617" s="4" t="s">
        <v>2452</v>
      </c>
      <c r="D617" s="4" t="s">
        <v>463</v>
      </c>
      <c r="E617" s="4" t="s">
        <v>2790</v>
      </c>
      <c r="F617" s="127" t="n">
        <v>46626</v>
      </c>
      <c r="G617" s="127" t="n">
        <v>46668</v>
      </c>
      <c r="H617" s="127" t="n">
        <v>46289</v>
      </c>
      <c r="I617" s="4" t="n">
        <v>0</v>
      </c>
      <c r="J617" s="4" t="n">
        <v>0</v>
      </c>
      <c r="K617" s="4" t="n">
        <v>0</v>
      </c>
      <c r="M617" s="2" t="str">
        <f aca="false">IF(C617="","",IFERROR(INDEX($S$5:$S$304,MATCH(C617,$R$5:$R$304,0))&amp;"","?"))</f>
        <v>21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29940964</v>
      </c>
      <c r="C618" s="4" t="s">
        <v>2341</v>
      </c>
      <c r="D618" s="4" t="s">
        <v>463</v>
      </c>
      <c r="E618" s="4" t="s">
        <v>2831</v>
      </c>
      <c r="F618" s="127" t="n">
        <v>46626</v>
      </c>
      <c r="G618" s="127" t="n">
        <v>46639</v>
      </c>
      <c r="H618" s="127" t="n">
        <v>46289</v>
      </c>
      <c r="I618" s="4" t="n">
        <v>0</v>
      </c>
      <c r="J618" s="4" t="n">
        <v>0</v>
      </c>
      <c r="K618" s="4" t="n">
        <v>0</v>
      </c>
      <c r="M618" s="2" t="str">
        <f aca="false">IF(C618="","",IFERROR(INDEX($S$5:$S$304,MATCH(C618,$R$5:$R$304,0))&amp;"","?"))</f>
        <v>17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24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31529044</v>
      </c>
      <c r="C619" s="4" t="s">
        <v>2341</v>
      </c>
      <c r="D619" s="4" t="s">
        <v>2312</v>
      </c>
      <c r="E619" s="4" t="s">
        <v>2831</v>
      </c>
      <c r="F619" s="127" t="n">
        <v>46626</v>
      </c>
      <c r="G619" s="127" t="n">
        <v>46632</v>
      </c>
      <c r="H619" s="127" t="n">
        <v>46289</v>
      </c>
      <c r="I619" s="4" t="n">
        <v>0</v>
      </c>
      <c r="J619" s="4" t="n">
        <v>0</v>
      </c>
      <c r="K619" s="4" t="n">
        <v>0</v>
      </c>
      <c r="M619" s="2" t="str">
        <f aca="false">IF(C619="","",IFERROR(INDEX($S$5:$S$304,MATCH(C619,$R$5:$R$304,0))&amp;"","?"))</f>
        <v>17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24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31529045</v>
      </c>
      <c r="C620" s="4" t="s">
        <v>2341</v>
      </c>
      <c r="D620" s="4" t="s">
        <v>2309</v>
      </c>
      <c r="E620" s="4" t="s">
        <v>2831</v>
      </c>
      <c r="F620" s="127" t="n">
        <v>46633</v>
      </c>
      <c r="G620" s="127" t="n">
        <v>46638</v>
      </c>
      <c r="H620" s="127" t="n">
        <v>46289</v>
      </c>
      <c r="I620" s="4" t="n">
        <v>0</v>
      </c>
      <c r="J620" s="4" t="n">
        <v>0</v>
      </c>
      <c r="K620" s="4" t="n">
        <v>0</v>
      </c>
      <c r="M620" s="2" t="str">
        <f aca="false">IF(C620="","",IFERROR(INDEX($S$5:$S$304,MATCH(C620,$R$5:$R$304,0))&amp;"","?"))</f>
        <v>17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24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31529046</v>
      </c>
      <c r="C621" s="4" t="s">
        <v>2341</v>
      </c>
      <c r="D621" s="4" t="s">
        <v>2314</v>
      </c>
      <c r="E621" s="4" t="s">
        <v>2831</v>
      </c>
      <c r="F621" s="127" t="n">
        <v>46639</v>
      </c>
      <c r="G621" s="127" t="n">
        <v>46639</v>
      </c>
      <c r="H621" s="127" t="n">
        <v>46289</v>
      </c>
      <c r="I621" s="4" t="n">
        <v>0</v>
      </c>
      <c r="J621" s="4" t="n">
        <v>0</v>
      </c>
      <c r="K621" s="4" t="n">
        <v>0</v>
      </c>
      <c r="M621" s="2" t="str">
        <f aca="false">IF(C621="","",IFERROR(INDEX($S$5:$S$304,MATCH(C621,$R$5:$R$304,0))&amp;"","?"))</f>
        <v>17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24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31529047</v>
      </c>
      <c r="C622" s="4" t="s">
        <v>2341</v>
      </c>
      <c r="D622" s="4" t="s">
        <v>2758</v>
      </c>
      <c r="E622" s="4" t="s">
        <v>2831</v>
      </c>
      <c r="F622" s="127" t="n">
        <v>46639</v>
      </c>
      <c r="G622" s="127" t="n">
        <v>46639</v>
      </c>
      <c r="H622" s="127" t="n">
        <v>46289</v>
      </c>
      <c r="I622" s="4" t="n">
        <v>0</v>
      </c>
      <c r="J622" s="4" t="n">
        <v>0</v>
      </c>
      <c r="K622" s="4" t="n">
        <v>0</v>
      </c>
      <c r="M622" s="2" t="str">
        <f aca="false">IF(C622="","",IFERROR(INDEX($S$5:$S$304,MATCH(C622,$R$5:$R$304,0))&amp;"","?"))</f>
        <v>17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24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29981074</v>
      </c>
      <c r="C623" s="4" t="s">
        <v>2410</v>
      </c>
      <c r="D623" s="4" t="s">
        <v>463</v>
      </c>
      <c r="E623" s="4" t="s">
        <v>2823</v>
      </c>
      <c r="F623" s="127" t="n">
        <v>46630</v>
      </c>
      <c r="G623" s="127" t="n">
        <v>46643</v>
      </c>
      <c r="H623" s="127" t="n">
        <v>46289</v>
      </c>
      <c r="I623" s="4" t="n">
        <v>0</v>
      </c>
      <c r="J623" s="4" t="n">
        <v>0</v>
      </c>
      <c r="K623" s="4" t="n">
        <v>0</v>
      </c>
      <c r="M623" s="2" t="str">
        <f aca="false">IF(C623="","",IFERROR(INDEX($S$5:$S$304,MATCH(C623,$R$5:$R$304,0))&amp;"","?"))</f>
        <v>22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20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29981025</v>
      </c>
      <c r="C624" s="4" t="s">
        <v>168</v>
      </c>
      <c r="D624" s="4" t="s">
        <v>463</v>
      </c>
      <c r="E624" s="4" t="s">
        <v>2825</v>
      </c>
      <c r="F624" s="127" t="n">
        <v>46630</v>
      </c>
      <c r="G624" s="127" t="n">
        <v>46643</v>
      </c>
      <c r="H624" s="127" t="n">
        <v>46289</v>
      </c>
      <c r="I624" s="4" t="n">
        <v>0</v>
      </c>
      <c r="J624" s="4" t="n">
        <v>0</v>
      </c>
      <c r="K624" s="4" t="n">
        <v>0</v>
      </c>
      <c r="M624" s="2" t="str">
        <f aca="false">IF(C624="","",IFERROR(INDEX($S$5:$S$304,MATCH(C624,$R$5:$R$304,0))&amp;"","?"))</f>
        <v>18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21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30205722</v>
      </c>
      <c r="C625" s="4" t="s">
        <v>2437</v>
      </c>
      <c r="D625" s="4" t="s">
        <v>463</v>
      </c>
      <c r="E625" s="4" t="s">
        <v>2740</v>
      </c>
      <c r="F625" s="127" t="n">
        <v>46631</v>
      </c>
      <c r="G625" s="127" t="n">
        <v>46661</v>
      </c>
      <c r="H625" s="127" t="n">
        <v>46289</v>
      </c>
      <c r="I625" s="4" t="n">
        <v>0</v>
      </c>
      <c r="J625" s="4" t="n">
        <v>0</v>
      </c>
      <c r="K625" s="4" t="n">
        <v>0</v>
      </c>
      <c r="M625" s="2" t="str">
        <f aca="false">IF(C625="","",IFERROR(INDEX($S$5:$S$304,MATCH(C625,$R$5:$R$304,0))&amp;"","?"))</f>
        <v>29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-1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29981532</v>
      </c>
      <c r="C626" s="4" t="s">
        <v>2486</v>
      </c>
      <c r="D626" s="4" t="s">
        <v>463</v>
      </c>
      <c r="E626" s="4" t="s">
        <v>2803</v>
      </c>
      <c r="F626" s="127" t="n">
        <v>46636</v>
      </c>
      <c r="G626" s="127" t="n">
        <v>46647</v>
      </c>
      <c r="H626" s="127" t="n">
        <v>46289</v>
      </c>
      <c r="I626" s="4" t="n">
        <v>0</v>
      </c>
      <c r="J626" s="4" t="n">
        <v>0</v>
      </c>
      <c r="K626" s="4" t="n">
        <v>0</v>
      </c>
      <c r="M626" s="2" t="str">
        <f aca="false">IF(C626="","",IFERROR(INDEX($S$5:$S$304,MATCH(C626,$R$5:$R$304,0))&amp;"","?"))</f>
        <v>30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29981511</v>
      </c>
      <c r="C627" s="4" t="s">
        <v>2480</v>
      </c>
      <c r="D627" s="4" t="s">
        <v>463</v>
      </c>
      <c r="E627" s="4" t="s">
        <v>2804</v>
      </c>
      <c r="F627" s="127" t="n">
        <v>46636</v>
      </c>
      <c r="G627" s="127" t="n">
        <v>46647</v>
      </c>
      <c r="H627" s="127" t="n">
        <v>46289</v>
      </c>
      <c r="I627" s="4" t="n">
        <v>0</v>
      </c>
      <c r="J627" s="4" t="n">
        <v>0</v>
      </c>
      <c r="K627" s="4" t="n">
        <v>0</v>
      </c>
      <c r="M627" s="2" t="str">
        <f aca="false">IF(C627="","",IFERROR(INDEX($S$5:$S$304,MATCH(C627,$R$5:$R$304,0))&amp;"","?"))</f>
        <v>30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8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29981472</v>
      </c>
      <c r="C628" s="4" t="s">
        <v>171</v>
      </c>
      <c r="D628" s="4" t="s">
        <v>463</v>
      </c>
      <c r="E628" s="4" t="s">
        <v>2805</v>
      </c>
      <c r="F628" s="127" t="n">
        <v>46636</v>
      </c>
      <c r="G628" s="127" t="n">
        <v>46647</v>
      </c>
      <c r="H628" s="127" t="n">
        <v>46289</v>
      </c>
      <c r="I628" s="4" t="n">
        <v>0</v>
      </c>
      <c r="J628" s="4" t="n">
        <v>0</v>
      </c>
      <c r="K628" s="4" t="n">
        <v>0</v>
      </c>
      <c r="M628" s="2" t="str">
        <f aca="false">IF(C628="","",IFERROR(INDEX($S$5:$S$304,MATCH(C628,$R$5:$R$304,0))&amp;"","?"))</f>
        <v>19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9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32750436</v>
      </c>
      <c r="C629" s="4" t="s">
        <v>2470</v>
      </c>
      <c r="D629" s="4" t="s">
        <v>463</v>
      </c>
      <c r="E629" s="4" t="s">
        <v>2809</v>
      </c>
      <c r="F629" s="127" t="n">
        <v>46636</v>
      </c>
      <c r="G629" s="127" t="n">
        <v>46647</v>
      </c>
      <c r="H629" s="127" t="n">
        <v>46289</v>
      </c>
      <c r="I629" s="4" t="n">
        <v>0</v>
      </c>
      <c r="J629" s="4" t="n">
        <v>0</v>
      </c>
      <c r="K629" s="4" t="n">
        <v>0</v>
      </c>
      <c r="M629" s="2" t="str">
        <f aca="false">IF(C629="","",IFERROR(INDEX($S$5:$S$304,MATCH(C629,$R$5:$R$304,0))&amp;"","?"))</f>
        <v>18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10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32750359</v>
      </c>
      <c r="C630" s="4" t="s">
        <v>2458</v>
      </c>
      <c r="D630" s="4" t="s">
        <v>463</v>
      </c>
      <c r="E630" s="4" t="s">
        <v>2810</v>
      </c>
      <c r="F630" s="127" t="n">
        <v>46636</v>
      </c>
      <c r="G630" s="127" t="n">
        <v>46647</v>
      </c>
      <c r="H630" s="127" t="n">
        <v>46289</v>
      </c>
      <c r="I630" s="4" t="n">
        <v>0</v>
      </c>
      <c r="J630" s="4" t="n">
        <v>0</v>
      </c>
      <c r="K630" s="4" t="n">
        <v>0</v>
      </c>
      <c r="M630" s="2" t="str">
        <f aca="false">IF(C630="","",IFERROR(INDEX($S$5:$S$304,MATCH(C630,$R$5:$R$304,0))&amp;"","?"))</f>
        <v>21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11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32750385</v>
      </c>
      <c r="C631" s="4" t="s">
        <v>2461</v>
      </c>
      <c r="D631" s="4" t="s">
        <v>463</v>
      </c>
      <c r="E631" s="4" t="s">
        <v>2810</v>
      </c>
      <c r="F631" s="127" t="n">
        <v>46636</v>
      </c>
      <c r="G631" s="127" t="n">
        <v>46647</v>
      </c>
      <c r="H631" s="127" t="n">
        <v>46289</v>
      </c>
      <c r="I631" s="4" t="n">
        <v>0</v>
      </c>
      <c r="J631" s="4" t="n">
        <v>0</v>
      </c>
      <c r="K631" s="4" t="n">
        <v>0</v>
      </c>
      <c r="M631" s="2" t="str">
        <f aca="false">IF(C631="","",IFERROR(INDEX($S$5:$S$304,MATCH(C631,$R$5:$R$304,0))&amp;"","?"))</f>
        <v>20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11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32750411</v>
      </c>
      <c r="C632" s="4" t="s">
        <v>2464</v>
      </c>
      <c r="D632" s="4" t="s">
        <v>463</v>
      </c>
      <c r="E632" s="4" t="s">
        <v>2810</v>
      </c>
      <c r="F632" s="127" t="n">
        <v>46636</v>
      </c>
      <c r="G632" s="127" t="n">
        <v>46647</v>
      </c>
      <c r="H632" s="127" t="n">
        <v>46289</v>
      </c>
      <c r="I632" s="4" t="n">
        <v>0</v>
      </c>
      <c r="J632" s="4" t="n">
        <v>0</v>
      </c>
      <c r="K632" s="4" t="n">
        <v>0</v>
      </c>
      <c r="M632" s="2" t="str">
        <f aca="false">IF(C632="","",IFERROR(INDEX($S$5:$S$304,MATCH(C632,$R$5:$R$304,0))&amp;"","?"))</f>
        <v>21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11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33896829</v>
      </c>
      <c r="C633" s="4" t="s">
        <v>2467</v>
      </c>
      <c r="D633" s="4" t="s">
        <v>463</v>
      </c>
      <c r="E633" s="4" t="s">
        <v>2810</v>
      </c>
      <c r="F633" s="127" t="n">
        <v>46636</v>
      </c>
      <c r="G633" s="127" t="n">
        <v>46647</v>
      </c>
      <c r="H633" s="127" t="n">
        <v>46289</v>
      </c>
      <c r="I633" s="4" t="n">
        <v>0</v>
      </c>
      <c r="J633" s="4" t="n">
        <v>0</v>
      </c>
      <c r="K633" s="4" t="n">
        <v>0</v>
      </c>
      <c r="M633" s="2" t="str">
        <f aca="false">IF(C633="","",IFERROR(INDEX($S$5:$S$304,MATCH(C633,$R$5:$R$304,0))&amp;"","?"))</f>
        <v>23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11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32749855</v>
      </c>
      <c r="C634" s="4" t="s">
        <v>2455</v>
      </c>
      <c r="D634" s="4" t="s">
        <v>463</v>
      </c>
      <c r="E634" s="4" t="s">
        <v>2811</v>
      </c>
      <c r="F634" s="127" t="n">
        <v>46636</v>
      </c>
      <c r="G634" s="127" t="n">
        <v>46647</v>
      </c>
      <c r="H634" s="127" t="n">
        <v>46289</v>
      </c>
      <c r="I634" s="4" t="n">
        <v>0</v>
      </c>
      <c r="J634" s="4" t="n">
        <v>0</v>
      </c>
      <c r="K634" s="4" t="n">
        <v>0</v>
      </c>
      <c r="M634" s="2" t="str">
        <f aca="false">IF(C634="","",IFERROR(INDEX($S$5:$S$304,MATCH(C634,$R$5:$R$304,0))&amp;"","?"))</f>
        <v>18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12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29981325</v>
      </c>
      <c r="C635" s="4" t="s">
        <v>2449</v>
      </c>
      <c r="D635" s="4" t="s">
        <v>463</v>
      </c>
      <c r="E635" s="4" t="s">
        <v>2812</v>
      </c>
      <c r="F635" s="127" t="n">
        <v>46636</v>
      </c>
      <c r="G635" s="127" t="n">
        <v>46647</v>
      </c>
      <c r="H635" s="127" t="n">
        <v>46289</v>
      </c>
      <c r="I635" s="4" t="n">
        <v>0</v>
      </c>
      <c r="J635" s="4" t="n">
        <v>0</v>
      </c>
      <c r="K635" s="4" t="n">
        <v>0</v>
      </c>
      <c r="M635" s="2" t="str">
        <f aca="false">IF(C635="","",IFERROR(INDEX($S$5:$S$304,MATCH(C635,$R$5:$R$304,0))&amp;"","?"))</f>
        <v>28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13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29981265</v>
      </c>
      <c r="C636" s="4" t="s">
        <v>2440</v>
      </c>
      <c r="D636" s="4" t="s">
        <v>463</v>
      </c>
      <c r="E636" s="4" t="s">
        <v>2813</v>
      </c>
      <c r="F636" s="127" t="n">
        <v>46636</v>
      </c>
      <c r="G636" s="127" t="n">
        <v>46647</v>
      </c>
      <c r="H636" s="127" t="n">
        <v>46289</v>
      </c>
      <c r="I636" s="4" t="n">
        <v>0</v>
      </c>
      <c r="J636" s="4" t="n">
        <v>0</v>
      </c>
      <c r="K636" s="4" t="n">
        <v>0</v>
      </c>
      <c r="M636" s="2" t="str">
        <f aca="false">IF(C636="","",IFERROR(INDEX($S$5:$S$304,MATCH(C636,$R$5:$R$304,0))&amp;"","?"))</f>
        <v>21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14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29981298</v>
      </c>
      <c r="C637" s="4" t="s">
        <v>2443</v>
      </c>
      <c r="D637" s="4" t="s">
        <v>463</v>
      </c>
      <c r="E637" s="4" t="s">
        <v>2813</v>
      </c>
      <c r="F637" s="127" t="n">
        <v>46636</v>
      </c>
      <c r="G637" s="127" t="n">
        <v>46647</v>
      </c>
      <c r="H637" s="127" t="n">
        <v>46289</v>
      </c>
      <c r="I637" s="4" t="n">
        <v>0</v>
      </c>
      <c r="J637" s="4" t="n">
        <v>0</v>
      </c>
      <c r="K637" s="4" t="n">
        <v>0</v>
      </c>
      <c r="M637" s="2" t="str">
        <f aca="false">IF(C637="","",IFERROR(INDEX($S$5:$S$304,MATCH(C637,$R$5:$R$304,0))&amp;"","?"))</f>
        <v>20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14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29981227</v>
      </c>
      <c r="C638" s="4" t="s">
        <v>2437</v>
      </c>
      <c r="D638" s="4" t="s">
        <v>463</v>
      </c>
      <c r="E638" s="4" t="s">
        <v>2814</v>
      </c>
      <c r="F638" s="127" t="n">
        <v>46636</v>
      </c>
      <c r="G638" s="127" t="n">
        <v>46647</v>
      </c>
      <c r="H638" s="127" t="n">
        <v>46289</v>
      </c>
      <c r="I638" s="4" t="n">
        <v>0</v>
      </c>
      <c r="J638" s="4" t="n">
        <v>0</v>
      </c>
      <c r="K638" s="4" t="n">
        <v>0</v>
      </c>
      <c r="M638" s="2" t="str">
        <f aca="false">IF(C638="","",IFERROR(INDEX($S$5:$S$304,MATCH(C638,$R$5:$R$304,0))&amp;"","?"))</f>
        <v>29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15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29981193</v>
      </c>
      <c r="C639" s="4" t="s">
        <v>2434</v>
      </c>
      <c r="D639" s="4" t="s">
        <v>463</v>
      </c>
      <c r="E639" s="4" t="s">
        <v>2815</v>
      </c>
      <c r="F639" s="127" t="n">
        <v>46636</v>
      </c>
      <c r="G639" s="127" t="n">
        <v>46647</v>
      </c>
      <c r="H639" s="127" t="n">
        <v>46289</v>
      </c>
      <c r="I639" s="4" t="n">
        <v>0</v>
      </c>
      <c r="J639" s="4" t="n">
        <v>0</v>
      </c>
      <c r="K639" s="4" t="n">
        <v>0</v>
      </c>
      <c r="M639" s="2" t="str">
        <f aca="false">IF(C639="","",IFERROR(INDEX($S$5:$S$304,MATCH(C639,$R$5:$R$304,0))&amp;"","?"))</f>
        <v>25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16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29981186</v>
      </c>
      <c r="C640" s="4" t="s">
        <v>2425</v>
      </c>
      <c r="D640" s="4" t="s">
        <v>463</v>
      </c>
      <c r="E640" s="4" t="s">
        <v>2818</v>
      </c>
      <c r="F640" s="127" t="n">
        <v>46636</v>
      </c>
      <c r="G640" s="127" t="n">
        <v>46647</v>
      </c>
      <c r="H640" s="127" t="n">
        <v>46289</v>
      </c>
      <c r="I640" s="4" t="n">
        <v>0</v>
      </c>
      <c r="J640" s="4" t="n">
        <v>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17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29981155</v>
      </c>
      <c r="C641" s="4" t="s">
        <v>2428</v>
      </c>
      <c r="D641" s="4" t="s">
        <v>463</v>
      </c>
      <c r="E641" s="4" t="s">
        <v>2818</v>
      </c>
      <c r="F641" s="127" t="n">
        <v>46636</v>
      </c>
      <c r="G641" s="127" t="n">
        <v>46647</v>
      </c>
      <c r="H641" s="127" t="n">
        <v>46289</v>
      </c>
      <c r="I641" s="4" t="n">
        <v>0</v>
      </c>
      <c r="J641" s="4" t="n">
        <v>0</v>
      </c>
      <c r="K641" s="4" t="n">
        <v>0</v>
      </c>
      <c r="M641" s="2" t="str">
        <f aca="false">IF(C641="","",IFERROR(INDEX($S$5:$S$304,MATCH(C641,$R$5:$R$304,0))&amp;"","?"))</f>
        <v>20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17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29981188</v>
      </c>
      <c r="C642" s="4" t="s">
        <v>2431</v>
      </c>
      <c r="D642" s="4" t="s">
        <v>463</v>
      </c>
      <c r="E642" s="4" t="s">
        <v>2818</v>
      </c>
      <c r="F642" s="127" t="n">
        <v>46636</v>
      </c>
      <c r="G642" s="127" t="n">
        <v>46647</v>
      </c>
      <c r="H642" s="127" t="n">
        <v>46289</v>
      </c>
      <c r="I642" s="4" t="n">
        <v>0</v>
      </c>
      <c r="J642" s="4" t="n">
        <v>0</v>
      </c>
      <c r="K642" s="4" t="n">
        <v>0</v>
      </c>
      <c r="M642" s="2" t="str">
        <f aca="false">IF(C642="","",IFERROR(INDEX($S$5:$S$304,MATCH(C642,$R$5:$R$304,0))&amp;"","?"))</f>
        <v>21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17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29981135</v>
      </c>
      <c r="C643" s="4" t="s">
        <v>2422</v>
      </c>
      <c r="D643" s="4" t="s">
        <v>463</v>
      </c>
      <c r="E643" s="4" t="s">
        <v>2820</v>
      </c>
      <c r="F643" s="127" t="n">
        <v>46636</v>
      </c>
      <c r="G643" s="127" t="n">
        <v>46647</v>
      </c>
      <c r="H643" s="127" t="n">
        <v>46289</v>
      </c>
      <c r="I643" s="4" t="n">
        <v>0</v>
      </c>
      <c r="J643" s="4" t="n">
        <v>0</v>
      </c>
      <c r="K643" s="4" t="n">
        <v>0</v>
      </c>
      <c r="M643" s="2" t="str">
        <f aca="false">IF(C643="","",IFERROR(INDEX($S$5:$S$304,MATCH(C643,$R$5:$R$304,0))&amp;"","?"))</f>
        <v>29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18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29981064</v>
      </c>
      <c r="C644" s="4" t="s">
        <v>2413</v>
      </c>
      <c r="D644" s="4" t="s">
        <v>463</v>
      </c>
      <c r="E644" s="4" t="s">
        <v>2823</v>
      </c>
      <c r="F644" s="127" t="n">
        <v>46636</v>
      </c>
      <c r="G644" s="127" t="n">
        <v>46647</v>
      </c>
      <c r="H644" s="127" t="n">
        <v>46289</v>
      </c>
      <c r="I644" s="4" t="n">
        <v>0</v>
      </c>
      <c r="J644" s="4" t="n">
        <v>0</v>
      </c>
      <c r="K644" s="4" t="n">
        <v>0</v>
      </c>
      <c r="M644" s="2" t="str">
        <f aca="false">IF(C644="","",IFERROR(INDEX($S$5:$S$304,MATCH(C644,$R$5:$R$304,0))&amp;"","?"))</f>
        <v>21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20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29981063</v>
      </c>
      <c r="C645" s="4" t="s">
        <v>2416</v>
      </c>
      <c r="D645" s="4" t="s">
        <v>463</v>
      </c>
      <c r="E645" s="4" t="s">
        <v>2823</v>
      </c>
      <c r="F645" s="127" t="n">
        <v>46639</v>
      </c>
      <c r="G645" s="127" t="n">
        <v>46651</v>
      </c>
      <c r="H645" s="127" t="n">
        <v>46289</v>
      </c>
      <c r="I645" s="4" t="n">
        <v>0</v>
      </c>
      <c r="J645" s="4" t="n">
        <v>0</v>
      </c>
      <c r="K645" s="4" t="n">
        <v>0</v>
      </c>
      <c r="M645" s="2" t="str">
        <f aca="false">IF(C645="","",IFERROR(INDEX($S$5:$S$304,MATCH(C645,$R$5:$R$304,0))&amp;"","?"))</f>
        <v>18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20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31789446</v>
      </c>
      <c r="C646" s="4" t="s">
        <v>2489</v>
      </c>
      <c r="D646" s="4" t="s">
        <v>463</v>
      </c>
      <c r="E646" s="4" t="s">
        <v>2678</v>
      </c>
      <c r="F646" s="127" t="n">
        <v>46639</v>
      </c>
      <c r="G646" s="127" t="n">
        <v>46696</v>
      </c>
      <c r="H646" s="127" t="n">
        <v>46289</v>
      </c>
      <c r="I646" s="4" t="n">
        <v>0</v>
      </c>
      <c r="J646" s="4" t="n">
        <v>0</v>
      </c>
      <c r="K646" s="4" t="n">
        <v>0</v>
      </c>
      <c r="M646" s="2" t="str">
        <f aca="false">IF(C646="","",IFERROR(INDEX($S$5:$S$304,MATCH(C646,$R$5:$R$304,0))&amp;"","?"))</f>
        <v>32</v>
      </c>
      <c r="N646" s="2" t="str">
        <f aca="false">IF(E646="","",IF(ISNUMBER(SEARCH("SUBSOLO",E646)),IFERROR(-VALUE(LEFT(E646,FIND("º",SUBSTITUTE(E646,"°","º"))-1)),-1),IF(LEFT(E646,6)="TÉRREO",0,IFERROR(VALUE(LEFT(E646,FIND("º",SUBSTITUTE(E646,"°","º"))-1)),""))))</f>
        <v/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30205701</v>
      </c>
      <c r="C647" s="4" t="s">
        <v>2492</v>
      </c>
      <c r="D647" s="4" t="s">
        <v>463</v>
      </c>
      <c r="E647" s="4" t="s">
        <v>2819</v>
      </c>
      <c r="F647" s="127" t="n">
        <v>46640</v>
      </c>
      <c r="G647" s="127" t="n">
        <v>46653</v>
      </c>
      <c r="H647" s="127" t="n">
        <v>46289</v>
      </c>
      <c r="I647" s="4" t="n">
        <v>0</v>
      </c>
      <c r="J647" s="4" t="n">
        <v>0</v>
      </c>
      <c r="K647" s="4" t="n">
        <v>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0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30205673</v>
      </c>
      <c r="C648" s="4" t="s">
        <v>2449</v>
      </c>
      <c r="D648" s="4" t="s">
        <v>463</v>
      </c>
      <c r="E648" s="4" t="s">
        <v>2821</v>
      </c>
      <c r="F648" s="127" t="n">
        <v>46640</v>
      </c>
      <c r="G648" s="127" t="n">
        <v>46653</v>
      </c>
      <c r="H648" s="127" t="n">
        <v>46289</v>
      </c>
      <c r="I648" s="4" t="n">
        <v>0</v>
      </c>
      <c r="J648" s="4" t="n">
        <v>0</v>
      </c>
      <c r="K648" s="4" t="n">
        <v>0</v>
      </c>
      <c r="M648" s="2" t="str">
        <f aca="false">IF(C648="","",IFERROR(INDEX($S$5:$S$304,MATCH(C648,$R$5:$R$304,0))&amp;"","?"))</f>
        <v>28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0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31803886</v>
      </c>
      <c r="C649" s="4" t="s">
        <v>2483</v>
      </c>
      <c r="D649" s="4" t="s">
        <v>463</v>
      </c>
      <c r="E649" s="4" t="s">
        <v>2821</v>
      </c>
      <c r="F649" s="127" t="n">
        <v>46640</v>
      </c>
      <c r="G649" s="127" t="n">
        <v>46687</v>
      </c>
      <c r="H649" s="127" t="n">
        <v>46289</v>
      </c>
      <c r="I649" s="4" t="n">
        <v>0</v>
      </c>
      <c r="J649" s="4" t="n">
        <v>0</v>
      </c>
      <c r="K649" s="4" t="n">
        <v>0</v>
      </c>
      <c r="M649" s="2" t="str">
        <f aca="false">IF(C649="","",IFERROR(INDEX($S$5:$S$304,MATCH(C649,$R$5:$R$304,0))&amp;"","?"))</f>
        <v>32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0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30205642</v>
      </c>
      <c r="C650" s="4" t="s">
        <v>2437</v>
      </c>
      <c r="D650" s="4" t="s">
        <v>463</v>
      </c>
      <c r="E650" s="4" t="s">
        <v>2824</v>
      </c>
      <c r="F650" s="127" t="n">
        <v>46640</v>
      </c>
      <c r="G650" s="127" t="n">
        <v>46653</v>
      </c>
      <c r="H650" s="127" t="n">
        <v>46289</v>
      </c>
      <c r="I650" s="4" t="n">
        <v>0</v>
      </c>
      <c r="J650" s="4" t="n">
        <v>0</v>
      </c>
      <c r="K650" s="4" t="n">
        <v>0</v>
      </c>
      <c r="M650" s="2" t="str">
        <f aca="false">IF(C650="","",IFERROR(INDEX($S$5:$S$304,MATCH(C650,$R$5:$R$304,0))&amp;"","?"))</f>
        <v>29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0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30205611</v>
      </c>
      <c r="C651" s="4" t="s">
        <v>2428</v>
      </c>
      <c r="D651" s="4" t="s">
        <v>463</v>
      </c>
      <c r="E651" s="4" t="s">
        <v>2826</v>
      </c>
      <c r="F651" s="127" t="n">
        <v>46640</v>
      </c>
      <c r="G651" s="127" t="n">
        <v>46650</v>
      </c>
      <c r="H651" s="127" t="n">
        <v>46289</v>
      </c>
      <c r="I651" s="4" t="n">
        <v>0</v>
      </c>
      <c r="J651" s="4" t="n">
        <v>0</v>
      </c>
      <c r="K651" s="4" t="n">
        <v>0</v>
      </c>
      <c r="M651" s="2" t="str">
        <f aca="false">IF(C651="","",IFERROR(INDEX($S$5:$S$304,MATCH(C651,$R$5:$R$304,0))&amp;"","?"))</f>
        <v>20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0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30205612</v>
      </c>
      <c r="C652" s="4" t="s">
        <v>2452</v>
      </c>
      <c r="D652" s="4" t="s">
        <v>463</v>
      </c>
      <c r="E652" s="4" t="s">
        <v>2826</v>
      </c>
      <c r="F652" s="127" t="n">
        <v>46640</v>
      </c>
      <c r="G652" s="127" t="n">
        <v>46653</v>
      </c>
      <c r="H652" s="127" t="n">
        <v>46289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21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0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30205583</v>
      </c>
      <c r="C653" s="4" t="s">
        <v>2422</v>
      </c>
      <c r="D653" s="4" t="s">
        <v>463</v>
      </c>
      <c r="E653" s="4" t="s">
        <v>2828</v>
      </c>
      <c r="F653" s="127" t="n">
        <v>46640</v>
      </c>
      <c r="G653" s="127" t="n">
        <v>46653</v>
      </c>
      <c r="H653" s="127" t="n">
        <v>46289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29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0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30205550</v>
      </c>
      <c r="C654" s="4" t="s">
        <v>2413</v>
      </c>
      <c r="D654" s="4" t="s">
        <v>463</v>
      </c>
      <c r="E654" s="4" t="s">
        <v>2830</v>
      </c>
      <c r="F654" s="127" t="n">
        <v>46640</v>
      </c>
      <c r="G654" s="127" t="n">
        <v>46653</v>
      </c>
      <c r="H654" s="127" t="n">
        <v>46289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21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0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30205549</v>
      </c>
      <c r="C655" s="4" t="s">
        <v>2410</v>
      </c>
      <c r="D655" s="4" t="s">
        <v>463</v>
      </c>
      <c r="E655" s="4" t="s">
        <v>2830</v>
      </c>
      <c r="F655" s="127" t="n">
        <v>46640</v>
      </c>
      <c r="G655" s="127" t="n">
        <v>46653</v>
      </c>
      <c r="H655" s="127" t="n">
        <v>46289</v>
      </c>
      <c r="I655" s="4" t="n">
        <v>0</v>
      </c>
      <c r="J655" s="4" t="n">
        <v>0</v>
      </c>
      <c r="K655" s="4" t="n">
        <v>0</v>
      </c>
      <c r="M655" s="2" t="str">
        <f aca="false">IF(C655="","",IFERROR(INDEX($S$5:$S$304,MATCH(C655,$R$5:$R$304,0))&amp;"","?"))</f>
        <v>22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0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30205551</v>
      </c>
      <c r="C656" s="4" t="s">
        <v>2416</v>
      </c>
      <c r="D656" s="4" t="s">
        <v>463</v>
      </c>
      <c r="E656" s="4" t="s">
        <v>2830</v>
      </c>
      <c r="F656" s="127" t="n">
        <v>46640</v>
      </c>
      <c r="G656" s="127" t="n">
        <v>46653</v>
      </c>
      <c r="H656" s="127" t="n">
        <v>46289</v>
      </c>
      <c r="I656" s="4" t="n">
        <v>0</v>
      </c>
      <c r="J656" s="4" t="n">
        <v>0</v>
      </c>
      <c r="K656" s="4" t="n">
        <v>0</v>
      </c>
      <c r="M656" s="2" t="str">
        <f aca="false">IF(C656="","",IFERROR(INDEX($S$5:$S$304,MATCH(C656,$R$5:$R$304,0))&amp;"","?"))</f>
        <v>18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0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30205521</v>
      </c>
      <c r="C657" s="4" t="s">
        <v>168</v>
      </c>
      <c r="D657" s="4" t="s">
        <v>463</v>
      </c>
      <c r="E657" s="4" t="s">
        <v>2832</v>
      </c>
      <c r="F657" s="127" t="n">
        <v>46640</v>
      </c>
      <c r="G657" s="127" t="n">
        <v>46653</v>
      </c>
      <c r="H657" s="127" t="n">
        <v>46289</v>
      </c>
      <c r="I657" s="4" t="n">
        <v>0</v>
      </c>
      <c r="J657" s="4" t="n">
        <v>0</v>
      </c>
      <c r="K657" s="4" t="n">
        <v>0</v>
      </c>
      <c r="M657" s="2" t="str">
        <f aca="false">IF(C657="","",IFERROR(INDEX($S$5:$S$304,MATCH(C657,$R$5:$R$304,0))&amp;"","?"))</f>
        <v>18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0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29941091</v>
      </c>
      <c r="C658" s="4" t="s">
        <v>2341</v>
      </c>
      <c r="D658" s="4" t="s">
        <v>463</v>
      </c>
      <c r="E658" s="4" t="s">
        <v>2833</v>
      </c>
      <c r="F658" s="127" t="n">
        <v>46640</v>
      </c>
      <c r="G658" s="127" t="n">
        <v>46652</v>
      </c>
      <c r="H658" s="127" t="n">
        <v>46289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17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25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31529048</v>
      </c>
      <c r="C659" s="4" t="s">
        <v>2341</v>
      </c>
      <c r="D659" s="4" t="s">
        <v>2312</v>
      </c>
      <c r="E659" s="4" t="s">
        <v>2833</v>
      </c>
      <c r="F659" s="127" t="n">
        <v>46640</v>
      </c>
      <c r="G659" s="127" t="n">
        <v>46646</v>
      </c>
      <c r="H659" s="127" t="n">
        <v>46289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17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25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31529049</v>
      </c>
      <c r="C660" s="4" t="s">
        <v>2341</v>
      </c>
      <c r="D660" s="4" t="s">
        <v>2309</v>
      </c>
      <c r="E660" s="4" t="s">
        <v>2833</v>
      </c>
      <c r="F660" s="127" t="n">
        <v>46647</v>
      </c>
      <c r="G660" s="127" t="n">
        <v>46651</v>
      </c>
      <c r="H660" s="127" t="n">
        <v>46289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17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25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31529050</v>
      </c>
      <c r="C661" s="4" t="s">
        <v>2341</v>
      </c>
      <c r="D661" s="4" t="s">
        <v>2314</v>
      </c>
      <c r="E661" s="4" t="s">
        <v>2833</v>
      </c>
      <c r="F661" s="127" t="n">
        <v>46652</v>
      </c>
      <c r="G661" s="127" t="n">
        <v>46652</v>
      </c>
      <c r="H661" s="127" t="n">
        <v>46289</v>
      </c>
      <c r="I661" s="4" t="n">
        <v>0</v>
      </c>
      <c r="J661" s="4" t="n">
        <v>0</v>
      </c>
      <c r="K661" s="4" t="n">
        <v>0</v>
      </c>
      <c r="M661" s="2" t="str">
        <f aca="false">IF(C661="","",IFERROR(INDEX($S$5:$S$304,MATCH(C661,$R$5:$R$304,0))&amp;"","?"))</f>
        <v>17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25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31529051</v>
      </c>
      <c r="C662" s="4" t="s">
        <v>2341</v>
      </c>
      <c r="D662" s="4" t="s">
        <v>2758</v>
      </c>
      <c r="E662" s="4" t="s">
        <v>2833</v>
      </c>
      <c r="F662" s="127" t="n">
        <v>46652</v>
      </c>
      <c r="G662" s="127" t="n">
        <v>46652</v>
      </c>
      <c r="H662" s="127" t="n">
        <v>46289</v>
      </c>
      <c r="I662" s="4" t="n">
        <v>0</v>
      </c>
      <c r="J662" s="4" t="n">
        <v>0</v>
      </c>
      <c r="K662" s="4" t="n">
        <v>0</v>
      </c>
      <c r="M662" s="2" t="str">
        <f aca="false">IF(C662="","",IFERROR(INDEX($S$5:$S$304,MATCH(C662,$R$5:$R$304,0))&amp;"","?"))</f>
        <v>17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25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29981037</v>
      </c>
      <c r="C663" s="4" t="s">
        <v>2410</v>
      </c>
      <c r="D663" s="4" t="s">
        <v>463</v>
      </c>
      <c r="E663" s="4" t="s">
        <v>2825</v>
      </c>
      <c r="F663" s="127" t="n">
        <v>46644</v>
      </c>
      <c r="G663" s="127" t="n">
        <v>46654</v>
      </c>
      <c r="H663" s="127" t="n">
        <v>46289</v>
      </c>
      <c r="I663" s="4" t="n">
        <v>0</v>
      </c>
      <c r="J663" s="4" t="n">
        <v>0</v>
      </c>
      <c r="K663" s="4" t="n">
        <v>0</v>
      </c>
      <c r="M663" s="2" t="str">
        <f aca="false">IF(C663="","",IFERROR(INDEX($S$5:$S$304,MATCH(C663,$R$5:$R$304,0))&amp;"","?"))</f>
        <v>22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21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29980988</v>
      </c>
      <c r="C664" s="4" t="s">
        <v>168</v>
      </c>
      <c r="D664" s="4" t="s">
        <v>463</v>
      </c>
      <c r="E664" s="4" t="s">
        <v>2827</v>
      </c>
      <c r="F664" s="127" t="n">
        <v>46644</v>
      </c>
      <c r="G664" s="127" t="n">
        <v>46654</v>
      </c>
      <c r="H664" s="127" t="n">
        <v>46289</v>
      </c>
      <c r="I664" s="4" t="n">
        <v>0</v>
      </c>
      <c r="J664" s="4" t="n">
        <v>0</v>
      </c>
      <c r="K664" s="4" t="n">
        <v>0</v>
      </c>
      <c r="M664" s="2" t="str">
        <f aca="false">IF(C664="","",IFERROR(INDEX($S$5:$S$304,MATCH(C664,$R$5:$R$304,0))&amp;"","?"))</f>
        <v>18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22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30171499</v>
      </c>
      <c r="C665" s="4" t="s">
        <v>2495</v>
      </c>
      <c r="D665" s="4" t="s">
        <v>463</v>
      </c>
      <c r="E665" s="4" t="s">
        <v>2817</v>
      </c>
      <c r="F665" s="127" t="n">
        <v>46650</v>
      </c>
      <c r="G665" s="127" t="n">
        <v>46947</v>
      </c>
      <c r="H665" s="127" t="n">
        <v>46289</v>
      </c>
      <c r="I665" s="4" t="n">
        <v>0</v>
      </c>
      <c r="J665" s="4" t="n">
        <v>0</v>
      </c>
      <c r="K665" s="4" t="n">
        <v>0</v>
      </c>
      <c r="M665" s="2" t="str">
        <f aca="false">IF(C665="","",IFERROR(INDEX($S$5:$S$304,MATCH(C665,$R$5:$R$304,0))&amp;"","?"))</f>
        <v>24</v>
      </c>
      <c r="N665" s="2" t="str">
        <f aca="false">IF(E665="","",IF(ISNUMBER(SEARCH("SUBSOLO",E665)),IFERROR(-VALUE(LEFT(E665,FIND("º",SUBSTITUTE(E665,"°","º"))-1)),-1),IF(LEFT(E665,6)="TÉRREO",0,IFERROR(VALUE(LEFT(E665,FIND("º",SUBSTITUTE(E665,"°","º"))-1)),""))))</f>
        <v/>
      </c>
      <c r="O665" s="2" t="str">
        <f aca="false">IF(OR(F665="",G665=""),"",IF(G665&lt;='RETRATO 2027'!$K$5,"CONCLUÍDA",IF(F665&lt;='RETRATO 2027'!$K$5,"EM ANDAMENTO","A INICIAR")))</f>
        <v>EM ANDAMENTO</v>
      </c>
    </row>
    <row r="666" customFormat="false" ht="15" hidden="false" customHeight="false" outlineLevel="0" collapsed="false">
      <c r="B666" s="4" t="n">
        <v>34184758</v>
      </c>
      <c r="C666" s="4" t="s">
        <v>2498</v>
      </c>
      <c r="D666" s="4" t="s">
        <v>463</v>
      </c>
      <c r="E666" s="4" t="s">
        <v>2817</v>
      </c>
      <c r="F666" s="127" t="n">
        <v>46650</v>
      </c>
      <c r="G666" s="127" t="n">
        <v>46969</v>
      </c>
      <c r="H666" s="127" t="n">
        <v>46289</v>
      </c>
      <c r="I666" s="4" t="n">
        <v>0</v>
      </c>
      <c r="J666" s="4" t="n">
        <v>0</v>
      </c>
      <c r="K666" s="4" t="n">
        <v>0</v>
      </c>
      <c r="M666" s="2" t="str">
        <f aca="false">IF(C666="","",IFERROR(INDEX($S$5:$S$304,MATCH(C666,$R$5:$R$304,0))&amp;"","?"))</f>
        <v>30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EM ANDAMENTO</v>
      </c>
    </row>
    <row r="667" customFormat="false" ht="15" hidden="false" customHeight="false" outlineLevel="0" collapsed="false">
      <c r="B667" s="4" t="n">
        <v>29981533</v>
      </c>
      <c r="C667" s="4" t="s">
        <v>2501</v>
      </c>
      <c r="D667" s="4" t="s">
        <v>463</v>
      </c>
      <c r="E667" s="4" t="s">
        <v>2803</v>
      </c>
      <c r="F667" s="127" t="n">
        <v>46650</v>
      </c>
      <c r="G667" s="127" t="n">
        <v>46660</v>
      </c>
      <c r="H667" s="127" t="n">
        <v>46289</v>
      </c>
      <c r="I667" s="4" t="n">
        <v>0</v>
      </c>
      <c r="J667" s="4" t="n">
        <v>0</v>
      </c>
      <c r="K667" s="4" t="n">
        <v>0</v>
      </c>
      <c r="M667" s="2" t="str">
        <f aca="false">IF(C667="","",IFERROR(INDEX($S$5:$S$304,MATCH(C667,$R$5:$R$304,0))&amp;"","?"))</f>
        <v>30</v>
      </c>
      <c r="N667" s="2" t="n">
        <f aca="false">IF(E667="","",IF(ISNUMBER(SEARCH("SUBSOLO",E667)),IFERROR(-VALUE(LEFT(E667,FIND("º",SUBSTITUTE(E667,"°","º"))-1)),-1),IF(LEFT(E667,6)="TÉRREO",0,IFERROR(VALUE(LEFT(E667,FIND("º",SUBSTITUTE(E667,"°","º"))-1)),""))))</f>
        <v>7</v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29981495</v>
      </c>
      <c r="C668" s="4" t="s">
        <v>2486</v>
      </c>
      <c r="D668" s="4" t="s">
        <v>463</v>
      </c>
      <c r="E668" s="4" t="s">
        <v>2804</v>
      </c>
      <c r="F668" s="127" t="n">
        <v>46650</v>
      </c>
      <c r="G668" s="127" t="n">
        <v>46660</v>
      </c>
      <c r="H668" s="127" t="n">
        <v>46289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30</v>
      </c>
      <c r="N668" s="2" t="n">
        <f aca="false">IF(E668="","",IF(ISNUMBER(SEARCH("SUBSOLO",E668)),IFERROR(-VALUE(LEFT(E668,FIND("º",SUBSTITUTE(E668,"°","º"))-1)),-1),IF(LEFT(E668,6)="TÉRREO",0,IFERROR(VALUE(LEFT(E668,FIND("º",SUBSTITUTE(E668,"°","º"))-1)),""))))</f>
        <v>8</v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29981474</v>
      </c>
      <c r="C669" s="4" t="s">
        <v>2480</v>
      </c>
      <c r="D669" s="4" t="s">
        <v>463</v>
      </c>
      <c r="E669" s="4" t="s">
        <v>2805</v>
      </c>
      <c r="F669" s="127" t="n">
        <v>46650</v>
      </c>
      <c r="G669" s="127" t="n">
        <v>46660</v>
      </c>
      <c r="H669" s="127" t="n">
        <v>46289</v>
      </c>
      <c r="I669" s="4" t="n">
        <v>0</v>
      </c>
      <c r="J669" s="4" t="n">
        <v>0</v>
      </c>
      <c r="K669" s="4" t="n">
        <v>0</v>
      </c>
      <c r="M669" s="2" t="str">
        <f aca="false">IF(C669="","",IFERROR(INDEX($S$5:$S$304,MATCH(C669,$R$5:$R$304,0))&amp;"","?"))</f>
        <v>30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9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29981435</v>
      </c>
      <c r="C670" s="4" t="s">
        <v>171</v>
      </c>
      <c r="D670" s="4" t="s">
        <v>463</v>
      </c>
      <c r="E670" s="4" t="s">
        <v>2809</v>
      </c>
      <c r="F670" s="127" t="n">
        <v>46650</v>
      </c>
      <c r="G670" s="127" t="n">
        <v>46660</v>
      </c>
      <c r="H670" s="127" t="n">
        <v>46289</v>
      </c>
      <c r="I670" s="4" t="n">
        <v>0</v>
      </c>
      <c r="J670" s="4" t="n">
        <v>0</v>
      </c>
      <c r="K670" s="4" t="n">
        <v>0</v>
      </c>
      <c r="M670" s="2" t="str">
        <f aca="false">IF(C670="","",IFERROR(INDEX($S$5:$S$304,MATCH(C670,$R$5:$R$304,0))&amp;"","?"))</f>
        <v>19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10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32750437</v>
      </c>
      <c r="C671" s="4" t="s">
        <v>2470</v>
      </c>
      <c r="D671" s="4" t="s">
        <v>463</v>
      </c>
      <c r="E671" s="4" t="s">
        <v>2810</v>
      </c>
      <c r="F671" s="127" t="n">
        <v>46650</v>
      </c>
      <c r="G671" s="127" t="n">
        <v>46660</v>
      </c>
      <c r="H671" s="127" t="n">
        <v>46289</v>
      </c>
      <c r="I671" s="4" t="n">
        <v>0</v>
      </c>
      <c r="J671" s="4" t="n">
        <v>0</v>
      </c>
      <c r="K671" s="4" t="n">
        <v>0</v>
      </c>
      <c r="M671" s="2" t="str">
        <f aca="false">IF(C671="","",IFERROR(INDEX($S$5:$S$304,MATCH(C671,$R$5:$R$304,0))&amp;"","?"))</f>
        <v>18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11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32750360</v>
      </c>
      <c r="C672" s="4" t="s">
        <v>2458</v>
      </c>
      <c r="D672" s="4" t="s">
        <v>463</v>
      </c>
      <c r="E672" s="4" t="s">
        <v>2811</v>
      </c>
      <c r="F672" s="127" t="n">
        <v>46650</v>
      </c>
      <c r="G672" s="127" t="n">
        <v>46660</v>
      </c>
      <c r="H672" s="127" t="n">
        <v>46289</v>
      </c>
      <c r="I672" s="4" t="n">
        <v>0</v>
      </c>
      <c r="J672" s="4" t="n">
        <v>0</v>
      </c>
      <c r="K672" s="4" t="n">
        <v>0</v>
      </c>
      <c r="M672" s="2" t="str">
        <f aca="false">IF(C672="","",IFERROR(INDEX($S$5:$S$304,MATCH(C672,$R$5:$R$304,0))&amp;"","?"))</f>
        <v>21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12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32750386</v>
      </c>
      <c r="C673" s="4" t="s">
        <v>2461</v>
      </c>
      <c r="D673" s="4" t="s">
        <v>463</v>
      </c>
      <c r="E673" s="4" t="s">
        <v>2811</v>
      </c>
      <c r="F673" s="127" t="n">
        <v>46650</v>
      </c>
      <c r="G673" s="127" t="n">
        <v>46660</v>
      </c>
      <c r="H673" s="127" t="n">
        <v>46289</v>
      </c>
      <c r="I673" s="4" t="n">
        <v>0</v>
      </c>
      <c r="J673" s="4" t="n">
        <v>0</v>
      </c>
      <c r="K673" s="4" t="n">
        <v>0</v>
      </c>
      <c r="M673" s="2" t="str">
        <f aca="false">IF(C673="","",IFERROR(INDEX($S$5:$S$304,MATCH(C673,$R$5:$R$304,0))&amp;"","?"))</f>
        <v>20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12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32750412</v>
      </c>
      <c r="C674" s="4" t="s">
        <v>2464</v>
      </c>
      <c r="D674" s="4" t="s">
        <v>463</v>
      </c>
      <c r="E674" s="4" t="s">
        <v>2811</v>
      </c>
      <c r="F674" s="127" t="n">
        <v>46650</v>
      </c>
      <c r="G674" s="127" t="n">
        <v>46660</v>
      </c>
      <c r="H674" s="127" t="n">
        <v>46289</v>
      </c>
      <c r="I674" s="4" t="n">
        <v>0</v>
      </c>
      <c r="J674" s="4" t="n">
        <v>0</v>
      </c>
      <c r="K674" s="4" t="n">
        <v>0</v>
      </c>
      <c r="M674" s="2" t="str">
        <f aca="false">IF(C674="","",IFERROR(INDEX($S$5:$S$304,MATCH(C674,$R$5:$R$304,0))&amp;"","?"))</f>
        <v>21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12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33896830</v>
      </c>
      <c r="C675" s="4" t="s">
        <v>2467</v>
      </c>
      <c r="D675" s="4" t="s">
        <v>463</v>
      </c>
      <c r="E675" s="4" t="s">
        <v>2811</v>
      </c>
      <c r="F675" s="127" t="n">
        <v>46650</v>
      </c>
      <c r="G675" s="127" t="n">
        <v>46660</v>
      </c>
      <c r="H675" s="127" t="n">
        <v>46289</v>
      </c>
      <c r="I675" s="4" t="n">
        <v>0</v>
      </c>
      <c r="J675" s="4" t="n">
        <v>0</v>
      </c>
      <c r="K675" s="4" t="n">
        <v>0</v>
      </c>
      <c r="M675" s="2" t="str">
        <f aca="false">IF(C675="","",IFERROR(INDEX($S$5:$S$304,MATCH(C675,$R$5:$R$304,0))&amp;"","?"))</f>
        <v>23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12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32749856</v>
      </c>
      <c r="C676" s="4" t="s">
        <v>2455</v>
      </c>
      <c r="D676" s="4" t="s">
        <v>463</v>
      </c>
      <c r="E676" s="4" t="s">
        <v>2812</v>
      </c>
      <c r="F676" s="127" t="n">
        <v>46650</v>
      </c>
      <c r="G676" s="127" t="n">
        <v>46660</v>
      </c>
      <c r="H676" s="127" t="n">
        <v>46289</v>
      </c>
      <c r="I676" s="4" t="n">
        <v>0</v>
      </c>
      <c r="J676" s="4" t="n">
        <v>0</v>
      </c>
      <c r="K676" s="4" t="n">
        <v>0</v>
      </c>
      <c r="M676" s="2" t="str">
        <f aca="false">IF(C676="","",IFERROR(INDEX($S$5:$S$304,MATCH(C676,$R$5:$R$304,0))&amp;"","?"))</f>
        <v>18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13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29981288</v>
      </c>
      <c r="C677" s="4" t="s">
        <v>2449</v>
      </c>
      <c r="D677" s="4" t="s">
        <v>463</v>
      </c>
      <c r="E677" s="4" t="s">
        <v>2813</v>
      </c>
      <c r="F677" s="127" t="n">
        <v>46650</v>
      </c>
      <c r="G677" s="127" t="n">
        <v>46660</v>
      </c>
      <c r="H677" s="127" t="n">
        <v>46289</v>
      </c>
      <c r="I677" s="4" t="n">
        <v>0</v>
      </c>
      <c r="J677" s="4" t="n">
        <v>0</v>
      </c>
      <c r="K677" s="4" t="n">
        <v>0</v>
      </c>
      <c r="M677" s="2" t="str">
        <f aca="false">IF(C677="","",IFERROR(INDEX($S$5:$S$304,MATCH(C677,$R$5:$R$304,0))&amp;"","?"))</f>
        <v>28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14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29981228</v>
      </c>
      <c r="C678" s="4" t="s">
        <v>2440</v>
      </c>
      <c r="D678" s="4" t="s">
        <v>463</v>
      </c>
      <c r="E678" s="4" t="s">
        <v>2814</v>
      </c>
      <c r="F678" s="127" t="n">
        <v>46650</v>
      </c>
      <c r="G678" s="127" t="n">
        <v>46660</v>
      </c>
      <c r="H678" s="127" t="n">
        <v>46289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21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15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29981261</v>
      </c>
      <c r="C679" s="4" t="s">
        <v>2443</v>
      </c>
      <c r="D679" s="4" t="s">
        <v>463</v>
      </c>
      <c r="E679" s="4" t="s">
        <v>2814</v>
      </c>
      <c r="F679" s="127" t="n">
        <v>46650</v>
      </c>
      <c r="G679" s="127" t="n">
        <v>46660</v>
      </c>
      <c r="H679" s="127" t="n">
        <v>46289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20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15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29981190</v>
      </c>
      <c r="C680" s="4" t="s">
        <v>2437</v>
      </c>
      <c r="D680" s="4" t="s">
        <v>463</v>
      </c>
      <c r="E680" s="4" t="s">
        <v>2815</v>
      </c>
      <c r="F680" s="127" t="n">
        <v>46650</v>
      </c>
      <c r="G680" s="127" t="n">
        <v>46660</v>
      </c>
      <c r="H680" s="127" t="n">
        <v>46289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29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16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29981156</v>
      </c>
      <c r="C681" s="4" t="s">
        <v>2434</v>
      </c>
      <c r="D681" s="4" t="s">
        <v>463</v>
      </c>
      <c r="E681" s="4" t="s">
        <v>2818</v>
      </c>
      <c r="F681" s="127" t="n">
        <v>46650</v>
      </c>
      <c r="G681" s="127" t="n">
        <v>46660</v>
      </c>
      <c r="H681" s="127" t="n">
        <v>46289</v>
      </c>
      <c r="I681" s="4" t="n">
        <v>0</v>
      </c>
      <c r="J681" s="4" t="n">
        <v>0</v>
      </c>
      <c r="K681" s="4" t="n">
        <v>0</v>
      </c>
      <c r="M681" s="2" t="str">
        <f aca="false">IF(C681="","",IFERROR(INDEX($S$5:$S$304,MATCH(C681,$R$5:$R$304,0))&amp;"","?"))</f>
        <v>25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17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29981149</v>
      </c>
      <c r="C682" s="4" t="s">
        <v>2425</v>
      </c>
      <c r="D682" s="4" t="s">
        <v>463</v>
      </c>
      <c r="E682" s="4" t="s">
        <v>2820</v>
      </c>
      <c r="F682" s="127" t="n">
        <v>46650</v>
      </c>
      <c r="G682" s="127" t="n">
        <v>46660</v>
      </c>
      <c r="H682" s="127" t="n">
        <v>46289</v>
      </c>
      <c r="I682" s="4" t="n">
        <v>0</v>
      </c>
      <c r="J682" s="4" t="n">
        <v>0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18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29981118</v>
      </c>
      <c r="C683" s="4" t="s">
        <v>2428</v>
      </c>
      <c r="D683" s="4" t="s">
        <v>463</v>
      </c>
      <c r="E683" s="4" t="s">
        <v>2820</v>
      </c>
      <c r="F683" s="127" t="n">
        <v>46650</v>
      </c>
      <c r="G683" s="127" t="n">
        <v>46660</v>
      </c>
      <c r="H683" s="127" t="n">
        <v>46289</v>
      </c>
      <c r="I683" s="4" t="n">
        <v>0</v>
      </c>
      <c r="J683" s="4" t="n">
        <v>0</v>
      </c>
      <c r="K683" s="4" t="n">
        <v>0</v>
      </c>
      <c r="M683" s="2" t="str">
        <f aca="false">IF(C683="","",IFERROR(INDEX($S$5:$S$304,MATCH(C683,$R$5:$R$304,0))&amp;"","?"))</f>
        <v>20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18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29981151</v>
      </c>
      <c r="C684" s="4" t="s">
        <v>2431</v>
      </c>
      <c r="D684" s="4" t="s">
        <v>463</v>
      </c>
      <c r="E684" s="4" t="s">
        <v>2820</v>
      </c>
      <c r="F684" s="127" t="n">
        <v>46650</v>
      </c>
      <c r="G684" s="127" t="n">
        <v>46660</v>
      </c>
      <c r="H684" s="127" t="n">
        <v>46289</v>
      </c>
      <c r="I684" s="4" t="n">
        <v>0</v>
      </c>
      <c r="J684" s="4" t="n">
        <v>0</v>
      </c>
      <c r="K684" s="4" t="n">
        <v>0</v>
      </c>
      <c r="M684" s="2" t="str">
        <f aca="false">IF(C684="","",IFERROR(INDEX($S$5:$S$304,MATCH(C684,$R$5:$R$304,0))&amp;"","?"))</f>
        <v>21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18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29981061</v>
      </c>
      <c r="C685" s="4" t="s">
        <v>2422</v>
      </c>
      <c r="D685" s="4" t="s">
        <v>463</v>
      </c>
      <c r="E685" s="4" t="s">
        <v>2823</v>
      </c>
      <c r="F685" s="127" t="n">
        <v>46650</v>
      </c>
      <c r="G685" s="127" t="n">
        <v>46660</v>
      </c>
      <c r="H685" s="127" t="n">
        <v>46289</v>
      </c>
      <c r="I685" s="4" t="n">
        <v>0</v>
      </c>
      <c r="J685" s="4" t="n">
        <v>0</v>
      </c>
      <c r="K685" s="4" t="n">
        <v>0</v>
      </c>
      <c r="M685" s="2" t="str">
        <f aca="false">IF(C685="","",IFERROR(INDEX($S$5:$S$304,MATCH(C685,$R$5:$R$304,0))&amp;"","?"))</f>
        <v>29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20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29981027</v>
      </c>
      <c r="C686" s="4" t="s">
        <v>2413</v>
      </c>
      <c r="D686" s="4" t="s">
        <v>463</v>
      </c>
      <c r="E686" s="4" t="s">
        <v>2825</v>
      </c>
      <c r="F686" s="127" t="n">
        <v>46650</v>
      </c>
      <c r="G686" s="127" t="n">
        <v>46660</v>
      </c>
      <c r="H686" s="127" t="n">
        <v>46289</v>
      </c>
      <c r="I686" s="4" t="n">
        <v>0</v>
      </c>
      <c r="J686" s="4" t="n">
        <v>0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21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29981026</v>
      </c>
      <c r="C687" s="4" t="s">
        <v>2416</v>
      </c>
      <c r="D687" s="4" t="s">
        <v>463</v>
      </c>
      <c r="E687" s="4" t="s">
        <v>2825</v>
      </c>
      <c r="F687" s="127" t="n">
        <v>46652</v>
      </c>
      <c r="G687" s="127" t="n">
        <v>46664</v>
      </c>
      <c r="H687" s="127" t="n">
        <v>46289</v>
      </c>
      <c r="I687" s="4" t="n">
        <v>0</v>
      </c>
      <c r="J687" s="4" t="n">
        <v>0</v>
      </c>
      <c r="K687" s="4" t="n">
        <v>0</v>
      </c>
      <c r="M687" s="2" t="str">
        <f aca="false">IF(C687="","",IFERROR(INDEX($S$5:$S$304,MATCH(C687,$R$5:$R$304,0))&amp;"","?"))</f>
        <v>18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21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29941111</v>
      </c>
      <c r="C688" s="4" t="s">
        <v>2341</v>
      </c>
      <c r="D688" s="4" t="s">
        <v>463</v>
      </c>
      <c r="E688" s="4" t="s">
        <v>2834</v>
      </c>
      <c r="F688" s="127" t="n">
        <v>46653</v>
      </c>
      <c r="G688" s="127" t="n">
        <v>46664</v>
      </c>
      <c r="H688" s="127" t="n">
        <v>46289</v>
      </c>
      <c r="I688" s="4" t="n">
        <v>0</v>
      </c>
      <c r="J688" s="4" t="n">
        <v>0</v>
      </c>
      <c r="K688" s="4" t="n">
        <v>0</v>
      </c>
      <c r="M688" s="2" t="str">
        <f aca="false">IF(C688="","",IFERROR(INDEX($S$5:$S$304,MATCH(C688,$R$5:$R$304,0))&amp;"","?"))</f>
        <v>17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26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31529054</v>
      </c>
      <c r="C689" s="4" t="s">
        <v>2341</v>
      </c>
      <c r="D689" s="4" t="s">
        <v>2312</v>
      </c>
      <c r="E689" s="4" t="s">
        <v>2834</v>
      </c>
      <c r="F689" s="127" t="n">
        <v>46653</v>
      </c>
      <c r="G689" s="127" t="n">
        <v>46658</v>
      </c>
      <c r="H689" s="127" t="n">
        <v>46289</v>
      </c>
      <c r="I689" s="4" t="n">
        <v>0</v>
      </c>
      <c r="J689" s="4" t="n">
        <v>0</v>
      </c>
      <c r="K689" s="4" t="n">
        <v>0</v>
      </c>
      <c r="M689" s="2" t="str">
        <f aca="false">IF(C689="","",IFERROR(INDEX($S$5:$S$304,MATCH(C689,$R$5:$R$304,0))&amp;"","?"))</f>
        <v>17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26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31529055</v>
      </c>
      <c r="C690" s="4" t="s">
        <v>2341</v>
      </c>
      <c r="D690" s="4" t="s">
        <v>2309</v>
      </c>
      <c r="E690" s="4" t="s">
        <v>2834</v>
      </c>
      <c r="F690" s="127" t="n">
        <v>46659</v>
      </c>
      <c r="G690" s="127" t="n">
        <v>46661</v>
      </c>
      <c r="H690" s="127" t="n">
        <v>46289</v>
      </c>
      <c r="I690" s="4" t="n">
        <v>0</v>
      </c>
      <c r="J690" s="4" t="n">
        <v>0</v>
      </c>
      <c r="K690" s="4" t="n">
        <v>0</v>
      </c>
      <c r="M690" s="2" t="str">
        <f aca="false">IF(C690="","",IFERROR(INDEX($S$5:$S$304,MATCH(C690,$R$5:$R$304,0))&amp;"","?"))</f>
        <v>17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26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31529056</v>
      </c>
      <c r="C691" s="4" t="s">
        <v>2341</v>
      </c>
      <c r="D691" s="4" t="s">
        <v>2314</v>
      </c>
      <c r="E691" s="4" t="s">
        <v>2834</v>
      </c>
      <c r="F691" s="127" t="n">
        <v>46664</v>
      </c>
      <c r="G691" s="127" t="n">
        <v>46664</v>
      </c>
      <c r="H691" s="127" t="n">
        <v>46289</v>
      </c>
      <c r="I691" s="4" t="n">
        <v>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17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26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31529057</v>
      </c>
      <c r="C692" s="4" t="s">
        <v>2341</v>
      </c>
      <c r="D692" s="4" t="s">
        <v>2758</v>
      </c>
      <c r="E692" s="4" t="s">
        <v>2834</v>
      </c>
      <c r="F692" s="127" t="n">
        <v>46664</v>
      </c>
      <c r="G692" s="127" t="n">
        <v>46664</v>
      </c>
      <c r="H692" s="127" t="n">
        <v>46289</v>
      </c>
      <c r="I692" s="4" t="n">
        <v>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17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26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30205708</v>
      </c>
      <c r="C693" s="4" t="s">
        <v>2480</v>
      </c>
      <c r="D693" s="4" t="s">
        <v>463</v>
      </c>
      <c r="E693" s="4" t="s">
        <v>2819</v>
      </c>
      <c r="F693" s="127" t="n">
        <v>46654</v>
      </c>
      <c r="G693" s="127" t="n">
        <v>46667</v>
      </c>
      <c r="H693" s="127" t="n">
        <v>46289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30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0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30205674</v>
      </c>
      <c r="C694" s="4" t="s">
        <v>2492</v>
      </c>
      <c r="D694" s="4" t="s">
        <v>463</v>
      </c>
      <c r="E694" s="4" t="s">
        <v>2821</v>
      </c>
      <c r="F694" s="127" t="n">
        <v>46654</v>
      </c>
      <c r="G694" s="127" t="n">
        <v>46667</v>
      </c>
      <c r="H694" s="127" t="n">
        <v>46289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18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0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30205646</v>
      </c>
      <c r="C695" s="4" t="s">
        <v>2449</v>
      </c>
      <c r="D695" s="4" t="s">
        <v>463</v>
      </c>
      <c r="E695" s="4" t="s">
        <v>2824</v>
      </c>
      <c r="F695" s="127" t="n">
        <v>46654</v>
      </c>
      <c r="G695" s="127" t="n">
        <v>46667</v>
      </c>
      <c r="H695" s="127" t="n">
        <v>46289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28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0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31803887</v>
      </c>
      <c r="C696" s="4" t="s">
        <v>2483</v>
      </c>
      <c r="D696" s="4" t="s">
        <v>463</v>
      </c>
      <c r="E696" s="4" t="s">
        <v>2824</v>
      </c>
      <c r="F696" s="127" t="n">
        <v>46654</v>
      </c>
      <c r="G696" s="127" t="n">
        <v>46702</v>
      </c>
      <c r="H696" s="127" t="n">
        <v>46289</v>
      </c>
      <c r="I696" s="4" t="n">
        <v>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32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0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30205615</v>
      </c>
      <c r="C697" s="4" t="s">
        <v>2437</v>
      </c>
      <c r="D697" s="4" t="s">
        <v>463</v>
      </c>
      <c r="E697" s="4" t="s">
        <v>2826</v>
      </c>
      <c r="F697" s="127" t="n">
        <v>46654</v>
      </c>
      <c r="G697" s="127" t="n">
        <v>46667</v>
      </c>
      <c r="H697" s="127" t="n">
        <v>46289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29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0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30205584</v>
      </c>
      <c r="C698" s="4" t="s">
        <v>2428</v>
      </c>
      <c r="D698" s="4" t="s">
        <v>463</v>
      </c>
      <c r="E698" s="4" t="s">
        <v>2828</v>
      </c>
      <c r="F698" s="127" t="n">
        <v>46654</v>
      </c>
      <c r="G698" s="127" t="n">
        <v>46664</v>
      </c>
      <c r="H698" s="127" t="n">
        <v>46289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20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0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30205585</v>
      </c>
      <c r="C699" s="4" t="s">
        <v>2452</v>
      </c>
      <c r="D699" s="4" t="s">
        <v>463</v>
      </c>
      <c r="E699" s="4" t="s">
        <v>2828</v>
      </c>
      <c r="F699" s="127" t="n">
        <v>46654</v>
      </c>
      <c r="G699" s="127" t="n">
        <v>46667</v>
      </c>
      <c r="H699" s="127" t="n">
        <v>46289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21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0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30205556</v>
      </c>
      <c r="C700" s="4" t="s">
        <v>2422</v>
      </c>
      <c r="D700" s="4" t="s">
        <v>463</v>
      </c>
      <c r="E700" s="4" t="s">
        <v>2830</v>
      </c>
      <c r="F700" s="127" t="n">
        <v>46654</v>
      </c>
      <c r="G700" s="127" t="n">
        <v>46667</v>
      </c>
      <c r="H700" s="127" t="n">
        <v>46289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29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0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30205523</v>
      </c>
      <c r="C701" s="4" t="s">
        <v>2413</v>
      </c>
      <c r="D701" s="4" t="s">
        <v>463</v>
      </c>
      <c r="E701" s="4" t="s">
        <v>2832</v>
      </c>
      <c r="F701" s="127" t="n">
        <v>46654</v>
      </c>
      <c r="G701" s="127" t="n">
        <v>46667</v>
      </c>
      <c r="H701" s="127" t="n">
        <v>46289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21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0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30205522</v>
      </c>
      <c r="C702" s="4" t="s">
        <v>2410</v>
      </c>
      <c r="D702" s="4" t="s">
        <v>463</v>
      </c>
      <c r="E702" s="4" t="s">
        <v>2832</v>
      </c>
      <c r="F702" s="127" t="n">
        <v>46654</v>
      </c>
      <c r="G702" s="127" t="n">
        <v>46667</v>
      </c>
      <c r="H702" s="127" t="n">
        <v>46289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22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0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30205524</v>
      </c>
      <c r="C703" s="4" t="s">
        <v>2416</v>
      </c>
      <c r="D703" s="4" t="s">
        <v>463</v>
      </c>
      <c r="E703" s="4" t="s">
        <v>2832</v>
      </c>
      <c r="F703" s="127" t="n">
        <v>46654</v>
      </c>
      <c r="G703" s="127" t="n">
        <v>46667</v>
      </c>
      <c r="H703" s="127" t="n">
        <v>46289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18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0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30205775</v>
      </c>
      <c r="C704" s="4" t="s">
        <v>168</v>
      </c>
      <c r="D704" s="4" t="s">
        <v>463</v>
      </c>
      <c r="E704" s="4" t="s">
        <v>2835</v>
      </c>
      <c r="F704" s="127" t="n">
        <v>46654</v>
      </c>
      <c r="G704" s="127" t="n">
        <v>46675</v>
      </c>
      <c r="H704" s="127" t="n">
        <v>46289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18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0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34179684</v>
      </c>
      <c r="C705" s="4" t="s">
        <v>77</v>
      </c>
      <c r="D705" s="4" t="s">
        <v>463</v>
      </c>
      <c r="E705" s="4" t="s">
        <v>2836</v>
      </c>
      <c r="F705" s="127" t="n">
        <v>46654</v>
      </c>
      <c r="G705" s="127" t="n">
        <v>46720</v>
      </c>
      <c r="H705" s="127" t="n">
        <v>46289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20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0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34179687</v>
      </c>
      <c r="C706" s="4" t="s">
        <v>2505</v>
      </c>
      <c r="D706" s="4" t="s">
        <v>463</v>
      </c>
      <c r="E706" s="4" t="s">
        <v>2836</v>
      </c>
      <c r="F706" s="127" t="n">
        <v>46654</v>
      </c>
      <c r="G706" s="127" t="n">
        <v>46720</v>
      </c>
      <c r="H706" s="127" t="n">
        <v>46289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21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0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30205762</v>
      </c>
      <c r="C707" s="4" t="s">
        <v>77</v>
      </c>
      <c r="D707" s="4" t="s">
        <v>463</v>
      </c>
      <c r="E707" s="4" t="s">
        <v>2837</v>
      </c>
      <c r="F707" s="127" t="n">
        <v>46654</v>
      </c>
      <c r="G707" s="127" t="n">
        <v>46720</v>
      </c>
      <c r="H707" s="127" t="n">
        <v>46289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20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0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30205763</v>
      </c>
      <c r="C708" s="4" t="s">
        <v>2505</v>
      </c>
      <c r="D708" s="4" t="s">
        <v>463</v>
      </c>
      <c r="E708" s="4" t="s">
        <v>2837</v>
      </c>
      <c r="F708" s="127" t="n">
        <v>46654</v>
      </c>
      <c r="G708" s="127" t="n">
        <v>46720</v>
      </c>
      <c r="H708" s="127" t="n">
        <v>46289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21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29981000</v>
      </c>
      <c r="C709" s="4" t="s">
        <v>2410</v>
      </c>
      <c r="D709" s="4" t="s">
        <v>463</v>
      </c>
      <c r="E709" s="4" t="s">
        <v>2827</v>
      </c>
      <c r="F709" s="127" t="n">
        <v>46657</v>
      </c>
      <c r="G709" s="127" t="n">
        <v>46667</v>
      </c>
      <c r="H709" s="127" t="n">
        <v>46289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22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22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29980951</v>
      </c>
      <c r="C710" s="4" t="s">
        <v>168</v>
      </c>
      <c r="D710" s="4" t="s">
        <v>463</v>
      </c>
      <c r="E710" s="4" t="s">
        <v>2829</v>
      </c>
      <c r="F710" s="127" t="n">
        <v>46657</v>
      </c>
      <c r="G710" s="127" t="n">
        <v>46667</v>
      </c>
      <c r="H710" s="127" t="n">
        <v>46289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18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23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29981549</v>
      </c>
      <c r="C711" s="4" t="s">
        <v>2508</v>
      </c>
      <c r="D711" s="4" t="s">
        <v>463</v>
      </c>
      <c r="E711" s="4" t="s">
        <v>2803</v>
      </c>
      <c r="F711" s="127" t="n">
        <v>46661</v>
      </c>
      <c r="G711" s="127" t="n">
        <v>46674</v>
      </c>
      <c r="H711" s="127" t="n">
        <v>46289</v>
      </c>
      <c r="I711" s="4" t="n">
        <v>0</v>
      </c>
      <c r="J711" s="4" t="n">
        <v>0</v>
      </c>
      <c r="K711" s="4" t="n">
        <v>0</v>
      </c>
      <c r="M711" s="2" t="str">
        <f aca="false">IF(C711="","",IFERROR(INDEX($S$5:$S$304,MATCH(C711,$R$5:$R$304,0))&amp;"","?"))</f>
        <v>20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7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29981554</v>
      </c>
      <c r="C712" s="4" t="s">
        <v>2511</v>
      </c>
      <c r="D712" s="4" t="s">
        <v>463</v>
      </c>
      <c r="E712" s="4" t="s">
        <v>2803</v>
      </c>
      <c r="F712" s="127" t="n">
        <v>46661</v>
      </c>
      <c r="G712" s="127" t="n">
        <v>46674</v>
      </c>
      <c r="H712" s="127" t="n">
        <v>46289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20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7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30214069</v>
      </c>
      <c r="C713" s="4" t="s">
        <v>2514</v>
      </c>
      <c r="D713" s="4" t="s">
        <v>463</v>
      </c>
      <c r="E713" s="4" t="s">
        <v>2803</v>
      </c>
      <c r="F713" s="127" t="n">
        <v>46661</v>
      </c>
      <c r="G713" s="127" t="n">
        <v>46675</v>
      </c>
      <c r="H713" s="127" t="n">
        <v>46289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20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7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29981496</v>
      </c>
      <c r="C714" s="4" t="s">
        <v>2501</v>
      </c>
      <c r="D714" s="4" t="s">
        <v>463</v>
      </c>
      <c r="E714" s="4" t="s">
        <v>2804</v>
      </c>
      <c r="F714" s="127" t="n">
        <v>46661</v>
      </c>
      <c r="G714" s="127" t="n">
        <v>46674</v>
      </c>
      <c r="H714" s="127" t="n">
        <v>46289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30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8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29981458</v>
      </c>
      <c r="C715" s="4" t="s">
        <v>2486</v>
      </c>
      <c r="D715" s="4" t="s">
        <v>463</v>
      </c>
      <c r="E715" s="4" t="s">
        <v>2805</v>
      </c>
      <c r="F715" s="127" t="n">
        <v>46661</v>
      </c>
      <c r="G715" s="127" t="n">
        <v>46674</v>
      </c>
      <c r="H715" s="127" t="n">
        <v>46289</v>
      </c>
      <c r="I715" s="4" t="n">
        <v>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30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9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29981437</v>
      </c>
      <c r="C716" s="4" t="s">
        <v>2480</v>
      </c>
      <c r="D716" s="4" t="s">
        <v>463</v>
      </c>
      <c r="E716" s="4" t="s">
        <v>2809</v>
      </c>
      <c r="F716" s="127" t="n">
        <v>46661</v>
      </c>
      <c r="G716" s="127" t="n">
        <v>46674</v>
      </c>
      <c r="H716" s="127" t="n">
        <v>46289</v>
      </c>
      <c r="I716" s="4" t="n">
        <v>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30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10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29981398</v>
      </c>
      <c r="C717" s="4" t="s">
        <v>171</v>
      </c>
      <c r="D717" s="4" t="s">
        <v>463</v>
      </c>
      <c r="E717" s="4" t="s">
        <v>2810</v>
      </c>
      <c r="F717" s="127" t="n">
        <v>46661</v>
      </c>
      <c r="G717" s="127" t="n">
        <v>46674</v>
      </c>
      <c r="H717" s="127" t="n">
        <v>46289</v>
      </c>
      <c r="I717" s="4" t="n">
        <v>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19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11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32750438</v>
      </c>
      <c r="C718" s="4" t="s">
        <v>2470</v>
      </c>
      <c r="D718" s="4" t="s">
        <v>463</v>
      </c>
      <c r="E718" s="4" t="s">
        <v>2811</v>
      </c>
      <c r="F718" s="127" t="n">
        <v>46661</v>
      </c>
      <c r="G718" s="127" t="n">
        <v>46674</v>
      </c>
      <c r="H718" s="127" t="n">
        <v>46289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18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12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32750361</v>
      </c>
      <c r="C719" s="4" t="s">
        <v>2458</v>
      </c>
      <c r="D719" s="4" t="s">
        <v>463</v>
      </c>
      <c r="E719" s="4" t="s">
        <v>2812</v>
      </c>
      <c r="F719" s="127" t="n">
        <v>46661</v>
      </c>
      <c r="G719" s="127" t="n">
        <v>46674</v>
      </c>
      <c r="H719" s="127" t="n">
        <v>46289</v>
      </c>
      <c r="I719" s="4" t="n">
        <v>0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21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13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32750387</v>
      </c>
      <c r="C720" s="4" t="s">
        <v>2461</v>
      </c>
      <c r="D720" s="4" t="s">
        <v>463</v>
      </c>
      <c r="E720" s="4" t="s">
        <v>2812</v>
      </c>
      <c r="F720" s="127" t="n">
        <v>46661</v>
      </c>
      <c r="G720" s="127" t="n">
        <v>46674</v>
      </c>
      <c r="H720" s="127" t="n">
        <v>46289</v>
      </c>
      <c r="I720" s="4" t="n">
        <v>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20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13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32750413</v>
      </c>
      <c r="C721" s="4" t="s">
        <v>2464</v>
      </c>
      <c r="D721" s="4" t="s">
        <v>463</v>
      </c>
      <c r="E721" s="4" t="s">
        <v>2812</v>
      </c>
      <c r="F721" s="127" t="n">
        <v>46661</v>
      </c>
      <c r="G721" s="127" t="n">
        <v>46674</v>
      </c>
      <c r="H721" s="127" t="n">
        <v>46289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21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13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33896831</v>
      </c>
      <c r="C722" s="4" t="s">
        <v>2467</v>
      </c>
      <c r="D722" s="4" t="s">
        <v>463</v>
      </c>
      <c r="E722" s="4" t="s">
        <v>2812</v>
      </c>
      <c r="F722" s="127" t="n">
        <v>46661</v>
      </c>
      <c r="G722" s="127" t="n">
        <v>46674</v>
      </c>
      <c r="H722" s="127" t="n">
        <v>46289</v>
      </c>
      <c r="I722" s="4" t="n">
        <v>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23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13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32749857</v>
      </c>
      <c r="C723" s="4" t="s">
        <v>2455</v>
      </c>
      <c r="D723" s="4" t="s">
        <v>463</v>
      </c>
      <c r="E723" s="4" t="s">
        <v>2813</v>
      </c>
      <c r="F723" s="127" t="n">
        <v>46661</v>
      </c>
      <c r="G723" s="127" t="n">
        <v>46674</v>
      </c>
      <c r="H723" s="127" t="n">
        <v>46289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18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14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29981251</v>
      </c>
      <c r="C724" s="4" t="s">
        <v>2449</v>
      </c>
      <c r="D724" s="4" t="s">
        <v>463</v>
      </c>
      <c r="E724" s="4" t="s">
        <v>2814</v>
      </c>
      <c r="F724" s="127" t="n">
        <v>46661</v>
      </c>
      <c r="G724" s="127" t="n">
        <v>46674</v>
      </c>
      <c r="H724" s="127" t="n">
        <v>46289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28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15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29981191</v>
      </c>
      <c r="C725" s="4" t="s">
        <v>2440</v>
      </c>
      <c r="D725" s="4" t="s">
        <v>463</v>
      </c>
      <c r="E725" s="4" t="s">
        <v>2815</v>
      </c>
      <c r="F725" s="127" t="n">
        <v>46661</v>
      </c>
      <c r="G725" s="127" t="n">
        <v>46674</v>
      </c>
      <c r="H725" s="127" t="n">
        <v>46289</v>
      </c>
      <c r="I725" s="4" t="n">
        <v>0</v>
      </c>
      <c r="J725" s="4" t="n">
        <v>0</v>
      </c>
      <c r="K725" s="4" t="n">
        <v>0</v>
      </c>
      <c r="M725" s="2" t="str">
        <f aca="false">IF(C725="","",IFERROR(INDEX($S$5:$S$304,MATCH(C725,$R$5:$R$304,0))&amp;"","?"))</f>
        <v>21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16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29981224</v>
      </c>
      <c r="C726" s="4" t="s">
        <v>2443</v>
      </c>
      <c r="D726" s="4" t="s">
        <v>463</v>
      </c>
      <c r="E726" s="4" t="s">
        <v>2815</v>
      </c>
      <c r="F726" s="127" t="n">
        <v>46661</v>
      </c>
      <c r="G726" s="127" t="n">
        <v>46674</v>
      </c>
      <c r="H726" s="127" t="n">
        <v>46289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20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16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29981153</v>
      </c>
      <c r="C727" s="4" t="s">
        <v>2437</v>
      </c>
      <c r="D727" s="4" t="s">
        <v>463</v>
      </c>
      <c r="E727" s="4" t="s">
        <v>2818</v>
      </c>
      <c r="F727" s="127" t="n">
        <v>46661</v>
      </c>
      <c r="G727" s="127" t="n">
        <v>46674</v>
      </c>
      <c r="H727" s="127" t="n">
        <v>46289</v>
      </c>
      <c r="I727" s="4" t="n">
        <v>0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29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17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29981119</v>
      </c>
      <c r="C728" s="4" t="s">
        <v>2434</v>
      </c>
      <c r="D728" s="4" t="s">
        <v>463</v>
      </c>
      <c r="E728" s="4" t="s">
        <v>2820</v>
      </c>
      <c r="F728" s="127" t="n">
        <v>46661</v>
      </c>
      <c r="G728" s="127" t="n">
        <v>46674</v>
      </c>
      <c r="H728" s="127" t="n">
        <v>46289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25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18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29981075</v>
      </c>
      <c r="C729" s="4" t="s">
        <v>2425</v>
      </c>
      <c r="D729" s="4" t="s">
        <v>463</v>
      </c>
      <c r="E729" s="4" t="s">
        <v>2823</v>
      </c>
      <c r="F729" s="127" t="n">
        <v>46661</v>
      </c>
      <c r="G729" s="127" t="n">
        <v>46674</v>
      </c>
      <c r="H729" s="127" t="n">
        <v>46289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21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20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29981044</v>
      </c>
      <c r="C730" s="4" t="s">
        <v>2428</v>
      </c>
      <c r="D730" s="4" t="s">
        <v>463</v>
      </c>
      <c r="E730" s="4" t="s">
        <v>2823</v>
      </c>
      <c r="F730" s="127" t="n">
        <v>46661</v>
      </c>
      <c r="G730" s="127" t="n">
        <v>46674</v>
      </c>
      <c r="H730" s="127" t="n">
        <v>46289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20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20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29981077</v>
      </c>
      <c r="C731" s="4" t="s">
        <v>2431</v>
      </c>
      <c r="D731" s="4" t="s">
        <v>463</v>
      </c>
      <c r="E731" s="4" t="s">
        <v>2823</v>
      </c>
      <c r="F731" s="127" t="n">
        <v>46661</v>
      </c>
      <c r="G731" s="127" t="n">
        <v>46674</v>
      </c>
      <c r="H731" s="127" t="n">
        <v>46289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21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20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29981024</v>
      </c>
      <c r="C732" s="4" t="s">
        <v>2422</v>
      </c>
      <c r="D732" s="4" t="s">
        <v>463</v>
      </c>
      <c r="E732" s="4" t="s">
        <v>2825</v>
      </c>
      <c r="F732" s="127" t="n">
        <v>46661</v>
      </c>
      <c r="G732" s="127" t="n">
        <v>46674</v>
      </c>
      <c r="H732" s="127" t="n">
        <v>46289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29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21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29980990</v>
      </c>
      <c r="C733" s="4" t="s">
        <v>2413</v>
      </c>
      <c r="D733" s="4" t="s">
        <v>463</v>
      </c>
      <c r="E733" s="4" t="s">
        <v>2827</v>
      </c>
      <c r="F733" s="127" t="n">
        <v>46661</v>
      </c>
      <c r="G733" s="127" t="n">
        <v>46674</v>
      </c>
      <c r="H733" s="127" t="n">
        <v>46289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21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22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30205715</v>
      </c>
      <c r="C734" s="4" t="s">
        <v>2413</v>
      </c>
      <c r="D734" s="4" t="s">
        <v>463</v>
      </c>
      <c r="E734" s="4" t="s">
        <v>2740</v>
      </c>
      <c r="F734" s="127" t="n">
        <v>46664</v>
      </c>
      <c r="G734" s="127" t="n">
        <v>46678</v>
      </c>
      <c r="H734" s="127" t="n">
        <v>46289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21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-1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30205716</v>
      </c>
      <c r="C735" s="4" t="s">
        <v>2443</v>
      </c>
      <c r="D735" s="4" t="s">
        <v>463</v>
      </c>
      <c r="E735" s="4" t="s">
        <v>2740</v>
      </c>
      <c r="F735" s="127" t="n">
        <v>46664</v>
      </c>
      <c r="G735" s="127" t="n">
        <v>46695</v>
      </c>
      <c r="H735" s="127" t="n">
        <v>46289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20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-1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30205728</v>
      </c>
      <c r="C736" s="4" t="s">
        <v>2517</v>
      </c>
      <c r="D736" s="4" t="s">
        <v>463</v>
      </c>
      <c r="E736" s="4" t="s">
        <v>2740</v>
      </c>
      <c r="F736" s="127" t="n">
        <v>46664</v>
      </c>
      <c r="G736" s="127" t="n">
        <v>46678</v>
      </c>
      <c r="H736" s="127" t="n">
        <v>46289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22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-1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29980989</v>
      </c>
      <c r="C737" s="4" t="s">
        <v>2416</v>
      </c>
      <c r="D737" s="4" t="s">
        <v>463</v>
      </c>
      <c r="E737" s="4" t="s">
        <v>2827</v>
      </c>
      <c r="F737" s="127" t="n">
        <v>46665</v>
      </c>
      <c r="G737" s="127" t="n">
        <v>46678</v>
      </c>
      <c r="H737" s="127" t="n">
        <v>46289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18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22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29940965</v>
      </c>
      <c r="C738" s="4" t="s">
        <v>2341</v>
      </c>
      <c r="D738" s="4" t="s">
        <v>463</v>
      </c>
      <c r="E738" s="4" t="s">
        <v>2838</v>
      </c>
      <c r="F738" s="127" t="n">
        <v>46665</v>
      </c>
      <c r="G738" s="127" t="n">
        <v>46678</v>
      </c>
      <c r="H738" s="127" t="n">
        <v>46289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27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31529058</v>
      </c>
      <c r="C739" s="4" t="s">
        <v>2341</v>
      </c>
      <c r="D739" s="4" t="s">
        <v>2312</v>
      </c>
      <c r="E739" s="4" t="s">
        <v>2838</v>
      </c>
      <c r="F739" s="127" t="n">
        <v>46665</v>
      </c>
      <c r="G739" s="127" t="n">
        <v>46671</v>
      </c>
      <c r="H739" s="127" t="n">
        <v>46289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27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31529059</v>
      </c>
      <c r="C740" s="4" t="s">
        <v>2341</v>
      </c>
      <c r="D740" s="4" t="s">
        <v>2309</v>
      </c>
      <c r="E740" s="4" t="s">
        <v>2838</v>
      </c>
      <c r="F740" s="127" t="n">
        <v>46673</v>
      </c>
      <c r="G740" s="127" t="n">
        <v>46675</v>
      </c>
      <c r="H740" s="127" t="n">
        <v>46289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27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31529060</v>
      </c>
      <c r="C741" s="4" t="s">
        <v>2341</v>
      </c>
      <c r="D741" s="4" t="s">
        <v>2314</v>
      </c>
      <c r="E741" s="4" t="s">
        <v>2838</v>
      </c>
      <c r="F741" s="127" t="n">
        <v>46678</v>
      </c>
      <c r="G741" s="127" t="n">
        <v>46678</v>
      </c>
      <c r="H741" s="127" t="n">
        <v>46289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27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31529061</v>
      </c>
      <c r="C742" s="4" t="s">
        <v>2341</v>
      </c>
      <c r="D742" s="4" t="s">
        <v>2758</v>
      </c>
      <c r="E742" s="4" t="s">
        <v>2838</v>
      </c>
      <c r="F742" s="127" t="n">
        <v>46678</v>
      </c>
      <c r="G742" s="127" t="n">
        <v>46678</v>
      </c>
      <c r="H742" s="127" t="n">
        <v>46289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27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30214546</v>
      </c>
      <c r="C743" s="4" t="s">
        <v>2514</v>
      </c>
      <c r="D743" s="4" t="s">
        <v>463</v>
      </c>
      <c r="E743" s="4" t="s">
        <v>2817</v>
      </c>
      <c r="F743" s="127" t="n">
        <v>46666</v>
      </c>
      <c r="G743" s="127" t="n">
        <v>46965</v>
      </c>
      <c r="H743" s="127" t="n">
        <v>46289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20</v>
      </c>
      <c r="N743" s="2" t="str">
        <f aca="false">IF(E743="","",IF(ISNUMBER(SEARCH("SUBSOLO",E743)),IFERROR(-VALUE(LEFT(E743,FIND("º",SUBSTITUTE(E743,"°","º"))-1)),-1),IF(LEFT(E743,6)="TÉRREO",0,IFERROR(VALUE(LEFT(E743,FIND("º",SUBSTITUTE(E743,"°","º"))-1)),""))))</f>
        <v/>
      </c>
      <c r="O743" s="2" t="str">
        <f aca="false">IF(OR(F743="",G743=""),"",IF(G743&lt;='RETRATO 2027'!$K$5,"CONCLUÍDA",IF(F743&lt;='RETRATO 2027'!$K$5,"EM ANDAMENTO","A INICIAR")))</f>
        <v>EM ANDAMENTO</v>
      </c>
    </row>
    <row r="744" customFormat="false" ht="15" hidden="false" customHeight="false" outlineLevel="0" collapsed="false">
      <c r="B744" s="4" t="n">
        <v>30205704</v>
      </c>
      <c r="C744" s="4" t="s">
        <v>2486</v>
      </c>
      <c r="D744" s="4" t="s">
        <v>463</v>
      </c>
      <c r="E744" s="4" t="s">
        <v>2819</v>
      </c>
      <c r="F744" s="127" t="n">
        <v>46668</v>
      </c>
      <c r="G744" s="127" t="n">
        <v>46682</v>
      </c>
      <c r="H744" s="127" t="n">
        <v>46289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30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30205681</v>
      </c>
      <c r="C745" s="4" t="s">
        <v>2480</v>
      </c>
      <c r="D745" s="4" t="s">
        <v>463</v>
      </c>
      <c r="E745" s="4" t="s">
        <v>2821</v>
      </c>
      <c r="F745" s="127" t="n">
        <v>46668</v>
      </c>
      <c r="G745" s="127" t="n">
        <v>46682</v>
      </c>
      <c r="H745" s="127" t="n">
        <v>46289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30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0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30205647</v>
      </c>
      <c r="C746" s="4" t="s">
        <v>2492</v>
      </c>
      <c r="D746" s="4" t="s">
        <v>463</v>
      </c>
      <c r="E746" s="4" t="s">
        <v>2824</v>
      </c>
      <c r="F746" s="127" t="n">
        <v>46668</v>
      </c>
      <c r="G746" s="127" t="n">
        <v>46682</v>
      </c>
      <c r="H746" s="127" t="n">
        <v>46289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18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0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30205619</v>
      </c>
      <c r="C747" s="4" t="s">
        <v>2449</v>
      </c>
      <c r="D747" s="4" t="s">
        <v>463</v>
      </c>
      <c r="E747" s="4" t="s">
        <v>2826</v>
      </c>
      <c r="F747" s="127" t="n">
        <v>46668</v>
      </c>
      <c r="G747" s="127" t="n">
        <v>46682</v>
      </c>
      <c r="H747" s="127" t="n">
        <v>46289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28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0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31803888</v>
      </c>
      <c r="C748" s="4" t="s">
        <v>2483</v>
      </c>
      <c r="D748" s="4" t="s">
        <v>463</v>
      </c>
      <c r="E748" s="4" t="s">
        <v>2826</v>
      </c>
      <c r="F748" s="127" t="n">
        <v>46668</v>
      </c>
      <c r="G748" s="127" t="n">
        <v>46717</v>
      </c>
      <c r="H748" s="127" t="n">
        <v>46289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32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30205588</v>
      </c>
      <c r="C749" s="4" t="s">
        <v>2437</v>
      </c>
      <c r="D749" s="4" t="s">
        <v>463</v>
      </c>
      <c r="E749" s="4" t="s">
        <v>2828</v>
      </c>
      <c r="F749" s="127" t="n">
        <v>46668</v>
      </c>
      <c r="G749" s="127" t="n">
        <v>46682</v>
      </c>
      <c r="H749" s="127" t="n">
        <v>46289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29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30205557</v>
      </c>
      <c r="C750" s="4" t="s">
        <v>2428</v>
      </c>
      <c r="D750" s="4" t="s">
        <v>463</v>
      </c>
      <c r="E750" s="4" t="s">
        <v>2830</v>
      </c>
      <c r="F750" s="127" t="n">
        <v>46668</v>
      </c>
      <c r="G750" s="127" t="n">
        <v>46679</v>
      </c>
      <c r="H750" s="127" t="n">
        <v>46289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20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0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30205558</v>
      </c>
      <c r="C751" s="4" t="s">
        <v>2452</v>
      </c>
      <c r="D751" s="4" t="s">
        <v>463</v>
      </c>
      <c r="E751" s="4" t="s">
        <v>2830</v>
      </c>
      <c r="F751" s="127" t="n">
        <v>46668</v>
      </c>
      <c r="G751" s="127" t="n">
        <v>46682</v>
      </c>
      <c r="H751" s="127" t="n">
        <v>46289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21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0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30205529</v>
      </c>
      <c r="C752" s="4" t="s">
        <v>2422</v>
      </c>
      <c r="D752" s="4" t="s">
        <v>463</v>
      </c>
      <c r="E752" s="4" t="s">
        <v>2832</v>
      </c>
      <c r="F752" s="127" t="n">
        <v>46668</v>
      </c>
      <c r="G752" s="127" t="n">
        <v>46682</v>
      </c>
      <c r="H752" s="127" t="n">
        <v>46289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29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0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29980963</v>
      </c>
      <c r="C753" s="4" t="s">
        <v>2410</v>
      </c>
      <c r="D753" s="4" t="s">
        <v>463</v>
      </c>
      <c r="E753" s="4" t="s">
        <v>2829</v>
      </c>
      <c r="F753" s="127" t="n">
        <v>46668</v>
      </c>
      <c r="G753" s="127" t="n">
        <v>46681</v>
      </c>
      <c r="H753" s="127" t="n">
        <v>46289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22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23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29980914</v>
      </c>
      <c r="C754" s="4" t="s">
        <v>168</v>
      </c>
      <c r="D754" s="4" t="s">
        <v>463</v>
      </c>
      <c r="E754" s="4" t="s">
        <v>2831</v>
      </c>
      <c r="F754" s="127" t="n">
        <v>46668</v>
      </c>
      <c r="G754" s="127" t="n">
        <v>46681</v>
      </c>
      <c r="H754" s="127" t="n">
        <v>46289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18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24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30205930</v>
      </c>
      <c r="C755" s="4" t="s">
        <v>171</v>
      </c>
      <c r="D755" s="4" t="s">
        <v>463</v>
      </c>
      <c r="E755" s="4" t="s">
        <v>2784</v>
      </c>
      <c r="F755" s="127" t="n">
        <v>46671</v>
      </c>
      <c r="G755" s="127" t="n">
        <v>46685</v>
      </c>
      <c r="H755" s="127" t="n">
        <v>46289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2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30171471</v>
      </c>
      <c r="C756" s="4" t="s">
        <v>2413</v>
      </c>
      <c r="D756" s="4" t="s">
        <v>463</v>
      </c>
      <c r="E756" s="4" t="s">
        <v>2784</v>
      </c>
      <c r="F756" s="127" t="n">
        <v>46671</v>
      </c>
      <c r="G756" s="127" t="n">
        <v>46700</v>
      </c>
      <c r="H756" s="127" t="n">
        <v>46289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21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2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30171472</v>
      </c>
      <c r="C757" s="4" t="s">
        <v>2443</v>
      </c>
      <c r="D757" s="4" t="s">
        <v>463</v>
      </c>
      <c r="E757" s="4" t="s">
        <v>2784</v>
      </c>
      <c r="F757" s="127" t="n">
        <v>46671</v>
      </c>
      <c r="G757" s="127" t="n">
        <v>46700</v>
      </c>
      <c r="H757" s="127" t="n">
        <v>46289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20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2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30171484</v>
      </c>
      <c r="C758" s="4" t="s">
        <v>2517</v>
      </c>
      <c r="D758" s="4" t="s">
        <v>463</v>
      </c>
      <c r="E758" s="4" t="s">
        <v>2784</v>
      </c>
      <c r="F758" s="127" t="n">
        <v>46671</v>
      </c>
      <c r="G758" s="127" t="n">
        <v>46700</v>
      </c>
      <c r="H758" s="127" t="n">
        <v>46289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22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2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30171449</v>
      </c>
      <c r="C759" s="4" t="s">
        <v>194</v>
      </c>
      <c r="D759" s="4" t="s">
        <v>463</v>
      </c>
      <c r="E759" s="4" t="s">
        <v>2790</v>
      </c>
      <c r="F759" s="127" t="n">
        <v>46671</v>
      </c>
      <c r="G759" s="127" t="n">
        <v>46685</v>
      </c>
      <c r="H759" s="127" t="n">
        <v>46289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26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30171450</v>
      </c>
      <c r="C760" s="4" t="s">
        <v>2437</v>
      </c>
      <c r="D760" s="4" t="s">
        <v>463</v>
      </c>
      <c r="E760" s="4" t="s">
        <v>2790</v>
      </c>
      <c r="F760" s="127" t="n">
        <v>46671</v>
      </c>
      <c r="G760" s="127" t="n">
        <v>46736</v>
      </c>
      <c r="H760" s="127" t="n">
        <v>46289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29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3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31789529</v>
      </c>
      <c r="C761" s="4" t="s">
        <v>2520</v>
      </c>
      <c r="D761" s="4" t="s">
        <v>463</v>
      </c>
      <c r="E761" s="4" t="s">
        <v>2678</v>
      </c>
      <c r="F761" s="127" t="n">
        <v>46674</v>
      </c>
      <c r="G761" s="127" t="n">
        <v>46695</v>
      </c>
      <c r="H761" s="127" t="n">
        <v>46289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32</v>
      </c>
      <c r="N761" s="2" t="str">
        <f aca="false">IF(E761="","",IF(ISNUMBER(SEARCH("SUBSOLO",E761)),IFERROR(-VALUE(LEFT(E761,FIND("º",SUBSTITUTE(E761,"°","º"))-1)),-1),IF(LEFT(E761,6)="TÉRREO",0,IFERROR(VALUE(LEFT(E761,FIND("º",SUBSTITUTE(E761,"°","º"))-1)),""))))</f>
        <v/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29981551</v>
      </c>
      <c r="C762" s="4" t="s">
        <v>216</v>
      </c>
      <c r="D762" s="4" t="s">
        <v>463</v>
      </c>
      <c r="E762" s="4" t="s">
        <v>2803</v>
      </c>
      <c r="F762" s="127" t="n">
        <v>46675</v>
      </c>
      <c r="G762" s="127" t="n">
        <v>46687</v>
      </c>
      <c r="H762" s="127" t="n">
        <v>46289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33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29981512</v>
      </c>
      <c r="C763" s="4" t="s">
        <v>2508</v>
      </c>
      <c r="D763" s="4" t="s">
        <v>463</v>
      </c>
      <c r="E763" s="4" t="s">
        <v>2804</v>
      </c>
      <c r="F763" s="127" t="n">
        <v>46675</v>
      </c>
      <c r="G763" s="127" t="n">
        <v>46687</v>
      </c>
      <c r="H763" s="127" t="n">
        <v>46289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20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8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29981517</v>
      </c>
      <c r="C764" s="4" t="s">
        <v>2511</v>
      </c>
      <c r="D764" s="4" t="s">
        <v>463</v>
      </c>
      <c r="E764" s="4" t="s">
        <v>2804</v>
      </c>
      <c r="F764" s="127" t="n">
        <v>46675</v>
      </c>
      <c r="G764" s="127" t="n">
        <v>46687</v>
      </c>
      <c r="H764" s="127" t="n">
        <v>46289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20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8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30214070</v>
      </c>
      <c r="C765" s="4" t="s">
        <v>2514</v>
      </c>
      <c r="D765" s="4" t="s">
        <v>463</v>
      </c>
      <c r="E765" s="4" t="s">
        <v>2804</v>
      </c>
      <c r="F765" s="127" t="n">
        <v>46675</v>
      </c>
      <c r="G765" s="127" t="n">
        <v>46688</v>
      </c>
      <c r="H765" s="127" t="n">
        <v>46289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20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8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29981459</v>
      </c>
      <c r="C766" s="4" t="s">
        <v>2501</v>
      </c>
      <c r="D766" s="4" t="s">
        <v>463</v>
      </c>
      <c r="E766" s="4" t="s">
        <v>2805</v>
      </c>
      <c r="F766" s="127" t="n">
        <v>46675</v>
      </c>
      <c r="G766" s="127" t="n">
        <v>46687</v>
      </c>
      <c r="H766" s="127" t="n">
        <v>46289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30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9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29981421</v>
      </c>
      <c r="C767" s="4" t="s">
        <v>2486</v>
      </c>
      <c r="D767" s="4" t="s">
        <v>463</v>
      </c>
      <c r="E767" s="4" t="s">
        <v>2809</v>
      </c>
      <c r="F767" s="127" t="n">
        <v>46675</v>
      </c>
      <c r="G767" s="127" t="n">
        <v>46687</v>
      </c>
      <c r="H767" s="127" t="n">
        <v>46289</v>
      </c>
      <c r="I767" s="4" t="n">
        <v>0</v>
      </c>
      <c r="J767" s="4" t="n">
        <v>0</v>
      </c>
      <c r="K767" s="4" t="n">
        <v>0</v>
      </c>
      <c r="M767" s="2" t="str">
        <f aca="false">IF(C767="","",IFERROR(INDEX($S$5:$S$304,MATCH(C767,$R$5:$R$304,0))&amp;"","?"))</f>
        <v>30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10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29981400</v>
      </c>
      <c r="C768" s="4" t="s">
        <v>2480</v>
      </c>
      <c r="D768" s="4" t="s">
        <v>463</v>
      </c>
      <c r="E768" s="4" t="s">
        <v>2810</v>
      </c>
      <c r="F768" s="127" t="n">
        <v>46675</v>
      </c>
      <c r="G768" s="127" t="n">
        <v>46687</v>
      </c>
      <c r="H768" s="127" t="n">
        <v>46289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30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11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29981361</v>
      </c>
      <c r="C769" s="4" t="s">
        <v>171</v>
      </c>
      <c r="D769" s="4" t="s">
        <v>463</v>
      </c>
      <c r="E769" s="4" t="s">
        <v>2811</v>
      </c>
      <c r="F769" s="127" t="n">
        <v>46675</v>
      </c>
      <c r="G769" s="127" t="n">
        <v>46687</v>
      </c>
      <c r="H769" s="127" t="n">
        <v>46289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19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12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32750439</v>
      </c>
      <c r="C770" s="4" t="s">
        <v>2470</v>
      </c>
      <c r="D770" s="4" t="s">
        <v>463</v>
      </c>
      <c r="E770" s="4" t="s">
        <v>2812</v>
      </c>
      <c r="F770" s="127" t="n">
        <v>46675</v>
      </c>
      <c r="G770" s="127" t="n">
        <v>46687</v>
      </c>
      <c r="H770" s="127" t="n">
        <v>46289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18</v>
      </c>
      <c r="N770" s="2" t="n">
        <f aca="false">IF(E770="","",IF(ISNUMBER(SEARCH("SUBSOLO",E770)),IFERROR(-VALUE(LEFT(E770,FIND("º",SUBSTITUTE(E770,"°","º"))-1)),-1),IF(LEFT(E770,6)="TÉRREO",0,IFERROR(VALUE(LEFT(E770,FIND("º",SUBSTITUTE(E770,"°","º"))-1)),""))))</f>
        <v>13</v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32750362</v>
      </c>
      <c r="C771" s="4" t="s">
        <v>2458</v>
      </c>
      <c r="D771" s="4" t="s">
        <v>463</v>
      </c>
      <c r="E771" s="4" t="s">
        <v>2813</v>
      </c>
      <c r="F771" s="127" t="n">
        <v>46675</v>
      </c>
      <c r="G771" s="127" t="n">
        <v>46687</v>
      </c>
      <c r="H771" s="127" t="n">
        <v>46289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21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14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32750388</v>
      </c>
      <c r="C772" s="4" t="s">
        <v>2461</v>
      </c>
      <c r="D772" s="4" t="s">
        <v>463</v>
      </c>
      <c r="E772" s="4" t="s">
        <v>2813</v>
      </c>
      <c r="F772" s="127" t="n">
        <v>46675</v>
      </c>
      <c r="G772" s="127" t="n">
        <v>46687</v>
      </c>
      <c r="H772" s="127" t="n">
        <v>46289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20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14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32750414</v>
      </c>
      <c r="C773" s="4" t="s">
        <v>2464</v>
      </c>
      <c r="D773" s="4" t="s">
        <v>463</v>
      </c>
      <c r="E773" s="4" t="s">
        <v>2813</v>
      </c>
      <c r="F773" s="127" t="n">
        <v>46675</v>
      </c>
      <c r="G773" s="127" t="n">
        <v>46687</v>
      </c>
      <c r="H773" s="127" t="n">
        <v>46289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21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14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33896832</v>
      </c>
      <c r="C774" s="4" t="s">
        <v>2467</v>
      </c>
      <c r="D774" s="4" t="s">
        <v>463</v>
      </c>
      <c r="E774" s="4" t="s">
        <v>2813</v>
      </c>
      <c r="F774" s="127" t="n">
        <v>46675</v>
      </c>
      <c r="G774" s="127" t="n">
        <v>46687</v>
      </c>
      <c r="H774" s="127" t="n">
        <v>46289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23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14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32749858</v>
      </c>
      <c r="C775" s="4" t="s">
        <v>2455</v>
      </c>
      <c r="D775" s="4" t="s">
        <v>463</v>
      </c>
      <c r="E775" s="4" t="s">
        <v>2814</v>
      </c>
      <c r="F775" s="127" t="n">
        <v>46675</v>
      </c>
      <c r="G775" s="127" t="n">
        <v>46687</v>
      </c>
      <c r="H775" s="127" t="n">
        <v>46289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18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15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29981214</v>
      </c>
      <c r="C776" s="4" t="s">
        <v>2449</v>
      </c>
      <c r="D776" s="4" t="s">
        <v>463</v>
      </c>
      <c r="E776" s="4" t="s">
        <v>2815</v>
      </c>
      <c r="F776" s="127" t="n">
        <v>46675</v>
      </c>
      <c r="G776" s="127" t="n">
        <v>46687</v>
      </c>
      <c r="H776" s="127" t="n">
        <v>46289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28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16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29981154</v>
      </c>
      <c r="C777" s="4" t="s">
        <v>2440</v>
      </c>
      <c r="D777" s="4" t="s">
        <v>463</v>
      </c>
      <c r="E777" s="4" t="s">
        <v>2818</v>
      </c>
      <c r="F777" s="127" t="n">
        <v>46675</v>
      </c>
      <c r="G777" s="127" t="n">
        <v>46687</v>
      </c>
      <c r="H777" s="127" t="n">
        <v>46289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21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17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29981187</v>
      </c>
      <c r="C778" s="4" t="s">
        <v>2443</v>
      </c>
      <c r="D778" s="4" t="s">
        <v>463</v>
      </c>
      <c r="E778" s="4" t="s">
        <v>2818</v>
      </c>
      <c r="F778" s="127" t="n">
        <v>46675</v>
      </c>
      <c r="G778" s="127" t="n">
        <v>46687</v>
      </c>
      <c r="H778" s="127" t="n">
        <v>46289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20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17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29981116</v>
      </c>
      <c r="C779" s="4" t="s">
        <v>2437</v>
      </c>
      <c r="D779" s="4" t="s">
        <v>463</v>
      </c>
      <c r="E779" s="4" t="s">
        <v>2820</v>
      </c>
      <c r="F779" s="127" t="n">
        <v>46675</v>
      </c>
      <c r="G779" s="127" t="n">
        <v>46687</v>
      </c>
      <c r="H779" s="127" t="n">
        <v>46289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29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18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29981045</v>
      </c>
      <c r="C780" s="4" t="s">
        <v>2434</v>
      </c>
      <c r="D780" s="4" t="s">
        <v>463</v>
      </c>
      <c r="E780" s="4" t="s">
        <v>2823</v>
      </c>
      <c r="F780" s="127" t="n">
        <v>46675</v>
      </c>
      <c r="G780" s="127" t="n">
        <v>46687</v>
      </c>
      <c r="H780" s="127" t="n">
        <v>46289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25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20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29981038</v>
      </c>
      <c r="C781" s="4" t="s">
        <v>2425</v>
      </c>
      <c r="D781" s="4" t="s">
        <v>463</v>
      </c>
      <c r="E781" s="4" t="s">
        <v>2825</v>
      </c>
      <c r="F781" s="127" t="n">
        <v>46675</v>
      </c>
      <c r="G781" s="127" t="n">
        <v>46687</v>
      </c>
      <c r="H781" s="127" t="n">
        <v>46289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21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29981007</v>
      </c>
      <c r="C782" s="4" t="s">
        <v>2428</v>
      </c>
      <c r="D782" s="4" t="s">
        <v>463</v>
      </c>
      <c r="E782" s="4" t="s">
        <v>2825</v>
      </c>
      <c r="F782" s="127" t="n">
        <v>46675</v>
      </c>
      <c r="G782" s="127" t="n">
        <v>46687</v>
      </c>
      <c r="H782" s="127" t="n">
        <v>46289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21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29981040</v>
      </c>
      <c r="C783" s="4" t="s">
        <v>2431</v>
      </c>
      <c r="D783" s="4" t="s">
        <v>463</v>
      </c>
      <c r="E783" s="4" t="s">
        <v>2825</v>
      </c>
      <c r="F783" s="127" t="n">
        <v>46675</v>
      </c>
      <c r="G783" s="127" t="n">
        <v>46687</v>
      </c>
      <c r="H783" s="127" t="n">
        <v>46289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21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21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29980987</v>
      </c>
      <c r="C784" s="4" t="s">
        <v>2422</v>
      </c>
      <c r="D784" s="4" t="s">
        <v>463</v>
      </c>
      <c r="E784" s="4" t="s">
        <v>2827</v>
      </c>
      <c r="F784" s="127" t="n">
        <v>46675</v>
      </c>
      <c r="G784" s="127" t="n">
        <v>46687</v>
      </c>
      <c r="H784" s="127" t="n">
        <v>46289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29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22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29980953</v>
      </c>
      <c r="C785" s="4" t="s">
        <v>2413</v>
      </c>
      <c r="D785" s="4" t="s">
        <v>463</v>
      </c>
      <c r="E785" s="4" t="s">
        <v>2829</v>
      </c>
      <c r="F785" s="127" t="n">
        <v>46675</v>
      </c>
      <c r="G785" s="127" t="n">
        <v>46687</v>
      </c>
      <c r="H785" s="127" t="n">
        <v>46289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21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23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30205777</v>
      </c>
      <c r="C786" s="4" t="s">
        <v>2413</v>
      </c>
      <c r="D786" s="4" t="s">
        <v>463</v>
      </c>
      <c r="E786" s="4" t="s">
        <v>2835</v>
      </c>
      <c r="F786" s="127" t="n">
        <v>46678</v>
      </c>
      <c r="G786" s="127" t="n">
        <v>46689</v>
      </c>
      <c r="H786" s="127" t="n">
        <v>46289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21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0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30205776</v>
      </c>
      <c r="C787" s="4" t="s">
        <v>2410</v>
      </c>
      <c r="D787" s="4" t="s">
        <v>463</v>
      </c>
      <c r="E787" s="4" t="s">
        <v>2835</v>
      </c>
      <c r="F787" s="127" t="n">
        <v>46678</v>
      </c>
      <c r="G787" s="127" t="n">
        <v>46689</v>
      </c>
      <c r="H787" s="127" t="n">
        <v>46289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22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0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30205778</v>
      </c>
      <c r="C788" s="4" t="s">
        <v>2416</v>
      </c>
      <c r="D788" s="4" t="s">
        <v>463</v>
      </c>
      <c r="E788" s="4" t="s">
        <v>2835</v>
      </c>
      <c r="F788" s="127" t="n">
        <v>46678</v>
      </c>
      <c r="G788" s="127" t="n">
        <v>46689</v>
      </c>
      <c r="H788" s="127" t="n">
        <v>46289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18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30205802</v>
      </c>
      <c r="C789" s="4" t="s">
        <v>168</v>
      </c>
      <c r="D789" s="4" t="s">
        <v>463</v>
      </c>
      <c r="E789" s="4" t="s">
        <v>2839</v>
      </c>
      <c r="F789" s="127" t="n">
        <v>46678</v>
      </c>
      <c r="G789" s="127" t="n">
        <v>46689</v>
      </c>
      <c r="H789" s="127" t="n">
        <v>46289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18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30171426</v>
      </c>
      <c r="C790" s="4" t="s">
        <v>2422</v>
      </c>
      <c r="D790" s="4" t="s">
        <v>463</v>
      </c>
      <c r="E790" s="4" t="s">
        <v>2800</v>
      </c>
      <c r="F790" s="127" t="n">
        <v>46678</v>
      </c>
      <c r="G790" s="127" t="n">
        <v>46689</v>
      </c>
      <c r="H790" s="127" t="n">
        <v>46289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29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4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30171432</v>
      </c>
      <c r="C791" s="4" t="s">
        <v>2446</v>
      </c>
      <c r="D791" s="4" t="s">
        <v>463</v>
      </c>
      <c r="E791" s="4" t="s">
        <v>2800</v>
      </c>
      <c r="F791" s="127" t="n">
        <v>46678</v>
      </c>
      <c r="G791" s="127" t="n">
        <v>46689</v>
      </c>
      <c r="H791" s="127" t="n">
        <v>46289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26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4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30171397</v>
      </c>
      <c r="C792" s="4" t="s">
        <v>168</v>
      </c>
      <c r="D792" s="4" t="s">
        <v>463</v>
      </c>
      <c r="E792" s="4" t="s">
        <v>2801</v>
      </c>
      <c r="F792" s="127" t="n">
        <v>46678</v>
      </c>
      <c r="G792" s="127" t="n">
        <v>46742</v>
      </c>
      <c r="H792" s="127" t="n">
        <v>46289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18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5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30205712</v>
      </c>
      <c r="C793" s="4" t="s">
        <v>2525</v>
      </c>
      <c r="D793" s="4" t="s">
        <v>463</v>
      </c>
      <c r="E793" s="4" t="s">
        <v>2740</v>
      </c>
      <c r="F793" s="127" t="n">
        <v>46679</v>
      </c>
      <c r="G793" s="127" t="n">
        <v>46692</v>
      </c>
      <c r="H793" s="127" t="n">
        <v>46289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18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-1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30205752</v>
      </c>
      <c r="C794" s="4" t="s">
        <v>2528</v>
      </c>
      <c r="D794" s="4" t="s">
        <v>463</v>
      </c>
      <c r="E794" s="4" t="s">
        <v>2740</v>
      </c>
      <c r="F794" s="127" t="n">
        <v>46679</v>
      </c>
      <c r="G794" s="127" t="n">
        <v>46727</v>
      </c>
      <c r="H794" s="127" t="n">
        <v>46289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23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-1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30205753</v>
      </c>
      <c r="C795" s="4" t="s">
        <v>2531</v>
      </c>
      <c r="D795" s="4" t="s">
        <v>463</v>
      </c>
      <c r="E795" s="4" t="s">
        <v>2740</v>
      </c>
      <c r="F795" s="127" t="n">
        <v>46679</v>
      </c>
      <c r="G795" s="127" t="n">
        <v>46727</v>
      </c>
      <c r="H795" s="127" t="n">
        <v>46289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21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-1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29980952</v>
      </c>
      <c r="C796" s="4" t="s">
        <v>2416</v>
      </c>
      <c r="D796" s="4" t="s">
        <v>463</v>
      </c>
      <c r="E796" s="4" t="s">
        <v>2829</v>
      </c>
      <c r="F796" s="127" t="n">
        <v>46679</v>
      </c>
      <c r="G796" s="127" t="n">
        <v>46689</v>
      </c>
      <c r="H796" s="127" t="n">
        <v>46289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18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23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29941038</v>
      </c>
      <c r="C797" s="4" t="s">
        <v>2341</v>
      </c>
      <c r="D797" s="4" t="s">
        <v>463</v>
      </c>
      <c r="E797" s="4" t="s">
        <v>2840</v>
      </c>
      <c r="F797" s="127" t="n">
        <v>46679</v>
      </c>
      <c r="G797" s="127" t="n">
        <v>46689</v>
      </c>
      <c r="H797" s="127" t="n">
        <v>46289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28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31529062</v>
      </c>
      <c r="C798" s="4" t="s">
        <v>2341</v>
      </c>
      <c r="D798" s="4" t="s">
        <v>2312</v>
      </c>
      <c r="E798" s="4" t="s">
        <v>2840</v>
      </c>
      <c r="F798" s="127" t="n">
        <v>46679</v>
      </c>
      <c r="G798" s="127" t="n">
        <v>46685</v>
      </c>
      <c r="H798" s="127" t="n">
        <v>46289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28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31529063</v>
      </c>
      <c r="C799" s="4" t="s">
        <v>2341</v>
      </c>
      <c r="D799" s="4" t="s">
        <v>2309</v>
      </c>
      <c r="E799" s="4" t="s">
        <v>2840</v>
      </c>
      <c r="F799" s="127" t="n">
        <v>46686</v>
      </c>
      <c r="G799" s="127" t="n">
        <v>46688</v>
      </c>
      <c r="H799" s="127" t="n">
        <v>46289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28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31529064</v>
      </c>
      <c r="C800" s="4" t="s">
        <v>2341</v>
      </c>
      <c r="D800" s="4" t="s">
        <v>2314</v>
      </c>
      <c r="E800" s="4" t="s">
        <v>2840</v>
      </c>
      <c r="F800" s="127" t="n">
        <v>46689</v>
      </c>
      <c r="G800" s="127" t="n">
        <v>46689</v>
      </c>
      <c r="H800" s="127" t="n">
        <v>46289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28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31529065</v>
      </c>
      <c r="C801" s="4" t="s">
        <v>2341</v>
      </c>
      <c r="D801" s="4" t="s">
        <v>2758</v>
      </c>
      <c r="E801" s="4" t="s">
        <v>2840</v>
      </c>
      <c r="F801" s="127" t="n">
        <v>46689</v>
      </c>
      <c r="G801" s="127" t="n">
        <v>46689</v>
      </c>
      <c r="H801" s="127" t="n">
        <v>46289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28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29980926</v>
      </c>
      <c r="C802" s="4" t="s">
        <v>2410</v>
      </c>
      <c r="D802" s="4" t="s">
        <v>463</v>
      </c>
      <c r="E802" s="4" t="s">
        <v>2831</v>
      </c>
      <c r="F802" s="127" t="n">
        <v>46682</v>
      </c>
      <c r="G802" s="127" t="n">
        <v>46695</v>
      </c>
      <c r="H802" s="127" t="n">
        <v>46289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22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24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29980877</v>
      </c>
      <c r="C803" s="4" t="s">
        <v>168</v>
      </c>
      <c r="D803" s="4" t="s">
        <v>463</v>
      </c>
      <c r="E803" s="4" t="s">
        <v>2833</v>
      </c>
      <c r="F803" s="127" t="n">
        <v>46682</v>
      </c>
      <c r="G803" s="127" t="n">
        <v>46695</v>
      </c>
      <c r="H803" s="127" t="n">
        <v>46289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18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25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30205702</v>
      </c>
      <c r="C804" s="4" t="s">
        <v>2501</v>
      </c>
      <c r="D804" s="4" t="s">
        <v>463</v>
      </c>
      <c r="E804" s="4" t="s">
        <v>2819</v>
      </c>
      <c r="F804" s="127" t="n">
        <v>46685</v>
      </c>
      <c r="G804" s="127" t="n">
        <v>46699</v>
      </c>
      <c r="H804" s="127" t="n">
        <v>46289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30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0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30205677</v>
      </c>
      <c r="C805" s="4" t="s">
        <v>2486</v>
      </c>
      <c r="D805" s="4" t="s">
        <v>463</v>
      </c>
      <c r="E805" s="4" t="s">
        <v>2821</v>
      </c>
      <c r="F805" s="127" t="n">
        <v>46685</v>
      </c>
      <c r="G805" s="127" t="n">
        <v>46699</v>
      </c>
      <c r="H805" s="127" t="n">
        <v>46289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30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0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30205654</v>
      </c>
      <c r="C806" s="4" t="s">
        <v>2480</v>
      </c>
      <c r="D806" s="4" t="s">
        <v>463</v>
      </c>
      <c r="E806" s="4" t="s">
        <v>2824</v>
      </c>
      <c r="F806" s="127" t="n">
        <v>46685</v>
      </c>
      <c r="G806" s="127" t="n">
        <v>46699</v>
      </c>
      <c r="H806" s="127" t="n">
        <v>46289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30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30205620</v>
      </c>
      <c r="C807" s="4" t="s">
        <v>2492</v>
      </c>
      <c r="D807" s="4" t="s">
        <v>463</v>
      </c>
      <c r="E807" s="4" t="s">
        <v>2826</v>
      </c>
      <c r="F807" s="127" t="n">
        <v>46685</v>
      </c>
      <c r="G807" s="127" t="n">
        <v>46699</v>
      </c>
      <c r="H807" s="127" t="n">
        <v>46289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18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30205592</v>
      </c>
      <c r="C808" s="4" t="s">
        <v>2449</v>
      </c>
      <c r="D808" s="4" t="s">
        <v>463</v>
      </c>
      <c r="E808" s="4" t="s">
        <v>2828</v>
      </c>
      <c r="F808" s="127" t="n">
        <v>46685</v>
      </c>
      <c r="G808" s="127" t="n">
        <v>46699</v>
      </c>
      <c r="H808" s="127" t="n">
        <v>46289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28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31803889</v>
      </c>
      <c r="C809" s="4" t="s">
        <v>2483</v>
      </c>
      <c r="D809" s="4" t="s">
        <v>463</v>
      </c>
      <c r="E809" s="4" t="s">
        <v>2828</v>
      </c>
      <c r="F809" s="127" t="n">
        <v>46685</v>
      </c>
      <c r="G809" s="127" t="n">
        <v>46734</v>
      </c>
      <c r="H809" s="127" t="n">
        <v>46289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32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0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30205561</v>
      </c>
      <c r="C810" s="4" t="s">
        <v>2437</v>
      </c>
      <c r="D810" s="4" t="s">
        <v>463</v>
      </c>
      <c r="E810" s="4" t="s">
        <v>2830</v>
      </c>
      <c r="F810" s="127" t="n">
        <v>46685</v>
      </c>
      <c r="G810" s="127" t="n">
        <v>46699</v>
      </c>
      <c r="H810" s="127" t="n">
        <v>46289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29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0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30205530</v>
      </c>
      <c r="C811" s="4" t="s">
        <v>2428</v>
      </c>
      <c r="D811" s="4" t="s">
        <v>463</v>
      </c>
      <c r="E811" s="4" t="s">
        <v>2832</v>
      </c>
      <c r="F811" s="127" t="n">
        <v>46685</v>
      </c>
      <c r="G811" s="127" t="n">
        <v>46694</v>
      </c>
      <c r="H811" s="127" t="n">
        <v>46289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0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30205531</v>
      </c>
      <c r="C812" s="4" t="s">
        <v>2452</v>
      </c>
      <c r="D812" s="4" t="s">
        <v>463</v>
      </c>
      <c r="E812" s="4" t="s">
        <v>2832</v>
      </c>
      <c r="F812" s="127" t="n">
        <v>46685</v>
      </c>
      <c r="G812" s="127" t="n">
        <v>46699</v>
      </c>
      <c r="H812" s="127" t="n">
        <v>46289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21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0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30171427</v>
      </c>
      <c r="C813" s="4" t="s">
        <v>2416</v>
      </c>
      <c r="D813" s="4" t="s">
        <v>463</v>
      </c>
      <c r="E813" s="4" t="s">
        <v>2800</v>
      </c>
      <c r="F813" s="127" t="n">
        <v>46686</v>
      </c>
      <c r="G813" s="127" t="n">
        <v>46700</v>
      </c>
      <c r="H813" s="127" t="n">
        <v>46289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18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4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30171504</v>
      </c>
      <c r="C814" s="4" t="s">
        <v>216</v>
      </c>
      <c r="D814" s="4" t="s">
        <v>463</v>
      </c>
      <c r="E814" s="4" t="s">
        <v>2817</v>
      </c>
      <c r="F814" s="127" t="n">
        <v>46688</v>
      </c>
      <c r="G814" s="127" t="n">
        <v>47018</v>
      </c>
      <c r="H814" s="127" t="n">
        <v>46289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33</v>
      </c>
      <c r="N814" s="2" t="str">
        <f aca="false">IF(E814="","",IF(ISNUMBER(SEARCH("SUBSOLO",E814)),IFERROR(-VALUE(LEFT(E814,FIND("º",SUBSTITUTE(E814,"°","º"))-1)),-1),IF(LEFT(E814,6)="TÉRREO",0,IFERROR(VALUE(LEFT(E814,FIND("º",SUBSTITUTE(E814,"°","º"))-1)),""))))</f>
        <v/>
      </c>
      <c r="O814" s="2" t="str">
        <f aca="false">IF(OR(F814="",G814=""),"",IF(G814&lt;='RETRATO 2027'!$K$5,"CONCLUÍDA",IF(F814&lt;='RETRATO 2027'!$K$5,"EM ANDAMENTO","A INICIAR")))</f>
        <v>EM ANDAMENTO</v>
      </c>
    </row>
    <row r="815" customFormat="false" ht="15" hidden="false" customHeight="false" outlineLevel="0" collapsed="false">
      <c r="B815" s="4" t="n">
        <v>29981514</v>
      </c>
      <c r="C815" s="4" t="s">
        <v>216</v>
      </c>
      <c r="D815" s="4" t="s">
        <v>463</v>
      </c>
      <c r="E815" s="4" t="s">
        <v>2804</v>
      </c>
      <c r="F815" s="127" t="n">
        <v>46688</v>
      </c>
      <c r="G815" s="127" t="n">
        <v>46701</v>
      </c>
      <c r="H815" s="127" t="n">
        <v>46289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33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8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29981475</v>
      </c>
      <c r="C816" s="4" t="s">
        <v>2508</v>
      </c>
      <c r="D816" s="4" t="s">
        <v>463</v>
      </c>
      <c r="E816" s="4" t="s">
        <v>2805</v>
      </c>
      <c r="F816" s="127" t="n">
        <v>46688</v>
      </c>
      <c r="G816" s="127" t="n">
        <v>46701</v>
      </c>
      <c r="H816" s="127" t="n">
        <v>46289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20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9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29981480</v>
      </c>
      <c r="C817" s="4" t="s">
        <v>2511</v>
      </c>
      <c r="D817" s="4" t="s">
        <v>463</v>
      </c>
      <c r="E817" s="4" t="s">
        <v>2805</v>
      </c>
      <c r="F817" s="127" t="n">
        <v>46688</v>
      </c>
      <c r="G817" s="127" t="n">
        <v>46701</v>
      </c>
      <c r="H817" s="127" t="n">
        <v>46289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20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9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30214071</v>
      </c>
      <c r="C818" s="4" t="s">
        <v>2514</v>
      </c>
      <c r="D818" s="4" t="s">
        <v>463</v>
      </c>
      <c r="E818" s="4" t="s">
        <v>2805</v>
      </c>
      <c r="F818" s="127" t="n">
        <v>46688</v>
      </c>
      <c r="G818" s="127" t="n">
        <v>46702</v>
      </c>
      <c r="H818" s="127" t="n">
        <v>46289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20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9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29981422</v>
      </c>
      <c r="C819" s="4" t="s">
        <v>2501</v>
      </c>
      <c r="D819" s="4" t="s">
        <v>463</v>
      </c>
      <c r="E819" s="4" t="s">
        <v>2809</v>
      </c>
      <c r="F819" s="127" t="n">
        <v>46688</v>
      </c>
      <c r="G819" s="127" t="n">
        <v>46701</v>
      </c>
      <c r="H819" s="127" t="n">
        <v>46289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30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10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29981384</v>
      </c>
      <c r="C820" s="4" t="s">
        <v>2486</v>
      </c>
      <c r="D820" s="4" t="s">
        <v>463</v>
      </c>
      <c r="E820" s="4" t="s">
        <v>2810</v>
      </c>
      <c r="F820" s="127" t="n">
        <v>46688</v>
      </c>
      <c r="G820" s="127" t="n">
        <v>46701</v>
      </c>
      <c r="H820" s="127" t="n">
        <v>46289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30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11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29981363</v>
      </c>
      <c r="C821" s="4" t="s">
        <v>2480</v>
      </c>
      <c r="D821" s="4" t="s">
        <v>463</v>
      </c>
      <c r="E821" s="4" t="s">
        <v>2811</v>
      </c>
      <c r="F821" s="127" t="n">
        <v>46688</v>
      </c>
      <c r="G821" s="127" t="n">
        <v>46701</v>
      </c>
      <c r="H821" s="127" t="n">
        <v>46289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30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12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29981324</v>
      </c>
      <c r="C822" s="4" t="s">
        <v>171</v>
      </c>
      <c r="D822" s="4" t="s">
        <v>463</v>
      </c>
      <c r="E822" s="4" t="s">
        <v>2812</v>
      </c>
      <c r="F822" s="127" t="n">
        <v>46688</v>
      </c>
      <c r="G822" s="127" t="n">
        <v>46701</v>
      </c>
      <c r="H822" s="127" t="n">
        <v>46289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19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13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32750440</v>
      </c>
      <c r="C823" s="4" t="s">
        <v>2470</v>
      </c>
      <c r="D823" s="4" t="s">
        <v>463</v>
      </c>
      <c r="E823" s="4" t="s">
        <v>2813</v>
      </c>
      <c r="F823" s="127" t="n">
        <v>46688</v>
      </c>
      <c r="G823" s="127" t="n">
        <v>46701</v>
      </c>
      <c r="H823" s="127" t="n">
        <v>46289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18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14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32750363</v>
      </c>
      <c r="C824" s="4" t="s">
        <v>2458</v>
      </c>
      <c r="D824" s="4" t="s">
        <v>463</v>
      </c>
      <c r="E824" s="4" t="s">
        <v>2814</v>
      </c>
      <c r="F824" s="127" t="n">
        <v>46688</v>
      </c>
      <c r="G824" s="127" t="n">
        <v>46701</v>
      </c>
      <c r="H824" s="127" t="n">
        <v>46289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21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15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32750389</v>
      </c>
      <c r="C825" s="4" t="s">
        <v>2461</v>
      </c>
      <c r="D825" s="4" t="s">
        <v>463</v>
      </c>
      <c r="E825" s="4" t="s">
        <v>2814</v>
      </c>
      <c r="F825" s="127" t="n">
        <v>46688</v>
      </c>
      <c r="G825" s="127" t="n">
        <v>46701</v>
      </c>
      <c r="H825" s="127" t="n">
        <v>46289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20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15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32750415</v>
      </c>
      <c r="C826" s="4" t="s">
        <v>2464</v>
      </c>
      <c r="D826" s="4" t="s">
        <v>463</v>
      </c>
      <c r="E826" s="4" t="s">
        <v>2814</v>
      </c>
      <c r="F826" s="127" t="n">
        <v>46688</v>
      </c>
      <c r="G826" s="127" t="n">
        <v>46701</v>
      </c>
      <c r="H826" s="127" t="n">
        <v>46289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21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15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33896833</v>
      </c>
      <c r="C827" s="4" t="s">
        <v>2467</v>
      </c>
      <c r="D827" s="4" t="s">
        <v>463</v>
      </c>
      <c r="E827" s="4" t="s">
        <v>2814</v>
      </c>
      <c r="F827" s="127" t="n">
        <v>46688</v>
      </c>
      <c r="G827" s="127" t="n">
        <v>46701</v>
      </c>
      <c r="H827" s="127" t="n">
        <v>46289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23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15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32749859</v>
      </c>
      <c r="C828" s="4" t="s">
        <v>2455</v>
      </c>
      <c r="D828" s="4" t="s">
        <v>463</v>
      </c>
      <c r="E828" s="4" t="s">
        <v>2815</v>
      </c>
      <c r="F828" s="127" t="n">
        <v>46688</v>
      </c>
      <c r="G828" s="127" t="n">
        <v>46701</v>
      </c>
      <c r="H828" s="127" t="n">
        <v>46289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18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16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29981177</v>
      </c>
      <c r="C829" s="4" t="s">
        <v>2449</v>
      </c>
      <c r="D829" s="4" t="s">
        <v>463</v>
      </c>
      <c r="E829" s="4" t="s">
        <v>2818</v>
      </c>
      <c r="F829" s="127" t="n">
        <v>46688</v>
      </c>
      <c r="G829" s="127" t="n">
        <v>46701</v>
      </c>
      <c r="H829" s="127" t="n">
        <v>46289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28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17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29981117</v>
      </c>
      <c r="C830" s="4" t="s">
        <v>2440</v>
      </c>
      <c r="D830" s="4" t="s">
        <v>463</v>
      </c>
      <c r="E830" s="4" t="s">
        <v>2820</v>
      </c>
      <c r="F830" s="127" t="n">
        <v>46688</v>
      </c>
      <c r="G830" s="127" t="n">
        <v>46701</v>
      </c>
      <c r="H830" s="127" t="n">
        <v>46289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21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18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29981150</v>
      </c>
      <c r="C831" s="4" t="s">
        <v>2443</v>
      </c>
      <c r="D831" s="4" t="s">
        <v>463</v>
      </c>
      <c r="E831" s="4" t="s">
        <v>2820</v>
      </c>
      <c r="F831" s="127" t="n">
        <v>46688</v>
      </c>
      <c r="G831" s="127" t="n">
        <v>46701</v>
      </c>
      <c r="H831" s="127" t="n">
        <v>46289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20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18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29981042</v>
      </c>
      <c r="C832" s="4" t="s">
        <v>2437</v>
      </c>
      <c r="D832" s="4" t="s">
        <v>463</v>
      </c>
      <c r="E832" s="4" t="s">
        <v>2823</v>
      </c>
      <c r="F832" s="127" t="n">
        <v>46688</v>
      </c>
      <c r="G832" s="127" t="n">
        <v>46701</v>
      </c>
      <c r="H832" s="127" t="n">
        <v>46289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29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20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29981008</v>
      </c>
      <c r="C833" s="4" t="s">
        <v>2434</v>
      </c>
      <c r="D833" s="4" t="s">
        <v>463</v>
      </c>
      <c r="E833" s="4" t="s">
        <v>2825</v>
      </c>
      <c r="F833" s="127" t="n">
        <v>46688</v>
      </c>
      <c r="G833" s="127" t="n">
        <v>46701</v>
      </c>
      <c r="H833" s="127" t="n">
        <v>46289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25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21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29981001</v>
      </c>
      <c r="C834" s="4" t="s">
        <v>2425</v>
      </c>
      <c r="D834" s="4" t="s">
        <v>463</v>
      </c>
      <c r="E834" s="4" t="s">
        <v>2827</v>
      </c>
      <c r="F834" s="127" t="n">
        <v>46688</v>
      </c>
      <c r="G834" s="127" t="n">
        <v>46701</v>
      </c>
      <c r="H834" s="127" t="n">
        <v>46289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21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22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29980970</v>
      </c>
      <c r="C835" s="4" t="s">
        <v>2428</v>
      </c>
      <c r="D835" s="4" t="s">
        <v>463</v>
      </c>
      <c r="E835" s="4" t="s">
        <v>2827</v>
      </c>
      <c r="F835" s="127" t="n">
        <v>46688</v>
      </c>
      <c r="G835" s="127" t="n">
        <v>46701</v>
      </c>
      <c r="H835" s="127" t="n">
        <v>46289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20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22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29981003</v>
      </c>
      <c r="C836" s="4" t="s">
        <v>2431</v>
      </c>
      <c r="D836" s="4" t="s">
        <v>463</v>
      </c>
      <c r="E836" s="4" t="s">
        <v>2827</v>
      </c>
      <c r="F836" s="127" t="n">
        <v>46688</v>
      </c>
      <c r="G836" s="127" t="n">
        <v>46701</v>
      </c>
      <c r="H836" s="127" t="n">
        <v>46289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21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22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29980950</v>
      </c>
      <c r="C837" s="4" t="s">
        <v>2422</v>
      </c>
      <c r="D837" s="4" t="s">
        <v>463</v>
      </c>
      <c r="E837" s="4" t="s">
        <v>2829</v>
      </c>
      <c r="F837" s="127" t="n">
        <v>46688</v>
      </c>
      <c r="G837" s="127" t="n">
        <v>46701</v>
      </c>
      <c r="H837" s="127" t="n">
        <v>46289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29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29980916</v>
      </c>
      <c r="C838" s="4" t="s">
        <v>2413</v>
      </c>
      <c r="D838" s="4" t="s">
        <v>463</v>
      </c>
      <c r="E838" s="4" t="s">
        <v>2831</v>
      </c>
      <c r="F838" s="127" t="n">
        <v>46688</v>
      </c>
      <c r="G838" s="127" t="n">
        <v>46701</v>
      </c>
      <c r="H838" s="127" t="n">
        <v>46289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21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24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30205783</v>
      </c>
      <c r="C839" s="4" t="s">
        <v>2422</v>
      </c>
      <c r="D839" s="4" t="s">
        <v>463</v>
      </c>
      <c r="E839" s="4" t="s">
        <v>2835</v>
      </c>
      <c r="F839" s="127" t="n">
        <v>46692</v>
      </c>
      <c r="G839" s="127" t="n">
        <v>46707</v>
      </c>
      <c r="H839" s="127" t="n">
        <v>46289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29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0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30205804</v>
      </c>
      <c r="C840" s="4" t="s">
        <v>2413</v>
      </c>
      <c r="D840" s="4" t="s">
        <v>463</v>
      </c>
      <c r="E840" s="4" t="s">
        <v>2839</v>
      </c>
      <c r="F840" s="127" t="n">
        <v>46692</v>
      </c>
      <c r="G840" s="127" t="n">
        <v>46707</v>
      </c>
      <c r="H840" s="127" t="n">
        <v>46289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21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0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30205803</v>
      </c>
      <c r="C841" s="4" t="s">
        <v>2410</v>
      </c>
      <c r="D841" s="4" t="s">
        <v>463</v>
      </c>
      <c r="E841" s="4" t="s">
        <v>2839</v>
      </c>
      <c r="F841" s="127" t="n">
        <v>46692</v>
      </c>
      <c r="G841" s="127" t="n">
        <v>46707</v>
      </c>
      <c r="H841" s="127" t="n">
        <v>46289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22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0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30205805</v>
      </c>
      <c r="C842" s="4" t="s">
        <v>2416</v>
      </c>
      <c r="D842" s="4" t="s">
        <v>463</v>
      </c>
      <c r="E842" s="4" t="s">
        <v>2839</v>
      </c>
      <c r="F842" s="127" t="n">
        <v>46692</v>
      </c>
      <c r="G842" s="127" t="n">
        <v>46707</v>
      </c>
      <c r="H842" s="127" t="n">
        <v>46289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18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0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30205834</v>
      </c>
      <c r="C843" s="4" t="s">
        <v>168</v>
      </c>
      <c r="D843" s="4" t="s">
        <v>463</v>
      </c>
      <c r="E843" s="4" t="s">
        <v>2782</v>
      </c>
      <c r="F843" s="127" t="n">
        <v>46692</v>
      </c>
      <c r="G843" s="127" t="n">
        <v>46714</v>
      </c>
      <c r="H843" s="127" t="n">
        <v>46289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18</v>
      </c>
      <c r="N843" s="2" t="n">
        <f aca="false">IF(E843="","",IF(ISNUMBER(SEARCH("SUBSOLO",E843)),IFERROR(-VALUE(LEFT(E843,FIND("º",SUBSTITUTE(E843,"°","º"))-1)),-1),IF(LEFT(E843,6)="TÉRREO",0,IFERROR(VALUE(LEFT(E843,FIND("º",SUBSTITUTE(E843,"°","º"))-1)),""))))</f>
        <v>1</v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30171435</v>
      </c>
      <c r="C844" s="4" t="s">
        <v>2428</v>
      </c>
      <c r="D844" s="4" t="s">
        <v>463</v>
      </c>
      <c r="E844" s="4" t="s">
        <v>2800</v>
      </c>
      <c r="F844" s="127" t="n">
        <v>46692</v>
      </c>
      <c r="G844" s="127" t="n">
        <v>46736</v>
      </c>
      <c r="H844" s="127" t="n">
        <v>46289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20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4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30171420</v>
      </c>
      <c r="C845" s="4" t="s">
        <v>2452</v>
      </c>
      <c r="D845" s="4" t="s">
        <v>463</v>
      </c>
      <c r="E845" s="4" t="s">
        <v>2800</v>
      </c>
      <c r="F845" s="127" t="n">
        <v>46692</v>
      </c>
      <c r="G845" s="127" t="n">
        <v>46736</v>
      </c>
      <c r="H845" s="127" t="n">
        <v>46289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21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4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29980915</v>
      </c>
      <c r="C846" s="4" t="s">
        <v>2416</v>
      </c>
      <c r="D846" s="4" t="s">
        <v>463</v>
      </c>
      <c r="E846" s="4" t="s">
        <v>2831</v>
      </c>
      <c r="F846" s="127" t="n">
        <v>46692</v>
      </c>
      <c r="G846" s="127" t="n">
        <v>46703</v>
      </c>
      <c r="H846" s="127" t="n">
        <v>46289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18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24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29941039</v>
      </c>
      <c r="C847" s="4" t="s">
        <v>2341</v>
      </c>
      <c r="D847" s="4" t="s">
        <v>463</v>
      </c>
      <c r="E847" s="4" t="s">
        <v>2841</v>
      </c>
      <c r="F847" s="127" t="n">
        <v>46692</v>
      </c>
      <c r="G847" s="127" t="n">
        <v>46703</v>
      </c>
      <c r="H847" s="127" t="n">
        <v>46289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17</v>
      </c>
      <c r="N847" s="2" t="n">
        <f aca="false">IF(E847="","",IF(ISNUMBER(SEARCH("SUBSOLO",E847)),IFERROR(-VALUE(LEFT(E847,FIND("º",SUBSTITUTE(E847,"°","º"))-1)),-1),IF(LEFT(E847,6)="TÉRREO",0,IFERROR(VALUE(LEFT(E847,FIND("º",SUBSTITUTE(E847,"°","º"))-1)),""))))</f>
        <v>29</v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31529066</v>
      </c>
      <c r="C848" s="4" t="s">
        <v>2341</v>
      </c>
      <c r="D848" s="4" t="s">
        <v>2312</v>
      </c>
      <c r="E848" s="4" t="s">
        <v>2841</v>
      </c>
      <c r="F848" s="127" t="n">
        <v>46692</v>
      </c>
      <c r="G848" s="127" t="n">
        <v>46699</v>
      </c>
      <c r="H848" s="127" t="n">
        <v>46289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17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29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31529067</v>
      </c>
      <c r="C849" s="4" t="s">
        <v>2341</v>
      </c>
      <c r="D849" s="4" t="s">
        <v>2309</v>
      </c>
      <c r="E849" s="4" t="s">
        <v>2841</v>
      </c>
      <c r="F849" s="127" t="n">
        <v>46700</v>
      </c>
      <c r="G849" s="127" t="n">
        <v>46702</v>
      </c>
      <c r="H849" s="127" t="n">
        <v>46289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17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29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31529068</v>
      </c>
      <c r="C850" s="4" t="s">
        <v>2341</v>
      </c>
      <c r="D850" s="4" t="s">
        <v>2314</v>
      </c>
      <c r="E850" s="4" t="s">
        <v>2841</v>
      </c>
      <c r="F850" s="127" t="n">
        <v>46703</v>
      </c>
      <c r="G850" s="127" t="n">
        <v>46703</v>
      </c>
      <c r="H850" s="127" t="n">
        <v>46289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17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29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31529069</v>
      </c>
      <c r="C851" s="4" t="s">
        <v>2341</v>
      </c>
      <c r="D851" s="4" t="s">
        <v>2758</v>
      </c>
      <c r="E851" s="4" t="s">
        <v>2841</v>
      </c>
      <c r="F851" s="127" t="n">
        <v>46703</v>
      </c>
      <c r="G851" s="127" t="n">
        <v>46703</v>
      </c>
      <c r="H851" s="127" t="n">
        <v>46289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17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29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30205746</v>
      </c>
      <c r="C852" s="4" t="s">
        <v>171</v>
      </c>
      <c r="D852" s="4" t="s">
        <v>463</v>
      </c>
      <c r="E852" s="4" t="s">
        <v>2740</v>
      </c>
      <c r="F852" s="127" t="n">
        <v>46694</v>
      </c>
      <c r="G852" s="127" t="n">
        <v>46708</v>
      </c>
      <c r="H852" s="127" t="n">
        <v>46289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19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-1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29980889</v>
      </c>
      <c r="C853" s="4" t="s">
        <v>2410</v>
      </c>
      <c r="D853" s="4" t="s">
        <v>463</v>
      </c>
      <c r="E853" s="4" t="s">
        <v>2833</v>
      </c>
      <c r="F853" s="127" t="n">
        <v>46696</v>
      </c>
      <c r="G853" s="127" t="n">
        <v>46709</v>
      </c>
      <c r="H853" s="127" t="n">
        <v>46289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22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25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29980840</v>
      </c>
      <c r="C854" s="4" t="s">
        <v>168</v>
      </c>
      <c r="D854" s="4" t="s">
        <v>463</v>
      </c>
      <c r="E854" s="4" t="s">
        <v>2834</v>
      </c>
      <c r="F854" s="127" t="n">
        <v>46696</v>
      </c>
      <c r="G854" s="127" t="n">
        <v>46709</v>
      </c>
      <c r="H854" s="127" t="n">
        <v>46289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18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26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31789447</v>
      </c>
      <c r="C855" s="4" t="s">
        <v>2533</v>
      </c>
      <c r="D855" s="4" t="s">
        <v>463</v>
      </c>
      <c r="E855" s="4" t="s">
        <v>2678</v>
      </c>
      <c r="F855" s="127" t="n">
        <v>46699</v>
      </c>
      <c r="G855" s="127" t="n">
        <v>46764</v>
      </c>
      <c r="H855" s="127" t="n">
        <v>46289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32</v>
      </c>
      <c r="N855" s="2" t="str">
        <f aca="false">IF(E855="","",IF(ISNUMBER(SEARCH("SUBSOLO",E855)),IFERROR(-VALUE(LEFT(E855,FIND("º",SUBSTITUTE(E855,"°","º"))-1)),-1),IF(LEFT(E855,6)="TÉRREO",0,IFERROR(VALUE(LEFT(E855,FIND("º",SUBSTITUTE(E855,"°","º"))-1)),""))))</f>
        <v/>
      </c>
      <c r="O855" s="2" t="str">
        <f aca="false">IF(OR(F855="",G855=""),"",IF(G855&lt;='RETRATO 2027'!$K$5,"CONCLUÍDA",IF(F855&lt;='RETRATO 2027'!$K$5,"EM ANDAMENTO","A INICIAR")))</f>
        <v>EM ANDAMENTO</v>
      </c>
    </row>
    <row r="856" customFormat="false" ht="15" hidden="false" customHeight="false" outlineLevel="0" collapsed="false">
      <c r="B856" s="4" t="n">
        <v>31790136</v>
      </c>
      <c r="C856" s="4" t="s">
        <v>2536</v>
      </c>
      <c r="D856" s="4" t="s">
        <v>463</v>
      </c>
      <c r="E856" s="4" t="s">
        <v>2678</v>
      </c>
      <c r="F856" s="127" t="n">
        <v>46699</v>
      </c>
      <c r="G856" s="127" t="n">
        <v>46727</v>
      </c>
      <c r="H856" s="127" t="n">
        <v>46289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32</v>
      </c>
      <c r="N856" s="2" t="str">
        <f aca="false">IF(E856="","",IF(ISNUMBER(SEARCH("SUBSOLO",E856)),IFERROR(-VALUE(LEFT(E856,FIND("º",SUBSTITUTE(E856,"°","º"))-1)),-1),IF(LEFT(E856,6)="TÉRREO",0,IFERROR(VALUE(LEFT(E856,FIND("º",SUBSTITUTE(E856,"°","º"))-1)),""))))</f>
        <v/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30205703</v>
      </c>
      <c r="C857" s="4" t="s">
        <v>216</v>
      </c>
      <c r="D857" s="4" t="s">
        <v>463</v>
      </c>
      <c r="E857" s="4" t="s">
        <v>2819</v>
      </c>
      <c r="F857" s="127" t="n">
        <v>46700</v>
      </c>
      <c r="G857" s="127" t="n">
        <v>46714</v>
      </c>
      <c r="H857" s="127" t="n">
        <v>46289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33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0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30205675</v>
      </c>
      <c r="C858" s="4" t="s">
        <v>2501</v>
      </c>
      <c r="D858" s="4" t="s">
        <v>463</v>
      </c>
      <c r="E858" s="4" t="s">
        <v>2821</v>
      </c>
      <c r="F858" s="127" t="n">
        <v>46700</v>
      </c>
      <c r="G858" s="127" t="n">
        <v>46714</v>
      </c>
      <c r="H858" s="127" t="n">
        <v>46289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30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0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30205650</v>
      </c>
      <c r="C859" s="4" t="s">
        <v>2486</v>
      </c>
      <c r="D859" s="4" t="s">
        <v>463</v>
      </c>
      <c r="E859" s="4" t="s">
        <v>2824</v>
      </c>
      <c r="F859" s="127" t="n">
        <v>46700</v>
      </c>
      <c r="G859" s="127" t="n">
        <v>46714</v>
      </c>
      <c r="H859" s="127" t="n">
        <v>46289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30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0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30205627</v>
      </c>
      <c r="C860" s="4" t="s">
        <v>2480</v>
      </c>
      <c r="D860" s="4" t="s">
        <v>463</v>
      </c>
      <c r="E860" s="4" t="s">
        <v>2826</v>
      </c>
      <c r="F860" s="127" t="n">
        <v>46700</v>
      </c>
      <c r="G860" s="127" t="n">
        <v>46714</v>
      </c>
      <c r="H860" s="127" t="n">
        <v>46289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30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0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30205593</v>
      </c>
      <c r="C861" s="4" t="s">
        <v>2492</v>
      </c>
      <c r="D861" s="4" t="s">
        <v>463</v>
      </c>
      <c r="E861" s="4" t="s">
        <v>2828</v>
      </c>
      <c r="F861" s="127" t="n">
        <v>46700</v>
      </c>
      <c r="G861" s="127" t="n">
        <v>46714</v>
      </c>
      <c r="H861" s="127" t="n">
        <v>46289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18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0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30205565</v>
      </c>
      <c r="C862" s="4" t="s">
        <v>2449</v>
      </c>
      <c r="D862" s="4" t="s">
        <v>463</v>
      </c>
      <c r="E862" s="4" t="s">
        <v>2830</v>
      </c>
      <c r="F862" s="127" t="n">
        <v>46700</v>
      </c>
      <c r="G862" s="127" t="n">
        <v>46714</v>
      </c>
      <c r="H862" s="127" t="n">
        <v>46289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28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31803890</v>
      </c>
      <c r="C863" s="4" t="s">
        <v>2483</v>
      </c>
      <c r="D863" s="4" t="s">
        <v>463</v>
      </c>
      <c r="E863" s="4" t="s">
        <v>2830</v>
      </c>
      <c r="F863" s="127" t="n">
        <v>46700</v>
      </c>
      <c r="G863" s="127" t="n">
        <v>46756</v>
      </c>
      <c r="H863" s="127" t="n">
        <v>46289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32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0</v>
      </c>
      <c r="O863" s="2" t="str">
        <f aca="false">IF(OR(F863="",G863=""),"",IF(G863&lt;='RETRATO 2027'!$K$5,"CONCLUÍDA",IF(F863&lt;='RETRATO 2027'!$K$5,"EM ANDAMENTO","A INICIAR")))</f>
        <v>EM ANDAMENTO</v>
      </c>
    </row>
    <row r="864" customFormat="false" ht="15" hidden="false" customHeight="false" outlineLevel="0" collapsed="false">
      <c r="B864" s="4" t="n">
        <v>30205534</v>
      </c>
      <c r="C864" s="4" t="s">
        <v>2437</v>
      </c>
      <c r="D864" s="4" t="s">
        <v>463</v>
      </c>
      <c r="E864" s="4" t="s">
        <v>2832</v>
      </c>
      <c r="F864" s="127" t="n">
        <v>46700</v>
      </c>
      <c r="G864" s="127" t="n">
        <v>46714</v>
      </c>
      <c r="H864" s="127" t="n">
        <v>46289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29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0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30171466</v>
      </c>
      <c r="C865" s="4" t="s">
        <v>2508</v>
      </c>
      <c r="D865" s="4" t="s">
        <v>463</v>
      </c>
      <c r="E865" s="4" t="s">
        <v>2784</v>
      </c>
      <c r="F865" s="127" t="n">
        <v>46701</v>
      </c>
      <c r="G865" s="127" t="n">
        <v>46772</v>
      </c>
      <c r="H865" s="127" t="n">
        <v>46289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20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2</v>
      </c>
      <c r="O865" s="2" t="str">
        <f aca="false">IF(OR(F865="",G865=""),"",IF(G865&lt;='RETRATO 2027'!$K$5,"CONCLUÍDA",IF(F865&lt;='RETRATO 2027'!$K$5,"EM ANDAMENTO","A INICIAR")))</f>
        <v>EM ANDAMENTO</v>
      </c>
    </row>
    <row r="866" customFormat="false" ht="15" hidden="false" customHeight="false" outlineLevel="0" collapsed="false">
      <c r="B866" s="4" t="n">
        <v>30171485</v>
      </c>
      <c r="C866" s="4" t="s">
        <v>2511</v>
      </c>
      <c r="D866" s="4" t="s">
        <v>463</v>
      </c>
      <c r="E866" s="4" t="s">
        <v>2784</v>
      </c>
      <c r="F866" s="127" t="n">
        <v>46701</v>
      </c>
      <c r="G866" s="127" t="n">
        <v>46772</v>
      </c>
      <c r="H866" s="127" t="n">
        <v>46289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20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2</v>
      </c>
      <c r="O866" s="2" t="str">
        <f aca="false">IF(OR(F866="",G866=""),"",IF(G866&lt;='RETRATO 2027'!$K$5,"CONCLUÍDA",IF(F866&lt;='RETRATO 2027'!$K$5,"EM ANDAMENTO","A INICIAR")))</f>
        <v>EM ANDAMENTO</v>
      </c>
    </row>
    <row r="867" customFormat="false" ht="15" hidden="false" customHeight="false" outlineLevel="0" collapsed="false">
      <c r="B867" s="4" t="n">
        <v>30171468</v>
      </c>
      <c r="C867" s="4" t="s">
        <v>2525</v>
      </c>
      <c r="D867" s="4" t="s">
        <v>463</v>
      </c>
      <c r="E867" s="4" t="s">
        <v>2784</v>
      </c>
      <c r="F867" s="127" t="n">
        <v>46701</v>
      </c>
      <c r="G867" s="127" t="n">
        <v>46730</v>
      </c>
      <c r="H867" s="127" t="n">
        <v>46289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18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2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30214059</v>
      </c>
      <c r="C868" s="4" t="s">
        <v>2514</v>
      </c>
      <c r="D868" s="4" t="s">
        <v>463</v>
      </c>
      <c r="E868" s="4" t="s">
        <v>2784</v>
      </c>
      <c r="F868" s="127" t="n">
        <v>46701</v>
      </c>
      <c r="G868" s="127" t="n">
        <v>46715</v>
      </c>
      <c r="H868" s="127" t="n">
        <v>46289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20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2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29981477</v>
      </c>
      <c r="C869" s="4" t="s">
        <v>216</v>
      </c>
      <c r="D869" s="4" t="s">
        <v>463</v>
      </c>
      <c r="E869" s="4" t="s">
        <v>2805</v>
      </c>
      <c r="F869" s="127" t="n">
        <v>46702</v>
      </c>
      <c r="G869" s="127" t="n">
        <v>46715</v>
      </c>
      <c r="H869" s="127" t="n">
        <v>46289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33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9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29981438</v>
      </c>
      <c r="C870" s="4" t="s">
        <v>2508</v>
      </c>
      <c r="D870" s="4" t="s">
        <v>463</v>
      </c>
      <c r="E870" s="4" t="s">
        <v>2809</v>
      </c>
      <c r="F870" s="127" t="n">
        <v>46702</v>
      </c>
      <c r="G870" s="127" t="n">
        <v>46715</v>
      </c>
      <c r="H870" s="127" t="n">
        <v>46289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10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29981443</v>
      </c>
      <c r="C871" s="4" t="s">
        <v>2511</v>
      </c>
      <c r="D871" s="4" t="s">
        <v>463</v>
      </c>
      <c r="E871" s="4" t="s">
        <v>2809</v>
      </c>
      <c r="F871" s="127" t="n">
        <v>46702</v>
      </c>
      <c r="G871" s="127" t="n">
        <v>46715</v>
      </c>
      <c r="H871" s="127" t="n">
        <v>46289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10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30214072</v>
      </c>
      <c r="C872" s="4" t="s">
        <v>2514</v>
      </c>
      <c r="D872" s="4" t="s">
        <v>463</v>
      </c>
      <c r="E872" s="4" t="s">
        <v>2809</v>
      </c>
      <c r="F872" s="127" t="n">
        <v>46702</v>
      </c>
      <c r="G872" s="127" t="n">
        <v>46716</v>
      </c>
      <c r="H872" s="127" t="n">
        <v>46289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10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29981385</v>
      </c>
      <c r="C873" s="4" t="s">
        <v>2501</v>
      </c>
      <c r="D873" s="4" t="s">
        <v>463</v>
      </c>
      <c r="E873" s="4" t="s">
        <v>2810</v>
      </c>
      <c r="F873" s="127" t="n">
        <v>46702</v>
      </c>
      <c r="G873" s="127" t="n">
        <v>46715</v>
      </c>
      <c r="H873" s="127" t="n">
        <v>46289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30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11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29981347</v>
      </c>
      <c r="C874" s="4" t="s">
        <v>2486</v>
      </c>
      <c r="D874" s="4" t="s">
        <v>463</v>
      </c>
      <c r="E874" s="4" t="s">
        <v>2811</v>
      </c>
      <c r="F874" s="127" t="n">
        <v>46702</v>
      </c>
      <c r="G874" s="127" t="n">
        <v>46715</v>
      </c>
      <c r="H874" s="127" t="n">
        <v>46289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30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12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29981326</v>
      </c>
      <c r="C875" s="4" t="s">
        <v>2480</v>
      </c>
      <c r="D875" s="4" t="s">
        <v>463</v>
      </c>
      <c r="E875" s="4" t="s">
        <v>2812</v>
      </c>
      <c r="F875" s="127" t="n">
        <v>46702</v>
      </c>
      <c r="G875" s="127" t="n">
        <v>46715</v>
      </c>
      <c r="H875" s="127" t="n">
        <v>46289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30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13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29981287</v>
      </c>
      <c r="C876" s="4" t="s">
        <v>171</v>
      </c>
      <c r="D876" s="4" t="s">
        <v>463</v>
      </c>
      <c r="E876" s="4" t="s">
        <v>2813</v>
      </c>
      <c r="F876" s="127" t="n">
        <v>46702</v>
      </c>
      <c r="G876" s="127" t="n">
        <v>46715</v>
      </c>
      <c r="H876" s="127" t="n">
        <v>46289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19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14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32750441</v>
      </c>
      <c r="C877" s="4" t="s">
        <v>2470</v>
      </c>
      <c r="D877" s="4" t="s">
        <v>463</v>
      </c>
      <c r="E877" s="4" t="s">
        <v>2814</v>
      </c>
      <c r="F877" s="127" t="n">
        <v>46702</v>
      </c>
      <c r="G877" s="127" t="n">
        <v>46715</v>
      </c>
      <c r="H877" s="127" t="n">
        <v>46289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18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15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32750364</v>
      </c>
      <c r="C878" s="4" t="s">
        <v>2458</v>
      </c>
      <c r="D878" s="4" t="s">
        <v>463</v>
      </c>
      <c r="E878" s="4" t="s">
        <v>2815</v>
      </c>
      <c r="F878" s="127" t="n">
        <v>46702</v>
      </c>
      <c r="G878" s="127" t="n">
        <v>46715</v>
      </c>
      <c r="H878" s="127" t="n">
        <v>46289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21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16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32750390</v>
      </c>
      <c r="C879" s="4" t="s">
        <v>2461</v>
      </c>
      <c r="D879" s="4" t="s">
        <v>463</v>
      </c>
      <c r="E879" s="4" t="s">
        <v>2815</v>
      </c>
      <c r="F879" s="127" t="n">
        <v>46702</v>
      </c>
      <c r="G879" s="127" t="n">
        <v>46715</v>
      </c>
      <c r="H879" s="127" t="n">
        <v>46289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20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16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32750416</v>
      </c>
      <c r="C880" s="4" t="s">
        <v>2464</v>
      </c>
      <c r="D880" s="4" t="s">
        <v>463</v>
      </c>
      <c r="E880" s="4" t="s">
        <v>2815</v>
      </c>
      <c r="F880" s="127" t="n">
        <v>46702</v>
      </c>
      <c r="G880" s="127" t="n">
        <v>46715</v>
      </c>
      <c r="H880" s="127" t="n">
        <v>46289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21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16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33896834</v>
      </c>
      <c r="C881" s="4" t="s">
        <v>2467</v>
      </c>
      <c r="D881" s="4" t="s">
        <v>463</v>
      </c>
      <c r="E881" s="4" t="s">
        <v>2815</v>
      </c>
      <c r="F881" s="127" t="n">
        <v>46702</v>
      </c>
      <c r="G881" s="127" t="n">
        <v>46715</v>
      </c>
      <c r="H881" s="127" t="n">
        <v>46289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23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16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32749860</v>
      </c>
      <c r="C882" s="4" t="s">
        <v>2455</v>
      </c>
      <c r="D882" s="4" t="s">
        <v>463</v>
      </c>
      <c r="E882" s="4" t="s">
        <v>2818</v>
      </c>
      <c r="F882" s="127" t="n">
        <v>46702</v>
      </c>
      <c r="G882" s="127" t="n">
        <v>46715</v>
      </c>
      <c r="H882" s="127" t="n">
        <v>46289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18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17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29981140</v>
      </c>
      <c r="C883" s="4" t="s">
        <v>2449</v>
      </c>
      <c r="D883" s="4" t="s">
        <v>463</v>
      </c>
      <c r="E883" s="4" t="s">
        <v>2820</v>
      </c>
      <c r="F883" s="127" t="n">
        <v>46702</v>
      </c>
      <c r="G883" s="127" t="n">
        <v>46715</v>
      </c>
      <c r="H883" s="127" t="n">
        <v>46289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28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18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29981043</v>
      </c>
      <c r="C884" s="4" t="s">
        <v>2440</v>
      </c>
      <c r="D884" s="4" t="s">
        <v>463</v>
      </c>
      <c r="E884" s="4" t="s">
        <v>2823</v>
      </c>
      <c r="F884" s="127" t="n">
        <v>46702</v>
      </c>
      <c r="G884" s="127" t="n">
        <v>46715</v>
      </c>
      <c r="H884" s="127" t="n">
        <v>46289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21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20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29981076</v>
      </c>
      <c r="C885" s="4" t="s">
        <v>2443</v>
      </c>
      <c r="D885" s="4" t="s">
        <v>463</v>
      </c>
      <c r="E885" s="4" t="s">
        <v>2823</v>
      </c>
      <c r="F885" s="127" t="n">
        <v>46702</v>
      </c>
      <c r="G885" s="127" t="n">
        <v>46715</v>
      </c>
      <c r="H885" s="127" t="n">
        <v>46289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20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20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29981005</v>
      </c>
      <c r="C886" s="4" t="s">
        <v>2437</v>
      </c>
      <c r="D886" s="4" t="s">
        <v>463</v>
      </c>
      <c r="E886" s="4" t="s">
        <v>2825</v>
      </c>
      <c r="F886" s="127" t="n">
        <v>46702</v>
      </c>
      <c r="G886" s="127" t="n">
        <v>46715</v>
      </c>
      <c r="H886" s="127" t="n">
        <v>46289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29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21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29980971</v>
      </c>
      <c r="C887" s="4" t="s">
        <v>2434</v>
      </c>
      <c r="D887" s="4" t="s">
        <v>463</v>
      </c>
      <c r="E887" s="4" t="s">
        <v>2827</v>
      </c>
      <c r="F887" s="127" t="n">
        <v>46702</v>
      </c>
      <c r="G887" s="127" t="n">
        <v>46715</v>
      </c>
      <c r="H887" s="127" t="n">
        <v>46289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25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22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29980964</v>
      </c>
      <c r="C888" s="4" t="s">
        <v>2425</v>
      </c>
      <c r="D888" s="4" t="s">
        <v>463</v>
      </c>
      <c r="E888" s="4" t="s">
        <v>2829</v>
      </c>
      <c r="F888" s="127" t="n">
        <v>46702</v>
      </c>
      <c r="G888" s="127" t="n">
        <v>46715</v>
      </c>
      <c r="H888" s="127" t="n">
        <v>46289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21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23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29980933</v>
      </c>
      <c r="C889" s="4" t="s">
        <v>2428</v>
      </c>
      <c r="D889" s="4" t="s">
        <v>463</v>
      </c>
      <c r="E889" s="4" t="s">
        <v>2829</v>
      </c>
      <c r="F889" s="127" t="n">
        <v>46702</v>
      </c>
      <c r="G889" s="127" t="n">
        <v>46715</v>
      </c>
      <c r="H889" s="127" t="n">
        <v>46289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20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23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29980966</v>
      </c>
      <c r="C890" s="4" t="s">
        <v>2431</v>
      </c>
      <c r="D890" s="4" t="s">
        <v>463</v>
      </c>
      <c r="E890" s="4" t="s">
        <v>2829</v>
      </c>
      <c r="F890" s="127" t="n">
        <v>46702</v>
      </c>
      <c r="G890" s="127" t="n">
        <v>46715</v>
      </c>
      <c r="H890" s="127" t="n">
        <v>46289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21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23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29980913</v>
      </c>
      <c r="C891" s="4" t="s">
        <v>2422</v>
      </c>
      <c r="D891" s="4" t="s">
        <v>463</v>
      </c>
      <c r="E891" s="4" t="s">
        <v>2831</v>
      </c>
      <c r="F891" s="127" t="n">
        <v>46702</v>
      </c>
      <c r="G891" s="127" t="n">
        <v>46715</v>
      </c>
      <c r="H891" s="127" t="n">
        <v>46289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24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29980879</v>
      </c>
      <c r="C892" s="4" t="s">
        <v>2413</v>
      </c>
      <c r="D892" s="4" t="s">
        <v>463</v>
      </c>
      <c r="E892" s="4" t="s">
        <v>2833</v>
      </c>
      <c r="F892" s="127" t="n">
        <v>46702</v>
      </c>
      <c r="G892" s="127" t="n">
        <v>46715</v>
      </c>
      <c r="H892" s="127" t="n">
        <v>46289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21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25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29980878</v>
      </c>
      <c r="C893" s="4" t="s">
        <v>2416</v>
      </c>
      <c r="D893" s="4" t="s">
        <v>463</v>
      </c>
      <c r="E893" s="4" t="s">
        <v>2833</v>
      </c>
      <c r="F893" s="127" t="n">
        <v>46707</v>
      </c>
      <c r="G893" s="127" t="n">
        <v>46717</v>
      </c>
      <c r="H893" s="127" t="n">
        <v>46289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18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25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29941040</v>
      </c>
      <c r="C894" s="4" t="s">
        <v>2341</v>
      </c>
      <c r="D894" s="4" t="s">
        <v>463</v>
      </c>
      <c r="E894" s="4" t="s">
        <v>2842</v>
      </c>
      <c r="F894" s="127" t="n">
        <v>46707</v>
      </c>
      <c r="G894" s="127" t="n">
        <v>46717</v>
      </c>
      <c r="H894" s="127" t="n">
        <v>46289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17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30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31529072</v>
      </c>
      <c r="C895" s="4" t="s">
        <v>2341</v>
      </c>
      <c r="D895" s="4" t="s">
        <v>2312</v>
      </c>
      <c r="E895" s="4" t="s">
        <v>2842</v>
      </c>
      <c r="F895" s="127" t="n">
        <v>46707</v>
      </c>
      <c r="G895" s="127" t="n">
        <v>46713</v>
      </c>
      <c r="H895" s="127" t="n">
        <v>46289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17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30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31529073</v>
      </c>
      <c r="C896" s="4" t="s">
        <v>2341</v>
      </c>
      <c r="D896" s="4" t="s">
        <v>2309</v>
      </c>
      <c r="E896" s="4" t="s">
        <v>2842</v>
      </c>
      <c r="F896" s="127" t="n">
        <v>46714</v>
      </c>
      <c r="G896" s="127" t="n">
        <v>46716</v>
      </c>
      <c r="H896" s="127" t="n">
        <v>46289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17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30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31529074</v>
      </c>
      <c r="C897" s="4" t="s">
        <v>2341</v>
      </c>
      <c r="D897" s="4" t="s">
        <v>2314</v>
      </c>
      <c r="E897" s="4" t="s">
        <v>2842</v>
      </c>
      <c r="F897" s="127" t="n">
        <v>46717</v>
      </c>
      <c r="G897" s="127" t="n">
        <v>46717</v>
      </c>
      <c r="H897" s="127" t="n">
        <v>46289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17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30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31529075</v>
      </c>
      <c r="C898" s="4" t="s">
        <v>2341</v>
      </c>
      <c r="D898" s="4" t="s">
        <v>2758</v>
      </c>
      <c r="E898" s="4" t="s">
        <v>2842</v>
      </c>
      <c r="F898" s="127" t="n">
        <v>46717</v>
      </c>
      <c r="G898" s="127" t="n">
        <v>46717</v>
      </c>
      <c r="H898" s="127" t="n">
        <v>46289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17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30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30205784</v>
      </c>
      <c r="C899" s="4" t="s">
        <v>2428</v>
      </c>
      <c r="D899" s="4" t="s">
        <v>463</v>
      </c>
      <c r="E899" s="4" t="s">
        <v>2835</v>
      </c>
      <c r="F899" s="127" t="n">
        <v>46708</v>
      </c>
      <c r="G899" s="127" t="n">
        <v>46728</v>
      </c>
      <c r="H899" s="127" t="n">
        <v>46289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20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30205785</v>
      </c>
      <c r="C900" s="4" t="s">
        <v>2452</v>
      </c>
      <c r="D900" s="4" t="s">
        <v>463</v>
      </c>
      <c r="E900" s="4" t="s">
        <v>2835</v>
      </c>
      <c r="F900" s="127" t="n">
        <v>46708</v>
      </c>
      <c r="G900" s="127" t="n">
        <v>46728</v>
      </c>
      <c r="H900" s="127" t="n">
        <v>46289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21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0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30205810</v>
      </c>
      <c r="C901" s="4" t="s">
        <v>2422</v>
      </c>
      <c r="D901" s="4" t="s">
        <v>463</v>
      </c>
      <c r="E901" s="4" t="s">
        <v>2839</v>
      </c>
      <c r="F901" s="127" t="n">
        <v>46708</v>
      </c>
      <c r="G901" s="127" t="n">
        <v>46721</v>
      </c>
      <c r="H901" s="127" t="n">
        <v>46289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29</v>
      </c>
      <c r="N901" s="2" t="n">
        <f aca="false">IF(E901="","",IF(ISNUMBER(SEARCH("SUBSOLO",E901)),IFERROR(-VALUE(LEFT(E901,FIND("º",SUBSTITUTE(E901,"°","º"))-1)),-1),IF(LEFT(E901,6)="TÉRREO",0,IFERROR(VALUE(LEFT(E901,FIND("º",SUBSTITUTE(E901,"°","º"))-1)),""))))</f>
        <v>0</v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30205745</v>
      </c>
      <c r="C902" s="4" t="s">
        <v>2449</v>
      </c>
      <c r="D902" s="4" t="s">
        <v>463</v>
      </c>
      <c r="E902" s="4" t="s">
        <v>2740</v>
      </c>
      <c r="F902" s="127" t="n">
        <v>46709</v>
      </c>
      <c r="G902" s="127" t="n">
        <v>46722</v>
      </c>
      <c r="H902" s="127" t="n">
        <v>46289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28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-1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29980852</v>
      </c>
      <c r="C903" s="4" t="s">
        <v>2410</v>
      </c>
      <c r="D903" s="4" t="s">
        <v>463</v>
      </c>
      <c r="E903" s="4" t="s">
        <v>2834</v>
      </c>
      <c r="F903" s="127" t="n">
        <v>46710</v>
      </c>
      <c r="G903" s="127" t="n">
        <v>46722</v>
      </c>
      <c r="H903" s="127" t="n">
        <v>46289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22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26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29980803</v>
      </c>
      <c r="C904" s="4" t="s">
        <v>168</v>
      </c>
      <c r="D904" s="4" t="s">
        <v>463</v>
      </c>
      <c r="E904" s="4" t="s">
        <v>2838</v>
      </c>
      <c r="F904" s="127" t="n">
        <v>46710</v>
      </c>
      <c r="G904" s="127" t="n">
        <v>46722</v>
      </c>
      <c r="H904" s="127" t="n">
        <v>46289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18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27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30205706</v>
      </c>
      <c r="C905" s="4" t="s">
        <v>2539</v>
      </c>
      <c r="D905" s="4" t="s">
        <v>463</v>
      </c>
      <c r="E905" s="4" t="s">
        <v>2819</v>
      </c>
      <c r="F905" s="127" t="n">
        <v>46715</v>
      </c>
      <c r="G905" s="127" t="n">
        <v>46728</v>
      </c>
      <c r="H905" s="127" t="n">
        <v>46289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35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0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30205676</v>
      </c>
      <c r="C906" s="4" t="s">
        <v>216</v>
      </c>
      <c r="D906" s="4" t="s">
        <v>463</v>
      </c>
      <c r="E906" s="4" t="s">
        <v>2821</v>
      </c>
      <c r="F906" s="127" t="n">
        <v>46715</v>
      </c>
      <c r="G906" s="127" t="n">
        <v>46728</v>
      </c>
      <c r="H906" s="127" t="n">
        <v>46289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33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0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30205648</v>
      </c>
      <c r="C907" s="4" t="s">
        <v>2501</v>
      </c>
      <c r="D907" s="4" t="s">
        <v>463</v>
      </c>
      <c r="E907" s="4" t="s">
        <v>2824</v>
      </c>
      <c r="F907" s="127" t="n">
        <v>46715</v>
      </c>
      <c r="G907" s="127" t="n">
        <v>46728</v>
      </c>
      <c r="H907" s="127" t="n">
        <v>46289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30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0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30205623</v>
      </c>
      <c r="C908" s="4" t="s">
        <v>2486</v>
      </c>
      <c r="D908" s="4" t="s">
        <v>463</v>
      </c>
      <c r="E908" s="4" t="s">
        <v>2826</v>
      </c>
      <c r="F908" s="127" t="n">
        <v>46715</v>
      </c>
      <c r="G908" s="127" t="n">
        <v>46728</v>
      </c>
      <c r="H908" s="127" t="n">
        <v>46289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30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0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30205600</v>
      </c>
      <c r="C909" s="4" t="s">
        <v>2480</v>
      </c>
      <c r="D909" s="4" t="s">
        <v>463</v>
      </c>
      <c r="E909" s="4" t="s">
        <v>2828</v>
      </c>
      <c r="F909" s="127" t="n">
        <v>46715</v>
      </c>
      <c r="G909" s="127" t="n">
        <v>46728</v>
      </c>
      <c r="H909" s="127" t="n">
        <v>46289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30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0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30205566</v>
      </c>
      <c r="C910" s="4" t="s">
        <v>2492</v>
      </c>
      <c r="D910" s="4" t="s">
        <v>463</v>
      </c>
      <c r="E910" s="4" t="s">
        <v>2830</v>
      </c>
      <c r="F910" s="127" t="n">
        <v>46715</v>
      </c>
      <c r="G910" s="127" t="n">
        <v>46728</v>
      </c>
      <c r="H910" s="127" t="n">
        <v>46289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18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0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30205538</v>
      </c>
      <c r="C911" s="4" t="s">
        <v>2449</v>
      </c>
      <c r="D911" s="4" t="s">
        <v>463</v>
      </c>
      <c r="E911" s="4" t="s">
        <v>2832</v>
      </c>
      <c r="F911" s="127" t="n">
        <v>46715</v>
      </c>
      <c r="G911" s="127" t="n">
        <v>46728</v>
      </c>
      <c r="H911" s="127" t="n">
        <v>46289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28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0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31803891</v>
      </c>
      <c r="C912" s="4" t="s">
        <v>2483</v>
      </c>
      <c r="D912" s="4" t="s">
        <v>463</v>
      </c>
      <c r="E912" s="4" t="s">
        <v>2832</v>
      </c>
      <c r="F912" s="127" t="n">
        <v>46715</v>
      </c>
      <c r="G912" s="127" t="n">
        <v>46770</v>
      </c>
      <c r="H912" s="127" t="n">
        <v>46289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32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0</v>
      </c>
      <c r="O912" s="2" t="str">
        <f aca="false">IF(OR(F912="",G912=""),"",IF(G912&lt;='RETRATO 2027'!$K$5,"CONCLUÍDA",IF(F912&lt;='RETRATO 2027'!$K$5,"EM ANDAMENTO","A INICIAR")))</f>
        <v>EM ANDAMENTO</v>
      </c>
    </row>
    <row r="913" customFormat="false" ht="15" hidden="false" customHeight="false" outlineLevel="0" collapsed="false">
      <c r="B913" s="4" t="n">
        <v>30208603</v>
      </c>
      <c r="C913" s="4" t="s">
        <v>2443</v>
      </c>
      <c r="D913" s="4" t="s">
        <v>463</v>
      </c>
      <c r="E913" s="4" t="s">
        <v>2757</v>
      </c>
      <c r="F913" s="127" t="n">
        <v>46715</v>
      </c>
      <c r="G913" s="127" t="n">
        <v>46728</v>
      </c>
      <c r="H913" s="127" t="n">
        <v>46289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20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0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30205835</v>
      </c>
      <c r="C914" s="4" t="s">
        <v>2413</v>
      </c>
      <c r="D914" s="4" t="s">
        <v>463</v>
      </c>
      <c r="E914" s="4" t="s">
        <v>2782</v>
      </c>
      <c r="F914" s="127" t="n">
        <v>46715</v>
      </c>
      <c r="G914" s="127" t="n">
        <v>46728</v>
      </c>
      <c r="H914" s="127" t="n">
        <v>46289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21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1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30205836</v>
      </c>
      <c r="C915" s="4" t="s">
        <v>2416</v>
      </c>
      <c r="D915" s="4" t="s">
        <v>463</v>
      </c>
      <c r="E915" s="4" t="s">
        <v>2782</v>
      </c>
      <c r="F915" s="127" t="n">
        <v>46715</v>
      </c>
      <c r="G915" s="127" t="n">
        <v>46728</v>
      </c>
      <c r="H915" s="127" t="n">
        <v>46289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18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1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30205860</v>
      </c>
      <c r="C916" s="4" t="s">
        <v>2517</v>
      </c>
      <c r="D916" s="4" t="s">
        <v>463</v>
      </c>
      <c r="E916" s="4" t="s">
        <v>2782</v>
      </c>
      <c r="F916" s="127" t="n">
        <v>46715</v>
      </c>
      <c r="G916" s="127" t="n">
        <v>46728</v>
      </c>
      <c r="H916" s="127" t="n">
        <v>46289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22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1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29981440</v>
      </c>
      <c r="C917" s="4" t="s">
        <v>216</v>
      </c>
      <c r="D917" s="4" t="s">
        <v>463</v>
      </c>
      <c r="E917" s="4" t="s">
        <v>2809</v>
      </c>
      <c r="F917" s="127" t="n">
        <v>46716</v>
      </c>
      <c r="G917" s="127" t="n">
        <v>46728</v>
      </c>
      <c r="H917" s="127" t="n">
        <v>46289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33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10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29981401</v>
      </c>
      <c r="C918" s="4" t="s">
        <v>2508</v>
      </c>
      <c r="D918" s="4" t="s">
        <v>463</v>
      </c>
      <c r="E918" s="4" t="s">
        <v>2810</v>
      </c>
      <c r="F918" s="127" t="n">
        <v>46716</v>
      </c>
      <c r="G918" s="127" t="n">
        <v>46728</v>
      </c>
      <c r="H918" s="127" t="n">
        <v>46289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20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11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29981406</v>
      </c>
      <c r="C919" s="4" t="s">
        <v>2511</v>
      </c>
      <c r="D919" s="4" t="s">
        <v>463</v>
      </c>
      <c r="E919" s="4" t="s">
        <v>2810</v>
      </c>
      <c r="F919" s="127" t="n">
        <v>46716</v>
      </c>
      <c r="G919" s="127" t="n">
        <v>46728</v>
      </c>
      <c r="H919" s="127" t="n">
        <v>46289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20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11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30214073</v>
      </c>
      <c r="C920" s="4" t="s">
        <v>2514</v>
      </c>
      <c r="D920" s="4" t="s">
        <v>463</v>
      </c>
      <c r="E920" s="4" t="s">
        <v>2810</v>
      </c>
      <c r="F920" s="127" t="n">
        <v>46716</v>
      </c>
      <c r="G920" s="127" t="n">
        <v>46730</v>
      </c>
      <c r="H920" s="127" t="n">
        <v>46289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20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11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29981348</v>
      </c>
      <c r="C921" s="4" t="s">
        <v>2501</v>
      </c>
      <c r="D921" s="4" t="s">
        <v>463</v>
      </c>
      <c r="E921" s="4" t="s">
        <v>2811</v>
      </c>
      <c r="F921" s="127" t="n">
        <v>46716</v>
      </c>
      <c r="G921" s="127" t="n">
        <v>46728</v>
      </c>
      <c r="H921" s="127" t="n">
        <v>46289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30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12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29981310</v>
      </c>
      <c r="C922" s="4" t="s">
        <v>2486</v>
      </c>
      <c r="D922" s="4" t="s">
        <v>463</v>
      </c>
      <c r="E922" s="4" t="s">
        <v>2812</v>
      </c>
      <c r="F922" s="127" t="n">
        <v>46716</v>
      </c>
      <c r="G922" s="127" t="n">
        <v>46728</v>
      </c>
      <c r="H922" s="127" t="n">
        <v>46289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30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13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29981289</v>
      </c>
      <c r="C923" s="4" t="s">
        <v>2480</v>
      </c>
      <c r="D923" s="4" t="s">
        <v>463</v>
      </c>
      <c r="E923" s="4" t="s">
        <v>2813</v>
      </c>
      <c r="F923" s="127" t="n">
        <v>46716</v>
      </c>
      <c r="G923" s="127" t="n">
        <v>46728</v>
      </c>
      <c r="H923" s="127" t="n">
        <v>46289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30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14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29981250</v>
      </c>
      <c r="C924" s="4" t="s">
        <v>171</v>
      </c>
      <c r="D924" s="4" t="s">
        <v>463</v>
      </c>
      <c r="E924" s="4" t="s">
        <v>2814</v>
      </c>
      <c r="F924" s="127" t="n">
        <v>46716</v>
      </c>
      <c r="G924" s="127" t="n">
        <v>46728</v>
      </c>
      <c r="H924" s="127" t="n">
        <v>46289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19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15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32750442</v>
      </c>
      <c r="C925" s="4" t="s">
        <v>2470</v>
      </c>
      <c r="D925" s="4" t="s">
        <v>463</v>
      </c>
      <c r="E925" s="4" t="s">
        <v>2815</v>
      </c>
      <c r="F925" s="127" t="n">
        <v>46716</v>
      </c>
      <c r="G925" s="127" t="n">
        <v>46728</v>
      </c>
      <c r="H925" s="127" t="n">
        <v>46289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18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16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32750365</v>
      </c>
      <c r="C926" s="4" t="s">
        <v>2458</v>
      </c>
      <c r="D926" s="4" t="s">
        <v>463</v>
      </c>
      <c r="E926" s="4" t="s">
        <v>2818</v>
      </c>
      <c r="F926" s="127" t="n">
        <v>46716</v>
      </c>
      <c r="G926" s="127" t="n">
        <v>46728</v>
      </c>
      <c r="H926" s="127" t="n">
        <v>46289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21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17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32750391</v>
      </c>
      <c r="C927" s="4" t="s">
        <v>2461</v>
      </c>
      <c r="D927" s="4" t="s">
        <v>463</v>
      </c>
      <c r="E927" s="4" t="s">
        <v>2818</v>
      </c>
      <c r="F927" s="127" t="n">
        <v>46716</v>
      </c>
      <c r="G927" s="127" t="n">
        <v>46728</v>
      </c>
      <c r="H927" s="127" t="n">
        <v>46289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20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17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32750417</v>
      </c>
      <c r="C928" s="4" t="s">
        <v>2464</v>
      </c>
      <c r="D928" s="4" t="s">
        <v>463</v>
      </c>
      <c r="E928" s="4" t="s">
        <v>2818</v>
      </c>
      <c r="F928" s="127" t="n">
        <v>46716</v>
      </c>
      <c r="G928" s="127" t="n">
        <v>46728</v>
      </c>
      <c r="H928" s="127" t="n">
        <v>46289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17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33896835</v>
      </c>
      <c r="C929" s="4" t="s">
        <v>2467</v>
      </c>
      <c r="D929" s="4" t="s">
        <v>463</v>
      </c>
      <c r="E929" s="4" t="s">
        <v>2818</v>
      </c>
      <c r="F929" s="127" t="n">
        <v>46716</v>
      </c>
      <c r="G929" s="127" t="n">
        <v>46728</v>
      </c>
      <c r="H929" s="127" t="n">
        <v>46289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23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17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32749861</v>
      </c>
      <c r="C930" s="4" t="s">
        <v>2455</v>
      </c>
      <c r="D930" s="4" t="s">
        <v>463</v>
      </c>
      <c r="E930" s="4" t="s">
        <v>2820</v>
      </c>
      <c r="F930" s="127" t="n">
        <v>46716</v>
      </c>
      <c r="G930" s="127" t="n">
        <v>46728</v>
      </c>
      <c r="H930" s="127" t="n">
        <v>46289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18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18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29981066</v>
      </c>
      <c r="C931" s="4" t="s">
        <v>2449</v>
      </c>
      <c r="D931" s="4" t="s">
        <v>463</v>
      </c>
      <c r="E931" s="4" t="s">
        <v>2823</v>
      </c>
      <c r="F931" s="127" t="n">
        <v>46716</v>
      </c>
      <c r="G931" s="127" t="n">
        <v>46728</v>
      </c>
      <c r="H931" s="127" t="n">
        <v>46289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28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20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29981006</v>
      </c>
      <c r="C932" s="4" t="s">
        <v>2440</v>
      </c>
      <c r="D932" s="4" t="s">
        <v>463</v>
      </c>
      <c r="E932" s="4" t="s">
        <v>2825</v>
      </c>
      <c r="F932" s="127" t="n">
        <v>46716</v>
      </c>
      <c r="G932" s="127" t="n">
        <v>46728</v>
      </c>
      <c r="H932" s="127" t="n">
        <v>46289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21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21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29981039</v>
      </c>
      <c r="C933" s="4" t="s">
        <v>2443</v>
      </c>
      <c r="D933" s="4" t="s">
        <v>463</v>
      </c>
      <c r="E933" s="4" t="s">
        <v>2825</v>
      </c>
      <c r="F933" s="127" t="n">
        <v>46716</v>
      </c>
      <c r="G933" s="127" t="n">
        <v>46728</v>
      </c>
      <c r="H933" s="127" t="n">
        <v>46289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20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21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29980968</v>
      </c>
      <c r="C934" s="4" t="s">
        <v>2437</v>
      </c>
      <c r="D934" s="4" t="s">
        <v>463</v>
      </c>
      <c r="E934" s="4" t="s">
        <v>2827</v>
      </c>
      <c r="F934" s="127" t="n">
        <v>46716</v>
      </c>
      <c r="G934" s="127" t="n">
        <v>46728</v>
      </c>
      <c r="H934" s="127" t="n">
        <v>46289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29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22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29980934</v>
      </c>
      <c r="C935" s="4" t="s">
        <v>2434</v>
      </c>
      <c r="D935" s="4" t="s">
        <v>463</v>
      </c>
      <c r="E935" s="4" t="s">
        <v>2829</v>
      </c>
      <c r="F935" s="127" t="n">
        <v>46716</v>
      </c>
      <c r="G935" s="127" t="n">
        <v>46728</v>
      </c>
      <c r="H935" s="127" t="n">
        <v>46289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25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23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29980927</v>
      </c>
      <c r="C936" s="4" t="s">
        <v>2425</v>
      </c>
      <c r="D936" s="4" t="s">
        <v>463</v>
      </c>
      <c r="E936" s="4" t="s">
        <v>2831</v>
      </c>
      <c r="F936" s="127" t="n">
        <v>46716</v>
      </c>
      <c r="G936" s="127" t="n">
        <v>46728</v>
      </c>
      <c r="H936" s="127" t="n">
        <v>46289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21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24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29980896</v>
      </c>
      <c r="C937" s="4" t="s">
        <v>2428</v>
      </c>
      <c r="D937" s="4" t="s">
        <v>463</v>
      </c>
      <c r="E937" s="4" t="s">
        <v>2831</v>
      </c>
      <c r="F937" s="127" t="n">
        <v>46716</v>
      </c>
      <c r="G937" s="127" t="n">
        <v>46728</v>
      </c>
      <c r="H937" s="127" t="n">
        <v>46289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20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24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29980929</v>
      </c>
      <c r="C938" s="4" t="s">
        <v>2431</v>
      </c>
      <c r="D938" s="4" t="s">
        <v>463</v>
      </c>
      <c r="E938" s="4" t="s">
        <v>2831</v>
      </c>
      <c r="F938" s="127" t="n">
        <v>46716</v>
      </c>
      <c r="G938" s="127" t="n">
        <v>46728</v>
      </c>
      <c r="H938" s="127" t="n">
        <v>46289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21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24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29980876</v>
      </c>
      <c r="C939" s="4" t="s">
        <v>2422</v>
      </c>
      <c r="D939" s="4" t="s">
        <v>463</v>
      </c>
      <c r="E939" s="4" t="s">
        <v>2833</v>
      </c>
      <c r="F939" s="127" t="n">
        <v>46716</v>
      </c>
      <c r="G939" s="127" t="n">
        <v>46728</v>
      </c>
      <c r="H939" s="127" t="n">
        <v>46289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29</v>
      </c>
      <c r="N939" s="2" t="n">
        <f aca="false">IF(E939="","",IF(ISNUMBER(SEARCH("SUBSOLO",E939)),IFERROR(-VALUE(LEFT(E939,FIND("º",SUBSTITUTE(E939,"°","º"))-1)),-1),IF(LEFT(E939,6)="TÉRREO",0,IFERROR(VALUE(LEFT(E939,FIND("º",SUBSTITUTE(E939,"°","º"))-1)),""))))</f>
        <v>25</v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29980842</v>
      </c>
      <c r="C940" s="4" t="s">
        <v>2413</v>
      </c>
      <c r="D940" s="4" t="s">
        <v>463</v>
      </c>
      <c r="E940" s="4" t="s">
        <v>2834</v>
      </c>
      <c r="F940" s="127" t="n">
        <v>46716</v>
      </c>
      <c r="G940" s="127" t="n">
        <v>46728</v>
      </c>
      <c r="H940" s="127" t="n">
        <v>46289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21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26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29980841</v>
      </c>
      <c r="C941" s="4" t="s">
        <v>2416</v>
      </c>
      <c r="D941" s="4" t="s">
        <v>463</v>
      </c>
      <c r="E941" s="4" t="s">
        <v>2834</v>
      </c>
      <c r="F941" s="127" t="n">
        <v>46720</v>
      </c>
      <c r="G941" s="127" t="n">
        <v>46731</v>
      </c>
      <c r="H941" s="127" t="n">
        <v>46289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18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26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29941041</v>
      </c>
      <c r="C942" s="4" t="s">
        <v>2341</v>
      </c>
      <c r="D942" s="4" t="s">
        <v>463</v>
      </c>
      <c r="E942" s="4" t="s">
        <v>2843</v>
      </c>
      <c r="F942" s="127" t="n">
        <v>46720</v>
      </c>
      <c r="G942" s="127" t="n">
        <v>46736</v>
      </c>
      <c r="H942" s="127" t="n">
        <v>46289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17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31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31529078</v>
      </c>
      <c r="C943" s="4" t="s">
        <v>2341</v>
      </c>
      <c r="D943" s="4" t="s">
        <v>2312</v>
      </c>
      <c r="E943" s="4" t="s">
        <v>2843</v>
      </c>
      <c r="F943" s="127" t="n">
        <v>46720</v>
      </c>
      <c r="G943" s="127" t="n">
        <v>46728</v>
      </c>
      <c r="H943" s="127" t="n">
        <v>46289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17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31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31529079</v>
      </c>
      <c r="C944" s="4" t="s">
        <v>2341</v>
      </c>
      <c r="D944" s="4" t="s">
        <v>2309</v>
      </c>
      <c r="E944" s="4" t="s">
        <v>2843</v>
      </c>
      <c r="F944" s="127" t="n">
        <v>46730</v>
      </c>
      <c r="G944" s="127" t="n">
        <v>46735</v>
      </c>
      <c r="H944" s="127" t="n">
        <v>46289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17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31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31529080</v>
      </c>
      <c r="C945" s="4" t="s">
        <v>2341</v>
      </c>
      <c r="D945" s="4" t="s">
        <v>2314</v>
      </c>
      <c r="E945" s="4" t="s">
        <v>2843</v>
      </c>
      <c r="F945" s="127" t="n">
        <v>46736</v>
      </c>
      <c r="G945" s="127" t="n">
        <v>46736</v>
      </c>
      <c r="H945" s="127" t="n">
        <v>46289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17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31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31529081</v>
      </c>
      <c r="C946" s="4" t="s">
        <v>2341</v>
      </c>
      <c r="D946" s="4" t="s">
        <v>2758</v>
      </c>
      <c r="E946" s="4" t="s">
        <v>2843</v>
      </c>
      <c r="F946" s="127" t="n">
        <v>46736</v>
      </c>
      <c r="G946" s="127" t="n">
        <v>46736</v>
      </c>
      <c r="H946" s="127" t="n">
        <v>46289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17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31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34179690</v>
      </c>
      <c r="C947" s="4" t="s">
        <v>2542</v>
      </c>
      <c r="D947" s="4" t="s">
        <v>463</v>
      </c>
      <c r="E947" s="4" t="s">
        <v>2836</v>
      </c>
      <c r="F947" s="127" t="n">
        <v>46721</v>
      </c>
      <c r="G947" s="127" t="n">
        <v>46821</v>
      </c>
      <c r="H947" s="127" t="n">
        <v>46289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31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0</v>
      </c>
      <c r="O947" s="2" t="str">
        <f aca="false">IF(OR(F947="",G947=""),"",IF(G947&lt;='RETRATO 2027'!$K$5,"CONCLUÍDA",IF(F947&lt;='RETRATO 2027'!$K$5,"EM ANDAMENTO","A INICIAR")))</f>
        <v>EM ANDAMENTO</v>
      </c>
    </row>
    <row r="948" customFormat="false" ht="15" hidden="false" customHeight="false" outlineLevel="0" collapsed="false">
      <c r="B948" s="4" t="n">
        <v>30205760</v>
      </c>
      <c r="C948" s="4" t="s">
        <v>2542</v>
      </c>
      <c r="D948" s="4" t="s">
        <v>463</v>
      </c>
      <c r="E948" s="4" t="s">
        <v>2837</v>
      </c>
      <c r="F948" s="127" t="n">
        <v>46721</v>
      </c>
      <c r="G948" s="127" t="n">
        <v>46821</v>
      </c>
      <c r="H948" s="127" t="n">
        <v>46289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31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0</v>
      </c>
      <c r="O948" s="2" t="str">
        <f aca="false">IF(OR(F948="",G948=""),"",IF(G948&lt;='RETRATO 2027'!$K$5,"CONCLUÍDA",IF(F948&lt;='RETRATO 2027'!$K$5,"EM ANDAMENTO","A INICIAR")))</f>
        <v>EM ANDAMENTO</v>
      </c>
    </row>
    <row r="949" customFormat="false" ht="15" hidden="false" customHeight="false" outlineLevel="0" collapsed="false">
      <c r="B949" s="4" t="n">
        <v>30205749</v>
      </c>
      <c r="C949" s="4" t="s">
        <v>2480</v>
      </c>
      <c r="D949" s="4" t="s">
        <v>463</v>
      </c>
      <c r="E949" s="4" t="s">
        <v>2740</v>
      </c>
      <c r="F949" s="127" t="n">
        <v>46723</v>
      </c>
      <c r="G949" s="127" t="n">
        <v>46737</v>
      </c>
      <c r="H949" s="127" t="n">
        <v>46289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30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-1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29980815</v>
      </c>
      <c r="C950" s="4" t="s">
        <v>2410</v>
      </c>
      <c r="D950" s="4" t="s">
        <v>463</v>
      </c>
      <c r="E950" s="4" t="s">
        <v>2838</v>
      </c>
      <c r="F950" s="127" t="n">
        <v>46723</v>
      </c>
      <c r="G950" s="127" t="n">
        <v>46736</v>
      </c>
      <c r="H950" s="127" t="n">
        <v>46289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22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29980766</v>
      </c>
      <c r="C951" s="4" t="s">
        <v>168</v>
      </c>
      <c r="D951" s="4" t="s">
        <v>463</v>
      </c>
      <c r="E951" s="4" t="s">
        <v>2840</v>
      </c>
      <c r="F951" s="127" t="n">
        <v>46723</v>
      </c>
      <c r="G951" s="127" t="n">
        <v>46736</v>
      </c>
      <c r="H951" s="127" t="n">
        <v>46289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18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28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33898087</v>
      </c>
      <c r="C952" s="4" t="s">
        <v>2545</v>
      </c>
      <c r="D952" s="4" t="s">
        <v>463</v>
      </c>
      <c r="E952" s="4" t="s">
        <v>2803</v>
      </c>
      <c r="F952" s="127" t="n">
        <v>46728</v>
      </c>
      <c r="G952" s="127" t="n">
        <v>46741</v>
      </c>
      <c r="H952" s="127" t="n">
        <v>46289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25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30205679</v>
      </c>
      <c r="C953" s="4" t="s">
        <v>2539</v>
      </c>
      <c r="D953" s="4" t="s">
        <v>463</v>
      </c>
      <c r="E953" s="4" t="s">
        <v>2821</v>
      </c>
      <c r="F953" s="127" t="n">
        <v>46730</v>
      </c>
      <c r="G953" s="127" t="n">
        <v>46743</v>
      </c>
      <c r="H953" s="127" t="n">
        <v>46289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35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0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30205649</v>
      </c>
      <c r="C954" s="4" t="s">
        <v>216</v>
      </c>
      <c r="D954" s="4" t="s">
        <v>463</v>
      </c>
      <c r="E954" s="4" t="s">
        <v>2824</v>
      </c>
      <c r="F954" s="127" t="n">
        <v>46730</v>
      </c>
      <c r="G954" s="127" t="n">
        <v>46743</v>
      </c>
      <c r="H954" s="127" t="n">
        <v>46289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33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0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30205621</v>
      </c>
      <c r="C955" s="4" t="s">
        <v>2501</v>
      </c>
      <c r="D955" s="4" t="s">
        <v>463</v>
      </c>
      <c r="E955" s="4" t="s">
        <v>2826</v>
      </c>
      <c r="F955" s="127" t="n">
        <v>46730</v>
      </c>
      <c r="G955" s="127" t="n">
        <v>46743</v>
      </c>
      <c r="H955" s="127" t="n">
        <v>46289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30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0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30205596</v>
      </c>
      <c r="C956" s="4" t="s">
        <v>2486</v>
      </c>
      <c r="D956" s="4" t="s">
        <v>463</v>
      </c>
      <c r="E956" s="4" t="s">
        <v>2828</v>
      </c>
      <c r="F956" s="127" t="n">
        <v>46730</v>
      </c>
      <c r="G956" s="127" t="n">
        <v>46743</v>
      </c>
      <c r="H956" s="127" t="n">
        <v>46289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30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0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30205573</v>
      </c>
      <c r="C957" s="4" t="s">
        <v>2480</v>
      </c>
      <c r="D957" s="4" t="s">
        <v>463</v>
      </c>
      <c r="E957" s="4" t="s">
        <v>2830</v>
      </c>
      <c r="F957" s="127" t="n">
        <v>46730</v>
      </c>
      <c r="G957" s="127" t="n">
        <v>46743</v>
      </c>
      <c r="H957" s="127" t="n">
        <v>46289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30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0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30205539</v>
      </c>
      <c r="C958" s="4" t="s">
        <v>2492</v>
      </c>
      <c r="D958" s="4" t="s">
        <v>463</v>
      </c>
      <c r="E958" s="4" t="s">
        <v>2832</v>
      </c>
      <c r="F958" s="127" t="n">
        <v>46730</v>
      </c>
      <c r="G958" s="127" t="n">
        <v>46743</v>
      </c>
      <c r="H958" s="127" t="n">
        <v>46289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18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0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30205788</v>
      </c>
      <c r="C959" s="4" t="s">
        <v>2437</v>
      </c>
      <c r="D959" s="4" t="s">
        <v>463</v>
      </c>
      <c r="E959" s="4" t="s">
        <v>2835</v>
      </c>
      <c r="F959" s="127" t="n">
        <v>46730</v>
      </c>
      <c r="G959" s="127" t="n">
        <v>46758</v>
      </c>
      <c r="H959" s="127" t="n">
        <v>46289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29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0</v>
      </c>
      <c r="O959" s="2" t="str">
        <f aca="false">IF(OR(F959="",G959=""),"",IF(G959&lt;='RETRATO 2027'!$K$5,"CONCLUÍDA",IF(F959&lt;='RETRATO 2027'!$K$5,"EM ANDAMENTO","A INICIAR")))</f>
        <v>EM ANDAMENTO</v>
      </c>
    </row>
    <row r="960" customFormat="false" ht="15" hidden="false" customHeight="false" outlineLevel="0" collapsed="false">
      <c r="B960" s="4" t="n">
        <v>30205811</v>
      </c>
      <c r="C960" s="4" t="s">
        <v>2428</v>
      </c>
      <c r="D960" s="4" t="s">
        <v>463</v>
      </c>
      <c r="E960" s="4" t="s">
        <v>2839</v>
      </c>
      <c r="F960" s="127" t="n">
        <v>46730</v>
      </c>
      <c r="G960" s="127" t="n">
        <v>46738</v>
      </c>
      <c r="H960" s="127" t="n">
        <v>46289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0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30205812</v>
      </c>
      <c r="C961" s="4" t="s">
        <v>2452</v>
      </c>
      <c r="D961" s="4" t="s">
        <v>463</v>
      </c>
      <c r="E961" s="4" t="s">
        <v>2839</v>
      </c>
      <c r="F961" s="127" t="n">
        <v>46730</v>
      </c>
      <c r="G961" s="127" t="n">
        <v>46743</v>
      </c>
      <c r="H961" s="127" t="n">
        <v>46289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21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0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30205841</v>
      </c>
      <c r="C962" s="4" t="s">
        <v>2422</v>
      </c>
      <c r="D962" s="4" t="s">
        <v>463</v>
      </c>
      <c r="E962" s="4" t="s">
        <v>2782</v>
      </c>
      <c r="F962" s="127" t="n">
        <v>46730</v>
      </c>
      <c r="G962" s="127" t="n">
        <v>46743</v>
      </c>
      <c r="H962" s="127" t="n">
        <v>46289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29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29981403</v>
      </c>
      <c r="C963" s="4" t="s">
        <v>216</v>
      </c>
      <c r="D963" s="4" t="s">
        <v>463</v>
      </c>
      <c r="E963" s="4" t="s">
        <v>2810</v>
      </c>
      <c r="F963" s="127" t="n">
        <v>46730</v>
      </c>
      <c r="G963" s="127" t="n">
        <v>46742</v>
      </c>
      <c r="H963" s="127" t="n">
        <v>46289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33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11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29981364</v>
      </c>
      <c r="C964" s="4" t="s">
        <v>2508</v>
      </c>
      <c r="D964" s="4" t="s">
        <v>463</v>
      </c>
      <c r="E964" s="4" t="s">
        <v>2811</v>
      </c>
      <c r="F964" s="127" t="n">
        <v>46730</v>
      </c>
      <c r="G964" s="127" t="n">
        <v>46742</v>
      </c>
      <c r="H964" s="127" t="n">
        <v>46289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20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12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29981369</v>
      </c>
      <c r="C965" s="4" t="s">
        <v>2511</v>
      </c>
      <c r="D965" s="4" t="s">
        <v>463</v>
      </c>
      <c r="E965" s="4" t="s">
        <v>2811</v>
      </c>
      <c r="F965" s="127" t="n">
        <v>46730</v>
      </c>
      <c r="G965" s="127" t="n">
        <v>46742</v>
      </c>
      <c r="H965" s="127" t="n">
        <v>46289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20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12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30214074</v>
      </c>
      <c r="C966" s="4" t="s">
        <v>2514</v>
      </c>
      <c r="D966" s="4" t="s">
        <v>463</v>
      </c>
      <c r="E966" s="4" t="s">
        <v>2811</v>
      </c>
      <c r="F966" s="127" t="n">
        <v>46730</v>
      </c>
      <c r="G966" s="127" t="n">
        <v>46743</v>
      </c>
      <c r="H966" s="127" t="n">
        <v>46289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20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12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29981311</v>
      </c>
      <c r="C967" s="4" t="s">
        <v>2501</v>
      </c>
      <c r="D967" s="4" t="s">
        <v>463</v>
      </c>
      <c r="E967" s="4" t="s">
        <v>2812</v>
      </c>
      <c r="F967" s="127" t="n">
        <v>46730</v>
      </c>
      <c r="G967" s="127" t="n">
        <v>46742</v>
      </c>
      <c r="H967" s="127" t="n">
        <v>46289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30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13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29981273</v>
      </c>
      <c r="C968" s="4" t="s">
        <v>2486</v>
      </c>
      <c r="D968" s="4" t="s">
        <v>463</v>
      </c>
      <c r="E968" s="4" t="s">
        <v>2813</v>
      </c>
      <c r="F968" s="127" t="n">
        <v>46730</v>
      </c>
      <c r="G968" s="127" t="n">
        <v>46742</v>
      </c>
      <c r="H968" s="127" t="n">
        <v>46289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30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14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29981252</v>
      </c>
      <c r="C969" s="4" t="s">
        <v>2480</v>
      </c>
      <c r="D969" s="4" t="s">
        <v>463</v>
      </c>
      <c r="E969" s="4" t="s">
        <v>2814</v>
      </c>
      <c r="F969" s="127" t="n">
        <v>46730</v>
      </c>
      <c r="G969" s="127" t="n">
        <v>46742</v>
      </c>
      <c r="H969" s="127" t="n">
        <v>46289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15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29981213</v>
      </c>
      <c r="C970" s="4" t="s">
        <v>171</v>
      </c>
      <c r="D970" s="4" t="s">
        <v>463</v>
      </c>
      <c r="E970" s="4" t="s">
        <v>2815</v>
      </c>
      <c r="F970" s="127" t="n">
        <v>46730</v>
      </c>
      <c r="G970" s="127" t="n">
        <v>46742</v>
      </c>
      <c r="H970" s="127" t="n">
        <v>46289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19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32750443</v>
      </c>
      <c r="C971" s="4" t="s">
        <v>2470</v>
      </c>
      <c r="D971" s="4" t="s">
        <v>463</v>
      </c>
      <c r="E971" s="4" t="s">
        <v>2818</v>
      </c>
      <c r="F971" s="127" t="n">
        <v>46730</v>
      </c>
      <c r="G971" s="127" t="n">
        <v>46742</v>
      </c>
      <c r="H971" s="127" t="n">
        <v>46289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18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17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32750366</v>
      </c>
      <c r="C972" s="4" t="s">
        <v>2458</v>
      </c>
      <c r="D972" s="4" t="s">
        <v>463</v>
      </c>
      <c r="E972" s="4" t="s">
        <v>2820</v>
      </c>
      <c r="F972" s="127" t="n">
        <v>46730</v>
      </c>
      <c r="G972" s="127" t="n">
        <v>46742</v>
      </c>
      <c r="H972" s="127" t="n">
        <v>46289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21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18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32750392</v>
      </c>
      <c r="C973" s="4" t="s">
        <v>2461</v>
      </c>
      <c r="D973" s="4" t="s">
        <v>463</v>
      </c>
      <c r="E973" s="4" t="s">
        <v>2820</v>
      </c>
      <c r="F973" s="127" t="n">
        <v>46730</v>
      </c>
      <c r="G973" s="127" t="n">
        <v>46742</v>
      </c>
      <c r="H973" s="127" t="n">
        <v>46289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20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18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32750418</v>
      </c>
      <c r="C974" s="4" t="s">
        <v>2464</v>
      </c>
      <c r="D974" s="4" t="s">
        <v>463</v>
      </c>
      <c r="E974" s="4" t="s">
        <v>2820</v>
      </c>
      <c r="F974" s="127" t="n">
        <v>46730</v>
      </c>
      <c r="G974" s="127" t="n">
        <v>46742</v>
      </c>
      <c r="H974" s="127" t="n">
        <v>46289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21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18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33896836</v>
      </c>
      <c r="C975" s="4" t="s">
        <v>2467</v>
      </c>
      <c r="D975" s="4" t="s">
        <v>463</v>
      </c>
      <c r="E975" s="4" t="s">
        <v>2820</v>
      </c>
      <c r="F975" s="127" t="n">
        <v>46730</v>
      </c>
      <c r="G975" s="127" t="n">
        <v>46742</v>
      </c>
      <c r="H975" s="127" t="n">
        <v>46289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23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18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32749863</v>
      </c>
      <c r="C976" s="4" t="s">
        <v>2455</v>
      </c>
      <c r="D976" s="4" t="s">
        <v>463</v>
      </c>
      <c r="E976" s="4" t="s">
        <v>2823</v>
      </c>
      <c r="F976" s="127" t="n">
        <v>46730</v>
      </c>
      <c r="G976" s="127" t="n">
        <v>46742</v>
      </c>
      <c r="H976" s="127" t="n">
        <v>46289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18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20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29981029</v>
      </c>
      <c r="C977" s="4" t="s">
        <v>2449</v>
      </c>
      <c r="D977" s="4" t="s">
        <v>463</v>
      </c>
      <c r="E977" s="4" t="s">
        <v>2825</v>
      </c>
      <c r="F977" s="127" t="n">
        <v>46730</v>
      </c>
      <c r="G977" s="127" t="n">
        <v>46742</v>
      </c>
      <c r="H977" s="127" t="n">
        <v>46289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28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21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29980969</v>
      </c>
      <c r="C978" s="4" t="s">
        <v>2440</v>
      </c>
      <c r="D978" s="4" t="s">
        <v>463</v>
      </c>
      <c r="E978" s="4" t="s">
        <v>2827</v>
      </c>
      <c r="F978" s="127" t="n">
        <v>46730</v>
      </c>
      <c r="G978" s="127" t="n">
        <v>46742</v>
      </c>
      <c r="H978" s="127" t="n">
        <v>46289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21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22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29981002</v>
      </c>
      <c r="C979" s="4" t="s">
        <v>2443</v>
      </c>
      <c r="D979" s="4" t="s">
        <v>463</v>
      </c>
      <c r="E979" s="4" t="s">
        <v>2827</v>
      </c>
      <c r="F979" s="127" t="n">
        <v>46730</v>
      </c>
      <c r="G979" s="127" t="n">
        <v>46742</v>
      </c>
      <c r="H979" s="127" t="n">
        <v>46289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20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22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29980931</v>
      </c>
      <c r="C980" s="4" t="s">
        <v>2437</v>
      </c>
      <c r="D980" s="4" t="s">
        <v>463</v>
      </c>
      <c r="E980" s="4" t="s">
        <v>2829</v>
      </c>
      <c r="F980" s="127" t="n">
        <v>46730</v>
      </c>
      <c r="G980" s="127" t="n">
        <v>46742</v>
      </c>
      <c r="H980" s="127" t="n">
        <v>46289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29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23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29980897</v>
      </c>
      <c r="C981" s="4" t="s">
        <v>2434</v>
      </c>
      <c r="D981" s="4" t="s">
        <v>463</v>
      </c>
      <c r="E981" s="4" t="s">
        <v>2831</v>
      </c>
      <c r="F981" s="127" t="n">
        <v>46730</v>
      </c>
      <c r="G981" s="127" t="n">
        <v>46742</v>
      </c>
      <c r="H981" s="127" t="n">
        <v>46289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25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24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29980890</v>
      </c>
      <c r="C982" s="4" t="s">
        <v>2425</v>
      </c>
      <c r="D982" s="4" t="s">
        <v>463</v>
      </c>
      <c r="E982" s="4" t="s">
        <v>2833</v>
      </c>
      <c r="F982" s="127" t="n">
        <v>46730</v>
      </c>
      <c r="G982" s="127" t="n">
        <v>46742</v>
      </c>
      <c r="H982" s="127" t="n">
        <v>46289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21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25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29980859</v>
      </c>
      <c r="C983" s="4" t="s">
        <v>2428</v>
      </c>
      <c r="D983" s="4" t="s">
        <v>463</v>
      </c>
      <c r="E983" s="4" t="s">
        <v>2833</v>
      </c>
      <c r="F983" s="127" t="n">
        <v>46730</v>
      </c>
      <c r="G983" s="127" t="n">
        <v>46742</v>
      </c>
      <c r="H983" s="127" t="n">
        <v>46289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25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29980892</v>
      </c>
      <c r="C984" s="4" t="s">
        <v>2431</v>
      </c>
      <c r="D984" s="4" t="s">
        <v>463</v>
      </c>
      <c r="E984" s="4" t="s">
        <v>2833</v>
      </c>
      <c r="F984" s="127" t="n">
        <v>46730</v>
      </c>
      <c r="G984" s="127" t="n">
        <v>46742</v>
      </c>
      <c r="H984" s="127" t="n">
        <v>46289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21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25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29980839</v>
      </c>
      <c r="C985" s="4" t="s">
        <v>2422</v>
      </c>
      <c r="D985" s="4" t="s">
        <v>463</v>
      </c>
      <c r="E985" s="4" t="s">
        <v>2834</v>
      </c>
      <c r="F985" s="127" t="n">
        <v>46730</v>
      </c>
      <c r="G985" s="127" t="n">
        <v>46742</v>
      </c>
      <c r="H985" s="127" t="n">
        <v>46289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29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26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29980805</v>
      </c>
      <c r="C986" s="4" t="s">
        <v>2413</v>
      </c>
      <c r="D986" s="4" t="s">
        <v>463</v>
      </c>
      <c r="E986" s="4" t="s">
        <v>2838</v>
      </c>
      <c r="F986" s="127" t="n">
        <v>46730</v>
      </c>
      <c r="G986" s="127" t="n">
        <v>46742</v>
      </c>
      <c r="H986" s="127" t="n">
        <v>46289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21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27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29980804</v>
      </c>
      <c r="C987" s="4" t="s">
        <v>2416</v>
      </c>
      <c r="D987" s="4" t="s">
        <v>463</v>
      </c>
      <c r="E987" s="4" t="s">
        <v>2838</v>
      </c>
      <c r="F987" s="127" t="n">
        <v>46734</v>
      </c>
      <c r="G987" s="127" t="n">
        <v>46744</v>
      </c>
      <c r="H987" s="127" t="n">
        <v>46289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18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27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31789533</v>
      </c>
      <c r="C988" s="4" t="s">
        <v>2548</v>
      </c>
      <c r="D988" s="4" t="s">
        <v>463</v>
      </c>
      <c r="E988" s="4" t="s">
        <v>2678</v>
      </c>
      <c r="F988" s="127" t="n">
        <v>46735</v>
      </c>
      <c r="G988" s="127" t="n">
        <v>46763</v>
      </c>
      <c r="H988" s="127" t="n">
        <v>46289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32</v>
      </c>
      <c r="N988" s="2" t="str">
        <f aca="false">IF(E988="","",IF(ISNUMBER(SEARCH("SUBSOLO",E988)),IFERROR(-VALUE(LEFT(E988,FIND("º",SUBSTITUTE(E988,"°","º"))-1)),-1),IF(LEFT(E988,6)="TÉRREO",0,IFERROR(VALUE(LEFT(E988,FIND("º",SUBSTITUTE(E988,"°","º"))-1)),""))))</f>
        <v/>
      </c>
      <c r="O988" s="2" t="str">
        <f aca="false">IF(OR(F988="",G988=""),"",IF(G988&lt;='RETRATO 2027'!$K$5,"CONCLUÍDA",IF(F988&lt;='RETRATO 2027'!$K$5,"EM ANDAMENTO","A INICIAR")))</f>
        <v>EM ANDAMENTO</v>
      </c>
    </row>
    <row r="989" customFormat="false" ht="15" hidden="false" customHeight="false" outlineLevel="0" collapsed="false">
      <c r="B989" s="4" t="n">
        <v>30205931</v>
      </c>
      <c r="C989" s="4" t="s">
        <v>171</v>
      </c>
      <c r="D989" s="4" t="s">
        <v>463</v>
      </c>
      <c r="E989" s="4" t="s">
        <v>2790</v>
      </c>
      <c r="F989" s="127" t="n">
        <v>46737</v>
      </c>
      <c r="G989" s="127" t="n">
        <v>46758</v>
      </c>
      <c r="H989" s="127" t="n">
        <v>46289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19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3</v>
      </c>
      <c r="O989" s="2" t="str">
        <f aca="false">IF(OR(F989="",G989=""),"",IF(G989&lt;='RETRATO 2027'!$K$5,"CONCLUÍDA",IF(F989&lt;='RETRATO 2027'!$K$5,"EM ANDAMENTO","A INICIAR")))</f>
        <v>EM ANDAMENTO</v>
      </c>
    </row>
    <row r="990" customFormat="false" ht="15" hidden="false" customHeight="false" outlineLevel="0" collapsed="false">
      <c r="B990" s="4" t="n">
        <v>30171443</v>
      </c>
      <c r="C990" s="4" t="s">
        <v>2413</v>
      </c>
      <c r="D990" s="4" t="s">
        <v>463</v>
      </c>
      <c r="E990" s="4" t="s">
        <v>2790</v>
      </c>
      <c r="F990" s="127" t="n">
        <v>46737</v>
      </c>
      <c r="G990" s="127" t="n">
        <v>46772</v>
      </c>
      <c r="H990" s="127" t="n">
        <v>46289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21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3</v>
      </c>
      <c r="O990" s="2" t="str">
        <f aca="false">IF(OR(F990="",G990=""),"",IF(G990&lt;='RETRATO 2027'!$K$5,"CONCLUÍDA",IF(F990&lt;='RETRATO 2027'!$K$5,"EM ANDAMENTO","A INICIAR")))</f>
        <v>EM ANDAMENTO</v>
      </c>
    </row>
    <row r="991" customFormat="false" ht="15" hidden="false" customHeight="false" outlineLevel="0" collapsed="false">
      <c r="B991" s="4" t="n">
        <v>30171444</v>
      </c>
      <c r="C991" s="4" t="s">
        <v>2443</v>
      </c>
      <c r="D991" s="4" t="s">
        <v>463</v>
      </c>
      <c r="E991" s="4" t="s">
        <v>2790</v>
      </c>
      <c r="F991" s="127" t="n">
        <v>46737</v>
      </c>
      <c r="G991" s="127" t="n">
        <v>46772</v>
      </c>
      <c r="H991" s="127" t="n">
        <v>46289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20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3</v>
      </c>
      <c r="O991" s="2" t="str">
        <f aca="false">IF(OR(F991="",G991=""),"",IF(G991&lt;='RETRATO 2027'!$K$5,"CONCLUÍDA",IF(F991&lt;='RETRATO 2027'!$K$5,"EM ANDAMENTO","A INICIAR")))</f>
        <v>EM ANDAMENTO</v>
      </c>
    </row>
    <row r="992" customFormat="false" ht="15" hidden="false" customHeight="false" outlineLevel="0" collapsed="false">
      <c r="B992" s="4" t="n">
        <v>30171456</v>
      </c>
      <c r="C992" s="4" t="s">
        <v>2517</v>
      </c>
      <c r="D992" s="4" t="s">
        <v>463</v>
      </c>
      <c r="E992" s="4" t="s">
        <v>2790</v>
      </c>
      <c r="F992" s="127" t="n">
        <v>46737</v>
      </c>
      <c r="G992" s="127" t="n">
        <v>46772</v>
      </c>
      <c r="H992" s="127" t="n">
        <v>46289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22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3</v>
      </c>
      <c r="O992" s="2" t="str">
        <f aca="false">IF(OR(F992="",G992=""),"",IF(G992&lt;='RETRATO 2027'!$K$5,"CONCLUÍDA",IF(F992&lt;='RETRATO 2027'!$K$5,"EM ANDAMENTO","A INICIAR")))</f>
        <v>EM ANDAMENTO</v>
      </c>
    </row>
    <row r="993" customFormat="false" ht="15" hidden="false" customHeight="false" outlineLevel="0" collapsed="false">
      <c r="B993" s="4" t="n">
        <v>30171421</v>
      </c>
      <c r="C993" s="4" t="s">
        <v>194</v>
      </c>
      <c r="D993" s="4" t="s">
        <v>463</v>
      </c>
      <c r="E993" s="4" t="s">
        <v>2800</v>
      </c>
      <c r="F993" s="127" t="n">
        <v>46737</v>
      </c>
      <c r="G993" s="127" t="n">
        <v>46758</v>
      </c>
      <c r="H993" s="127" t="n">
        <v>46289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26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4</v>
      </c>
      <c r="O993" s="2" t="str">
        <f aca="false">IF(OR(F993="",G993=""),"",IF(G993&lt;='RETRATO 2027'!$K$5,"CONCLUÍDA",IF(F993&lt;='RETRATO 2027'!$K$5,"EM ANDAMENTO","A INICIAR")))</f>
        <v>EM ANDAMENTO</v>
      </c>
    </row>
    <row r="994" customFormat="false" ht="15" hidden="false" customHeight="false" outlineLevel="0" collapsed="false">
      <c r="B994" s="4" t="n">
        <v>30171422</v>
      </c>
      <c r="C994" s="4" t="s">
        <v>2437</v>
      </c>
      <c r="D994" s="4" t="s">
        <v>463</v>
      </c>
      <c r="E994" s="4" t="s">
        <v>2800</v>
      </c>
      <c r="F994" s="127" t="n">
        <v>46737</v>
      </c>
      <c r="G994" s="127" t="n">
        <v>46806</v>
      </c>
      <c r="H994" s="127" t="n">
        <v>46289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29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4</v>
      </c>
      <c r="O994" s="2" t="str">
        <f aca="false">IF(OR(F994="",G994=""),"",IF(G994&lt;='RETRATO 2027'!$K$5,"CONCLUÍDA",IF(F994&lt;='RETRATO 2027'!$K$5,"EM ANDAMENTO","A INICIAR")))</f>
        <v>EM ANDAMENTO</v>
      </c>
    </row>
    <row r="995" customFormat="false" ht="15" hidden="false" customHeight="false" outlineLevel="0" collapsed="false">
      <c r="B995" s="4" t="n">
        <v>29980778</v>
      </c>
      <c r="C995" s="4" t="s">
        <v>2410</v>
      </c>
      <c r="D995" s="4" t="s">
        <v>463</v>
      </c>
      <c r="E995" s="4" t="s">
        <v>2840</v>
      </c>
      <c r="F995" s="127" t="n">
        <v>46737</v>
      </c>
      <c r="G995" s="127" t="n">
        <v>46757</v>
      </c>
      <c r="H995" s="127" t="n">
        <v>46289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22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28</v>
      </c>
      <c r="O995" s="2" t="str">
        <f aca="false">IF(OR(F995="",G995=""),"",IF(G995&lt;='RETRATO 2027'!$K$5,"CONCLUÍDA",IF(F995&lt;='RETRATO 2027'!$K$5,"EM ANDAMENTO","A INICIAR")))</f>
        <v>EM ANDAMENTO</v>
      </c>
    </row>
    <row r="996" customFormat="false" ht="15" hidden="false" customHeight="false" outlineLevel="0" collapsed="false">
      <c r="B996" s="4" t="n">
        <v>29980729</v>
      </c>
      <c r="C996" s="4" t="s">
        <v>168</v>
      </c>
      <c r="D996" s="4" t="s">
        <v>463</v>
      </c>
      <c r="E996" s="4" t="s">
        <v>2841</v>
      </c>
      <c r="F996" s="127" t="n">
        <v>46737</v>
      </c>
      <c r="G996" s="127" t="n">
        <v>46757</v>
      </c>
      <c r="H996" s="127" t="n">
        <v>46289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18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29</v>
      </c>
      <c r="O996" s="2" t="str">
        <f aca="false">IF(OR(F996="",G996=""),"",IF(G996&lt;='RETRATO 2027'!$K$5,"CONCLUÍDA",IF(F996&lt;='RETRATO 2027'!$K$5,"EM ANDAMENTO","A INICIAR")))</f>
        <v>EM ANDAMENTO</v>
      </c>
    </row>
    <row r="997" customFormat="false" ht="15" hidden="false" customHeight="false" outlineLevel="0" collapsed="false">
      <c r="B997" s="4" t="n">
        <v>29941166</v>
      </c>
      <c r="C997" s="4" t="s">
        <v>2341</v>
      </c>
      <c r="D997" s="4" t="s">
        <v>463</v>
      </c>
      <c r="E997" s="4" t="s">
        <v>2844</v>
      </c>
      <c r="F997" s="127" t="n">
        <v>46737</v>
      </c>
      <c r="G997" s="127" t="n">
        <v>46757</v>
      </c>
      <c r="H997" s="127" t="n">
        <v>46289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17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32</v>
      </c>
      <c r="O997" s="2" t="str">
        <f aca="false">IF(OR(F997="",G997=""),"",IF(G997&lt;='RETRATO 2027'!$K$5,"CONCLUÍDA",IF(F997&lt;='RETRATO 2027'!$K$5,"EM ANDAMENTO","A INICIAR")))</f>
        <v>EM ANDAMENTO</v>
      </c>
    </row>
    <row r="998" customFormat="false" ht="15" hidden="false" customHeight="false" outlineLevel="0" collapsed="false">
      <c r="B998" s="4" t="n">
        <v>31529082</v>
      </c>
      <c r="C998" s="4" t="s">
        <v>2341</v>
      </c>
      <c r="D998" s="4" t="s">
        <v>2312</v>
      </c>
      <c r="E998" s="4" t="s">
        <v>2844</v>
      </c>
      <c r="F998" s="127" t="n">
        <v>46737</v>
      </c>
      <c r="G998" s="127" t="n">
        <v>46743</v>
      </c>
      <c r="H998" s="127" t="n">
        <v>46289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17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32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31529083</v>
      </c>
      <c r="C999" s="4" t="s">
        <v>2341</v>
      </c>
      <c r="D999" s="4" t="s">
        <v>2309</v>
      </c>
      <c r="E999" s="4" t="s">
        <v>2844</v>
      </c>
      <c r="F999" s="127" t="n">
        <v>46744</v>
      </c>
      <c r="G999" s="127" t="n">
        <v>46756</v>
      </c>
      <c r="H999" s="127" t="n">
        <v>46289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17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32</v>
      </c>
      <c r="O999" s="2" t="str">
        <f aca="false">IF(OR(F999="",G999=""),"",IF(G999&lt;='RETRATO 2027'!$K$5,"CONCLUÍDA",IF(F999&lt;='RETRATO 2027'!$K$5,"EM ANDAMENTO","A INICIAR")))</f>
        <v>EM ANDAMENTO</v>
      </c>
    </row>
    <row r="1000" customFormat="false" ht="15" hidden="false" customHeight="false" outlineLevel="0" collapsed="false">
      <c r="B1000" s="4" t="n">
        <v>31529084</v>
      </c>
      <c r="C1000" s="4" t="s">
        <v>2341</v>
      </c>
      <c r="D1000" s="4" t="s">
        <v>2314</v>
      </c>
      <c r="E1000" s="4" t="s">
        <v>2844</v>
      </c>
      <c r="F1000" s="127" t="n">
        <v>46757</v>
      </c>
      <c r="G1000" s="127" t="n">
        <v>46757</v>
      </c>
      <c r="H1000" s="127" t="n">
        <v>46289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17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32</v>
      </c>
      <c r="O1000" s="2" t="str">
        <f aca="false">IF(OR(F1000="",G1000=""),"",IF(G1000&lt;='RETRATO 2027'!$K$5,"CONCLUÍDA",IF(F1000&lt;='RETRATO 2027'!$K$5,"EM ANDAMENTO","A INICIAR")))</f>
        <v>A INICIAR</v>
      </c>
    </row>
    <row r="1001" customFormat="false" ht="15" hidden="false" customHeight="false" outlineLevel="0" collapsed="false">
      <c r="B1001" s="4" t="n">
        <v>31529085</v>
      </c>
      <c r="C1001" s="4" t="s">
        <v>2341</v>
      </c>
      <c r="D1001" s="4" t="s">
        <v>2758</v>
      </c>
      <c r="E1001" s="4" t="s">
        <v>2844</v>
      </c>
      <c r="F1001" s="127" t="n">
        <v>46757</v>
      </c>
      <c r="G1001" s="127" t="n">
        <v>46757</v>
      </c>
      <c r="H1001" s="127" t="n">
        <v>46289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17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32</v>
      </c>
      <c r="O1001" s="2" t="str">
        <f aca="false">IF(OR(F1001="",G1001=""),"",IF(G1001&lt;='RETRATO 2027'!$K$5,"CONCLUÍDA",IF(F1001&lt;='RETRATO 2027'!$K$5,"EM ANDAMENTO","A INICIAR")))</f>
        <v>A INICIAR</v>
      </c>
    </row>
    <row r="1002" customFormat="false" ht="15" hidden="false" customHeight="false" outlineLevel="0" collapsed="false">
      <c r="B1002" s="4" t="n">
        <v>30205750</v>
      </c>
      <c r="C1002" s="4" t="s">
        <v>2486</v>
      </c>
      <c r="D1002" s="4" t="s">
        <v>463</v>
      </c>
      <c r="E1002" s="4" t="s">
        <v>2740</v>
      </c>
      <c r="F1002" s="127" t="n">
        <v>46738</v>
      </c>
      <c r="G1002" s="127" t="n">
        <v>46759</v>
      </c>
      <c r="H1002" s="127" t="n">
        <v>46289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30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-1</v>
      </c>
      <c r="O1002" s="2" t="str">
        <f aca="false">IF(OR(F1002="",G1002=""),"",IF(G1002&lt;='RETRATO 2027'!$K$5,"CONCLUÍDA",IF(F1002&lt;='RETRATO 2027'!$K$5,"EM ANDAMENTO","A INICIAR")))</f>
        <v>EM ANDAMENTO</v>
      </c>
    </row>
    <row r="1003" customFormat="false" ht="15" hidden="false" customHeight="false" outlineLevel="0" collapsed="false">
      <c r="B1003" s="4" t="n">
        <v>29981553</v>
      </c>
      <c r="C1003" s="4" t="s">
        <v>2539</v>
      </c>
      <c r="D1003" s="4" t="s">
        <v>463</v>
      </c>
      <c r="E1003" s="4" t="s">
        <v>2803</v>
      </c>
      <c r="F1003" s="127" t="n">
        <v>46742</v>
      </c>
      <c r="G1003" s="127" t="n">
        <v>46762</v>
      </c>
      <c r="H1003" s="127" t="n">
        <v>46289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35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7</v>
      </c>
      <c r="O1003" s="2" t="str">
        <f aca="false">IF(OR(F1003="",G1003=""),"",IF(G1003&lt;='RETRATO 2027'!$K$5,"CONCLUÍDA",IF(F1003&lt;='RETRATO 2027'!$K$5,"EM ANDAMENTO","A INICIAR")))</f>
        <v>EM ANDAMENTO</v>
      </c>
    </row>
    <row r="1004" customFormat="false" ht="15" hidden="false" customHeight="false" outlineLevel="0" collapsed="false">
      <c r="B1004" s="4" t="n">
        <v>33898089</v>
      </c>
      <c r="C1004" s="4" t="s">
        <v>2545</v>
      </c>
      <c r="D1004" s="4" t="s">
        <v>463</v>
      </c>
      <c r="E1004" s="4" t="s">
        <v>2804</v>
      </c>
      <c r="F1004" s="127" t="n">
        <v>46742</v>
      </c>
      <c r="G1004" s="127" t="n">
        <v>46762</v>
      </c>
      <c r="H1004" s="127" t="n">
        <v>46289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25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8</v>
      </c>
      <c r="O1004" s="2" t="str">
        <f aca="false">IF(OR(F1004="",G1004=""),"",IF(G1004&lt;='RETRATO 2027'!$K$5,"CONCLUÍDA",IF(F1004&lt;='RETRATO 2027'!$K$5,"EM ANDAMENTO","A INICIAR")))</f>
        <v>EM ANDAMENTO</v>
      </c>
    </row>
    <row r="1005" customFormat="false" ht="15" hidden="false" customHeight="false" outlineLevel="0" collapsed="false">
      <c r="B1005" s="4" t="n">
        <v>30171398</v>
      </c>
      <c r="C1005" s="4" t="s">
        <v>2422</v>
      </c>
      <c r="D1005" s="4" t="s">
        <v>463</v>
      </c>
      <c r="E1005" s="4" t="s">
        <v>2801</v>
      </c>
      <c r="F1005" s="127" t="n">
        <v>46743</v>
      </c>
      <c r="G1005" s="127" t="n">
        <v>46764</v>
      </c>
      <c r="H1005" s="127" t="n">
        <v>46289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29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EM ANDAMENTO</v>
      </c>
    </row>
    <row r="1006" customFormat="false" ht="15" hidden="false" customHeight="false" outlineLevel="0" collapsed="false">
      <c r="B1006" s="4" t="n">
        <v>30171404</v>
      </c>
      <c r="C1006" s="4" t="s">
        <v>2446</v>
      </c>
      <c r="D1006" s="4" t="s">
        <v>463</v>
      </c>
      <c r="E1006" s="4" t="s">
        <v>2801</v>
      </c>
      <c r="F1006" s="127" t="n">
        <v>46743</v>
      </c>
      <c r="G1006" s="127" t="n">
        <v>46764</v>
      </c>
      <c r="H1006" s="127" t="n">
        <v>46289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26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EM ANDAMENTO</v>
      </c>
    </row>
    <row r="1007" customFormat="false" ht="15" hidden="false" customHeight="false" outlineLevel="0" collapsed="false">
      <c r="B1007" s="4" t="n">
        <v>30205878</v>
      </c>
      <c r="C1007" s="4" t="s">
        <v>168</v>
      </c>
      <c r="D1007" s="4" t="s">
        <v>463</v>
      </c>
      <c r="E1007" s="4" t="s">
        <v>2845</v>
      </c>
      <c r="F1007" s="127" t="n">
        <v>46743</v>
      </c>
      <c r="G1007" s="127" t="n">
        <v>46780</v>
      </c>
      <c r="H1007" s="127" t="n">
        <v>46289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18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6</v>
      </c>
      <c r="O1007" s="2" t="str">
        <f aca="false">IF(OR(F1007="",G1007=""),"",IF(G1007&lt;='RETRATO 2027'!$K$5,"CONCLUÍDA",IF(F1007&lt;='RETRATO 2027'!$K$5,"EM ANDAMENTO","A INICIAR")))</f>
        <v>EM ANDAMENTO</v>
      </c>
    </row>
    <row r="1008" customFormat="false" ht="15" hidden="false" customHeight="false" outlineLevel="0" collapsed="false">
      <c r="B1008" s="4" t="n">
        <v>30206119</v>
      </c>
      <c r="C1008" s="4" t="s">
        <v>168</v>
      </c>
      <c r="D1008" s="4" t="s">
        <v>463</v>
      </c>
      <c r="E1008" s="4" t="s">
        <v>2846</v>
      </c>
      <c r="F1008" s="127" t="n">
        <v>46743</v>
      </c>
      <c r="G1008" s="127" t="n">
        <v>46780</v>
      </c>
      <c r="H1008" s="127" t="n">
        <v>46289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18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6</v>
      </c>
      <c r="O1008" s="2" t="str">
        <f aca="false">IF(OR(F1008="",G1008=""),"",IF(G1008&lt;='RETRATO 2027'!$K$5,"CONCLUÍDA",IF(F1008&lt;='RETRATO 2027'!$K$5,"EM ANDAMENTO","A INICIAR")))</f>
        <v>EM ANDAMENTO</v>
      </c>
    </row>
    <row r="1009" customFormat="false" ht="15" hidden="false" customHeight="false" outlineLevel="0" collapsed="false">
      <c r="B1009" s="4" t="n">
        <v>30206082</v>
      </c>
      <c r="C1009" s="4" t="s">
        <v>168</v>
      </c>
      <c r="D1009" s="4" t="s">
        <v>463</v>
      </c>
      <c r="E1009" s="4" t="s">
        <v>2847</v>
      </c>
      <c r="F1009" s="127" t="n">
        <v>46743</v>
      </c>
      <c r="G1009" s="127" t="n">
        <v>46780</v>
      </c>
      <c r="H1009" s="127" t="n">
        <v>46289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18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6</v>
      </c>
      <c r="O1009" s="2" t="str">
        <f aca="false">IF(OR(F1009="",G1009=""),"",IF(G1009&lt;='RETRATO 2027'!$K$5,"CONCLUÍDA",IF(F1009&lt;='RETRATO 2027'!$K$5,"EM ANDAMENTO","A INICIAR")))</f>
        <v>EM ANDAMENTO</v>
      </c>
    </row>
    <row r="1010" customFormat="false" ht="15" hidden="false" customHeight="false" outlineLevel="0" collapsed="false">
      <c r="B1010" s="4" t="n">
        <v>30206045</v>
      </c>
      <c r="C1010" s="4" t="s">
        <v>168</v>
      </c>
      <c r="D1010" s="4" t="s">
        <v>463</v>
      </c>
      <c r="E1010" s="4" t="s">
        <v>2848</v>
      </c>
      <c r="F1010" s="127" t="n">
        <v>46743</v>
      </c>
      <c r="G1010" s="127" t="n">
        <v>46780</v>
      </c>
      <c r="H1010" s="127" t="n">
        <v>46289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18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6</v>
      </c>
      <c r="O1010" s="2" t="str">
        <f aca="false">IF(OR(F1010="",G1010=""),"",IF(G1010&lt;='RETRATO 2027'!$K$5,"CONCLUÍDA",IF(F1010&lt;='RETRATO 2027'!$K$5,"EM ANDAMENTO","A INICIAR")))</f>
        <v>EM ANDAMENTO</v>
      </c>
    </row>
    <row r="1011" customFormat="false" ht="15" hidden="false" customHeight="false" outlineLevel="0" collapsed="false">
      <c r="B1011" s="4" t="n">
        <v>30206008</v>
      </c>
      <c r="C1011" s="4" t="s">
        <v>168</v>
      </c>
      <c r="D1011" s="4" t="s">
        <v>463</v>
      </c>
      <c r="E1011" s="4" t="s">
        <v>2849</v>
      </c>
      <c r="F1011" s="127" t="n">
        <v>46743</v>
      </c>
      <c r="G1011" s="127" t="n">
        <v>46780</v>
      </c>
      <c r="H1011" s="127" t="n">
        <v>46289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18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6</v>
      </c>
      <c r="O1011" s="2" t="str">
        <f aca="false">IF(OR(F1011="",G1011=""),"",IF(G1011&lt;='RETRATO 2027'!$K$5,"CONCLUÍDA",IF(F1011&lt;='RETRATO 2027'!$K$5,"EM ANDAMENTO","A INICIAR")))</f>
        <v>EM ANDAMENTO</v>
      </c>
    </row>
    <row r="1012" customFormat="false" ht="15" hidden="false" customHeight="false" outlineLevel="0" collapsed="false">
      <c r="B1012" s="4" t="n">
        <v>30205971</v>
      </c>
      <c r="C1012" s="4" t="s">
        <v>168</v>
      </c>
      <c r="D1012" s="4" t="s">
        <v>463</v>
      </c>
      <c r="E1012" s="4" t="s">
        <v>2850</v>
      </c>
      <c r="F1012" s="127" t="n">
        <v>46743</v>
      </c>
      <c r="G1012" s="127" t="n">
        <v>46780</v>
      </c>
      <c r="H1012" s="127" t="n">
        <v>46289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18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6</v>
      </c>
      <c r="O1012" s="2" t="str">
        <f aca="false">IF(OR(F1012="",G1012=""),"",IF(G1012&lt;='RETRATO 2027'!$K$5,"CONCLUÍDA",IF(F1012&lt;='RETRATO 2027'!$K$5,"EM ANDAMENTO","A INICIAR")))</f>
        <v>EM ANDAMENTO</v>
      </c>
    </row>
    <row r="1013" customFormat="false" ht="15" hidden="false" customHeight="false" outlineLevel="0" collapsed="false">
      <c r="B1013" s="4" t="n">
        <v>29981366</v>
      </c>
      <c r="C1013" s="4" t="s">
        <v>216</v>
      </c>
      <c r="D1013" s="4" t="s">
        <v>463</v>
      </c>
      <c r="E1013" s="4" t="s">
        <v>2811</v>
      </c>
      <c r="F1013" s="127" t="n">
        <v>46743</v>
      </c>
      <c r="G1013" s="127" t="n">
        <v>46763</v>
      </c>
      <c r="H1013" s="127" t="n">
        <v>46289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33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12</v>
      </c>
      <c r="O1013" s="2" t="str">
        <f aca="false">IF(OR(F1013="",G1013=""),"",IF(G1013&lt;='RETRATO 2027'!$K$5,"CONCLUÍDA",IF(F1013&lt;='RETRATO 2027'!$K$5,"EM ANDAMENTO","A INICIAR")))</f>
        <v>EM ANDAMENTO</v>
      </c>
    </row>
    <row r="1014" customFormat="false" ht="15" hidden="false" customHeight="false" outlineLevel="0" collapsed="false">
      <c r="B1014" s="4" t="n">
        <v>29981327</v>
      </c>
      <c r="C1014" s="4" t="s">
        <v>2508</v>
      </c>
      <c r="D1014" s="4" t="s">
        <v>463</v>
      </c>
      <c r="E1014" s="4" t="s">
        <v>2812</v>
      </c>
      <c r="F1014" s="127" t="n">
        <v>46743</v>
      </c>
      <c r="G1014" s="127" t="n">
        <v>46763</v>
      </c>
      <c r="H1014" s="127" t="n">
        <v>46289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13</v>
      </c>
      <c r="O1014" s="2" t="str">
        <f aca="false">IF(OR(F1014="",G1014=""),"",IF(G1014&lt;='RETRATO 2027'!$K$5,"CONCLUÍDA",IF(F1014&lt;='RETRATO 2027'!$K$5,"EM ANDAMENTO","A INICIAR")))</f>
        <v>EM ANDAMENTO</v>
      </c>
    </row>
    <row r="1015" customFormat="false" ht="15" hidden="false" customHeight="false" outlineLevel="0" collapsed="false">
      <c r="B1015" s="4" t="n">
        <v>29981332</v>
      </c>
      <c r="C1015" s="4" t="s">
        <v>2511</v>
      </c>
      <c r="D1015" s="4" t="s">
        <v>463</v>
      </c>
      <c r="E1015" s="4" t="s">
        <v>2812</v>
      </c>
      <c r="F1015" s="127" t="n">
        <v>46743</v>
      </c>
      <c r="G1015" s="127" t="n">
        <v>46763</v>
      </c>
      <c r="H1015" s="127" t="n">
        <v>46289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20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13</v>
      </c>
      <c r="O1015" s="2" t="str">
        <f aca="false">IF(OR(F1015="",G1015=""),"",IF(G1015&lt;='RETRATO 2027'!$K$5,"CONCLUÍDA",IF(F1015&lt;='RETRATO 2027'!$K$5,"EM ANDAMENTO","A INICIAR")))</f>
        <v>EM ANDAMENTO</v>
      </c>
    </row>
    <row r="1016" customFormat="false" ht="15" hidden="false" customHeight="false" outlineLevel="0" collapsed="false">
      <c r="B1016" s="4" t="n">
        <v>30214075</v>
      </c>
      <c r="C1016" s="4" t="s">
        <v>2514</v>
      </c>
      <c r="D1016" s="4" t="s">
        <v>463</v>
      </c>
      <c r="E1016" s="4" t="s">
        <v>2812</v>
      </c>
      <c r="F1016" s="127" t="n">
        <v>46743</v>
      </c>
      <c r="G1016" s="127" t="n">
        <v>46764</v>
      </c>
      <c r="H1016" s="127" t="n">
        <v>46289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13</v>
      </c>
      <c r="O1016" s="2" t="str">
        <f aca="false">IF(OR(F1016="",G1016=""),"",IF(G1016&lt;='RETRATO 2027'!$K$5,"CONCLUÍDA",IF(F1016&lt;='RETRATO 2027'!$K$5,"EM ANDAMENTO","A INICIAR")))</f>
        <v>EM ANDAMENTO</v>
      </c>
    </row>
    <row r="1017" customFormat="false" ht="15" hidden="false" customHeight="false" outlineLevel="0" collapsed="false">
      <c r="B1017" s="4" t="n">
        <v>29981274</v>
      </c>
      <c r="C1017" s="4" t="s">
        <v>2501</v>
      </c>
      <c r="D1017" s="4" t="s">
        <v>463</v>
      </c>
      <c r="E1017" s="4" t="s">
        <v>2813</v>
      </c>
      <c r="F1017" s="127" t="n">
        <v>46743</v>
      </c>
      <c r="G1017" s="127" t="n">
        <v>46763</v>
      </c>
      <c r="H1017" s="127" t="n">
        <v>46289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30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14</v>
      </c>
      <c r="O1017" s="2" t="str">
        <f aca="false">IF(OR(F1017="",G1017=""),"",IF(G1017&lt;='RETRATO 2027'!$K$5,"CONCLUÍDA",IF(F1017&lt;='RETRATO 2027'!$K$5,"EM ANDAMENTO","A INICIAR")))</f>
        <v>EM ANDAMENTO</v>
      </c>
    </row>
    <row r="1018" customFormat="false" ht="15" hidden="false" customHeight="false" outlineLevel="0" collapsed="false">
      <c r="B1018" s="4" t="n">
        <v>29981236</v>
      </c>
      <c r="C1018" s="4" t="s">
        <v>2486</v>
      </c>
      <c r="D1018" s="4" t="s">
        <v>463</v>
      </c>
      <c r="E1018" s="4" t="s">
        <v>2814</v>
      </c>
      <c r="F1018" s="127" t="n">
        <v>46743</v>
      </c>
      <c r="G1018" s="127" t="n">
        <v>46763</v>
      </c>
      <c r="H1018" s="127" t="n">
        <v>46289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30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15</v>
      </c>
      <c r="O1018" s="2" t="str">
        <f aca="false">IF(OR(F1018="",G1018=""),"",IF(G1018&lt;='RETRATO 2027'!$K$5,"CONCLUÍDA",IF(F1018&lt;='RETRATO 2027'!$K$5,"EM ANDAMENTO","A INICIAR")))</f>
        <v>EM ANDAMENTO</v>
      </c>
    </row>
    <row r="1019" customFormat="false" ht="15" hidden="false" customHeight="false" outlineLevel="0" collapsed="false">
      <c r="B1019" s="4" t="n">
        <v>29981215</v>
      </c>
      <c r="C1019" s="4" t="s">
        <v>2480</v>
      </c>
      <c r="D1019" s="4" t="s">
        <v>463</v>
      </c>
      <c r="E1019" s="4" t="s">
        <v>2815</v>
      </c>
      <c r="F1019" s="127" t="n">
        <v>46743</v>
      </c>
      <c r="G1019" s="127" t="n">
        <v>46763</v>
      </c>
      <c r="H1019" s="127" t="n">
        <v>46289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30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16</v>
      </c>
      <c r="O1019" s="2" t="str">
        <f aca="false">IF(OR(F1019="",G1019=""),"",IF(G1019&lt;='RETRATO 2027'!$K$5,"CONCLUÍDA",IF(F1019&lt;='RETRATO 2027'!$K$5,"EM ANDAMENTO","A INICIAR")))</f>
        <v>EM ANDAMENTO</v>
      </c>
    </row>
    <row r="1020" customFormat="false" ht="15" hidden="false" customHeight="false" outlineLevel="0" collapsed="false">
      <c r="B1020" s="4" t="n">
        <v>29981176</v>
      </c>
      <c r="C1020" s="4" t="s">
        <v>171</v>
      </c>
      <c r="D1020" s="4" t="s">
        <v>463</v>
      </c>
      <c r="E1020" s="4" t="s">
        <v>2818</v>
      </c>
      <c r="F1020" s="127" t="n">
        <v>46743</v>
      </c>
      <c r="G1020" s="127" t="n">
        <v>46763</v>
      </c>
      <c r="H1020" s="127" t="n">
        <v>46289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19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17</v>
      </c>
      <c r="O1020" s="2" t="str">
        <f aca="false">IF(OR(F1020="",G1020=""),"",IF(G1020&lt;='RETRATO 2027'!$K$5,"CONCLUÍDA",IF(F1020&lt;='RETRATO 2027'!$K$5,"EM ANDAMENTO","A INICIAR")))</f>
        <v>EM ANDAMENTO</v>
      </c>
    </row>
    <row r="1021" customFormat="false" ht="15" hidden="false" customHeight="false" outlineLevel="0" collapsed="false">
      <c r="B1021" s="4" t="n">
        <v>32750444</v>
      </c>
      <c r="C1021" s="4" t="s">
        <v>2470</v>
      </c>
      <c r="D1021" s="4" t="s">
        <v>463</v>
      </c>
      <c r="E1021" s="4" t="s">
        <v>2820</v>
      </c>
      <c r="F1021" s="127" t="n">
        <v>46743</v>
      </c>
      <c r="G1021" s="127" t="n">
        <v>46763</v>
      </c>
      <c r="H1021" s="127" t="n">
        <v>46289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18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18</v>
      </c>
      <c r="O1021" s="2" t="str">
        <f aca="false">IF(OR(F1021="",G1021=""),"",IF(G1021&lt;='RETRATO 2027'!$K$5,"CONCLUÍDA",IF(F1021&lt;='RETRATO 2027'!$K$5,"EM ANDAMENTO","A INICIAR")))</f>
        <v>EM ANDAMENTO</v>
      </c>
    </row>
    <row r="1022" customFormat="false" ht="15" hidden="false" customHeight="false" outlineLevel="0" collapsed="false">
      <c r="B1022" s="4" t="n">
        <v>32750368</v>
      </c>
      <c r="C1022" s="4" t="s">
        <v>2458</v>
      </c>
      <c r="D1022" s="4" t="s">
        <v>463</v>
      </c>
      <c r="E1022" s="4" t="s">
        <v>2823</v>
      </c>
      <c r="F1022" s="127" t="n">
        <v>46743</v>
      </c>
      <c r="G1022" s="127" t="n">
        <v>46763</v>
      </c>
      <c r="H1022" s="127" t="n">
        <v>46289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20</v>
      </c>
      <c r="O1022" s="2" t="str">
        <f aca="false">IF(OR(F1022="",G1022=""),"",IF(G1022&lt;='RETRATO 2027'!$K$5,"CONCLUÍDA",IF(F1022&lt;='RETRATO 2027'!$K$5,"EM ANDAMENTO","A INICIAR")))</f>
        <v>EM ANDAMENTO</v>
      </c>
    </row>
    <row r="1023" customFormat="false" ht="15" hidden="false" customHeight="false" outlineLevel="0" collapsed="false">
      <c r="B1023" s="4" t="n">
        <v>32750394</v>
      </c>
      <c r="C1023" s="4" t="s">
        <v>2461</v>
      </c>
      <c r="D1023" s="4" t="s">
        <v>463</v>
      </c>
      <c r="E1023" s="4" t="s">
        <v>2823</v>
      </c>
      <c r="F1023" s="127" t="n">
        <v>46743</v>
      </c>
      <c r="G1023" s="127" t="n">
        <v>46763</v>
      </c>
      <c r="H1023" s="127" t="n">
        <v>46289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20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20</v>
      </c>
      <c r="O1023" s="2" t="str">
        <f aca="false">IF(OR(F1023="",G1023=""),"",IF(G1023&lt;='RETRATO 2027'!$K$5,"CONCLUÍDA",IF(F1023&lt;='RETRATO 2027'!$K$5,"EM ANDAMENTO","A INICIAR")))</f>
        <v>EM ANDAMENTO</v>
      </c>
    </row>
    <row r="1024" customFormat="false" ht="15" hidden="false" customHeight="false" outlineLevel="0" collapsed="false">
      <c r="B1024" s="4" t="n">
        <v>32750420</v>
      </c>
      <c r="C1024" s="4" t="s">
        <v>2464</v>
      </c>
      <c r="D1024" s="4" t="s">
        <v>463</v>
      </c>
      <c r="E1024" s="4" t="s">
        <v>2823</v>
      </c>
      <c r="F1024" s="127" t="n">
        <v>46743</v>
      </c>
      <c r="G1024" s="127" t="n">
        <v>46763</v>
      </c>
      <c r="H1024" s="127" t="n">
        <v>46289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21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20</v>
      </c>
      <c r="O1024" s="2" t="str">
        <f aca="false">IF(OR(F1024="",G1024=""),"",IF(G1024&lt;='RETRATO 2027'!$K$5,"CONCLUÍDA",IF(F1024&lt;='RETRATO 2027'!$K$5,"EM ANDAMENTO","A INICIAR")))</f>
        <v>EM ANDAMENTO</v>
      </c>
    </row>
    <row r="1025" customFormat="false" ht="15" hidden="false" customHeight="false" outlineLevel="0" collapsed="false">
      <c r="B1025" s="4" t="n">
        <v>33896838</v>
      </c>
      <c r="C1025" s="4" t="s">
        <v>2467</v>
      </c>
      <c r="D1025" s="4" t="s">
        <v>463</v>
      </c>
      <c r="E1025" s="4" t="s">
        <v>2823</v>
      </c>
      <c r="F1025" s="127" t="n">
        <v>46743</v>
      </c>
      <c r="G1025" s="127" t="n">
        <v>46763</v>
      </c>
      <c r="H1025" s="127" t="n">
        <v>46289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23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20</v>
      </c>
      <c r="O1025" s="2" t="str">
        <f aca="false">IF(OR(F1025="",G1025=""),"",IF(G1025&lt;='RETRATO 2027'!$K$5,"CONCLUÍDA",IF(F1025&lt;='RETRATO 2027'!$K$5,"EM ANDAMENTO","A INICIAR")))</f>
        <v>EM ANDAMENTO</v>
      </c>
    </row>
    <row r="1026" customFormat="false" ht="15" hidden="false" customHeight="false" outlineLevel="0" collapsed="false">
      <c r="B1026" s="4" t="n">
        <v>32749864</v>
      </c>
      <c r="C1026" s="4" t="s">
        <v>2455</v>
      </c>
      <c r="D1026" s="4" t="s">
        <v>463</v>
      </c>
      <c r="E1026" s="4" t="s">
        <v>2825</v>
      </c>
      <c r="F1026" s="127" t="n">
        <v>46743</v>
      </c>
      <c r="G1026" s="127" t="n">
        <v>46763</v>
      </c>
      <c r="H1026" s="127" t="n">
        <v>46289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18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21</v>
      </c>
      <c r="O1026" s="2" t="str">
        <f aca="false">IF(OR(F1026="",G1026=""),"",IF(G1026&lt;='RETRATO 2027'!$K$5,"CONCLUÍDA",IF(F1026&lt;='RETRATO 2027'!$K$5,"EM ANDAMENTO","A INICIAR")))</f>
        <v>EM ANDAMENTO</v>
      </c>
    </row>
    <row r="1027" customFormat="false" ht="15" hidden="false" customHeight="false" outlineLevel="0" collapsed="false">
      <c r="B1027" s="4" t="n">
        <v>29980992</v>
      </c>
      <c r="C1027" s="4" t="s">
        <v>2449</v>
      </c>
      <c r="D1027" s="4" t="s">
        <v>463</v>
      </c>
      <c r="E1027" s="4" t="s">
        <v>2827</v>
      </c>
      <c r="F1027" s="127" t="n">
        <v>46743</v>
      </c>
      <c r="G1027" s="127" t="n">
        <v>46763</v>
      </c>
      <c r="H1027" s="127" t="n">
        <v>46289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28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22</v>
      </c>
      <c r="O1027" s="2" t="str">
        <f aca="false">IF(OR(F1027="",G1027=""),"",IF(G1027&lt;='RETRATO 2027'!$K$5,"CONCLUÍDA",IF(F1027&lt;='RETRATO 2027'!$K$5,"EM ANDAMENTO","A INICIAR")))</f>
        <v>EM ANDAMENTO</v>
      </c>
    </row>
    <row r="1028" customFormat="false" ht="15" hidden="false" customHeight="false" outlineLevel="0" collapsed="false">
      <c r="B1028" s="4" t="n">
        <v>29980932</v>
      </c>
      <c r="C1028" s="4" t="s">
        <v>2440</v>
      </c>
      <c r="D1028" s="4" t="s">
        <v>463</v>
      </c>
      <c r="E1028" s="4" t="s">
        <v>2829</v>
      </c>
      <c r="F1028" s="127" t="n">
        <v>46743</v>
      </c>
      <c r="G1028" s="127" t="n">
        <v>46763</v>
      </c>
      <c r="H1028" s="127" t="n">
        <v>46289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21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23</v>
      </c>
      <c r="O1028" s="2" t="str">
        <f aca="false">IF(OR(F1028="",G1028=""),"",IF(G1028&lt;='RETRATO 2027'!$K$5,"CONCLUÍDA",IF(F1028&lt;='RETRATO 2027'!$K$5,"EM ANDAMENTO","A INICIAR")))</f>
        <v>EM ANDAMENTO</v>
      </c>
    </row>
    <row r="1029" customFormat="false" ht="15" hidden="false" customHeight="false" outlineLevel="0" collapsed="false">
      <c r="B1029" s="4" t="n">
        <v>29980965</v>
      </c>
      <c r="C1029" s="4" t="s">
        <v>2443</v>
      </c>
      <c r="D1029" s="4" t="s">
        <v>463</v>
      </c>
      <c r="E1029" s="4" t="s">
        <v>2829</v>
      </c>
      <c r="F1029" s="127" t="n">
        <v>46743</v>
      </c>
      <c r="G1029" s="127" t="n">
        <v>46763</v>
      </c>
      <c r="H1029" s="127" t="n">
        <v>46289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20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23</v>
      </c>
      <c r="O1029" s="2" t="str">
        <f aca="false">IF(OR(F1029="",G1029=""),"",IF(G1029&lt;='RETRATO 2027'!$K$5,"CONCLUÍDA",IF(F1029&lt;='RETRATO 2027'!$K$5,"EM ANDAMENTO","A INICIAR")))</f>
        <v>EM ANDAMENTO</v>
      </c>
    </row>
    <row r="1030" customFormat="false" ht="15" hidden="false" customHeight="false" outlineLevel="0" collapsed="false">
      <c r="B1030" s="4" t="n">
        <v>29980894</v>
      </c>
      <c r="C1030" s="4" t="s">
        <v>2437</v>
      </c>
      <c r="D1030" s="4" t="s">
        <v>463</v>
      </c>
      <c r="E1030" s="4" t="s">
        <v>2831</v>
      </c>
      <c r="F1030" s="127" t="n">
        <v>46743</v>
      </c>
      <c r="G1030" s="127" t="n">
        <v>46763</v>
      </c>
      <c r="H1030" s="127" t="n">
        <v>46289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29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24</v>
      </c>
      <c r="O1030" s="2" t="str">
        <f aca="false">IF(OR(F1030="",G1030=""),"",IF(G1030&lt;='RETRATO 2027'!$K$5,"CONCLUÍDA",IF(F1030&lt;='RETRATO 2027'!$K$5,"EM ANDAMENTO","A INICIAR")))</f>
        <v>EM ANDAMENTO</v>
      </c>
    </row>
    <row r="1031" customFormat="false" ht="15" hidden="false" customHeight="false" outlineLevel="0" collapsed="false">
      <c r="B1031" s="4" t="n">
        <v>29980860</v>
      </c>
      <c r="C1031" s="4" t="s">
        <v>2434</v>
      </c>
      <c r="D1031" s="4" t="s">
        <v>463</v>
      </c>
      <c r="E1031" s="4" t="s">
        <v>2833</v>
      </c>
      <c r="F1031" s="127" t="n">
        <v>46743</v>
      </c>
      <c r="G1031" s="127" t="n">
        <v>46763</v>
      </c>
      <c r="H1031" s="127" t="n">
        <v>46289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25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25</v>
      </c>
      <c r="O1031" s="2" t="str">
        <f aca="false">IF(OR(F1031="",G1031=""),"",IF(G1031&lt;='RETRATO 2027'!$K$5,"CONCLUÍDA",IF(F1031&lt;='RETRATO 2027'!$K$5,"EM ANDAMENTO","A INICIAR")))</f>
        <v>EM ANDAMENTO</v>
      </c>
    </row>
    <row r="1032" customFormat="false" ht="15" hidden="false" customHeight="false" outlineLevel="0" collapsed="false">
      <c r="B1032" s="4" t="n">
        <v>29980853</v>
      </c>
      <c r="C1032" s="4" t="s">
        <v>2425</v>
      </c>
      <c r="D1032" s="4" t="s">
        <v>463</v>
      </c>
      <c r="E1032" s="4" t="s">
        <v>2834</v>
      </c>
      <c r="F1032" s="127" t="n">
        <v>46743</v>
      </c>
      <c r="G1032" s="127" t="n">
        <v>46763</v>
      </c>
      <c r="H1032" s="127" t="n">
        <v>46289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21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26</v>
      </c>
      <c r="O1032" s="2" t="str">
        <f aca="false">IF(OR(F1032="",G1032=""),"",IF(G1032&lt;='RETRATO 2027'!$K$5,"CONCLUÍDA",IF(F1032&lt;='RETRATO 2027'!$K$5,"EM ANDAMENTO","A INICIAR")))</f>
        <v>EM ANDAMENTO</v>
      </c>
    </row>
    <row r="1033" customFormat="false" ht="15" hidden="false" customHeight="false" outlineLevel="0" collapsed="false">
      <c r="B1033" s="4" t="n">
        <v>29980822</v>
      </c>
      <c r="C1033" s="4" t="s">
        <v>2428</v>
      </c>
      <c r="D1033" s="4" t="s">
        <v>463</v>
      </c>
      <c r="E1033" s="4" t="s">
        <v>2834</v>
      </c>
      <c r="F1033" s="127" t="n">
        <v>46743</v>
      </c>
      <c r="G1033" s="127" t="n">
        <v>46763</v>
      </c>
      <c r="H1033" s="127" t="n">
        <v>46289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20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26</v>
      </c>
      <c r="O1033" s="2" t="str">
        <f aca="false">IF(OR(F1033="",G1033=""),"",IF(G1033&lt;='RETRATO 2027'!$K$5,"CONCLUÍDA",IF(F1033&lt;='RETRATO 2027'!$K$5,"EM ANDAMENTO","A INICIAR")))</f>
        <v>EM ANDAMENTO</v>
      </c>
    </row>
    <row r="1034" customFormat="false" ht="15" hidden="false" customHeight="false" outlineLevel="0" collapsed="false">
      <c r="B1034" s="4" t="n">
        <v>29980855</v>
      </c>
      <c r="C1034" s="4" t="s">
        <v>2431</v>
      </c>
      <c r="D1034" s="4" t="s">
        <v>463</v>
      </c>
      <c r="E1034" s="4" t="s">
        <v>2834</v>
      </c>
      <c r="F1034" s="127" t="n">
        <v>46743</v>
      </c>
      <c r="G1034" s="127" t="n">
        <v>46763</v>
      </c>
      <c r="H1034" s="127" t="n">
        <v>46289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21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26</v>
      </c>
      <c r="O1034" s="2" t="str">
        <f aca="false">IF(OR(F1034="",G1034=""),"",IF(G1034&lt;='RETRATO 2027'!$K$5,"CONCLUÍDA",IF(F1034&lt;='RETRATO 2027'!$K$5,"EM ANDAMENTO","A INICIAR")))</f>
        <v>EM ANDAMENTO</v>
      </c>
    </row>
    <row r="1035" customFormat="false" ht="15" hidden="false" customHeight="false" outlineLevel="0" collapsed="false">
      <c r="B1035" s="4" t="n">
        <v>29980802</v>
      </c>
      <c r="C1035" s="4" t="s">
        <v>2422</v>
      </c>
      <c r="D1035" s="4" t="s">
        <v>463</v>
      </c>
      <c r="E1035" s="4" t="s">
        <v>2838</v>
      </c>
      <c r="F1035" s="127" t="n">
        <v>46743</v>
      </c>
      <c r="G1035" s="127" t="n">
        <v>46763</v>
      </c>
      <c r="H1035" s="127" t="n">
        <v>46289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29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27</v>
      </c>
      <c r="O1035" s="2" t="str">
        <f aca="false">IF(OR(F1035="",G1035=""),"",IF(G1035&lt;='RETRATO 2027'!$K$5,"CONCLUÍDA",IF(F1035&lt;='RETRATO 2027'!$K$5,"EM ANDAMENTO","A INICIAR")))</f>
        <v>EM ANDAMENTO</v>
      </c>
    </row>
    <row r="1036" customFormat="false" ht="15" hidden="false" customHeight="false" outlineLevel="0" collapsed="false">
      <c r="B1036" s="4" t="n">
        <v>29980768</v>
      </c>
      <c r="C1036" s="4" t="s">
        <v>2413</v>
      </c>
      <c r="D1036" s="4" t="s">
        <v>463</v>
      </c>
      <c r="E1036" s="4" t="s">
        <v>2840</v>
      </c>
      <c r="F1036" s="127" t="n">
        <v>46743</v>
      </c>
      <c r="G1036" s="127" t="n">
        <v>46763</v>
      </c>
      <c r="H1036" s="127" t="n">
        <v>46289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21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28</v>
      </c>
      <c r="O1036" s="2" t="str">
        <f aca="false">IF(OR(F1036="",G1036=""),"",IF(G1036&lt;='RETRATO 2027'!$K$5,"CONCLUÍDA",IF(F1036&lt;='RETRATO 2027'!$K$5,"EM ANDAMENTO","A INICIAR")))</f>
        <v>EM ANDAMENTO</v>
      </c>
    </row>
    <row r="1037" customFormat="false" ht="15" hidden="false" customHeight="false" outlineLevel="0" collapsed="false">
      <c r="B1037" s="4" t="n">
        <v>30205652</v>
      </c>
      <c r="C1037" s="4" t="s">
        <v>2539</v>
      </c>
      <c r="D1037" s="4" t="s">
        <v>463</v>
      </c>
      <c r="E1037" s="4" t="s">
        <v>2824</v>
      </c>
      <c r="F1037" s="127" t="n">
        <v>46744</v>
      </c>
      <c r="G1037" s="127" t="n">
        <v>46765</v>
      </c>
      <c r="H1037" s="127" t="n">
        <v>46289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35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0</v>
      </c>
      <c r="O1037" s="2" t="str">
        <f aca="false">IF(OR(F1037="",G1037=""),"",IF(G1037&lt;='RETRATO 2027'!$K$5,"CONCLUÍDA",IF(F1037&lt;='RETRATO 2027'!$K$5,"EM ANDAMENTO","A INICIAR")))</f>
        <v>EM ANDAMENTO</v>
      </c>
    </row>
    <row r="1038" customFormat="false" ht="15" hidden="false" customHeight="false" outlineLevel="0" collapsed="false">
      <c r="B1038" s="4" t="n">
        <v>30205622</v>
      </c>
      <c r="C1038" s="4" t="s">
        <v>216</v>
      </c>
      <c r="D1038" s="4" t="s">
        <v>463</v>
      </c>
      <c r="E1038" s="4" t="s">
        <v>2826</v>
      </c>
      <c r="F1038" s="127" t="n">
        <v>46744</v>
      </c>
      <c r="G1038" s="127" t="n">
        <v>46765</v>
      </c>
      <c r="H1038" s="127" t="n">
        <v>46289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33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0</v>
      </c>
      <c r="O1038" s="2" t="str">
        <f aca="false">IF(OR(F1038="",G1038=""),"",IF(G1038&lt;='RETRATO 2027'!$K$5,"CONCLUÍDA",IF(F1038&lt;='RETRATO 2027'!$K$5,"EM ANDAMENTO","A INICIAR")))</f>
        <v>EM ANDAMENTO</v>
      </c>
    </row>
    <row r="1039" customFormat="false" ht="15" hidden="false" customHeight="false" outlineLevel="0" collapsed="false">
      <c r="B1039" s="4" t="n">
        <v>30205594</v>
      </c>
      <c r="C1039" s="4" t="s">
        <v>2501</v>
      </c>
      <c r="D1039" s="4" t="s">
        <v>463</v>
      </c>
      <c r="E1039" s="4" t="s">
        <v>2828</v>
      </c>
      <c r="F1039" s="127" t="n">
        <v>46744</v>
      </c>
      <c r="G1039" s="127" t="n">
        <v>46765</v>
      </c>
      <c r="H1039" s="127" t="n">
        <v>46289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30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0</v>
      </c>
      <c r="O1039" s="2" t="str">
        <f aca="false">IF(OR(F1039="",G1039=""),"",IF(G1039&lt;='RETRATO 2027'!$K$5,"CONCLUÍDA",IF(F1039&lt;='RETRATO 2027'!$K$5,"EM ANDAMENTO","A INICIAR")))</f>
        <v>EM ANDAMENTO</v>
      </c>
    </row>
    <row r="1040" customFormat="false" ht="15" hidden="false" customHeight="false" outlineLevel="0" collapsed="false">
      <c r="B1040" s="4" t="n">
        <v>30205569</v>
      </c>
      <c r="C1040" s="4" t="s">
        <v>2486</v>
      </c>
      <c r="D1040" s="4" t="s">
        <v>463</v>
      </c>
      <c r="E1040" s="4" t="s">
        <v>2830</v>
      </c>
      <c r="F1040" s="127" t="n">
        <v>46744</v>
      </c>
      <c r="G1040" s="127" t="n">
        <v>46765</v>
      </c>
      <c r="H1040" s="127" t="n">
        <v>46289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30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0</v>
      </c>
      <c r="O1040" s="2" t="str">
        <f aca="false">IF(OR(F1040="",G1040=""),"",IF(G1040&lt;='RETRATO 2027'!$K$5,"CONCLUÍDA",IF(F1040&lt;='RETRATO 2027'!$K$5,"EM ANDAMENTO","A INICIAR")))</f>
        <v>EM ANDAMENTO</v>
      </c>
    </row>
    <row r="1041" customFormat="false" ht="15" hidden="false" customHeight="false" outlineLevel="0" collapsed="false">
      <c r="B1041" s="4" t="n">
        <v>30205546</v>
      </c>
      <c r="C1041" s="4" t="s">
        <v>2480</v>
      </c>
      <c r="D1041" s="4" t="s">
        <v>463</v>
      </c>
      <c r="E1041" s="4" t="s">
        <v>2832</v>
      </c>
      <c r="F1041" s="127" t="n">
        <v>46744</v>
      </c>
      <c r="G1041" s="127" t="n">
        <v>46765</v>
      </c>
      <c r="H1041" s="127" t="n">
        <v>46289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30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0</v>
      </c>
      <c r="O1041" s="2" t="str">
        <f aca="false">IF(OR(F1041="",G1041=""),"",IF(G1041&lt;='RETRATO 2027'!$K$5,"CONCLUÍDA",IF(F1041&lt;='RETRATO 2027'!$K$5,"EM ANDAMENTO","A INICIAR")))</f>
        <v>EM ANDAMENTO</v>
      </c>
    </row>
    <row r="1042" customFormat="false" ht="15" hidden="false" customHeight="false" outlineLevel="0" collapsed="false">
      <c r="B1042" s="4" t="n">
        <v>30205842</v>
      </c>
      <c r="C1042" s="4" t="s">
        <v>2428</v>
      </c>
      <c r="D1042" s="4" t="s">
        <v>463</v>
      </c>
      <c r="E1042" s="4" t="s">
        <v>2782</v>
      </c>
      <c r="F1042" s="127" t="n">
        <v>46744</v>
      </c>
      <c r="G1042" s="127" t="n">
        <v>46762</v>
      </c>
      <c r="H1042" s="127" t="n">
        <v>46289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20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1</v>
      </c>
      <c r="O1042" s="2" t="str">
        <f aca="false">IF(OR(F1042="",G1042=""),"",IF(G1042&lt;='RETRATO 2027'!$K$5,"CONCLUÍDA",IF(F1042&lt;='RETRATO 2027'!$K$5,"EM ANDAMENTO","A INICIAR")))</f>
        <v>EM ANDAMENTO</v>
      </c>
    </row>
    <row r="1043" customFormat="false" ht="15" hidden="false" customHeight="false" outlineLevel="0" collapsed="false">
      <c r="B1043" s="4" t="n">
        <v>30205843</v>
      </c>
      <c r="C1043" s="4" t="s">
        <v>2452</v>
      </c>
      <c r="D1043" s="4" t="s">
        <v>463</v>
      </c>
      <c r="E1043" s="4" t="s">
        <v>2782</v>
      </c>
      <c r="F1043" s="127" t="n">
        <v>46744</v>
      </c>
      <c r="G1043" s="127" t="n">
        <v>46765</v>
      </c>
      <c r="H1043" s="127" t="n">
        <v>46289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21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1</v>
      </c>
      <c r="O1043" s="2" t="str">
        <f aca="false">IF(OR(F1043="",G1043=""),"",IF(G1043&lt;='RETRATO 2027'!$K$5,"CONCLUÍDA",IF(F1043&lt;='RETRATO 2027'!$K$5,"EM ANDAMENTO","A INICIAR")))</f>
        <v>EM ANDAMENTO</v>
      </c>
    </row>
    <row r="1044" customFormat="false" ht="15" hidden="false" customHeight="false" outlineLevel="0" collapsed="false">
      <c r="B1044" s="4" t="n">
        <v>30208607</v>
      </c>
      <c r="C1044" s="4" t="s">
        <v>168</v>
      </c>
      <c r="D1044" s="4" t="s">
        <v>463</v>
      </c>
      <c r="E1044" s="4" t="s">
        <v>2851</v>
      </c>
      <c r="F1044" s="127" t="n">
        <v>46755</v>
      </c>
      <c r="G1044" s="127" t="n">
        <v>46784</v>
      </c>
      <c r="H1044" s="127" t="n">
        <v>46289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18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6</v>
      </c>
      <c r="O1044" s="2" t="str">
        <f aca="false">IF(OR(F1044="",G1044=""),"",IF(G1044&lt;='RETRATO 2027'!$K$5,"CONCLUÍDA",IF(F1044&lt;='RETRATO 2027'!$K$5,"EM ANDAMENTO","A INICIAR")))</f>
        <v>A INICIAR</v>
      </c>
    </row>
    <row r="1045" customFormat="false" ht="15" hidden="false" customHeight="false" outlineLevel="0" collapsed="false">
      <c r="B1045" s="4" t="n">
        <v>29980767</v>
      </c>
      <c r="C1045" s="4" t="s">
        <v>2416</v>
      </c>
      <c r="D1045" s="4" t="s">
        <v>463</v>
      </c>
      <c r="E1045" s="4" t="s">
        <v>2840</v>
      </c>
      <c r="F1045" s="127" t="n">
        <v>46755</v>
      </c>
      <c r="G1045" s="127" t="n">
        <v>46765</v>
      </c>
      <c r="H1045" s="127" t="n">
        <v>46289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18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28</v>
      </c>
      <c r="O1045" s="2" t="str">
        <f aca="false">IF(OR(F1045="",G1045=""),"",IF(G1045&lt;='RETRATO 2027'!$K$5,"CONCLUÍDA",IF(F1045&lt;='RETRATO 2027'!$K$5,"EM ANDAMENTO","A INICIAR")))</f>
        <v>A INICIAR</v>
      </c>
    </row>
    <row r="1046" customFormat="false" ht="15" hidden="false" customHeight="false" outlineLevel="0" collapsed="false">
      <c r="B1046" s="4" t="n">
        <v>31790140</v>
      </c>
      <c r="C1046" s="4" t="s">
        <v>2551</v>
      </c>
      <c r="D1046" s="4" t="s">
        <v>463</v>
      </c>
      <c r="E1046" s="4" t="s">
        <v>2678</v>
      </c>
      <c r="F1046" s="127" t="n">
        <v>46757</v>
      </c>
      <c r="G1046" s="127" t="n">
        <v>46784</v>
      </c>
      <c r="H1046" s="127" t="n">
        <v>46289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32</v>
      </c>
      <c r="N1046" s="2" t="str">
        <f aca="false"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 t="str">
        <f aca="false">IF(OR(F1046="",G1046=""),"",IF(G1046&lt;='RETRATO 2027'!$K$5,"CONCLUÍDA",IF(F1046&lt;='RETRATO 2027'!$K$5,"EM ANDAMENTO","A INICIAR")))</f>
        <v>A INICIAR</v>
      </c>
    </row>
    <row r="1047" customFormat="false" ht="15" hidden="false" customHeight="false" outlineLevel="0" collapsed="false">
      <c r="B1047" s="4" t="n">
        <v>29980741</v>
      </c>
      <c r="C1047" s="4" t="s">
        <v>2410</v>
      </c>
      <c r="D1047" s="4" t="s">
        <v>463</v>
      </c>
      <c r="E1047" s="4" t="s">
        <v>2841</v>
      </c>
      <c r="F1047" s="127" t="n">
        <v>46758</v>
      </c>
      <c r="G1047" s="127" t="n">
        <v>46770</v>
      </c>
      <c r="H1047" s="127" t="n">
        <v>46289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22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29</v>
      </c>
      <c r="O1047" s="2" t="str">
        <f aca="false">IF(OR(F1047="",G1047=""),"",IF(G1047&lt;='RETRATO 2027'!$K$5,"CONCLUÍDA",IF(F1047&lt;='RETRATO 2027'!$K$5,"EM ANDAMENTO","A INICIAR")))</f>
        <v>A INICIAR</v>
      </c>
    </row>
    <row r="1048" customFormat="false" ht="15" hidden="false" customHeight="false" outlineLevel="0" collapsed="false">
      <c r="B1048" s="4" t="n">
        <v>29980692</v>
      </c>
      <c r="C1048" s="4" t="s">
        <v>168</v>
      </c>
      <c r="D1048" s="4" t="s">
        <v>463</v>
      </c>
      <c r="E1048" s="4" t="s">
        <v>2842</v>
      </c>
      <c r="F1048" s="127" t="n">
        <v>46758</v>
      </c>
      <c r="G1048" s="127" t="n">
        <v>46770</v>
      </c>
      <c r="H1048" s="127" t="n">
        <v>46289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18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30</v>
      </c>
      <c r="O1048" s="2" t="str">
        <f aca="false">IF(OR(F1048="",G1048=""),"",IF(G1048&lt;='RETRATO 2027'!$K$5,"CONCLUÍDA",IF(F1048&lt;='RETRATO 2027'!$K$5,"EM ANDAMENTO","A INICIAR")))</f>
        <v>A INICIAR</v>
      </c>
    </row>
    <row r="1049" customFormat="false" ht="15" hidden="false" customHeight="false" outlineLevel="0" collapsed="false">
      <c r="B1049" s="4" t="n">
        <v>29941193</v>
      </c>
      <c r="C1049" s="4" t="s">
        <v>2341</v>
      </c>
      <c r="D1049" s="4" t="s">
        <v>463</v>
      </c>
      <c r="E1049" s="4" t="s">
        <v>2852</v>
      </c>
      <c r="F1049" s="127" t="n">
        <v>46758</v>
      </c>
      <c r="G1049" s="127" t="n">
        <v>46770</v>
      </c>
      <c r="H1049" s="127" t="n">
        <v>46289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17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33</v>
      </c>
      <c r="O1049" s="2" t="str">
        <f aca="false">IF(OR(F1049="",G1049=""),"",IF(G1049&lt;='RETRATO 2027'!$K$5,"CONCLUÍDA",IF(F1049&lt;='RETRATO 2027'!$K$5,"EM ANDAMENTO","A INICIAR")))</f>
        <v>A INICIAR</v>
      </c>
    </row>
    <row r="1050" customFormat="false" ht="15" hidden="false" customHeight="false" outlineLevel="0" collapsed="false">
      <c r="B1050" s="4" t="n">
        <v>31529086</v>
      </c>
      <c r="C1050" s="4" t="s">
        <v>2341</v>
      </c>
      <c r="D1050" s="4" t="s">
        <v>2312</v>
      </c>
      <c r="E1050" s="4" t="s">
        <v>2852</v>
      </c>
      <c r="F1050" s="127" t="n">
        <v>46758</v>
      </c>
      <c r="G1050" s="127" t="n">
        <v>46764</v>
      </c>
      <c r="H1050" s="127" t="n">
        <v>46289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17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33</v>
      </c>
      <c r="O1050" s="2" t="str">
        <f aca="false">IF(OR(F1050="",G1050=""),"",IF(G1050&lt;='RETRATO 2027'!$K$5,"CONCLUÍDA",IF(F1050&lt;='RETRATO 2027'!$K$5,"EM ANDAMENTO","A INICIAR")))</f>
        <v>A INICIAR</v>
      </c>
    </row>
    <row r="1051" customFormat="false" ht="15" hidden="false" customHeight="false" outlineLevel="0" collapsed="false">
      <c r="B1051" s="4" t="n">
        <v>31529087</v>
      </c>
      <c r="C1051" s="4" t="s">
        <v>2341</v>
      </c>
      <c r="D1051" s="4" t="s">
        <v>2309</v>
      </c>
      <c r="E1051" s="4" t="s">
        <v>2852</v>
      </c>
      <c r="F1051" s="127" t="n">
        <v>46765</v>
      </c>
      <c r="G1051" s="127" t="n">
        <v>46769</v>
      </c>
      <c r="H1051" s="127" t="n">
        <v>46289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17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33</v>
      </c>
      <c r="O1051" s="2" t="str">
        <f aca="false">IF(OR(F1051="",G1051=""),"",IF(G1051&lt;='RETRATO 2027'!$K$5,"CONCLUÍDA",IF(F1051&lt;='RETRATO 2027'!$K$5,"EM ANDAMENTO","A INICIAR")))</f>
        <v>A INICIAR</v>
      </c>
    </row>
    <row r="1052" customFormat="false" ht="15" hidden="false" customHeight="false" outlineLevel="0" collapsed="false">
      <c r="B1052" s="4" t="n">
        <v>31529088</v>
      </c>
      <c r="C1052" s="4" t="s">
        <v>2341</v>
      </c>
      <c r="D1052" s="4" t="s">
        <v>2314</v>
      </c>
      <c r="E1052" s="4" t="s">
        <v>2852</v>
      </c>
      <c r="F1052" s="127" t="n">
        <v>46770</v>
      </c>
      <c r="G1052" s="127" t="n">
        <v>46770</v>
      </c>
      <c r="H1052" s="127" t="n">
        <v>46289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17</v>
      </c>
      <c r="N1052" s="2" t="n">
        <f aca="false">IF(E1052="","",IF(ISNUMBER(SEARCH("SUBSOLO",E1052)),IFERROR(-VALUE(LEFT(E1052,FIND("º",SUBSTITUTE(E1052,"°","º"))-1)),-1),IF(LEFT(E1052,6)="TÉRREO",0,IFERROR(VALUE(LEFT(E1052,FIND("º",SUBSTITUTE(E1052,"°","º"))-1)),""))))</f>
        <v>33</v>
      </c>
      <c r="O1052" s="2" t="str">
        <f aca="false">IF(OR(F1052="",G1052=""),"",IF(G1052&lt;='RETRATO 2027'!$K$5,"CONCLUÍDA",IF(F1052&lt;='RETRATO 2027'!$K$5,"EM ANDAMENTO","A INICIAR")))</f>
        <v>A INICIAR</v>
      </c>
    </row>
    <row r="1053" customFormat="false" ht="15" hidden="false" customHeight="false" outlineLevel="0" collapsed="false">
      <c r="B1053" s="4" t="n">
        <v>31529089</v>
      </c>
      <c r="C1053" s="4" t="s">
        <v>2341</v>
      </c>
      <c r="D1053" s="4" t="s">
        <v>2758</v>
      </c>
      <c r="E1053" s="4" t="s">
        <v>2852</v>
      </c>
      <c r="F1053" s="127" t="n">
        <v>46770</v>
      </c>
      <c r="G1053" s="127" t="n">
        <v>46770</v>
      </c>
      <c r="H1053" s="127" t="n">
        <v>46289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17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33</v>
      </c>
      <c r="O1053" s="2" t="str">
        <f aca="false">IF(OR(F1053="",G1053=""),"",IF(G1053&lt;='RETRATO 2027'!$K$5,"CONCLUÍDA",IF(F1053&lt;='RETRATO 2027'!$K$5,"EM ANDAMENTO","A INICIAR")))</f>
        <v>A INICIAR</v>
      </c>
    </row>
    <row r="1054" customFormat="false" ht="15" hidden="false" customHeight="false" outlineLevel="0" collapsed="false">
      <c r="B1054" s="4" t="n">
        <v>30205792</v>
      </c>
      <c r="C1054" s="4" t="s">
        <v>2449</v>
      </c>
      <c r="D1054" s="4" t="s">
        <v>463</v>
      </c>
      <c r="E1054" s="4" t="s">
        <v>2835</v>
      </c>
      <c r="F1054" s="127" t="n">
        <v>46759</v>
      </c>
      <c r="G1054" s="127" t="n">
        <v>46772</v>
      </c>
      <c r="H1054" s="127" t="n">
        <v>46289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28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0</v>
      </c>
      <c r="O1054" s="2" t="str">
        <f aca="false">IF(OR(F1054="",G1054=""),"",IF(G1054&lt;='RETRATO 2027'!$K$5,"CONCLUÍDA",IF(F1054&lt;='RETRATO 2027'!$K$5,"EM ANDAMENTO","A INICIAR")))</f>
        <v>A INICIAR</v>
      </c>
    </row>
    <row r="1055" customFormat="false" ht="15" hidden="false" customHeight="false" outlineLevel="0" collapsed="false">
      <c r="B1055" s="4" t="n">
        <v>30205815</v>
      </c>
      <c r="C1055" s="4" t="s">
        <v>2437</v>
      </c>
      <c r="D1055" s="4" t="s">
        <v>463</v>
      </c>
      <c r="E1055" s="4" t="s">
        <v>2839</v>
      </c>
      <c r="F1055" s="127" t="n">
        <v>46759</v>
      </c>
      <c r="G1055" s="127" t="n">
        <v>46772</v>
      </c>
      <c r="H1055" s="127" t="n">
        <v>46289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29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0</v>
      </c>
      <c r="O1055" s="2" t="str">
        <f aca="false">IF(OR(F1055="",G1055=""),"",IF(G1055&lt;='RETRATO 2027'!$K$5,"CONCLUÍDA",IF(F1055&lt;='RETRATO 2027'!$K$5,"EM ANDAMENTO","A INICIAR")))</f>
        <v>A INICIAR</v>
      </c>
    </row>
    <row r="1056" customFormat="false" ht="15" hidden="false" customHeight="false" outlineLevel="0" collapsed="false">
      <c r="B1056" s="4" t="n">
        <v>30171399</v>
      </c>
      <c r="C1056" s="4" t="s">
        <v>2416</v>
      </c>
      <c r="D1056" s="4" t="s">
        <v>463</v>
      </c>
      <c r="E1056" s="4" t="s">
        <v>2801</v>
      </c>
      <c r="F1056" s="127" t="n">
        <v>46759</v>
      </c>
      <c r="G1056" s="127" t="n">
        <v>46772</v>
      </c>
      <c r="H1056" s="127" t="n">
        <v>46289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18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5</v>
      </c>
      <c r="O1056" s="2" t="str">
        <f aca="false">IF(OR(F1056="",G1056=""),"",IF(G1056&lt;='RETRATO 2027'!$K$5,"CONCLUÍDA",IF(F1056&lt;='RETRATO 2027'!$K$5,"EM ANDAMENTO","A INICIAR")))</f>
        <v>A INICIAR</v>
      </c>
    </row>
    <row r="1057" customFormat="false" ht="15" hidden="false" customHeight="false" outlineLevel="0" collapsed="false">
      <c r="B1057" s="4" t="n">
        <v>30205751</v>
      </c>
      <c r="C1057" s="4" t="s">
        <v>2501</v>
      </c>
      <c r="D1057" s="4" t="s">
        <v>463</v>
      </c>
      <c r="E1057" s="4" t="s">
        <v>2740</v>
      </c>
      <c r="F1057" s="127" t="n">
        <v>46762</v>
      </c>
      <c r="G1057" s="127" t="n">
        <v>46773</v>
      </c>
      <c r="H1057" s="127" t="n">
        <v>46289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30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-1</v>
      </c>
      <c r="O1057" s="2" t="str">
        <f aca="false">IF(OR(F1057="",G1057=""),"",IF(G1057&lt;='RETRATO 2027'!$K$5,"CONCLUÍDA",IF(F1057&lt;='RETRATO 2027'!$K$5,"EM ANDAMENTO","A INICIAR")))</f>
        <v>A INICIAR</v>
      </c>
    </row>
    <row r="1058" customFormat="false" ht="15" hidden="false" customHeight="false" outlineLevel="0" collapsed="false">
      <c r="B1058" s="4" t="n">
        <v>30171512</v>
      </c>
      <c r="C1058" s="4" t="s">
        <v>2539</v>
      </c>
      <c r="D1058" s="4" t="s">
        <v>463</v>
      </c>
      <c r="E1058" s="4" t="s">
        <v>2817</v>
      </c>
      <c r="F1058" s="127" t="n">
        <v>46763</v>
      </c>
      <c r="G1058" s="127" t="n">
        <v>47084</v>
      </c>
      <c r="H1058" s="127" t="n">
        <v>46289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35</v>
      </c>
      <c r="N1058" s="2" t="str">
        <f aca="false"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 t="str">
        <f aca="false">IF(OR(F1058="",G1058=""),"",IF(G1058&lt;='RETRATO 2027'!$K$5,"CONCLUÍDA",IF(F1058&lt;='RETRATO 2027'!$K$5,"EM ANDAMENTO","A INICIAR")))</f>
        <v>A INICIAR</v>
      </c>
    </row>
    <row r="1059" customFormat="false" ht="15" hidden="false" customHeight="false" outlineLevel="0" collapsed="false">
      <c r="B1059" s="4" t="n">
        <v>29981527</v>
      </c>
      <c r="C1059" s="4" t="s">
        <v>2554</v>
      </c>
      <c r="D1059" s="4" t="s">
        <v>463</v>
      </c>
      <c r="E1059" s="4" t="s">
        <v>2803</v>
      </c>
      <c r="F1059" s="127" t="n">
        <v>46763</v>
      </c>
      <c r="G1059" s="127" t="n">
        <v>46773</v>
      </c>
      <c r="H1059" s="127" t="n">
        <v>46289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35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A INICIAR</v>
      </c>
    </row>
    <row r="1060" customFormat="false" ht="15" hidden="false" customHeight="false" outlineLevel="0" collapsed="false">
      <c r="B1060" s="4" t="n">
        <v>29981516</v>
      </c>
      <c r="C1060" s="4" t="s">
        <v>2539</v>
      </c>
      <c r="D1060" s="4" t="s">
        <v>463</v>
      </c>
      <c r="E1060" s="4" t="s">
        <v>2804</v>
      </c>
      <c r="F1060" s="127" t="n">
        <v>46763</v>
      </c>
      <c r="G1060" s="127" t="n">
        <v>46773</v>
      </c>
      <c r="H1060" s="127" t="n">
        <v>46289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35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8</v>
      </c>
      <c r="O1060" s="2" t="str">
        <f aca="false">IF(OR(F1060="",G1060=""),"",IF(G1060&lt;='RETRATO 2027'!$K$5,"CONCLUÍDA",IF(F1060&lt;='RETRATO 2027'!$K$5,"EM ANDAMENTO","A INICIAR")))</f>
        <v>A INICIAR</v>
      </c>
    </row>
    <row r="1061" customFormat="false" ht="15" hidden="false" customHeight="false" outlineLevel="0" collapsed="false">
      <c r="B1061" s="4" t="n">
        <v>33898090</v>
      </c>
      <c r="C1061" s="4" t="s">
        <v>2545</v>
      </c>
      <c r="D1061" s="4" t="s">
        <v>463</v>
      </c>
      <c r="E1061" s="4" t="s">
        <v>2805</v>
      </c>
      <c r="F1061" s="127" t="n">
        <v>46763</v>
      </c>
      <c r="G1061" s="127" t="n">
        <v>46773</v>
      </c>
      <c r="H1061" s="127" t="n">
        <v>46289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25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9</v>
      </c>
      <c r="O1061" s="2" t="str">
        <f aca="false">IF(OR(F1061="",G1061=""),"",IF(G1061&lt;='RETRATO 2027'!$K$5,"CONCLUÍDA",IF(F1061&lt;='RETRATO 2027'!$K$5,"EM ANDAMENTO","A INICIAR")))</f>
        <v>A INICIAR</v>
      </c>
    </row>
    <row r="1062" customFormat="false" ht="15" hidden="false" customHeight="false" outlineLevel="0" collapsed="false">
      <c r="B1062" s="4" t="n">
        <v>29981329</v>
      </c>
      <c r="C1062" s="4" t="s">
        <v>216</v>
      </c>
      <c r="D1062" s="4" t="s">
        <v>463</v>
      </c>
      <c r="E1062" s="4" t="s">
        <v>2812</v>
      </c>
      <c r="F1062" s="127" t="n">
        <v>46764</v>
      </c>
      <c r="G1062" s="127" t="n">
        <v>46776</v>
      </c>
      <c r="H1062" s="127" t="n">
        <v>46289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33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13</v>
      </c>
      <c r="O1062" s="2" t="str">
        <f aca="false">IF(OR(F1062="",G1062=""),"",IF(G1062&lt;='RETRATO 2027'!$K$5,"CONCLUÍDA",IF(F1062&lt;='RETRATO 2027'!$K$5,"EM ANDAMENTO","A INICIAR")))</f>
        <v>A INICIAR</v>
      </c>
    </row>
    <row r="1063" customFormat="false" ht="15" hidden="false" customHeight="false" outlineLevel="0" collapsed="false">
      <c r="B1063" s="4" t="n">
        <v>29981290</v>
      </c>
      <c r="C1063" s="4" t="s">
        <v>2508</v>
      </c>
      <c r="D1063" s="4" t="s">
        <v>463</v>
      </c>
      <c r="E1063" s="4" t="s">
        <v>2813</v>
      </c>
      <c r="F1063" s="127" t="n">
        <v>46764</v>
      </c>
      <c r="G1063" s="127" t="n">
        <v>46776</v>
      </c>
      <c r="H1063" s="127" t="n">
        <v>46289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14</v>
      </c>
      <c r="O1063" s="2" t="str">
        <f aca="false">IF(OR(F1063="",G1063=""),"",IF(G1063&lt;='RETRATO 2027'!$K$5,"CONCLUÍDA",IF(F1063&lt;='RETRATO 2027'!$K$5,"EM ANDAMENTO","A INICIAR")))</f>
        <v>A INICIAR</v>
      </c>
    </row>
    <row r="1064" customFormat="false" ht="15" hidden="false" customHeight="false" outlineLevel="0" collapsed="false">
      <c r="B1064" s="4" t="n">
        <v>29981295</v>
      </c>
      <c r="C1064" s="4" t="s">
        <v>2511</v>
      </c>
      <c r="D1064" s="4" t="s">
        <v>463</v>
      </c>
      <c r="E1064" s="4" t="s">
        <v>2813</v>
      </c>
      <c r="F1064" s="127" t="n">
        <v>46764</v>
      </c>
      <c r="G1064" s="127" t="n">
        <v>46776</v>
      </c>
      <c r="H1064" s="127" t="n">
        <v>46289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n">
        <f aca="false">IF(E1064="","",IF(ISNUMBER(SEARCH("SUBSOLO",E1064)),IFERROR(-VALUE(LEFT(E1064,FIND("º",SUBSTITUTE(E1064,"°","º"))-1)),-1),IF(LEFT(E1064,6)="TÉRREO",0,IFERROR(VALUE(LEFT(E1064,FIND("º",SUBSTITUTE(E1064,"°","º"))-1)),""))))</f>
        <v>14</v>
      </c>
      <c r="O1064" s="2" t="str">
        <f aca="false">IF(OR(F1064="",G1064=""),"",IF(G1064&lt;='RETRATO 2027'!$K$5,"CONCLUÍDA",IF(F1064&lt;='RETRATO 2027'!$K$5,"EM ANDAMENTO","A INICIAR")))</f>
        <v>A INICIAR</v>
      </c>
    </row>
    <row r="1065" customFormat="false" ht="15" hidden="false" customHeight="false" outlineLevel="0" collapsed="false">
      <c r="B1065" s="4" t="n">
        <v>30214076</v>
      </c>
      <c r="C1065" s="4" t="s">
        <v>2514</v>
      </c>
      <c r="D1065" s="4" t="s">
        <v>463</v>
      </c>
      <c r="E1065" s="4" t="s">
        <v>2813</v>
      </c>
      <c r="F1065" s="127" t="n">
        <v>46764</v>
      </c>
      <c r="G1065" s="127" t="n">
        <v>46777</v>
      </c>
      <c r="H1065" s="127" t="n">
        <v>46289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20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14</v>
      </c>
      <c r="O1065" s="2" t="str">
        <f aca="false">IF(OR(F1065="",G1065=""),"",IF(G1065&lt;='RETRATO 2027'!$K$5,"CONCLUÍDA",IF(F1065&lt;='RETRATO 2027'!$K$5,"EM ANDAMENTO","A INICIAR")))</f>
        <v>A INICIAR</v>
      </c>
    </row>
    <row r="1066" customFormat="false" ht="15" hidden="false" customHeight="false" outlineLevel="0" collapsed="false">
      <c r="B1066" s="4" t="n">
        <v>29981237</v>
      </c>
      <c r="C1066" s="4" t="s">
        <v>2501</v>
      </c>
      <c r="D1066" s="4" t="s">
        <v>463</v>
      </c>
      <c r="E1066" s="4" t="s">
        <v>2814</v>
      </c>
      <c r="F1066" s="127" t="n">
        <v>46764</v>
      </c>
      <c r="G1066" s="127" t="n">
        <v>46776</v>
      </c>
      <c r="H1066" s="127" t="n">
        <v>46289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30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15</v>
      </c>
      <c r="O1066" s="2" t="str">
        <f aca="false">IF(OR(F1066="",G1066=""),"",IF(G1066&lt;='RETRATO 2027'!$K$5,"CONCLUÍDA",IF(F1066&lt;='RETRATO 2027'!$K$5,"EM ANDAMENTO","A INICIAR")))</f>
        <v>A INICIAR</v>
      </c>
    </row>
    <row r="1067" customFormat="false" ht="15" hidden="false" customHeight="false" outlineLevel="0" collapsed="false">
      <c r="B1067" s="4" t="n">
        <v>29981199</v>
      </c>
      <c r="C1067" s="4" t="s">
        <v>2486</v>
      </c>
      <c r="D1067" s="4" t="s">
        <v>463</v>
      </c>
      <c r="E1067" s="4" t="s">
        <v>2815</v>
      </c>
      <c r="F1067" s="127" t="n">
        <v>46764</v>
      </c>
      <c r="G1067" s="127" t="n">
        <v>46776</v>
      </c>
      <c r="H1067" s="127" t="n">
        <v>46289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30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16</v>
      </c>
      <c r="O1067" s="2" t="str">
        <f aca="false">IF(OR(F1067="",G1067=""),"",IF(G1067&lt;='RETRATO 2027'!$K$5,"CONCLUÍDA",IF(F1067&lt;='RETRATO 2027'!$K$5,"EM ANDAMENTO","A INICIAR")))</f>
        <v>A INICIAR</v>
      </c>
    </row>
    <row r="1068" customFormat="false" ht="15" hidden="false" customHeight="false" outlineLevel="0" collapsed="false">
      <c r="B1068" s="4" t="n">
        <v>29981178</v>
      </c>
      <c r="C1068" s="4" t="s">
        <v>2480</v>
      </c>
      <c r="D1068" s="4" t="s">
        <v>463</v>
      </c>
      <c r="E1068" s="4" t="s">
        <v>2818</v>
      </c>
      <c r="F1068" s="127" t="n">
        <v>46764</v>
      </c>
      <c r="G1068" s="127" t="n">
        <v>46776</v>
      </c>
      <c r="H1068" s="127" t="n">
        <v>46289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30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17</v>
      </c>
      <c r="O1068" s="2" t="str">
        <f aca="false">IF(OR(F1068="",G1068=""),"",IF(G1068&lt;='RETRATO 2027'!$K$5,"CONCLUÍDA",IF(F1068&lt;='RETRATO 2027'!$K$5,"EM ANDAMENTO","A INICIAR")))</f>
        <v>A INICIAR</v>
      </c>
    </row>
    <row r="1069" customFormat="false" ht="15" hidden="false" customHeight="false" outlineLevel="0" collapsed="false">
      <c r="B1069" s="4" t="n">
        <v>29981139</v>
      </c>
      <c r="C1069" s="4" t="s">
        <v>171</v>
      </c>
      <c r="D1069" s="4" t="s">
        <v>463</v>
      </c>
      <c r="E1069" s="4" t="s">
        <v>2820</v>
      </c>
      <c r="F1069" s="127" t="n">
        <v>46764</v>
      </c>
      <c r="G1069" s="127" t="n">
        <v>46776</v>
      </c>
      <c r="H1069" s="127" t="n">
        <v>46289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19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18</v>
      </c>
      <c r="O1069" s="2" t="str">
        <f aca="false">IF(OR(F1069="",G1069=""),"",IF(G1069&lt;='RETRATO 2027'!$K$5,"CONCLUÍDA",IF(F1069&lt;='RETRATO 2027'!$K$5,"EM ANDAMENTO","A INICIAR")))</f>
        <v>A INICIAR</v>
      </c>
    </row>
    <row r="1070" customFormat="false" ht="15" hidden="false" customHeight="false" outlineLevel="0" collapsed="false">
      <c r="B1070" s="4" t="n">
        <v>32750446</v>
      </c>
      <c r="C1070" s="4" t="s">
        <v>2470</v>
      </c>
      <c r="D1070" s="4" t="s">
        <v>463</v>
      </c>
      <c r="E1070" s="4" t="s">
        <v>2823</v>
      </c>
      <c r="F1070" s="127" t="n">
        <v>46764</v>
      </c>
      <c r="G1070" s="127" t="n">
        <v>46776</v>
      </c>
      <c r="H1070" s="127" t="n">
        <v>46289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18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20</v>
      </c>
      <c r="O1070" s="2" t="str">
        <f aca="false">IF(OR(F1070="",G1070=""),"",IF(G1070&lt;='RETRATO 2027'!$K$5,"CONCLUÍDA",IF(F1070&lt;='RETRATO 2027'!$K$5,"EM ANDAMENTO","A INICIAR")))</f>
        <v>A INICIAR</v>
      </c>
    </row>
    <row r="1071" customFormat="false" ht="15" hidden="false" customHeight="false" outlineLevel="0" collapsed="false">
      <c r="B1071" s="4" t="n">
        <v>32750369</v>
      </c>
      <c r="C1071" s="4" t="s">
        <v>2458</v>
      </c>
      <c r="D1071" s="4" t="s">
        <v>463</v>
      </c>
      <c r="E1071" s="4" t="s">
        <v>2825</v>
      </c>
      <c r="F1071" s="127" t="n">
        <v>46764</v>
      </c>
      <c r="G1071" s="127" t="n">
        <v>46776</v>
      </c>
      <c r="H1071" s="127" t="n">
        <v>46289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21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21</v>
      </c>
      <c r="O1071" s="2" t="str">
        <f aca="false">IF(OR(F1071="",G1071=""),"",IF(G1071&lt;='RETRATO 2027'!$K$5,"CONCLUÍDA",IF(F1071&lt;='RETRATO 2027'!$K$5,"EM ANDAMENTO","A INICIAR")))</f>
        <v>A INICIAR</v>
      </c>
    </row>
    <row r="1072" customFormat="false" ht="15" hidden="false" customHeight="false" outlineLevel="0" collapsed="false">
      <c r="B1072" s="4" t="n">
        <v>32750395</v>
      </c>
      <c r="C1072" s="4" t="s">
        <v>2461</v>
      </c>
      <c r="D1072" s="4" t="s">
        <v>463</v>
      </c>
      <c r="E1072" s="4" t="s">
        <v>2825</v>
      </c>
      <c r="F1072" s="127" t="n">
        <v>46764</v>
      </c>
      <c r="G1072" s="127" t="n">
        <v>46776</v>
      </c>
      <c r="H1072" s="127" t="n">
        <v>46289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20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21</v>
      </c>
      <c r="O1072" s="2" t="str">
        <f aca="false">IF(OR(F1072="",G1072=""),"",IF(G1072&lt;='RETRATO 2027'!$K$5,"CONCLUÍDA",IF(F1072&lt;='RETRATO 2027'!$K$5,"EM ANDAMENTO","A INICIAR")))</f>
        <v>A INICIAR</v>
      </c>
    </row>
    <row r="1073" customFormat="false" ht="15" hidden="false" customHeight="false" outlineLevel="0" collapsed="false">
      <c r="B1073" s="4" t="n">
        <v>32750421</v>
      </c>
      <c r="C1073" s="4" t="s">
        <v>2464</v>
      </c>
      <c r="D1073" s="4" t="s">
        <v>463</v>
      </c>
      <c r="E1073" s="4" t="s">
        <v>2825</v>
      </c>
      <c r="F1073" s="127" t="n">
        <v>46764</v>
      </c>
      <c r="G1073" s="127" t="n">
        <v>46776</v>
      </c>
      <c r="H1073" s="127" t="n">
        <v>46289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21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21</v>
      </c>
      <c r="O1073" s="2" t="str">
        <f aca="false">IF(OR(F1073="",G1073=""),"",IF(G1073&lt;='RETRATO 2027'!$K$5,"CONCLUÍDA",IF(F1073&lt;='RETRATO 2027'!$K$5,"EM ANDAMENTO","A INICIAR")))</f>
        <v>A INICIAR</v>
      </c>
    </row>
    <row r="1074" customFormat="false" ht="15" hidden="false" customHeight="false" outlineLevel="0" collapsed="false">
      <c r="B1074" s="4" t="n">
        <v>33896839</v>
      </c>
      <c r="C1074" s="4" t="s">
        <v>2467</v>
      </c>
      <c r="D1074" s="4" t="s">
        <v>463</v>
      </c>
      <c r="E1074" s="4" t="s">
        <v>2825</v>
      </c>
      <c r="F1074" s="127" t="n">
        <v>46764</v>
      </c>
      <c r="G1074" s="127" t="n">
        <v>46776</v>
      </c>
      <c r="H1074" s="127" t="n">
        <v>46289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23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21</v>
      </c>
      <c r="O1074" s="2" t="str">
        <f aca="false">IF(OR(F1074="",G1074=""),"",IF(G1074&lt;='RETRATO 2027'!$K$5,"CONCLUÍDA",IF(F1074&lt;='RETRATO 2027'!$K$5,"EM ANDAMENTO","A INICIAR")))</f>
        <v>A INICIAR</v>
      </c>
    </row>
    <row r="1075" customFormat="false" ht="15" hidden="false" customHeight="false" outlineLevel="0" collapsed="false">
      <c r="B1075" s="4" t="n">
        <v>32749865</v>
      </c>
      <c r="C1075" s="4" t="s">
        <v>2455</v>
      </c>
      <c r="D1075" s="4" t="s">
        <v>463</v>
      </c>
      <c r="E1075" s="4" t="s">
        <v>2827</v>
      </c>
      <c r="F1075" s="127" t="n">
        <v>46764</v>
      </c>
      <c r="G1075" s="127" t="n">
        <v>46776</v>
      </c>
      <c r="H1075" s="127" t="n">
        <v>46289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18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22</v>
      </c>
      <c r="O1075" s="2" t="str">
        <f aca="false">IF(OR(F1075="",G1075=""),"",IF(G1075&lt;='RETRATO 2027'!$K$5,"CONCLUÍDA",IF(F1075&lt;='RETRATO 2027'!$K$5,"EM ANDAMENTO","A INICIAR")))</f>
        <v>A INICIAR</v>
      </c>
    </row>
    <row r="1076" customFormat="false" ht="15" hidden="false" customHeight="false" outlineLevel="0" collapsed="false">
      <c r="B1076" s="4" t="n">
        <v>29980955</v>
      </c>
      <c r="C1076" s="4" t="s">
        <v>2449</v>
      </c>
      <c r="D1076" s="4" t="s">
        <v>463</v>
      </c>
      <c r="E1076" s="4" t="s">
        <v>2829</v>
      </c>
      <c r="F1076" s="127" t="n">
        <v>46764</v>
      </c>
      <c r="G1076" s="127" t="n">
        <v>46776</v>
      </c>
      <c r="H1076" s="127" t="n">
        <v>46289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28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23</v>
      </c>
      <c r="O1076" s="2" t="str">
        <f aca="false">IF(OR(F1076="",G1076=""),"",IF(G1076&lt;='RETRATO 2027'!$K$5,"CONCLUÍDA",IF(F1076&lt;='RETRATO 2027'!$K$5,"EM ANDAMENTO","A INICIAR")))</f>
        <v>A INICIAR</v>
      </c>
    </row>
    <row r="1077" customFormat="false" ht="15" hidden="false" customHeight="false" outlineLevel="0" collapsed="false">
      <c r="B1077" s="4" t="n">
        <v>29980895</v>
      </c>
      <c r="C1077" s="4" t="s">
        <v>2440</v>
      </c>
      <c r="D1077" s="4" t="s">
        <v>463</v>
      </c>
      <c r="E1077" s="4" t="s">
        <v>2831</v>
      </c>
      <c r="F1077" s="127" t="n">
        <v>46764</v>
      </c>
      <c r="G1077" s="127" t="n">
        <v>46776</v>
      </c>
      <c r="H1077" s="127" t="n">
        <v>46289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24</v>
      </c>
      <c r="O1077" s="2" t="str">
        <f aca="false">IF(OR(F1077="",G1077=""),"",IF(G1077&lt;='RETRATO 2027'!$K$5,"CONCLUÍDA",IF(F1077&lt;='RETRATO 2027'!$K$5,"EM ANDAMENTO","A INICIAR")))</f>
        <v>A INICIAR</v>
      </c>
    </row>
    <row r="1078" customFormat="false" ht="15" hidden="false" customHeight="false" outlineLevel="0" collapsed="false">
      <c r="B1078" s="4" t="n">
        <v>29980928</v>
      </c>
      <c r="C1078" s="4" t="s">
        <v>2443</v>
      </c>
      <c r="D1078" s="4" t="s">
        <v>463</v>
      </c>
      <c r="E1078" s="4" t="s">
        <v>2831</v>
      </c>
      <c r="F1078" s="127" t="n">
        <v>46764</v>
      </c>
      <c r="G1078" s="127" t="n">
        <v>46776</v>
      </c>
      <c r="H1078" s="127" t="n">
        <v>46289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20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24</v>
      </c>
      <c r="O1078" s="2" t="str">
        <f aca="false">IF(OR(F1078="",G1078=""),"",IF(G1078&lt;='RETRATO 2027'!$K$5,"CONCLUÍDA",IF(F1078&lt;='RETRATO 2027'!$K$5,"EM ANDAMENTO","A INICIAR")))</f>
        <v>A INICIAR</v>
      </c>
    </row>
    <row r="1079" customFormat="false" ht="15" hidden="false" customHeight="false" outlineLevel="0" collapsed="false">
      <c r="B1079" s="4" t="n">
        <v>29980857</v>
      </c>
      <c r="C1079" s="4" t="s">
        <v>2437</v>
      </c>
      <c r="D1079" s="4" t="s">
        <v>463</v>
      </c>
      <c r="E1079" s="4" t="s">
        <v>2833</v>
      </c>
      <c r="F1079" s="127" t="n">
        <v>46764</v>
      </c>
      <c r="G1079" s="127" t="n">
        <v>46776</v>
      </c>
      <c r="H1079" s="127" t="n">
        <v>46289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29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25</v>
      </c>
      <c r="O1079" s="2" t="str">
        <f aca="false">IF(OR(F1079="",G1079=""),"",IF(G1079&lt;='RETRATO 2027'!$K$5,"CONCLUÍDA",IF(F1079&lt;='RETRATO 2027'!$K$5,"EM ANDAMENTO","A INICIAR")))</f>
        <v>A INICIAR</v>
      </c>
    </row>
    <row r="1080" customFormat="false" ht="15" hidden="false" customHeight="false" outlineLevel="0" collapsed="false">
      <c r="B1080" s="4" t="n">
        <v>29980823</v>
      </c>
      <c r="C1080" s="4" t="s">
        <v>2434</v>
      </c>
      <c r="D1080" s="4" t="s">
        <v>463</v>
      </c>
      <c r="E1080" s="4" t="s">
        <v>2834</v>
      </c>
      <c r="F1080" s="127" t="n">
        <v>46764</v>
      </c>
      <c r="G1080" s="127" t="n">
        <v>46776</v>
      </c>
      <c r="H1080" s="127" t="n">
        <v>46289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26</v>
      </c>
      <c r="O1080" s="2" t="str">
        <f aca="false">IF(OR(F1080="",G1080=""),"",IF(G1080&lt;='RETRATO 2027'!$K$5,"CONCLUÍDA",IF(F1080&lt;='RETRATO 2027'!$K$5,"EM ANDAMENTO","A INICIAR")))</f>
        <v>A INICIAR</v>
      </c>
    </row>
    <row r="1081" customFormat="false" ht="15" hidden="false" customHeight="false" outlineLevel="0" collapsed="false">
      <c r="B1081" s="4" t="n">
        <v>29980816</v>
      </c>
      <c r="C1081" s="4" t="s">
        <v>2425</v>
      </c>
      <c r="D1081" s="4" t="s">
        <v>463</v>
      </c>
      <c r="E1081" s="4" t="s">
        <v>2838</v>
      </c>
      <c r="F1081" s="127" t="n">
        <v>46764</v>
      </c>
      <c r="G1081" s="127" t="n">
        <v>46776</v>
      </c>
      <c r="H1081" s="127" t="n">
        <v>46289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21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27</v>
      </c>
      <c r="O1081" s="2" t="str">
        <f aca="false">IF(OR(F1081="",G1081=""),"",IF(G1081&lt;='RETRATO 2027'!$K$5,"CONCLUÍDA",IF(F1081&lt;='RETRATO 2027'!$K$5,"EM ANDAMENTO","A INICIAR")))</f>
        <v>A INICIAR</v>
      </c>
    </row>
    <row r="1082" customFormat="false" ht="15" hidden="false" customHeight="false" outlineLevel="0" collapsed="false">
      <c r="B1082" s="4" t="n">
        <v>29980785</v>
      </c>
      <c r="C1082" s="4" t="s">
        <v>2428</v>
      </c>
      <c r="D1082" s="4" t="s">
        <v>463</v>
      </c>
      <c r="E1082" s="4" t="s">
        <v>2838</v>
      </c>
      <c r="F1082" s="127" t="n">
        <v>46764</v>
      </c>
      <c r="G1082" s="127" t="n">
        <v>46776</v>
      </c>
      <c r="H1082" s="127" t="n">
        <v>46289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20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27</v>
      </c>
      <c r="O1082" s="2" t="str">
        <f aca="false">IF(OR(F1082="",G1082=""),"",IF(G1082&lt;='RETRATO 2027'!$K$5,"CONCLUÍDA",IF(F1082&lt;='RETRATO 2027'!$K$5,"EM ANDAMENTO","A INICIAR")))</f>
        <v>A INICIAR</v>
      </c>
    </row>
    <row r="1083" customFormat="false" ht="15" hidden="false" customHeight="false" outlineLevel="0" collapsed="false">
      <c r="B1083" s="4" t="n">
        <v>29980818</v>
      </c>
      <c r="C1083" s="4" t="s">
        <v>2431</v>
      </c>
      <c r="D1083" s="4" t="s">
        <v>463</v>
      </c>
      <c r="E1083" s="4" t="s">
        <v>2838</v>
      </c>
      <c r="F1083" s="127" t="n">
        <v>46764</v>
      </c>
      <c r="G1083" s="127" t="n">
        <v>46776</v>
      </c>
      <c r="H1083" s="127" t="n">
        <v>46289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21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27</v>
      </c>
      <c r="O1083" s="2" t="str">
        <f aca="false">IF(OR(F1083="",G1083=""),"",IF(G1083&lt;='RETRATO 2027'!$K$5,"CONCLUÍDA",IF(F1083&lt;='RETRATO 2027'!$K$5,"EM ANDAMENTO","A INICIAR")))</f>
        <v>A INICIAR</v>
      </c>
    </row>
    <row r="1084" customFormat="false" ht="15" hidden="false" customHeight="false" outlineLevel="0" collapsed="false">
      <c r="B1084" s="4" t="n">
        <v>29980765</v>
      </c>
      <c r="C1084" s="4" t="s">
        <v>2422</v>
      </c>
      <c r="D1084" s="4" t="s">
        <v>463</v>
      </c>
      <c r="E1084" s="4" t="s">
        <v>2840</v>
      </c>
      <c r="F1084" s="127" t="n">
        <v>46764</v>
      </c>
      <c r="G1084" s="127" t="n">
        <v>46776</v>
      </c>
      <c r="H1084" s="127" t="n">
        <v>46289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29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28</v>
      </c>
      <c r="O1084" s="2" t="str">
        <f aca="false">IF(OR(F1084="",G1084=""),"",IF(G1084&lt;='RETRATO 2027'!$K$5,"CONCLUÍDA",IF(F1084&lt;='RETRATO 2027'!$K$5,"EM ANDAMENTO","A INICIAR")))</f>
        <v>A INICIAR</v>
      </c>
    </row>
    <row r="1085" customFormat="false" ht="15" hidden="false" customHeight="false" outlineLevel="0" collapsed="false">
      <c r="B1085" s="4" t="n">
        <v>29980731</v>
      </c>
      <c r="C1085" s="4" t="s">
        <v>2413</v>
      </c>
      <c r="D1085" s="4" t="s">
        <v>463</v>
      </c>
      <c r="E1085" s="4" t="s">
        <v>2841</v>
      </c>
      <c r="F1085" s="127" t="n">
        <v>46764</v>
      </c>
      <c r="G1085" s="127" t="n">
        <v>46776</v>
      </c>
      <c r="H1085" s="127" t="n">
        <v>46289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21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29</v>
      </c>
      <c r="O1085" s="2" t="str">
        <f aca="false">IF(OR(F1085="",G1085=""),"",IF(G1085&lt;='RETRATO 2027'!$K$5,"CONCLUÍDA",IF(F1085&lt;='RETRATO 2027'!$K$5,"EM ANDAMENTO","A INICIAR")))</f>
        <v>A INICIAR</v>
      </c>
    </row>
    <row r="1086" customFormat="false" ht="15" hidden="false" customHeight="false" outlineLevel="0" collapsed="false">
      <c r="B1086" s="4" t="n">
        <v>30171407</v>
      </c>
      <c r="C1086" s="4" t="s">
        <v>2428</v>
      </c>
      <c r="D1086" s="4" t="s">
        <v>463</v>
      </c>
      <c r="E1086" s="4" t="s">
        <v>2801</v>
      </c>
      <c r="F1086" s="127" t="n">
        <v>46765</v>
      </c>
      <c r="G1086" s="127" t="n">
        <v>46806</v>
      </c>
      <c r="H1086" s="127" t="n">
        <v>46289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20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5</v>
      </c>
      <c r="O1086" s="2" t="str">
        <f aca="false">IF(OR(F1086="",G1086=""),"",IF(G1086&lt;='RETRATO 2027'!$K$5,"CONCLUÍDA",IF(F1086&lt;='RETRATO 2027'!$K$5,"EM ANDAMENTO","A INICIAR")))</f>
        <v>A INICIAR</v>
      </c>
    </row>
    <row r="1087" customFormat="false" ht="15" hidden="false" customHeight="false" outlineLevel="0" collapsed="false">
      <c r="B1087" s="4" t="n">
        <v>30171392</v>
      </c>
      <c r="C1087" s="4" t="s">
        <v>2452</v>
      </c>
      <c r="D1087" s="4" t="s">
        <v>463</v>
      </c>
      <c r="E1087" s="4" t="s">
        <v>2801</v>
      </c>
      <c r="F1087" s="127" t="n">
        <v>46765</v>
      </c>
      <c r="G1087" s="127" t="n">
        <v>46806</v>
      </c>
      <c r="H1087" s="127" t="n">
        <v>46289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21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5</v>
      </c>
      <c r="O1087" s="2" t="str">
        <f aca="false">IF(OR(F1087="",G1087=""),"",IF(G1087&lt;='RETRATO 2027'!$K$5,"CONCLUÍDA",IF(F1087&lt;='RETRATO 2027'!$K$5,"EM ANDAMENTO","A INICIAR")))</f>
        <v>A INICIAR</v>
      </c>
    </row>
    <row r="1088" customFormat="false" ht="15" hidden="false" customHeight="false" outlineLevel="0" collapsed="false">
      <c r="B1088" s="4" t="n">
        <v>31789531</v>
      </c>
      <c r="C1088" s="4" t="s">
        <v>2557</v>
      </c>
      <c r="D1088" s="4" t="s">
        <v>463</v>
      </c>
      <c r="E1088" s="4" t="s">
        <v>2678</v>
      </c>
      <c r="F1088" s="127" t="n">
        <v>46765</v>
      </c>
      <c r="G1088" s="127" t="n">
        <v>46834</v>
      </c>
      <c r="H1088" s="127" t="n">
        <v>46289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32</v>
      </c>
      <c r="N1088" s="2" t="str">
        <f aca="false"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 t="str">
        <f aca="false">IF(OR(F1088="",G1088=""),"",IF(G1088&lt;='RETRATO 2027'!$K$5,"CONCLUÍDA",IF(F1088&lt;='RETRATO 2027'!$K$5,"EM ANDAMENTO","A INICIAR")))</f>
        <v>A INICIAR</v>
      </c>
    </row>
    <row r="1089" customFormat="false" ht="15" hidden="false" customHeight="false" outlineLevel="0" collapsed="false">
      <c r="B1089" s="4" t="n">
        <v>30205625</v>
      </c>
      <c r="C1089" s="4" t="s">
        <v>2539</v>
      </c>
      <c r="D1089" s="4" t="s">
        <v>463</v>
      </c>
      <c r="E1089" s="4" t="s">
        <v>2826</v>
      </c>
      <c r="F1089" s="127" t="n">
        <v>46766</v>
      </c>
      <c r="G1089" s="127" t="n">
        <v>46779</v>
      </c>
      <c r="H1089" s="127" t="n">
        <v>46289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35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0</v>
      </c>
      <c r="O1089" s="2" t="str">
        <f aca="false">IF(OR(F1089="",G1089=""),"",IF(G1089&lt;='RETRATO 2027'!$K$5,"CONCLUÍDA",IF(F1089&lt;='RETRATO 2027'!$K$5,"EM ANDAMENTO","A INICIAR")))</f>
        <v>A INICIAR</v>
      </c>
    </row>
    <row r="1090" customFormat="false" ht="15" hidden="false" customHeight="false" outlineLevel="0" collapsed="false">
      <c r="B1090" s="4" t="n">
        <v>30205595</v>
      </c>
      <c r="C1090" s="4" t="s">
        <v>216</v>
      </c>
      <c r="D1090" s="4" t="s">
        <v>463</v>
      </c>
      <c r="E1090" s="4" t="s">
        <v>2828</v>
      </c>
      <c r="F1090" s="127" t="n">
        <v>46766</v>
      </c>
      <c r="G1090" s="127" t="n">
        <v>46779</v>
      </c>
      <c r="H1090" s="127" t="n">
        <v>46289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33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0</v>
      </c>
      <c r="O1090" s="2" t="str">
        <f aca="false">IF(OR(F1090="",G1090=""),"",IF(G1090&lt;='RETRATO 2027'!$K$5,"CONCLUÍDA",IF(F1090&lt;='RETRATO 2027'!$K$5,"EM ANDAMENTO","A INICIAR")))</f>
        <v>A INICIAR</v>
      </c>
    </row>
    <row r="1091" customFormat="false" ht="15" hidden="false" customHeight="false" outlineLevel="0" collapsed="false">
      <c r="B1091" s="4" t="n">
        <v>30205567</v>
      </c>
      <c r="C1091" s="4" t="s">
        <v>2501</v>
      </c>
      <c r="D1091" s="4" t="s">
        <v>463</v>
      </c>
      <c r="E1091" s="4" t="s">
        <v>2830</v>
      </c>
      <c r="F1091" s="127" t="n">
        <v>46766</v>
      </c>
      <c r="G1091" s="127" t="n">
        <v>46779</v>
      </c>
      <c r="H1091" s="127" t="n">
        <v>46289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30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0</v>
      </c>
      <c r="O1091" s="2" t="str">
        <f aca="false">IF(OR(F1091="",G1091=""),"",IF(G1091&lt;='RETRATO 2027'!$K$5,"CONCLUÍDA",IF(F1091&lt;='RETRATO 2027'!$K$5,"EM ANDAMENTO","A INICIAR")))</f>
        <v>A INICIAR</v>
      </c>
    </row>
    <row r="1092" customFormat="false" ht="15" hidden="false" customHeight="false" outlineLevel="0" collapsed="false">
      <c r="B1092" s="4" t="n">
        <v>30205542</v>
      </c>
      <c r="C1092" s="4" t="s">
        <v>2486</v>
      </c>
      <c r="D1092" s="4" t="s">
        <v>463</v>
      </c>
      <c r="E1092" s="4" t="s">
        <v>2832</v>
      </c>
      <c r="F1092" s="127" t="n">
        <v>46766</v>
      </c>
      <c r="G1092" s="127" t="n">
        <v>46779</v>
      </c>
      <c r="H1092" s="127" t="n">
        <v>46289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0</v>
      </c>
      <c r="O1092" s="2" t="str">
        <f aca="false">IF(OR(F1092="",G1092=""),"",IF(G1092&lt;='RETRATO 2027'!$K$5,"CONCLUÍDA",IF(F1092&lt;='RETRATO 2027'!$K$5,"EM ANDAMENTO","A INICIAR")))</f>
        <v>A INICIAR</v>
      </c>
    </row>
    <row r="1093" customFormat="false" ht="15" hidden="false" customHeight="false" outlineLevel="0" collapsed="false">
      <c r="B1093" s="4" t="n">
        <v>30205846</v>
      </c>
      <c r="C1093" s="4" t="s">
        <v>2437</v>
      </c>
      <c r="D1093" s="4" t="s">
        <v>463</v>
      </c>
      <c r="E1093" s="4" t="s">
        <v>2782</v>
      </c>
      <c r="F1093" s="127" t="n">
        <v>46766</v>
      </c>
      <c r="G1093" s="127" t="n">
        <v>46786</v>
      </c>
      <c r="H1093" s="127" t="n">
        <v>46289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29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</v>
      </c>
      <c r="O1093" s="2" t="str">
        <f aca="false">IF(OR(F1093="",G1093=""),"",IF(G1093&lt;='RETRATO 2027'!$K$5,"CONCLUÍDA",IF(F1093&lt;='RETRATO 2027'!$K$5,"EM ANDAMENTO","A INICIAR")))</f>
        <v>A INICIAR</v>
      </c>
    </row>
    <row r="1094" customFormat="false" ht="15" hidden="false" customHeight="false" outlineLevel="0" collapsed="false">
      <c r="B1094" s="4" t="n">
        <v>29980730</v>
      </c>
      <c r="C1094" s="4" t="s">
        <v>2416</v>
      </c>
      <c r="D1094" s="4" t="s">
        <v>463</v>
      </c>
      <c r="E1094" s="4" t="s">
        <v>2841</v>
      </c>
      <c r="F1094" s="127" t="n">
        <v>46766</v>
      </c>
      <c r="G1094" s="127" t="n">
        <v>46778</v>
      </c>
      <c r="H1094" s="127" t="n">
        <v>46289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18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29</v>
      </c>
      <c r="O1094" s="2" t="str">
        <f aca="false">IF(OR(F1094="",G1094=""),"",IF(G1094&lt;='RETRATO 2027'!$K$5,"CONCLUÍDA",IF(F1094&lt;='RETRATO 2027'!$K$5,"EM ANDAMENTO","A INICIAR")))</f>
        <v>A INICIAR</v>
      </c>
    </row>
    <row r="1095" customFormat="false" ht="15" hidden="false" customHeight="false" outlineLevel="0" collapsed="false">
      <c r="B1095" s="4" t="n">
        <v>30205754</v>
      </c>
      <c r="C1095" s="4" t="s">
        <v>2560</v>
      </c>
      <c r="D1095" s="4" t="s">
        <v>463</v>
      </c>
      <c r="E1095" s="4" t="s">
        <v>2740</v>
      </c>
      <c r="F1095" s="127" t="n">
        <v>46769</v>
      </c>
      <c r="G1095" s="127" t="n">
        <v>46813</v>
      </c>
      <c r="H1095" s="127" t="n">
        <v>46289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20</v>
      </c>
      <c r="N1095" s="2" t="n">
        <f aca="false">IF(E1095="","",IF(ISNUMBER(SEARCH("SUBSOLO",E1095)),IFERROR(-VALUE(LEFT(E1095,FIND("º",SUBSTITUTE(E1095,"°","º"))-1)),-1),IF(LEFT(E1095,6)="TÉRREO",0,IFERROR(VALUE(LEFT(E1095,FIND("º",SUBSTITUTE(E1095,"°","º"))-1)),""))))</f>
        <v>-1</v>
      </c>
      <c r="O1095" s="2" t="str">
        <f aca="false">IF(OR(F1095="",G1095=""),"",IF(G1095&lt;='RETRATO 2027'!$K$5,"CONCLUÍDA",IF(F1095&lt;='RETRATO 2027'!$K$5,"EM ANDAMENTO","A INICIAR")))</f>
        <v>A INICIAR</v>
      </c>
    </row>
    <row r="1096" customFormat="false" ht="15" hidden="false" customHeight="false" outlineLevel="0" collapsed="false">
      <c r="B1096" s="4" t="n">
        <v>29980704</v>
      </c>
      <c r="C1096" s="4" t="s">
        <v>2410</v>
      </c>
      <c r="D1096" s="4" t="s">
        <v>463</v>
      </c>
      <c r="E1096" s="4" t="s">
        <v>2842</v>
      </c>
      <c r="F1096" s="127" t="n">
        <v>46771</v>
      </c>
      <c r="G1096" s="127" t="n">
        <v>46783</v>
      </c>
      <c r="H1096" s="127" t="n">
        <v>46289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22</v>
      </c>
      <c r="N1096" s="2" t="n">
        <f aca="false">IF(E1096="","",IF(ISNUMBER(SEARCH("SUBSOLO",E1096)),IFERROR(-VALUE(LEFT(E1096,FIND("º",SUBSTITUTE(E1096,"°","º"))-1)),-1),IF(LEFT(E1096,6)="TÉRREO",0,IFERROR(VALUE(LEFT(E1096,FIND("º",SUBSTITUTE(E1096,"°","º"))-1)),""))))</f>
        <v>30</v>
      </c>
      <c r="O1096" s="2" t="str">
        <f aca="false">IF(OR(F1096="",G1096=""),"",IF(G1096&lt;='RETRATO 2027'!$K$5,"CONCLUÍDA",IF(F1096&lt;='RETRATO 2027'!$K$5,"EM ANDAMENTO","A INICIAR")))</f>
        <v>A INICIAR</v>
      </c>
    </row>
    <row r="1097" customFormat="false" ht="15" hidden="false" customHeight="false" outlineLevel="0" collapsed="false">
      <c r="B1097" s="4" t="n">
        <v>29980655</v>
      </c>
      <c r="C1097" s="4" t="s">
        <v>168</v>
      </c>
      <c r="D1097" s="4" t="s">
        <v>463</v>
      </c>
      <c r="E1097" s="4" t="s">
        <v>2843</v>
      </c>
      <c r="F1097" s="127" t="n">
        <v>46771</v>
      </c>
      <c r="G1097" s="127" t="n">
        <v>46783</v>
      </c>
      <c r="H1097" s="127" t="n">
        <v>46289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18</v>
      </c>
      <c r="N1097" s="2" t="n">
        <f aca="false">IF(E1097="","",IF(ISNUMBER(SEARCH("SUBSOLO",E1097)),IFERROR(-VALUE(LEFT(E1097,FIND("º",SUBSTITUTE(E1097,"°","º"))-1)),-1),IF(LEFT(E1097,6)="TÉRREO",0,IFERROR(VALUE(LEFT(E1097,FIND("º",SUBSTITUTE(E1097,"°","º"))-1)),""))))</f>
        <v>31</v>
      </c>
      <c r="O1097" s="2" t="str">
        <f aca="false">IF(OR(F1097="",G1097=""),"",IF(G1097&lt;='RETRATO 2027'!$K$5,"CONCLUÍDA",IF(F1097&lt;='RETRATO 2027'!$K$5,"EM ANDAMENTO","A INICIAR")))</f>
        <v>A INICIAR</v>
      </c>
    </row>
    <row r="1098" customFormat="false" ht="15" hidden="false" customHeight="false" outlineLevel="0" collapsed="false">
      <c r="B1098" s="4" t="n">
        <v>29941196</v>
      </c>
      <c r="C1098" s="4" t="s">
        <v>2341</v>
      </c>
      <c r="D1098" s="4" t="s">
        <v>463</v>
      </c>
      <c r="E1098" s="4" t="s">
        <v>2853</v>
      </c>
      <c r="F1098" s="127" t="n">
        <v>46771</v>
      </c>
      <c r="G1098" s="127" t="n">
        <v>46794</v>
      </c>
      <c r="H1098" s="127" t="n">
        <v>46289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17</v>
      </c>
      <c r="N1098" s="2" t="n">
        <f aca="false">IF(E1098="","",IF(ISNUMBER(SEARCH("SUBSOLO",E1098)),IFERROR(-VALUE(LEFT(E1098,FIND("º",SUBSTITUTE(E1098,"°","º"))-1)),-1),IF(LEFT(E1098,6)="TÉRREO",0,IFERROR(VALUE(LEFT(E1098,FIND("º",SUBSTITUTE(E1098,"°","º"))-1)),""))))</f>
        <v>34</v>
      </c>
      <c r="O1098" s="2" t="str">
        <f aca="false">IF(OR(F1098="",G1098=""),"",IF(G1098&lt;='RETRATO 2027'!$K$5,"CONCLUÍDA",IF(F1098&lt;='RETRATO 2027'!$K$5,"EM ANDAMENTO","A INICIAR")))</f>
        <v>A INICIAR</v>
      </c>
    </row>
    <row r="1099" customFormat="false" ht="15" hidden="false" customHeight="false" outlineLevel="0" collapsed="false">
      <c r="B1099" s="4" t="n">
        <v>31529090</v>
      </c>
      <c r="C1099" s="4" t="s">
        <v>2341</v>
      </c>
      <c r="D1099" s="4" t="s">
        <v>2312</v>
      </c>
      <c r="E1099" s="4" t="s">
        <v>2853</v>
      </c>
      <c r="F1099" s="127" t="n">
        <v>46771</v>
      </c>
      <c r="G1099" s="127" t="n">
        <v>46786</v>
      </c>
      <c r="H1099" s="127" t="n">
        <v>46289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17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34</v>
      </c>
      <c r="O1099" s="2" t="str">
        <f aca="false">IF(OR(F1099="",G1099=""),"",IF(G1099&lt;='RETRATO 2027'!$K$5,"CONCLUÍDA",IF(F1099&lt;='RETRATO 2027'!$K$5,"EM ANDAMENTO","A INICIAR")))</f>
        <v>A INICIAR</v>
      </c>
    </row>
    <row r="1100" customFormat="false" ht="15" hidden="false" customHeight="false" outlineLevel="0" collapsed="false">
      <c r="B1100" s="4" t="n">
        <v>31529091</v>
      </c>
      <c r="C1100" s="4" t="s">
        <v>2341</v>
      </c>
      <c r="D1100" s="4" t="s">
        <v>2309</v>
      </c>
      <c r="E1100" s="4" t="s">
        <v>2853</v>
      </c>
      <c r="F1100" s="127" t="n">
        <v>46787</v>
      </c>
      <c r="G1100" s="127" t="n">
        <v>46793</v>
      </c>
      <c r="H1100" s="127" t="n">
        <v>46289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17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34</v>
      </c>
      <c r="O1100" s="2" t="str">
        <f aca="false">IF(OR(F1100="",G1100=""),"",IF(G1100&lt;='RETRATO 2027'!$K$5,"CONCLUÍDA",IF(F1100&lt;='RETRATO 2027'!$K$5,"EM ANDAMENTO","A INICIAR")))</f>
        <v>A INICIAR</v>
      </c>
    </row>
    <row r="1101" customFormat="false" ht="15" hidden="false" customHeight="false" outlineLevel="0" collapsed="false">
      <c r="B1101" s="4" t="n">
        <v>31529092</v>
      </c>
      <c r="C1101" s="4" t="s">
        <v>2341</v>
      </c>
      <c r="D1101" s="4" t="s">
        <v>2314</v>
      </c>
      <c r="E1101" s="4" t="s">
        <v>2853</v>
      </c>
      <c r="F1101" s="127" t="n">
        <v>46794</v>
      </c>
      <c r="G1101" s="127" t="n">
        <v>46794</v>
      </c>
      <c r="H1101" s="127" t="n">
        <v>46289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17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34</v>
      </c>
      <c r="O1101" s="2" t="str">
        <f aca="false">IF(OR(F1101="",G1101=""),"",IF(G1101&lt;='RETRATO 2027'!$K$5,"CONCLUÍDA",IF(F1101&lt;='RETRATO 2027'!$K$5,"EM ANDAMENTO","A INICIAR")))</f>
        <v>A INICIAR</v>
      </c>
    </row>
    <row r="1102" customFormat="false" ht="15" hidden="false" customHeight="false" outlineLevel="0" collapsed="false">
      <c r="B1102" s="4" t="n">
        <v>31529093</v>
      </c>
      <c r="C1102" s="4" t="s">
        <v>2341</v>
      </c>
      <c r="D1102" s="4" t="s">
        <v>2758</v>
      </c>
      <c r="E1102" s="4" t="s">
        <v>2853</v>
      </c>
      <c r="F1102" s="127" t="n">
        <v>46794</v>
      </c>
      <c r="G1102" s="127" t="n">
        <v>46794</v>
      </c>
      <c r="H1102" s="127" t="n">
        <v>46289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17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34</v>
      </c>
      <c r="O1102" s="2" t="str">
        <f aca="false">IF(OR(F1102="",G1102=""),"",IF(G1102&lt;='RETRATO 2027'!$K$5,"CONCLUÍDA",IF(F1102&lt;='RETRATO 2027'!$K$5,"EM ANDAMENTO","A INICIAR")))</f>
        <v>A INICIAR</v>
      </c>
    </row>
    <row r="1103" customFormat="false" ht="15" hidden="false" customHeight="false" outlineLevel="0" collapsed="false">
      <c r="B1103" s="4" t="n">
        <v>30205793</v>
      </c>
      <c r="C1103" s="4" t="s">
        <v>2492</v>
      </c>
      <c r="D1103" s="4" t="s">
        <v>463</v>
      </c>
      <c r="E1103" s="4" t="s">
        <v>2835</v>
      </c>
      <c r="F1103" s="127" t="n">
        <v>46773</v>
      </c>
      <c r="G1103" s="127" t="n">
        <v>46786</v>
      </c>
      <c r="H1103" s="127" t="n">
        <v>46289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18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A INICIAR</v>
      </c>
    </row>
    <row r="1104" customFormat="false" ht="15" hidden="false" customHeight="false" outlineLevel="0" collapsed="false">
      <c r="B1104" s="4" t="n">
        <v>30205819</v>
      </c>
      <c r="C1104" s="4" t="s">
        <v>2449</v>
      </c>
      <c r="D1104" s="4" t="s">
        <v>463</v>
      </c>
      <c r="E1104" s="4" t="s">
        <v>2839</v>
      </c>
      <c r="F1104" s="127" t="n">
        <v>46773</v>
      </c>
      <c r="G1104" s="127" t="n">
        <v>46786</v>
      </c>
      <c r="H1104" s="127" t="n">
        <v>46289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28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0</v>
      </c>
      <c r="O1104" s="2" t="str">
        <f aca="false">IF(OR(F1104="",G1104=""),"",IF(G1104&lt;='RETRATO 2027'!$K$5,"CONCLUÍDA",IF(F1104&lt;='RETRATO 2027'!$K$5,"EM ANDAMENTO","A INICIAR")))</f>
        <v>A INICIAR</v>
      </c>
    </row>
    <row r="1105" customFormat="false" ht="15" hidden="false" customHeight="false" outlineLevel="0" collapsed="false">
      <c r="B1105" s="4" t="n">
        <v>30171470</v>
      </c>
      <c r="C1105" s="4" t="s">
        <v>2563</v>
      </c>
      <c r="D1105" s="4" t="s">
        <v>463</v>
      </c>
      <c r="E1105" s="4" t="s">
        <v>2784</v>
      </c>
      <c r="F1105" s="127" t="n">
        <v>46773</v>
      </c>
      <c r="G1105" s="127" t="n">
        <v>46800</v>
      </c>
      <c r="H1105" s="127" t="n">
        <v>46289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20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</v>
      </c>
      <c r="O1105" s="2" t="str">
        <f aca="false">IF(OR(F1105="",G1105=""),"",IF(G1105&lt;='RETRATO 2027'!$K$5,"CONCLUÍDA",IF(F1105&lt;='RETRATO 2027'!$K$5,"EM ANDAMENTO","A INICIAR")))</f>
        <v>A INICIAR</v>
      </c>
    </row>
    <row r="1106" customFormat="false" ht="15" hidden="false" customHeight="false" outlineLevel="0" collapsed="false">
      <c r="B1106" s="4" t="n">
        <v>30171467</v>
      </c>
      <c r="C1106" s="4" t="s">
        <v>2566</v>
      </c>
      <c r="D1106" s="4" t="s">
        <v>463</v>
      </c>
      <c r="E1106" s="4" t="s">
        <v>2784</v>
      </c>
      <c r="F1106" s="127" t="n">
        <v>46773</v>
      </c>
      <c r="G1106" s="127" t="n">
        <v>46800</v>
      </c>
      <c r="H1106" s="127" t="n">
        <v>46289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20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</v>
      </c>
      <c r="O1106" s="2" t="str">
        <f aca="false">IF(OR(F1106="",G1106=""),"",IF(G1106&lt;='RETRATO 2027'!$K$5,"CONCLUÍDA",IF(F1106&lt;='RETRATO 2027'!$K$5,"EM ANDAMENTO","A INICIAR")))</f>
        <v>A INICIAR</v>
      </c>
    </row>
    <row r="1107" customFormat="false" ht="15" hidden="false" customHeight="false" outlineLevel="0" collapsed="false">
      <c r="B1107" s="4" t="n">
        <v>30171438</v>
      </c>
      <c r="C1107" s="4" t="s">
        <v>2508</v>
      </c>
      <c r="D1107" s="4" t="s">
        <v>463</v>
      </c>
      <c r="E1107" s="4" t="s">
        <v>2790</v>
      </c>
      <c r="F1107" s="127" t="n">
        <v>46773</v>
      </c>
      <c r="G1107" s="127" t="n">
        <v>46834</v>
      </c>
      <c r="H1107" s="127" t="n">
        <v>46289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20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3</v>
      </c>
      <c r="O1107" s="2" t="str">
        <f aca="false">IF(OR(F1107="",G1107=""),"",IF(G1107&lt;='RETRATO 2027'!$K$5,"CONCLUÍDA",IF(F1107&lt;='RETRATO 2027'!$K$5,"EM ANDAMENTO","A INICIAR")))</f>
        <v>A INICIAR</v>
      </c>
    </row>
    <row r="1108" customFormat="false" ht="15" hidden="false" customHeight="false" outlineLevel="0" collapsed="false">
      <c r="B1108" s="4" t="n">
        <v>30171457</v>
      </c>
      <c r="C1108" s="4" t="s">
        <v>2511</v>
      </c>
      <c r="D1108" s="4" t="s">
        <v>463</v>
      </c>
      <c r="E1108" s="4" t="s">
        <v>2790</v>
      </c>
      <c r="F1108" s="127" t="n">
        <v>46773</v>
      </c>
      <c r="G1108" s="127" t="n">
        <v>46834</v>
      </c>
      <c r="H1108" s="127" t="n">
        <v>46289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20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3</v>
      </c>
      <c r="O1108" s="2" t="str">
        <f aca="false">IF(OR(F1108="",G1108=""),"",IF(G1108&lt;='RETRATO 2027'!$K$5,"CONCLUÍDA",IF(F1108&lt;='RETRATO 2027'!$K$5,"EM ANDAMENTO","A INICIAR")))</f>
        <v>A INICIAR</v>
      </c>
    </row>
    <row r="1109" customFormat="false" ht="15" hidden="false" customHeight="false" outlineLevel="0" collapsed="false">
      <c r="B1109" s="4" t="n">
        <v>30171440</v>
      </c>
      <c r="C1109" s="4" t="s">
        <v>2525</v>
      </c>
      <c r="D1109" s="4" t="s">
        <v>463</v>
      </c>
      <c r="E1109" s="4" t="s">
        <v>2790</v>
      </c>
      <c r="F1109" s="127" t="n">
        <v>46773</v>
      </c>
      <c r="G1109" s="127" t="n">
        <v>46800</v>
      </c>
      <c r="H1109" s="127" t="n">
        <v>46289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18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3</v>
      </c>
      <c r="O1109" s="2" t="str">
        <f aca="false">IF(OR(F1109="",G1109=""),"",IF(G1109&lt;='RETRATO 2027'!$K$5,"CONCLUÍDA",IF(F1109&lt;='RETRATO 2027'!$K$5,"EM ANDAMENTO","A INICIAR")))</f>
        <v>A INICIAR</v>
      </c>
    </row>
    <row r="1110" customFormat="false" ht="15" hidden="false" customHeight="false" outlineLevel="0" collapsed="false">
      <c r="B1110" s="4" t="n">
        <v>30214060</v>
      </c>
      <c r="C1110" s="4" t="s">
        <v>2514</v>
      </c>
      <c r="D1110" s="4" t="s">
        <v>463</v>
      </c>
      <c r="E1110" s="4" t="s">
        <v>2790</v>
      </c>
      <c r="F1110" s="127" t="n">
        <v>46773</v>
      </c>
      <c r="G1110" s="127" t="n">
        <v>46786</v>
      </c>
      <c r="H1110" s="127" t="n">
        <v>46289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3</v>
      </c>
      <c r="O1110" s="2" t="str">
        <f aca="false">IF(OR(F1110="",G1110=""),"",IF(G1110&lt;='RETRATO 2027'!$K$5,"CONCLUÍDA",IF(F1110&lt;='RETRATO 2027'!$K$5,"EM ANDAMENTO","A INICIAR")))</f>
        <v>A INICIAR</v>
      </c>
    </row>
    <row r="1111" customFormat="false" ht="15" hidden="false" customHeight="false" outlineLevel="0" collapsed="false">
      <c r="B1111" s="4" t="n">
        <v>30205710</v>
      </c>
      <c r="C1111" s="4" t="s">
        <v>2508</v>
      </c>
      <c r="D1111" s="4" t="s">
        <v>463</v>
      </c>
      <c r="E1111" s="4" t="s">
        <v>2740</v>
      </c>
      <c r="F1111" s="127" t="n">
        <v>46776</v>
      </c>
      <c r="G1111" s="127" t="n">
        <v>46805</v>
      </c>
      <c r="H1111" s="127" t="n">
        <v>46289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20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-1</v>
      </c>
      <c r="O1111" s="2" t="str">
        <f aca="false">IF(OR(F1111="",G1111=""),"",IF(G1111&lt;='RETRATO 2027'!$K$5,"CONCLUÍDA",IF(F1111&lt;='RETRATO 2027'!$K$5,"EM ANDAMENTO","A INICIAR")))</f>
        <v>A INICIAR</v>
      </c>
    </row>
    <row r="1112" customFormat="false" ht="15" hidden="false" customHeight="false" outlineLevel="0" collapsed="false">
      <c r="B1112" s="4" t="n">
        <v>30214057</v>
      </c>
      <c r="C1112" s="4" t="s">
        <v>2514</v>
      </c>
      <c r="D1112" s="4" t="s">
        <v>463</v>
      </c>
      <c r="E1112" s="4" t="s">
        <v>2740</v>
      </c>
      <c r="F1112" s="127" t="n">
        <v>46776</v>
      </c>
      <c r="G1112" s="127" t="n">
        <v>46787</v>
      </c>
      <c r="H1112" s="127" t="n">
        <v>46289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20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-1</v>
      </c>
      <c r="O1112" s="2" t="str">
        <f aca="false">IF(OR(F1112="",G1112=""),"",IF(G1112&lt;='RETRATO 2027'!$K$5,"CONCLUÍDA",IF(F1112&lt;='RETRATO 2027'!$K$5,"EM ANDAMENTO","A INICIAR")))</f>
        <v>A INICIAR</v>
      </c>
    </row>
    <row r="1113" customFormat="false" ht="15" hidden="false" customHeight="false" outlineLevel="0" collapsed="false">
      <c r="B1113" s="4" t="n">
        <v>30171506</v>
      </c>
      <c r="C1113" s="4" t="s">
        <v>2554</v>
      </c>
      <c r="D1113" s="4" t="s">
        <v>463</v>
      </c>
      <c r="E1113" s="4" t="s">
        <v>2817</v>
      </c>
      <c r="F1113" s="127" t="n">
        <v>46776</v>
      </c>
      <c r="G1113" s="127" t="n">
        <v>47123</v>
      </c>
      <c r="H1113" s="127" t="n">
        <v>46289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35</v>
      </c>
      <c r="N1113" s="2" t="str">
        <f aca="false"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 t="str">
        <f aca="false">IF(OR(F1113="",G1113=""),"",IF(G1113&lt;='RETRATO 2027'!$K$5,"CONCLUÍDA",IF(F1113&lt;='RETRATO 2027'!$K$5,"EM ANDAMENTO","A INICIAR")))</f>
        <v>A INICIAR</v>
      </c>
    </row>
    <row r="1114" customFormat="false" ht="15" hidden="false" customHeight="false" outlineLevel="0" collapsed="false">
      <c r="B1114" s="4" t="n">
        <v>29981528</v>
      </c>
      <c r="C1114" s="4" t="s">
        <v>2569</v>
      </c>
      <c r="D1114" s="4" t="s">
        <v>463</v>
      </c>
      <c r="E1114" s="4" t="s">
        <v>2803</v>
      </c>
      <c r="F1114" s="127" t="n">
        <v>46776</v>
      </c>
      <c r="G1114" s="127" t="n">
        <v>46786</v>
      </c>
      <c r="H1114" s="127" t="n">
        <v>46289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30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7</v>
      </c>
      <c r="O1114" s="2" t="str">
        <f aca="false">IF(OR(F1114="",G1114=""),"",IF(G1114&lt;='RETRATO 2027'!$K$5,"CONCLUÍDA",IF(F1114&lt;='RETRATO 2027'!$K$5,"EM ANDAMENTO","A INICIAR")))</f>
        <v>A INICIAR</v>
      </c>
    </row>
    <row r="1115" customFormat="false" ht="15" hidden="false" customHeight="false" outlineLevel="0" collapsed="false">
      <c r="B1115" s="4" t="n">
        <v>29981490</v>
      </c>
      <c r="C1115" s="4" t="s">
        <v>2554</v>
      </c>
      <c r="D1115" s="4" t="s">
        <v>463</v>
      </c>
      <c r="E1115" s="4" t="s">
        <v>2804</v>
      </c>
      <c r="F1115" s="127" t="n">
        <v>46776</v>
      </c>
      <c r="G1115" s="127" t="n">
        <v>46786</v>
      </c>
      <c r="H1115" s="127" t="n">
        <v>46289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35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8</v>
      </c>
      <c r="O1115" s="2" t="str">
        <f aca="false">IF(OR(F1115="",G1115=""),"",IF(G1115&lt;='RETRATO 2027'!$K$5,"CONCLUÍDA",IF(F1115&lt;='RETRATO 2027'!$K$5,"EM ANDAMENTO","A INICIAR")))</f>
        <v>A INICIAR</v>
      </c>
    </row>
    <row r="1116" customFormat="false" ht="15" hidden="false" customHeight="false" outlineLevel="0" collapsed="false">
      <c r="B1116" s="4" t="n">
        <v>29981479</v>
      </c>
      <c r="C1116" s="4" t="s">
        <v>2539</v>
      </c>
      <c r="D1116" s="4" t="s">
        <v>463</v>
      </c>
      <c r="E1116" s="4" t="s">
        <v>2805</v>
      </c>
      <c r="F1116" s="127" t="n">
        <v>46776</v>
      </c>
      <c r="G1116" s="127" t="n">
        <v>46786</v>
      </c>
      <c r="H1116" s="127" t="n">
        <v>46289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9</v>
      </c>
      <c r="O1116" s="2" t="str">
        <f aca="false">IF(OR(F1116="",G1116=""),"",IF(G1116&lt;='RETRATO 2027'!$K$5,"CONCLUÍDA",IF(F1116&lt;='RETRATO 2027'!$K$5,"EM ANDAMENTO","A INICIAR")))</f>
        <v>A INICIAR</v>
      </c>
    </row>
    <row r="1117" customFormat="false" ht="15" hidden="false" customHeight="false" outlineLevel="0" collapsed="false">
      <c r="B1117" s="4" t="n">
        <v>33898091</v>
      </c>
      <c r="C1117" s="4" t="s">
        <v>2545</v>
      </c>
      <c r="D1117" s="4" t="s">
        <v>463</v>
      </c>
      <c r="E1117" s="4" t="s">
        <v>2809</v>
      </c>
      <c r="F1117" s="127" t="n">
        <v>46776</v>
      </c>
      <c r="G1117" s="127" t="n">
        <v>46786</v>
      </c>
      <c r="H1117" s="127" t="n">
        <v>46289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25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10</v>
      </c>
      <c r="O1117" s="2" t="str">
        <f aca="false">IF(OR(F1117="",G1117=""),"",IF(G1117&lt;='RETRATO 2027'!$K$5,"CONCLUÍDA",IF(F1117&lt;='RETRATO 2027'!$K$5,"EM ANDAMENTO","A INICIAR")))</f>
        <v>A INICIAR</v>
      </c>
    </row>
    <row r="1118" customFormat="false" ht="15" hidden="false" customHeight="false" outlineLevel="0" collapsed="false">
      <c r="B1118" s="4" t="n">
        <v>29981292</v>
      </c>
      <c r="C1118" s="4" t="s">
        <v>216</v>
      </c>
      <c r="D1118" s="4" t="s">
        <v>463</v>
      </c>
      <c r="E1118" s="4" t="s">
        <v>2813</v>
      </c>
      <c r="F1118" s="127" t="n">
        <v>46777</v>
      </c>
      <c r="G1118" s="127" t="n">
        <v>46787</v>
      </c>
      <c r="H1118" s="127" t="n">
        <v>46289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33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14</v>
      </c>
      <c r="O1118" s="2" t="str">
        <f aca="false">IF(OR(F1118="",G1118=""),"",IF(G1118&lt;='RETRATO 2027'!$K$5,"CONCLUÍDA",IF(F1118&lt;='RETRATO 2027'!$K$5,"EM ANDAMENTO","A INICIAR")))</f>
        <v>A INICIAR</v>
      </c>
    </row>
    <row r="1119" customFormat="false" ht="15" hidden="false" customHeight="false" outlineLevel="0" collapsed="false">
      <c r="B1119" s="4" t="n">
        <v>29981253</v>
      </c>
      <c r="C1119" s="4" t="s">
        <v>2508</v>
      </c>
      <c r="D1119" s="4" t="s">
        <v>463</v>
      </c>
      <c r="E1119" s="4" t="s">
        <v>2814</v>
      </c>
      <c r="F1119" s="127" t="n">
        <v>46777</v>
      </c>
      <c r="G1119" s="127" t="n">
        <v>46787</v>
      </c>
      <c r="H1119" s="127" t="n">
        <v>46289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20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15</v>
      </c>
      <c r="O1119" s="2" t="str">
        <f aca="false">IF(OR(F1119="",G1119=""),"",IF(G1119&lt;='RETRATO 2027'!$K$5,"CONCLUÍDA",IF(F1119&lt;='RETRATO 2027'!$K$5,"EM ANDAMENTO","A INICIAR")))</f>
        <v>A INICIAR</v>
      </c>
    </row>
    <row r="1120" customFormat="false" ht="15" hidden="false" customHeight="false" outlineLevel="0" collapsed="false">
      <c r="B1120" s="4" t="n">
        <v>29981258</v>
      </c>
      <c r="C1120" s="4" t="s">
        <v>2511</v>
      </c>
      <c r="D1120" s="4" t="s">
        <v>463</v>
      </c>
      <c r="E1120" s="4" t="s">
        <v>2814</v>
      </c>
      <c r="F1120" s="127" t="n">
        <v>46777</v>
      </c>
      <c r="G1120" s="127" t="n">
        <v>46787</v>
      </c>
      <c r="H1120" s="127" t="n">
        <v>46289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20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15</v>
      </c>
      <c r="O1120" s="2" t="str">
        <f aca="false">IF(OR(F1120="",G1120=""),"",IF(G1120&lt;='RETRATO 2027'!$K$5,"CONCLUÍDA",IF(F1120&lt;='RETRATO 2027'!$K$5,"EM ANDAMENTO","A INICIAR")))</f>
        <v>A INICIAR</v>
      </c>
    </row>
    <row r="1121" customFormat="false" ht="15" hidden="false" customHeight="false" outlineLevel="0" collapsed="false">
      <c r="B1121" s="4" t="n">
        <v>30214077</v>
      </c>
      <c r="C1121" s="4" t="s">
        <v>2514</v>
      </c>
      <c r="D1121" s="4" t="s">
        <v>463</v>
      </c>
      <c r="E1121" s="4" t="s">
        <v>2814</v>
      </c>
      <c r="F1121" s="127" t="n">
        <v>46777</v>
      </c>
      <c r="G1121" s="127" t="n">
        <v>46790</v>
      </c>
      <c r="H1121" s="127" t="n">
        <v>46289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20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15</v>
      </c>
      <c r="O1121" s="2" t="str">
        <f aca="false">IF(OR(F1121="",G1121=""),"",IF(G1121&lt;='RETRATO 2027'!$K$5,"CONCLUÍDA",IF(F1121&lt;='RETRATO 2027'!$K$5,"EM ANDAMENTO","A INICIAR")))</f>
        <v>A INICIAR</v>
      </c>
    </row>
    <row r="1122" customFormat="false" ht="15" hidden="false" customHeight="false" outlineLevel="0" collapsed="false">
      <c r="B1122" s="4" t="n">
        <v>29981200</v>
      </c>
      <c r="C1122" s="4" t="s">
        <v>2501</v>
      </c>
      <c r="D1122" s="4" t="s">
        <v>463</v>
      </c>
      <c r="E1122" s="4" t="s">
        <v>2815</v>
      </c>
      <c r="F1122" s="127" t="n">
        <v>46777</v>
      </c>
      <c r="G1122" s="127" t="n">
        <v>46787</v>
      </c>
      <c r="H1122" s="127" t="n">
        <v>46289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30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16</v>
      </c>
      <c r="O1122" s="2" t="str">
        <f aca="false">IF(OR(F1122="",G1122=""),"",IF(G1122&lt;='RETRATO 2027'!$K$5,"CONCLUÍDA",IF(F1122&lt;='RETRATO 2027'!$K$5,"EM ANDAMENTO","A INICIAR")))</f>
        <v>A INICIAR</v>
      </c>
    </row>
    <row r="1123" customFormat="false" ht="15" hidden="false" customHeight="false" outlineLevel="0" collapsed="false">
      <c r="B1123" s="4" t="n">
        <v>29981162</v>
      </c>
      <c r="C1123" s="4" t="s">
        <v>2486</v>
      </c>
      <c r="D1123" s="4" t="s">
        <v>463</v>
      </c>
      <c r="E1123" s="4" t="s">
        <v>2818</v>
      </c>
      <c r="F1123" s="127" t="n">
        <v>46777</v>
      </c>
      <c r="G1123" s="127" t="n">
        <v>46787</v>
      </c>
      <c r="H1123" s="127" t="n">
        <v>46289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30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17</v>
      </c>
      <c r="O1123" s="2" t="str">
        <f aca="false">IF(OR(F1123="",G1123=""),"",IF(G1123&lt;='RETRATO 2027'!$K$5,"CONCLUÍDA",IF(F1123&lt;='RETRATO 2027'!$K$5,"EM ANDAMENTO","A INICIAR")))</f>
        <v>A INICIAR</v>
      </c>
    </row>
    <row r="1124" customFormat="false" ht="15" hidden="false" customHeight="false" outlineLevel="0" collapsed="false">
      <c r="B1124" s="4" t="n">
        <v>29981141</v>
      </c>
      <c r="C1124" s="4" t="s">
        <v>2480</v>
      </c>
      <c r="D1124" s="4" t="s">
        <v>463</v>
      </c>
      <c r="E1124" s="4" t="s">
        <v>2820</v>
      </c>
      <c r="F1124" s="127" t="n">
        <v>46777</v>
      </c>
      <c r="G1124" s="127" t="n">
        <v>46787</v>
      </c>
      <c r="H1124" s="127" t="n">
        <v>46289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30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18</v>
      </c>
      <c r="O1124" s="2" t="str">
        <f aca="false">IF(OR(F1124="",G1124=""),"",IF(G1124&lt;='RETRATO 2027'!$K$5,"CONCLUÍDA",IF(F1124&lt;='RETRATO 2027'!$K$5,"EM ANDAMENTO","A INICIAR")))</f>
        <v>A INICIAR</v>
      </c>
    </row>
    <row r="1125" customFormat="false" ht="15" hidden="false" customHeight="false" outlineLevel="0" collapsed="false">
      <c r="B1125" s="4" t="n">
        <v>29981065</v>
      </c>
      <c r="C1125" s="4" t="s">
        <v>171</v>
      </c>
      <c r="D1125" s="4" t="s">
        <v>463</v>
      </c>
      <c r="E1125" s="4" t="s">
        <v>2823</v>
      </c>
      <c r="F1125" s="127" t="n">
        <v>46777</v>
      </c>
      <c r="G1125" s="127" t="n">
        <v>46787</v>
      </c>
      <c r="H1125" s="127" t="n">
        <v>46289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19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20</v>
      </c>
      <c r="O1125" s="2" t="str">
        <f aca="false">IF(OR(F1125="",G1125=""),"",IF(G1125&lt;='RETRATO 2027'!$K$5,"CONCLUÍDA",IF(F1125&lt;='RETRATO 2027'!$K$5,"EM ANDAMENTO","A INICIAR")))</f>
        <v>A INICIAR</v>
      </c>
    </row>
    <row r="1126" customFormat="false" ht="15" hidden="false" customHeight="false" outlineLevel="0" collapsed="false">
      <c r="B1126" s="4" t="n">
        <v>32750447</v>
      </c>
      <c r="C1126" s="4" t="s">
        <v>2470</v>
      </c>
      <c r="D1126" s="4" t="s">
        <v>463</v>
      </c>
      <c r="E1126" s="4" t="s">
        <v>2825</v>
      </c>
      <c r="F1126" s="127" t="n">
        <v>46777</v>
      </c>
      <c r="G1126" s="127" t="n">
        <v>46787</v>
      </c>
      <c r="H1126" s="127" t="n">
        <v>46289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18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21</v>
      </c>
      <c r="O1126" s="2" t="str">
        <f aca="false">IF(OR(F1126="",G1126=""),"",IF(G1126&lt;='RETRATO 2027'!$K$5,"CONCLUÍDA",IF(F1126&lt;='RETRATO 2027'!$K$5,"EM ANDAMENTO","A INICIAR")))</f>
        <v>A INICIAR</v>
      </c>
    </row>
    <row r="1127" customFormat="false" ht="15" hidden="false" customHeight="false" outlineLevel="0" collapsed="false">
      <c r="B1127" s="4" t="n">
        <v>32750370</v>
      </c>
      <c r="C1127" s="4" t="s">
        <v>2458</v>
      </c>
      <c r="D1127" s="4" t="s">
        <v>463</v>
      </c>
      <c r="E1127" s="4" t="s">
        <v>2827</v>
      </c>
      <c r="F1127" s="127" t="n">
        <v>46777</v>
      </c>
      <c r="G1127" s="127" t="n">
        <v>46787</v>
      </c>
      <c r="H1127" s="127" t="n">
        <v>46289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22</v>
      </c>
      <c r="O1127" s="2" t="str">
        <f aca="false">IF(OR(F1127="",G1127=""),"",IF(G1127&lt;='RETRATO 2027'!$K$5,"CONCLUÍDA",IF(F1127&lt;='RETRATO 2027'!$K$5,"EM ANDAMENTO","A INICIAR")))</f>
        <v>A INICIAR</v>
      </c>
    </row>
    <row r="1128" customFormat="false" ht="15" hidden="false" customHeight="false" outlineLevel="0" collapsed="false">
      <c r="B1128" s="4" t="n">
        <v>32750396</v>
      </c>
      <c r="C1128" s="4" t="s">
        <v>2461</v>
      </c>
      <c r="D1128" s="4" t="s">
        <v>463</v>
      </c>
      <c r="E1128" s="4" t="s">
        <v>2827</v>
      </c>
      <c r="F1128" s="127" t="n">
        <v>46777</v>
      </c>
      <c r="G1128" s="127" t="n">
        <v>46787</v>
      </c>
      <c r="H1128" s="127" t="n">
        <v>46289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22</v>
      </c>
      <c r="O1128" s="2" t="str">
        <f aca="false">IF(OR(F1128="",G1128=""),"",IF(G1128&lt;='RETRATO 2027'!$K$5,"CONCLUÍDA",IF(F1128&lt;='RETRATO 2027'!$K$5,"EM ANDAMENTO","A INICIAR")))</f>
        <v>A INICIAR</v>
      </c>
    </row>
    <row r="1129" customFormat="false" ht="15" hidden="false" customHeight="false" outlineLevel="0" collapsed="false">
      <c r="B1129" s="4" t="n">
        <v>32750422</v>
      </c>
      <c r="C1129" s="4" t="s">
        <v>2464</v>
      </c>
      <c r="D1129" s="4" t="s">
        <v>463</v>
      </c>
      <c r="E1129" s="4" t="s">
        <v>2827</v>
      </c>
      <c r="F1129" s="127" t="n">
        <v>46777</v>
      </c>
      <c r="G1129" s="127" t="n">
        <v>46787</v>
      </c>
      <c r="H1129" s="127" t="n">
        <v>46289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21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22</v>
      </c>
      <c r="O1129" s="2" t="str">
        <f aca="false">IF(OR(F1129="",G1129=""),"",IF(G1129&lt;='RETRATO 2027'!$K$5,"CONCLUÍDA",IF(F1129&lt;='RETRATO 2027'!$K$5,"EM ANDAMENTO","A INICIAR")))</f>
        <v>A INICIAR</v>
      </c>
    </row>
    <row r="1130" customFormat="false" ht="15" hidden="false" customHeight="false" outlineLevel="0" collapsed="false">
      <c r="B1130" s="4" t="n">
        <v>33896840</v>
      </c>
      <c r="C1130" s="4" t="s">
        <v>2467</v>
      </c>
      <c r="D1130" s="4" t="s">
        <v>463</v>
      </c>
      <c r="E1130" s="4" t="s">
        <v>2827</v>
      </c>
      <c r="F1130" s="127" t="n">
        <v>46777</v>
      </c>
      <c r="G1130" s="127" t="n">
        <v>46787</v>
      </c>
      <c r="H1130" s="127" t="n">
        <v>46289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23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22</v>
      </c>
      <c r="O1130" s="2" t="str">
        <f aca="false">IF(OR(F1130="",G1130=""),"",IF(G1130&lt;='RETRATO 2027'!$K$5,"CONCLUÍDA",IF(F1130&lt;='RETRATO 2027'!$K$5,"EM ANDAMENTO","A INICIAR")))</f>
        <v>A INICIAR</v>
      </c>
    </row>
    <row r="1131" customFormat="false" ht="15" hidden="false" customHeight="false" outlineLevel="0" collapsed="false">
      <c r="B1131" s="4" t="n">
        <v>32749866</v>
      </c>
      <c r="C1131" s="4" t="s">
        <v>2455</v>
      </c>
      <c r="D1131" s="4" t="s">
        <v>463</v>
      </c>
      <c r="E1131" s="4" t="s">
        <v>2829</v>
      </c>
      <c r="F1131" s="127" t="n">
        <v>46777</v>
      </c>
      <c r="G1131" s="127" t="n">
        <v>46787</v>
      </c>
      <c r="H1131" s="127" t="n">
        <v>46289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18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23</v>
      </c>
      <c r="O1131" s="2" t="str">
        <f aca="false">IF(OR(F1131="",G1131=""),"",IF(G1131&lt;='RETRATO 2027'!$K$5,"CONCLUÍDA",IF(F1131&lt;='RETRATO 2027'!$K$5,"EM ANDAMENTO","A INICIAR")))</f>
        <v>A INICIAR</v>
      </c>
    </row>
    <row r="1132" customFormat="false" ht="15" hidden="false" customHeight="false" outlineLevel="0" collapsed="false">
      <c r="B1132" s="4" t="n">
        <v>29980918</v>
      </c>
      <c r="C1132" s="4" t="s">
        <v>2449</v>
      </c>
      <c r="D1132" s="4" t="s">
        <v>463</v>
      </c>
      <c r="E1132" s="4" t="s">
        <v>2831</v>
      </c>
      <c r="F1132" s="127" t="n">
        <v>46777</v>
      </c>
      <c r="G1132" s="127" t="n">
        <v>46787</v>
      </c>
      <c r="H1132" s="127" t="n">
        <v>46289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28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24</v>
      </c>
      <c r="O1132" s="2" t="str">
        <f aca="false">IF(OR(F1132="",G1132=""),"",IF(G1132&lt;='RETRATO 2027'!$K$5,"CONCLUÍDA",IF(F1132&lt;='RETRATO 2027'!$K$5,"EM ANDAMENTO","A INICIAR")))</f>
        <v>A INICIAR</v>
      </c>
    </row>
    <row r="1133" customFormat="false" ht="15" hidden="false" customHeight="false" outlineLevel="0" collapsed="false">
      <c r="B1133" s="4" t="n">
        <v>29980858</v>
      </c>
      <c r="C1133" s="4" t="s">
        <v>2440</v>
      </c>
      <c r="D1133" s="4" t="s">
        <v>463</v>
      </c>
      <c r="E1133" s="4" t="s">
        <v>2833</v>
      </c>
      <c r="F1133" s="127" t="n">
        <v>46777</v>
      </c>
      <c r="G1133" s="127" t="n">
        <v>46787</v>
      </c>
      <c r="H1133" s="127" t="n">
        <v>46289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21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25</v>
      </c>
      <c r="O1133" s="2" t="str">
        <f aca="false">IF(OR(F1133="",G1133=""),"",IF(G1133&lt;='RETRATO 2027'!$K$5,"CONCLUÍDA",IF(F1133&lt;='RETRATO 2027'!$K$5,"EM ANDAMENTO","A INICIAR")))</f>
        <v>A INICIAR</v>
      </c>
    </row>
    <row r="1134" customFormat="false" ht="15" hidden="false" customHeight="false" outlineLevel="0" collapsed="false">
      <c r="B1134" s="4" t="n">
        <v>29980891</v>
      </c>
      <c r="C1134" s="4" t="s">
        <v>2443</v>
      </c>
      <c r="D1134" s="4" t="s">
        <v>463</v>
      </c>
      <c r="E1134" s="4" t="s">
        <v>2833</v>
      </c>
      <c r="F1134" s="127" t="n">
        <v>46777</v>
      </c>
      <c r="G1134" s="127" t="n">
        <v>46787</v>
      </c>
      <c r="H1134" s="127" t="n">
        <v>46289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20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25</v>
      </c>
      <c r="O1134" s="2" t="str">
        <f aca="false">IF(OR(F1134="",G1134=""),"",IF(G1134&lt;='RETRATO 2027'!$K$5,"CONCLUÍDA",IF(F1134&lt;='RETRATO 2027'!$K$5,"EM ANDAMENTO","A INICIAR")))</f>
        <v>A INICIAR</v>
      </c>
    </row>
    <row r="1135" customFormat="false" ht="15" hidden="false" customHeight="false" outlineLevel="0" collapsed="false">
      <c r="B1135" s="4" t="n">
        <v>29980820</v>
      </c>
      <c r="C1135" s="4" t="s">
        <v>2437</v>
      </c>
      <c r="D1135" s="4" t="s">
        <v>463</v>
      </c>
      <c r="E1135" s="4" t="s">
        <v>2834</v>
      </c>
      <c r="F1135" s="127" t="n">
        <v>46777</v>
      </c>
      <c r="G1135" s="127" t="n">
        <v>46787</v>
      </c>
      <c r="H1135" s="127" t="n">
        <v>46289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29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26</v>
      </c>
      <c r="O1135" s="2" t="str">
        <f aca="false">IF(OR(F1135="",G1135=""),"",IF(G1135&lt;='RETRATO 2027'!$K$5,"CONCLUÍDA",IF(F1135&lt;='RETRATO 2027'!$K$5,"EM ANDAMENTO","A INICIAR")))</f>
        <v>A INICIAR</v>
      </c>
    </row>
    <row r="1136" customFormat="false" ht="15" hidden="false" customHeight="false" outlineLevel="0" collapsed="false">
      <c r="B1136" s="4" t="n">
        <v>29980786</v>
      </c>
      <c r="C1136" s="4" t="s">
        <v>2434</v>
      </c>
      <c r="D1136" s="4" t="s">
        <v>463</v>
      </c>
      <c r="E1136" s="4" t="s">
        <v>2838</v>
      </c>
      <c r="F1136" s="127" t="n">
        <v>46777</v>
      </c>
      <c r="G1136" s="127" t="n">
        <v>46787</v>
      </c>
      <c r="H1136" s="127" t="n">
        <v>46289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25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27</v>
      </c>
      <c r="O1136" s="2" t="str">
        <f aca="false">IF(OR(F1136="",G1136=""),"",IF(G1136&lt;='RETRATO 2027'!$K$5,"CONCLUÍDA",IF(F1136&lt;='RETRATO 2027'!$K$5,"EM ANDAMENTO","A INICIAR")))</f>
        <v>A INICIAR</v>
      </c>
    </row>
    <row r="1137" customFormat="false" ht="15" hidden="false" customHeight="false" outlineLevel="0" collapsed="false">
      <c r="B1137" s="4" t="n">
        <v>29980779</v>
      </c>
      <c r="C1137" s="4" t="s">
        <v>2425</v>
      </c>
      <c r="D1137" s="4" t="s">
        <v>463</v>
      </c>
      <c r="E1137" s="4" t="s">
        <v>2840</v>
      </c>
      <c r="F1137" s="127" t="n">
        <v>46777</v>
      </c>
      <c r="G1137" s="127" t="n">
        <v>46787</v>
      </c>
      <c r="H1137" s="127" t="n">
        <v>46289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21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28</v>
      </c>
      <c r="O1137" s="2" t="str">
        <f aca="false">IF(OR(F1137="",G1137=""),"",IF(G1137&lt;='RETRATO 2027'!$K$5,"CONCLUÍDA",IF(F1137&lt;='RETRATO 2027'!$K$5,"EM ANDAMENTO","A INICIAR")))</f>
        <v>A INICIAR</v>
      </c>
    </row>
    <row r="1138" customFormat="false" ht="15" hidden="false" customHeight="false" outlineLevel="0" collapsed="false">
      <c r="B1138" s="4" t="n">
        <v>29980748</v>
      </c>
      <c r="C1138" s="4" t="s">
        <v>2428</v>
      </c>
      <c r="D1138" s="4" t="s">
        <v>463</v>
      </c>
      <c r="E1138" s="4" t="s">
        <v>2840</v>
      </c>
      <c r="F1138" s="127" t="n">
        <v>46777</v>
      </c>
      <c r="G1138" s="127" t="n">
        <v>46787</v>
      </c>
      <c r="H1138" s="127" t="n">
        <v>46289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20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28</v>
      </c>
      <c r="O1138" s="2" t="str">
        <f aca="false">IF(OR(F1138="",G1138=""),"",IF(G1138&lt;='RETRATO 2027'!$K$5,"CONCLUÍDA",IF(F1138&lt;='RETRATO 2027'!$K$5,"EM ANDAMENTO","A INICIAR")))</f>
        <v>A INICIAR</v>
      </c>
    </row>
    <row r="1139" customFormat="false" ht="15" hidden="false" customHeight="false" outlineLevel="0" collapsed="false">
      <c r="B1139" s="4" t="n">
        <v>29980781</v>
      </c>
      <c r="C1139" s="4" t="s">
        <v>2431</v>
      </c>
      <c r="D1139" s="4" t="s">
        <v>463</v>
      </c>
      <c r="E1139" s="4" t="s">
        <v>2840</v>
      </c>
      <c r="F1139" s="127" t="n">
        <v>46777</v>
      </c>
      <c r="G1139" s="127" t="n">
        <v>46787</v>
      </c>
      <c r="H1139" s="127" t="n">
        <v>46289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21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28</v>
      </c>
      <c r="O1139" s="2" t="str">
        <f aca="false">IF(OR(F1139="",G1139=""),"",IF(G1139&lt;='RETRATO 2027'!$K$5,"CONCLUÍDA",IF(F1139&lt;='RETRATO 2027'!$K$5,"EM ANDAMENTO","A INICIAR")))</f>
        <v>A INICIAR</v>
      </c>
    </row>
    <row r="1140" customFormat="false" ht="15" hidden="false" customHeight="false" outlineLevel="0" collapsed="false">
      <c r="B1140" s="4" t="n">
        <v>29980728</v>
      </c>
      <c r="C1140" s="4" t="s">
        <v>2422</v>
      </c>
      <c r="D1140" s="4" t="s">
        <v>463</v>
      </c>
      <c r="E1140" s="4" t="s">
        <v>2841</v>
      </c>
      <c r="F1140" s="127" t="n">
        <v>46777</v>
      </c>
      <c r="G1140" s="127" t="n">
        <v>46787</v>
      </c>
      <c r="H1140" s="127" t="n">
        <v>46289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29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29</v>
      </c>
      <c r="O1140" s="2" t="str">
        <f aca="false">IF(OR(F1140="",G1140=""),"",IF(G1140&lt;='RETRATO 2027'!$K$5,"CONCLUÍDA",IF(F1140&lt;='RETRATO 2027'!$K$5,"EM ANDAMENTO","A INICIAR")))</f>
        <v>A INICIAR</v>
      </c>
    </row>
    <row r="1141" customFormat="false" ht="15" hidden="false" customHeight="false" outlineLevel="0" collapsed="false">
      <c r="B1141" s="4" t="n">
        <v>29980694</v>
      </c>
      <c r="C1141" s="4" t="s">
        <v>2413</v>
      </c>
      <c r="D1141" s="4" t="s">
        <v>463</v>
      </c>
      <c r="E1141" s="4" t="s">
        <v>2842</v>
      </c>
      <c r="F1141" s="127" t="n">
        <v>46777</v>
      </c>
      <c r="G1141" s="127" t="n">
        <v>46787</v>
      </c>
      <c r="H1141" s="127" t="n">
        <v>46289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21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30</v>
      </c>
      <c r="O1141" s="2" t="str">
        <f aca="false">IF(OR(F1141="",G1141=""),"",IF(G1141&lt;='RETRATO 2027'!$K$5,"CONCLUÍDA",IF(F1141&lt;='RETRATO 2027'!$K$5,"EM ANDAMENTO","A INICIAR")))</f>
        <v>A INICIAR</v>
      </c>
    </row>
    <row r="1142" customFormat="false" ht="15" hidden="false" customHeight="false" outlineLevel="0" collapsed="false">
      <c r="B1142" s="4" t="n">
        <v>29980693</v>
      </c>
      <c r="C1142" s="4" t="s">
        <v>2416</v>
      </c>
      <c r="D1142" s="4" t="s">
        <v>463</v>
      </c>
      <c r="E1142" s="4" t="s">
        <v>2842</v>
      </c>
      <c r="F1142" s="127" t="n">
        <v>46779</v>
      </c>
      <c r="G1142" s="127" t="n">
        <v>46791</v>
      </c>
      <c r="H1142" s="127" t="n">
        <v>46289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18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30</v>
      </c>
      <c r="O1142" s="2" t="str">
        <f aca="false">IF(OR(F1142="",G1142=""),"",IF(G1142&lt;='RETRATO 2027'!$K$5,"CONCLUÍDA",IF(F1142&lt;='RETRATO 2027'!$K$5,"EM ANDAMENTO","A INICIAR")))</f>
        <v>A INICIAR</v>
      </c>
    </row>
    <row r="1143" customFormat="false" ht="15" hidden="false" customHeight="false" outlineLevel="0" collapsed="false">
      <c r="B1143" s="4" t="n">
        <v>30205598</v>
      </c>
      <c r="C1143" s="4" t="s">
        <v>2539</v>
      </c>
      <c r="D1143" s="4" t="s">
        <v>463</v>
      </c>
      <c r="E1143" s="4" t="s">
        <v>2828</v>
      </c>
      <c r="F1143" s="127" t="n">
        <v>46780</v>
      </c>
      <c r="G1143" s="127" t="n">
        <v>46793</v>
      </c>
      <c r="H1143" s="127" t="n">
        <v>46289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35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0</v>
      </c>
      <c r="O1143" s="2" t="str">
        <f aca="false">IF(OR(F1143="",G1143=""),"",IF(G1143&lt;='RETRATO 2027'!$K$5,"CONCLUÍDA",IF(F1143&lt;='RETRATO 2027'!$K$5,"EM ANDAMENTO","A INICIAR")))</f>
        <v>A INICIAR</v>
      </c>
    </row>
    <row r="1144" customFormat="false" ht="15" hidden="false" customHeight="false" outlineLevel="0" collapsed="false">
      <c r="B1144" s="4" t="n">
        <v>30205568</v>
      </c>
      <c r="C1144" s="4" t="s">
        <v>216</v>
      </c>
      <c r="D1144" s="4" t="s">
        <v>463</v>
      </c>
      <c r="E1144" s="4" t="s">
        <v>2830</v>
      </c>
      <c r="F1144" s="127" t="n">
        <v>46780</v>
      </c>
      <c r="G1144" s="127" t="n">
        <v>46793</v>
      </c>
      <c r="H1144" s="127" t="n">
        <v>46289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33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0</v>
      </c>
      <c r="O1144" s="2" t="str">
        <f aca="false">IF(OR(F1144="",G1144=""),"",IF(G1144&lt;='RETRATO 2027'!$K$5,"CONCLUÍDA",IF(F1144&lt;='RETRATO 2027'!$K$5,"EM ANDAMENTO","A INICIAR")))</f>
        <v>A INICIAR</v>
      </c>
    </row>
    <row r="1145" customFormat="false" ht="15" hidden="false" customHeight="false" outlineLevel="0" collapsed="false">
      <c r="B1145" s="4" t="n">
        <v>30205540</v>
      </c>
      <c r="C1145" s="4" t="s">
        <v>2501</v>
      </c>
      <c r="D1145" s="4" t="s">
        <v>463</v>
      </c>
      <c r="E1145" s="4" t="s">
        <v>2832</v>
      </c>
      <c r="F1145" s="127" t="n">
        <v>46780</v>
      </c>
      <c r="G1145" s="127" t="n">
        <v>46793</v>
      </c>
      <c r="H1145" s="127" t="n">
        <v>46289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30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0</v>
      </c>
      <c r="O1145" s="2" t="str">
        <f aca="false">IF(OR(F1145="",G1145=""),"",IF(G1145&lt;='RETRATO 2027'!$K$5,"CONCLUÍDA",IF(F1145&lt;='RETRATO 2027'!$K$5,"EM ANDAMENTO","A INICIAR")))</f>
        <v>A INICIAR</v>
      </c>
    </row>
    <row r="1146" customFormat="false" ht="15" hidden="false" customHeight="false" outlineLevel="0" collapsed="false">
      <c r="B1146" s="4" t="n">
        <v>30206136</v>
      </c>
      <c r="C1146" s="4" t="s">
        <v>2572</v>
      </c>
      <c r="D1146" s="4" t="s">
        <v>463</v>
      </c>
      <c r="E1146" s="4" t="s">
        <v>2802</v>
      </c>
      <c r="F1146" s="127" t="n">
        <v>46783</v>
      </c>
      <c r="G1146" s="127" t="n">
        <v>46801</v>
      </c>
      <c r="H1146" s="127" t="n">
        <v>46289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22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A INICIAR</v>
      </c>
    </row>
    <row r="1147" customFormat="false" ht="15" hidden="false" customHeight="false" outlineLevel="0" collapsed="false">
      <c r="B1147" s="4" t="n">
        <v>30205876</v>
      </c>
      <c r="C1147" s="4" t="s">
        <v>77</v>
      </c>
      <c r="D1147" s="4" t="s">
        <v>463</v>
      </c>
      <c r="E1147" s="4" t="s">
        <v>2845</v>
      </c>
      <c r="F1147" s="127" t="n">
        <v>46783</v>
      </c>
      <c r="G1147" s="127" t="n">
        <v>46827</v>
      </c>
      <c r="H1147" s="127" t="n">
        <v>46289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20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6</v>
      </c>
      <c r="O1147" s="2" t="str">
        <f aca="false">IF(OR(F1147="",G1147=""),"",IF(G1147&lt;='RETRATO 2027'!$K$5,"CONCLUÍDA",IF(F1147&lt;='RETRATO 2027'!$K$5,"EM ANDAMENTO","A INICIAR")))</f>
        <v>A INICIAR</v>
      </c>
    </row>
    <row r="1148" customFormat="false" ht="15" hidden="false" customHeight="false" outlineLevel="0" collapsed="false">
      <c r="B1148" s="4" t="n">
        <v>30205877</v>
      </c>
      <c r="C1148" s="4" t="s">
        <v>2505</v>
      </c>
      <c r="D1148" s="4" t="s">
        <v>463</v>
      </c>
      <c r="E1148" s="4" t="s">
        <v>2845</v>
      </c>
      <c r="F1148" s="127" t="n">
        <v>46783</v>
      </c>
      <c r="G1148" s="127" t="n">
        <v>46827</v>
      </c>
      <c r="H1148" s="127" t="n">
        <v>46289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21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6</v>
      </c>
      <c r="O1148" s="2" t="str">
        <f aca="false">IF(OR(F1148="",G1148=""),"",IF(G1148&lt;='RETRATO 2027'!$K$5,"CONCLUÍDA",IF(F1148&lt;='RETRATO 2027'!$K$5,"EM ANDAMENTO","A INICIAR")))</f>
        <v>A INICIAR</v>
      </c>
    </row>
    <row r="1149" customFormat="false" ht="15" hidden="false" customHeight="false" outlineLevel="0" collapsed="false">
      <c r="B1149" s="4" t="n">
        <v>30206121</v>
      </c>
      <c r="C1149" s="4" t="s">
        <v>2413</v>
      </c>
      <c r="D1149" s="4" t="s">
        <v>463</v>
      </c>
      <c r="E1149" s="4" t="s">
        <v>2846</v>
      </c>
      <c r="F1149" s="127" t="n">
        <v>46783</v>
      </c>
      <c r="G1149" s="127" t="n">
        <v>46794</v>
      </c>
      <c r="H1149" s="127" t="n">
        <v>46289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21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6</v>
      </c>
      <c r="O1149" s="2" t="str">
        <f aca="false">IF(OR(F1149="",G1149=""),"",IF(G1149&lt;='RETRATO 2027'!$K$5,"CONCLUÍDA",IF(F1149&lt;='RETRATO 2027'!$K$5,"EM ANDAMENTO","A INICIAR")))</f>
        <v>A INICIAR</v>
      </c>
    </row>
    <row r="1150" customFormat="false" ht="15" hidden="false" customHeight="false" outlineLevel="0" collapsed="false">
      <c r="B1150" s="4" t="n">
        <v>30206047</v>
      </c>
      <c r="C1150" s="4" t="s">
        <v>2413</v>
      </c>
      <c r="D1150" s="4" t="s">
        <v>463</v>
      </c>
      <c r="E1150" s="4" t="s">
        <v>2848</v>
      </c>
      <c r="F1150" s="127" t="n">
        <v>46783</v>
      </c>
      <c r="G1150" s="127" t="n">
        <v>46794</v>
      </c>
      <c r="H1150" s="127" t="n">
        <v>46289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21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6</v>
      </c>
      <c r="O1150" s="2" t="str">
        <f aca="false">IF(OR(F1150="",G1150=""),"",IF(G1150&lt;='RETRATO 2027'!$K$5,"CONCLUÍDA",IF(F1150&lt;='RETRATO 2027'!$K$5,"EM ANDAMENTO","A INICIAR")))</f>
        <v>A INICIAR</v>
      </c>
    </row>
    <row r="1151" customFormat="false" ht="15" hidden="false" customHeight="false" outlineLevel="0" collapsed="false">
      <c r="B1151" s="4" t="n">
        <v>30209539</v>
      </c>
      <c r="C1151" s="4" t="s">
        <v>2575</v>
      </c>
      <c r="D1151" s="4" t="s">
        <v>463</v>
      </c>
      <c r="E1151" s="4" t="s">
        <v>2848</v>
      </c>
      <c r="F1151" s="127" t="n">
        <v>46783</v>
      </c>
      <c r="G1151" s="127" t="n">
        <v>46787</v>
      </c>
      <c r="H1151" s="127" t="n">
        <v>46289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23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6</v>
      </c>
      <c r="O1151" s="2" t="str">
        <f aca="false">IF(OR(F1151="",G1151=""),"",IF(G1151&lt;='RETRATO 2027'!$K$5,"CONCLUÍDA",IF(F1151&lt;='RETRATO 2027'!$K$5,"EM ANDAMENTO","A INICIAR")))</f>
        <v>A INICIAR</v>
      </c>
    </row>
    <row r="1152" customFormat="false" ht="15" hidden="false" customHeight="false" outlineLevel="0" collapsed="false">
      <c r="B1152" s="4" t="n">
        <v>29980667</v>
      </c>
      <c r="C1152" s="4" t="s">
        <v>2410</v>
      </c>
      <c r="D1152" s="4" t="s">
        <v>463</v>
      </c>
      <c r="E1152" s="4" t="s">
        <v>2843</v>
      </c>
      <c r="F1152" s="127" t="n">
        <v>46784</v>
      </c>
      <c r="G1152" s="127" t="n">
        <v>46794</v>
      </c>
      <c r="H1152" s="127" t="n">
        <v>46289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22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31</v>
      </c>
      <c r="O1152" s="2" t="str">
        <f aca="false">IF(OR(F1152="",G1152=""),"",IF(G1152&lt;='RETRATO 2027'!$K$5,"CONCLUÍDA",IF(F1152&lt;='RETRATO 2027'!$K$5,"EM ANDAMENTO","A INICIAR")))</f>
        <v>A INICIAR</v>
      </c>
    </row>
    <row r="1153" customFormat="false" ht="15" hidden="false" customHeight="false" outlineLevel="0" collapsed="false">
      <c r="B1153" s="4" t="n">
        <v>29980618</v>
      </c>
      <c r="C1153" s="4" t="s">
        <v>168</v>
      </c>
      <c r="D1153" s="4" t="s">
        <v>463</v>
      </c>
      <c r="E1153" s="4" t="s">
        <v>2844</v>
      </c>
      <c r="F1153" s="127" t="n">
        <v>46784</v>
      </c>
      <c r="G1153" s="127" t="n">
        <v>46794</v>
      </c>
      <c r="H1153" s="127" t="n">
        <v>46289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32</v>
      </c>
      <c r="O1153" s="2" t="str">
        <f aca="false">IF(OR(F1153="",G1153=""),"",IF(G1153&lt;='RETRATO 2027'!$K$5,"CONCLUÍDA",IF(F1153&lt;='RETRATO 2027'!$K$5,"EM ANDAMENTO","A INICIAR")))</f>
        <v>A INICIAR</v>
      </c>
    </row>
    <row r="1154" customFormat="false" ht="15" hidden="false" customHeight="false" outlineLevel="0" collapsed="false">
      <c r="B1154" s="4" t="n">
        <v>30208605</v>
      </c>
      <c r="C1154" s="4" t="s">
        <v>77</v>
      </c>
      <c r="D1154" s="4" t="s">
        <v>463</v>
      </c>
      <c r="E1154" s="4" t="s">
        <v>2851</v>
      </c>
      <c r="F1154" s="127" t="n">
        <v>46785</v>
      </c>
      <c r="G1154" s="127" t="n">
        <v>46814</v>
      </c>
      <c r="H1154" s="127" t="n">
        <v>46289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20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6</v>
      </c>
      <c r="O1154" s="2" t="str">
        <f aca="false">IF(OR(F1154="",G1154=""),"",IF(G1154&lt;='RETRATO 2027'!$K$5,"CONCLUÍDA",IF(F1154&lt;='RETRATO 2027'!$K$5,"EM ANDAMENTO","A INICIAR")))</f>
        <v>A INICIAR</v>
      </c>
    </row>
    <row r="1155" customFormat="false" ht="15" hidden="false" customHeight="false" outlineLevel="0" collapsed="false">
      <c r="B1155" s="4" t="n">
        <v>30208606</v>
      </c>
      <c r="C1155" s="4" t="s">
        <v>2505</v>
      </c>
      <c r="D1155" s="4" t="s">
        <v>463</v>
      </c>
      <c r="E1155" s="4" t="s">
        <v>2851</v>
      </c>
      <c r="F1155" s="127" t="n">
        <v>46785</v>
      </c>
      <c r="G1155" s="127" t="n">
        <v>46814</v>
      </c>
      <c r="H1155" s="127" t="n">
        <v>46289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21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6</v>
      </c>
      <c r="O1155" s="2" t="str">
        <f aca="false">IF(OR(F1155="",G1155=""),"",IF(G1155&lt;='RETRATO 2027'!$K$5,"CONCLUÍDA",IF(F1155&lt;='RETRATO 2027'!$K$5,"EM ANDAMENTO","A INICIAR")))</f>
        <v>A INICIAR</v>
      </c>
    </row>
    <row r="1156" customFormat="false" ht="15" hidden="false" customHeight="false" outlineLevel="0" collapsed="false">
      <c r="B1156" s="4" t="n">
        <v>30205800</v>
      </c>
      <c r="C1156" s="4" t="s">
        <v>2480</v>
      </c>
      <c r="D1156" s="4" t="s">
        <v>463</v>
      </c>
      <c r="E1156" s="4" t="s">
        <v>2835</v>
      </c>
      <c r="F1156" s="127" t="n">
        <v>46787</v>
      </c>
      <c r="G1156" s="127" t="n">
        <v>46800</v>
      </c>
      <c r="H1156" s="127" t="n">
        <v>46289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30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0</v>
      </c>
      <c r="O1156" s="2" t="str">
        <f aca="false">IF(OR(F1156="",G1156=""),"",IF(G1156&lt;='RETRATO 2027'!$K$5,"CONCLUÍDA",IF(F1156&lt;='RETRATO 2027'!$K$5,"EM ANDAMENTO","A INICIAR")))</f>
        <v>A INICIAR</v>
      </c>
    </row>
    <row r="1157" customFormat="false" ht="15" hidden="false" customHeight="false" outlineLevel="0" collapsed="false">
      <c r="B1157" s="4" t="n">
        <v>30205820</v>
      </c>
      <c r="C1157" s="4" t="s">
        <v>2492</v>
      </c>
      <c r="D1157" s="4" t="s">
        <v>463</v>
      </c>
      <c r="E1157" s="4" t="s">
        <v>2839</v>
      </c>
      <c r="F1157" s="127" t="n">
        <v>46787</v>
      </c>
      <c r="G1157" s="127" t="n">
        <v>46800</v>
      </c>
      <c r="H1157" s="127" t="n">
        <v>46289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18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0</v>
      </c>
      <c r="O1157" s="2" t="str">
        <f aca="false">IF(OR(F1157="",G1157=""),"",IF(G1157&lt;='RETRATO 2027'!$K$5,"CONCLUÍDA",IF(F1157&lt;='RETRATO 2027'!$K$5,"EM ANDAMENTO","A INICIAR")))</f>
        <v>A INICIAR</v>
      </c>
    </row>
    <row r="1158" customFormat="false" ht="15" hidden="false" customHeight="false" outlineLevel="0" collapsed="false">
      <c r="B1158" s="4" t="n">
        <v>30205850</v>
      </c>
      <c r="C1158" s="4" t="s">
        <v>2449</v>
      </c>
      <c r="D1158" s="4" t="s">
        <v>463</v>
      </c>
      <c r="E1158" s="4" t="s">
        <v>2782</v>
      </c>
      <c r="F1158" s="127" t="n">
        <v>46787</v>
      </c>
      <c r="G1158" s="127" t="n">
        <v>46800</v>
      </c>
      <c r="H1158" s="127" t="n">
        <v>46289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28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1</v>
      </c>
      <c r="O1158" s="2" t="str">
        <f aca="false">IF(OR(F1158="",G1158=""),"",IF(G1158&lt;='RETRATO 2027'!$K$5,"CONCLUÍDA",IF(F1158&lt;='RETRATO 2027'!$K$5,"EM ANDAMENTO","A INICIAR")))</f>
        <v>A INICIAR</v>
      </c>
    </row>
    <row r="1159" customFormat="false" ht="15" hidden="false" customHeight="false" outlineLevel="0" collapsed="false">
      <c r="B1159" s="4" t="n">
        <v>30208601</v>
      </c>
      <c r="C1159" s="4" t="s">
        <v>2443</v>
      </c>
      <c r="D1159" s="4" t="s">
        <v>463</v>
      </c>
      <c r="E1159" s="4" t="s">
        <v>2782</v>
      </c>
      <c r="F1159" s="127" t="n">
        <v>46787</v>
      </c>
      <c r="G1159" s="127" t="n">
        <v>46800</v>
      </c>
      <c r="H1159" s="127" t="n">
        <v>46289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20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1</v>
      </c>
      <c r="O1159" s="2" t="str">
        <f aca="false">IF(OR(F1159="",G1159=""),"",IF(G1159&lt;='RETRATO 2027'!$K$5,"CONCLUÍDA",IF(F1159&lt;='RETRATO 2027'!$K$5,"EM ANDAMENTO","A INICIAR")))</f>
        <v>A INICIAR</v>
      </c>
    </row>
    <row r="1160" customFormat="false" ht="15" hidden="false" customHeight="false" outlineLevel="0" collapsed="false">
      <c r="B1160" s="4" t="n">
        <v>29981529</v>
      </c>
      <c r="C1160" s="4" t="s">
        <v>2578</v>
      </c>
      <c r="D1160" s="4" t="s">
        <v>463</v>
      </c>
      <c r="E1160" s="4" t="s">
        <v>2803</v>
      </c>
      <c r="F1160" s="127" t="n">
        <v>46787</v>
      </c>
      <c r="G1160" s="127" t="n">
        <v>46799</v>
      </c>
      <c r="H1160" s="127" t="n">
        <v>46289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7</v>
      </c>
      <c r="O1160" s="2" t="str">
        <f aca="false">IF(OR(F1160="",G1160=""),"",IF(G1160&lt;='RETRATO 2027'!$K$5,"CONCLUÍDA",IF(F1160&lt;='RETRATO 2027'!$K$5,"EM ANDAMENTO","A INICIAR")))</f>
        <v>A INICIAR</v>
      </c>
    </row>
    <row r="1161" customFormat="false" ht="15" hidden="false" customHeight="false" outlineLevel="0" collapsed="false">
      <c r="B1161" s="4" t="n">
        <v>29981491</v>
      </c>
      <c r="C1161" s="4" t="s">
        <v>2569</v>
      </c>
      <c r="D1161" s="4" t="s">
        <v>463</v>
      </c>
      <c r="E1161" s="4" t="s">
        <v>2804</v>
      </c>
      <c r="F1161" s="127" t="n">
        <v>46787</v>
      </c>
      <c r="G1161" s="127" t="n">
        <v>46799</v>
      </c>
      <c r="H1161" s="127" t="n">
        <v>46289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30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8</v>
      </c>
      <c r="O1161" s="2" t="str">
        <f aca="false">IF(OR(F1161="",G1161=""),"",IF(G1161&lt;='RETRATO 2027'!$K$5,"CONCLUÍDA",IF(F1161&lt;='RETRATO 2027'!$K$5,"EM ANDAMENTO","A INICIAR")))</f>
        <v>A INICIAR</v>
      </c>
    </row>
    <row r="1162" customFormat="false" ht="15" hidden="false" customHeight="false" outlineLevel="0" collapsed="false">
      <c r="B1162" s="4" t="n">
        <v>29981453</v>
      </c>
      <c r="C1162" s="4" t="s">
        <v>2554</v>
      </c>
      <c r="D1162" s="4" t="s">
        <v>463</v>
      </c>
      <c r="E1162" s="4" t="s">
        <v>2805</v>
      </c>
      <c r="F1162" s="127" t="n">
        <v>46787</v>
      </c>
      <c r="G1162" s="127" t="n">
        <v>46799</v>
      </c>
      <c r="H1162" s="127" t="n">
        <v>46289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35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9</v>
      </c>
      <c r="O1162" s="2" t="str">
        <f aca="false">IF(OR(F1162="",G1162=""),"",IF(G1162&lt;='RETRATO 2027'!$K$5,"CONCLUÍDA",IF(F1162&lt;='RETRATO 2027'!$K$5,"EM ANDAMENTO","A INICIAR")))</f>
        <v>A INICIAR</v>
      </c>
    </row>
    <row r="1163" customFormat="false" ht="15" hidden="false" customHeight="false" outlineLevel="0" collapsed="false">
      <c r="B1163" s="4" t="n">
        <v>29981442</v>
      </c>
      <c r="C1163" s="4" t="s">
        <v>2539</v>
      </c>
      <c r="D1163" s="4" t="s">
        <v>463</v>
      </c>
      <c r="E1163" s="4" t="s">
        <v>2809</v>
      </c>
      <c r="F1163" s="127" t="n">
        <v>46787</v>
      </c>
      <c r="G1163" s="127" t="n">
        <v>46799</v>
      </c>
      <c r="H1163" s="127" t="n">
        <v>46289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35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10</v>
      </c>
      <c r="O1163" s="2" t="str">
        <f aca="false">IF(OR(F1163="",G1163=""),"",IF(G1163&lt;='RETRATO 2027'!$K$5,"CONCLUÍDA",IF(F1163&lt;='RETRATO 2027'!$K$5,"EM ANDAMENTO","A INICIAR")))</f>
        <v>A INICIAR</v>
      </c>
    </row>
    <row r="1164" customFormat="false" ht="15" hidden="false" customHeight="false" outlineLevel="0" collapsed="false">
      <c r="B1164" s="4" t="n">
        <v>33898092</v>
      </c>
      <c r="C1164" s="4" t="s">
        <v>2545</v>
      </c>
      <c r="D1164" s="4" t="s">
        <v>463</v>
      </c>
      <c r="E1164" s="4" t="s">
        <v>2810</v>
      </c>
      <c r="F1164" s="127" t="n">
        <v>46787</v>
      </c>
      <c r="G1164" s="127" t="n">
        <v>46799</v>
      </c>
      <c r="H1164" s="127" t="n">
        <v>46289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25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A INICIAR</v>
      </c>
    </row>
    <row r="1165" customFormat="false" ht="15" hidden="false" customHeight="false" outlineLevel="0" collapsed="false">
      <c r="B1165" s="4" t="n">
        <v>29981255</v>
      </c>
      <c r="C1165" s="4" t="s">
        <v>216</v>
      </c>
      <c r="D1165" s="4" t="s">
        <v>463</v>
      </c>
      <c r="E1165" s="4" t="s">
        <v>2814</v>
      </c>
      <c r="F1165" s="127" t="n">
        <v>46790</v>
      </c>
      <c r="G1165" s="127" t="n">
        <v>46800</v>
      </c>
      <c r="H1165" s="127" t="n">
        <v>46289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33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15</v>
      </c>
      <c r="O1165" s="2" t="str">
        <f aca="false">IF(OR(F1165="",G1165=""),"",IF(G1165&lt;='RETRATO 2027'!$K$5,"CONCLUÍDA",IF(F1165&lt;='RETRATO 2027'!$K$5,"EM ANDAMENTO","A INICIAR")))</f>
        <v>A INICIAR</v>
      </c>
    </row>
    <row r="1166" customFormat="false" ht="15" hidden="false" customHeight="false" outlineLevel="0" collapsed="false">
      <c r="B1166" s="4" t="n">
        <v>29981216</v>
      </c>
      <c r="C1166" s="4" t="s">
        <v>2508</v>
      </c>
      <c r="D1166" s="4" t="s">
        <v>463</v>
      </c>
      <c r="E1166" s="4" t="s">
        <v>2815</v>
      </c>
      <c r="F1166" s="127" t="n">
        <v>46790</v>
      </c>
      <c r="G1166" s="127" t="n">
        <v>46800</v>
      </c>
      <c r="H1166" s="127" t="n">
        <v>46289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20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16</v>
      </c>
      <c r="O1166" s="2" t="str">
        <f aca="false">IF(OR(F1166="",G1166=""),"",IF(G1166&lt;='RETRATO 2027'!$K$5,"CONCLUÍDA",IF(F1166&lt;='RETRATO 2027'!$K$5,"EM ANDAMENTO","A INICIAR")))</f>
        <v>A INICIAR</v>
      </c>
    </row>
    <row r="1167" customFormat="false" ht="15" hidden="false" customHeight="false" outlineLevel="0" collapsed="false">
      <c r="B1167" s="4" t="n">
        <v>29981221</v>
      </c>
      <c r="C1167" s="4" t="s">
        <v>2511</v>
      </c>
      <c r="D1167" s="4" t="s">
        <v>463</v>
      </c>
      <c r="E1167" s="4" t="s">
        <v>2815</v>
      </c>
      <c r="F1167" s="127" t="n">
        <v>46790</v>
      </c>
      <c r="G1167" s="127" t="n">
        <v>46800</v>
      </c>
      <c r="H1167" s="127" t="n">
        <v>46289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16</v>
      </c>
      <c r="O1167" s="2" t="str">
        <f aca="false">IF(OR(F1167="",G1167=""),"",IF(G1167&lt;='RETRATO 2027'!$K$5,"CONCLUÍDA",IF(F1167&lt;='RETRATO 2027'!$K$5,"EM ANDAMENTO","A INICIAR")))</f>
        <v>A INICIAR</v>
      </c>
    </row>
    <row r="1168" customFormat="false" ht="15" hidden="false" customHeight="false" outlineLevel="0" collapsed="false">
      <c r="B1168" s="4" t="n">
        <v>30214078</v>
      </c>
      <c r="C1168" s="4" t="s">
        <v>2514</v>
      </c>
      <c r="D1168" s="4" t="s">
        <v>463</v>
      </c>
      <c r="E1168" s="4" t="s">
        <v>2815</v>
      </c>
      <c r="F1168" s="127" t="n">
        <v>46790</v>
      </c>
      <c r="G1168" s="127" t="n">
        <v>46801</v>
      </c>
      <c r="H1168" s="127" t="n">
        <v>46289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20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16</v>
      </c>
      <c r="O1168" s="2" t="str">
        <f aca="false">IF(OR(F1168="",G1168=""),"",IF(G1168&lt;='RETRATO 2027'!$K$5,"CONCLUÍDA",IF(F1168&lt;='RETRATO 2027'!$K$5,"EM ANDAMENTO","A INICIAR")))</f>
        <v>A INICIAR</v>
      </c>
    </row>
    <row r="1169" customFormat="false" ht="15" hidden="false" customHeight="false" outlineLevel="0" collapsed="false">
      <c r="B1169" s="4" t="n">
        <v>29981163</v>
      </c>
      <c r="C1169" s="4" t="s">
        <v>2501</v>
      </c>
      <c r="D1169" s="4" t="s">
        <v>463</v>
      </c>
      <c r="E1169" s="4" t="s">
        <v>2818</v>
      </c>
      <c r="F1169" s="127" t="n">
        <v>46790</v>
      </c>
      <c r="G1169" s="127" t="n">
        <v>46800</v>
      </c>
      <c r="H1169" s="127" t="n">
        <v>46289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30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17</v>
      </c>
      <c r="O1169" s="2" t="str">
        <f aca="false">IF(OR(F1169="",G1169=""),"",IF(G1169&lt;='RETRATO 2027'!$K$5,"CONCLUÍDA",IF(F1169&lt;='RETRATO 2027'!$K$5,"EM ANDAMENTO","A INICIAR")))</f>
        <v>A INICIAR</v>
      </c>
    </row>
    <row r="1170" customFormat="false" ht="15" hidden="false" customHeight="false" outlineLevel="0" collapsed="false">
      <c r="B1170" s="4" t="n">
        <v>29981125</v>
      </c>
      <c r="C1170" s="4" t="s">
        <v>2486</v>
      </c>
      <c r="D1170" s="4" t="s">
        <v>463</v>
      </c>
      <c r="E1170" s="4" t="s">
        <v>2820</v>
      </c>
      <c r="F1170" s="127" t="n">
        <v>46790</v>
      </c>
      <c r="G1170" s="127" t="n">
        <v>46800</v>
      </c>
      <c r="H1170" s="127" t="n">
        <v>46289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30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18</v>
      </c>
      <c r="O1170" s="2" t="str">
        <f aca="false">IF(OR(F1170="",G1170=""),"",IF(G1170&lt;='RETRATO 2027'!$K$5,"CONCLUÍDA",IF(F1170&lt;='RETRATO 2027'!$K$5,"EM ANDAMENTO","A INICIAR")))</f>
        <v>A INICIAR</v>
      </c>
    </row>
    <row r="1171" customFormat="false" ht="15" hidden="false" customHeight="false" outlineLevel="0" collapsed="false">
      <c r="B1171" s="4" t="n">
        <v>29981067</v>
      </c>
      <c r="C1171" s="4" t="s">
        <v>2480</v>
      </c>
      <c r="D1171" s="4" t="s">
        <v>463</v>
      </c>
      <c r="E1171" s="4" t="s">
        <v>2823</v>
      </c>
      <c r="F1171" s="127" t="n">
        <v>46790</v>
      </c>
      <c r="G1171" s="127" t="n">
        <v>46800</v>
      </c>
      <c r="H1171" s="127" t="n">
        <v>46289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30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20</v>
      </c>
      <c r="O1171" s="2" t="str">
        <f aca="false">IF(OR(F1171="",G1171=""),"",IF(G1171&lt;='RETRATO 2027'!$K$5,"CONCLUÍDA",IF(F1171&lt;='RETRATO 2027'!$K$5,"EM ANDAMENTO","A INICIAR")))</f>
        <v>A INICIAR</v>
      </c>
    </row>
    <row r="1172" customFormat="false" ht="15" hidden="false" customHeight="false" outlineLevel="0" collapsed="false">
      <c r="B1172" s="4" t="n">
        <v>29981028</v>
      </c>
      <c r="C1172" s="4" t="s">
        <v>171</v>
      </c>
      <c r="D1172" s="4" t="s">
        <v>463</v>
      </c>
      <c r="E1172" s="4" t="s">
        <v>2825</v>
      </c>
      <c r="F1172" s="127" t="n">
        <v>46790</v>
      </c>
      <c r="G1172" s="127" t="n">
        <v>46800</v>
      </c>
      <c r="H1172" s="127" t="n">
        <v>46289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19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21</v>
      </c>
      <c r="O1172" s="2" t="str">
        <f aca="false">IF(OR(F1172="",G1172=""),"",IF(G1172&lt;='RETRATO 2027'!$K$5,"CONCLUÍDA",IF(F1172&lt;='RETRATO 2027'!$K$5,"EM ANDAMENTO","A INICIAR")))</f>
        <v>A INICIAR</v>
      </c>
    </row>
    <row r="1173" customFormat="false" ht="15" hidden="false" customHeight="false" outlineLevel="0" collapsed="false">
      <c r="B1173" s="4" t="n">
        <v>32750448</v>
      </c>
      <c r="C1173" s="4" t="s">
        <v>2470</v>
      </c>
      <c r="D1173" s="4" t="s">
        <v>463</v>
      </c>
      <c r="E1173" s="4" t="s">
        <v>2827</v>
      </c>
      <c r="F1173" s="127" t="n">
        <v>46790</v>
      </c>
      <c r="G1173" s="127" t="n">
        <v>46800</v>
      </c>
      <c r="H1173" s="127" t="n">
        <v>46289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18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22</v>
      </c>
      <c r="O1173" s="2" t="str">
        <f aca="false">IF(OR(F1173="",G1173=""),"",IF(G1173&lt;='RETRATO 2027'!$K$5,"CONCLUÍDA",IF(F1173&lt;='RETRATO 2027'!$K$5,"EM ANDAMENTO","A INICIAR")))</f>
        <v>A INICIAR</v>
      </c>
    </row>
    <row r="1174" customFormat="false" ht="15" hidden="false" customHeight="false" outlineLevel="0" collapsed="false">
      <c r="B1174" s="4" t="n">
        <v>32750371</v>
      </c>
      <c r="C1174" s="4" t="s">
        <v>2458</v>
      </c>
      <c r="D1174" s="4" t="s">
        <v>463</v>
      </c>
      <c r="E1174" s="4" t="s">
        <v>2829</v>
      </c>
      <c r="F1174" s="127" t="n">
        <v>46790</v>
      </c>
      <c r="G1174" s="127" t="n">
        <v>46800</v>
      </c>
      <c r="H1174" s="127" t="n">
        <v>46289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21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23</v>
      </c>
      <c r="O1174" s="2" t="str">
        <f aca="false">IF(OR(F1174="",G1174=""),"",IF(G1174&lt;='RETRATO 2027'!$K$5,"CONCLUÍDA",IF(F1174&lt;='RETRATO 2027'!$K$5,"EM ANDAMENTO","A INICIAR")))</f>
        <v>A INICIAR</v>
      </c>
    </row>
    <row r="1175" customFormat="false" ht="15" hidden="false" customHeight="false" outlineLevel="0" collapsed="false">
      <c r="B1175" s="4" t="n">
        <v>32750397</v>
      </c>
      <c r="C1175" s="4" t="s">
        <v>2461</v>
      </c>
      <c r="D1175" s="4" t="s">
        <v>463</v>
      </c>
      <c r="E1175" s="4" t="s">
        <v>2829</v>
      </c>
      <c r="F1175" s="127" t="n">
        <v>46790</v>
      </c>
      <c r="G1175" s="127" t="n">
        <v>46800</v>
      </c>
      <c r="H1175" s="127" t="n">
        <v>46289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20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23</v>
      </c>
      <c r="O1175" s="2" t="str">
        <f aca="false">IF(OR(F1175="",G1175=""),"",IF(G1175&lt;='RETRATO 2027'!$K$5,"CONCLUÍDA",IF(F1175&lt;='RETRATO 2027'!$K$5,"EM ANDAMENTO","A INICIAR")))</f>
        <v>A INICIAR</v>
      </c>
    </row>
    <row r="1176" customFormat="false" ht="15" hidden="false" customHeight="false" outlineLevel="0" collapsed="false">
      <c r="B1176" s="4" t="n">
        <v>32750423</v>
      </c>
      <c r="C1176" s="4" t="s">
        <v>2464</v>
      </c>
      <c r="D1176" s="4" t="s">
        <v>463</v>
      </c>
      <c r="E1176" s="4" t="s">
        <v>2829</v>
      </c>
      <c r="F1176" s="127" t="n">
        <v>46790</v>
      </c>
      <c r="G1176" s="127" t="n">
        <v>46800</v>
      </c>
      <c r="H1176" s="127" t="n">
        <v>46289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21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23</v>
      </c>
      <c r="O1176" s="2" t="str">
        <f aca="false">IF(OR(F1176="",G1176=""),"",IF(G1176&lt;='RETRATO 2027'!$K$5,"CONCLUÍDA",IF(F1176&lt;='RETRATO 2027'!$K$5,"EM ANDAMENTO","A INICIAR")))</f>
        <v>A INICIAR</v>
      </c>
    </row>
    <row r="1177" customFormat="false" ht="15" hidden="false" customHeight="false" outlineLevel="0" collapsed="false">
      <c r="B1177" s="4" t="n">
        <v>33896841</v>
      </c>
      <c r="C1177" s="4" t="s">
        <v>2467</v>
      </c>
      <c r="D1177" s="4" t="s">
        <v>463</v>
      </c>
      <c r="E1177" s="4" t="s">
        <v>2829</v>
      </c>
      <c r="F1177" s="127" t="n">
        <v>46790</v>
      </c>
      <c r="G1177" s="127" t="n">
        <v>46800</v>
      </c>
      <c r="H1177" s="127" t="n">
        <v>46289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23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23</v>
      </c>
      <c r="O1177" s="2" t="str">
        <f aca="false">IF(OR(F1177="",G1177=""),"",IF(G1177&lt;='RETRATO 2027'!$K$5,"CONCLUÍDA",IF(F1177&lt;='RETRATO 2027'!$K$5,"EM ANDAMENTO","A INICIAR")))</f>
        <v>A INICIAR</v>
      </c>
    </row>
    <row r="1178" customFormat="false" ht="15" hidden="false" customHeight="false" outlineLevel="0" collapsed="false">
      <c r="B1178" s="4" t="n">
        <v>32749867</v>
      </c>
      <c r="C1178" s="4" t="s">
        <v>2455</v>
      </c>
      <c r="D1178" s="4" t="s">
        <v>463</v>
      </c>
      <c r="E1178" s="4" t="s">
        <v>2831</v>
      </c>
      <c r="F1178" s="127" t="n">
        <v>46790</v>
      </c>
      <c r="G1178" s="127" t="n">
        <v>46800</v>
      </c>
      <c r="H1178" s="127" t="n">
        <v>46289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18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24</v>
      </c>
      <c r="O1178" s="2" t="str">
        <f aca="false">IF(OR(F1178="",G1178=""),"",IF(G1178&lt;='RETRATO 2027'!$K$5,"CONCLUÍDA",IF(F1178&lt;='RETRATO 2027'!$K$5,"EM ANDAMENTO","A INICIAR")))</f>
        <v>A INICIAR</v>
      </c>
    </row>
    <row r="1179" customFormat="false" ht="15" hidden="false" customHeight="false" outlineLevel="0" collapsed="false">
      <c r="B1179" s="4" t="n">
        <v>29980881</v>
      </c>
      <c r="C1179" s="4" t="s">
        <v>2449</v>
      </c>
      <c r="D1179" s="4" t="s">
        <v>463</v>
      </c>
      <c r="E1179" s="4" t="s">
        <v>2833</v>
      </c>
      <c r="F1179" s="127" t="n">
        <v>46790</v>
      </c>
      <c r="G1179" s="127" t="n">
        <v>46800</v>
      </c>
      <c r="H1179" s="127" t="n">
        <v>46289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28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25</v>
      </c>
      <c r="O1179" s="2" t="str">
        <f aca="false">IF(OR(F1179="",G1179=""),"",IF(G1179&lt;='RETRATO 2027'!$K$5,"CONCLUÍDA",IF(F1179&lt;='RETRATO 2027'!$K$5,"EM ANDAMENTO","A INICIAR")))</f>
        <v>A INICIAR</v>
      </c>
    </row>
    <row r="1180" customFormat="false" ht="15" hidden="false" customHeight="false" outlineLevel="0" collapsed="false">
      <c r="B1180" s="4" t="n">
        <v>29980821</v>
      </c>
      <c r="C1180" s="4" t="s">
        <v>2440</v>
      </c>
      <c r="D1180" s="4" t="s">
        <v>463</v>
      </c>
      <c r="E1180" s="4" t="s">
        <v>2834</v>
      </c>
      <c r="F1180" s="127" t="n">
        <v>46790</v>
      </c>
      <c r="G1180" s="127" t="n">
        <v>46800</v>
      </c>
      <c r="H1180" s="127" t="n">
        <v>46289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21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26</v>
      </c>
      <c r="O1180" s="2" t="str">
        <f aca="false">IF(OR(F1180="",G1180=""),"",IF(G1180&lt;='RETRATO 2027'!$K$5,"CONCLUÍDA",IF(F1180&lt;='RETRATO 2027'!$K$5,"EM ANDAMENTO","A INICIAR")))</f>
        <v>A INICIAR</v>
      </c>
    </row>
    <row r="1181" customFormat="false" ht="15" hidden="false" customHeight="false" outlineLevel="0" collapsed="false">
      <c r="B1181" s="4" t="n">
        <v>29980854</v>
      </c>
      <c r="C1181" s="4" t="s">
        <v>2443</v>
      </c>
      <c r="D1181" s="4" t="s">
        <v>463</v>
      </c>
      <c r="E1181" s="4" t="s">
        <v>2834</v>
      </c>
      <c r="F1181" s="127" t="n">
        <v>46790</v>
      </c>
      <c r="G1181" s="127" t="n">
        <v>46800</v>
      </c>
      <c r="H1181" s="127" t="n">
        <v>46289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20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26</v>
      </c>
      <c r="O1181" s="2" t="str">
        <f aca="false">IF(OR(F1181="",G1181=""),"",IF(G1181&lt;='RETRATO 2027'!$K$5,"CONCLUÍDA",IF(F1181&lt;='RETRATO 2027'!$K$5,"EM ANDAMENTO","A INICIAR")))</f>
        <v>A INICIAR</v>
      </c>
    </row>
    <row r="1182" customFormat="false" ht="15" hidden="false" customHeight="false" outlineLevel="0" collapsed="false">
      <c r="B1182" s="4" t="n">
        <v>29980783</v>
      </c>
      <c r="C1182" s="4" t="s">
        <v>2437</v>
      </c>
      <c r="D1182" s="4" t="s">
        <v>463</v>
      </c>
      <c r="E1182" s="4" t="s">
        <v>2838</v>
      </c>
      <c r="F1182" s="127" t="n">
        <v>46790</v>
      </c>
      <c r="G1182" s="127" t="n">
        <v>46800</v>
      </c>
      <c r="H1182" s="127" t="n">
        <v>46289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29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27</v>
      </c>
      <c r="O1182" s="2" t="str">
        <f aca="false">IF(OR(F1182="",G1182=""),"",IF(G1182&lt;='RETRATO 2027'!$K$5,"CONCLUÍDA",IF(F1182&lt;='RETRATO 2027'!$K$5,"EM ANDAMENTO","A INICIAR")))</f>
        <v>A INICIAR</v>
      </c>
    </row>
    <row r="1183" customFormat="false" ht="15" hidden="false" customHeight="false" outlineLevel="0" collapsed="false">
      <c r="B1183" s="4" t="n">
        <v>29980749</v>
      </c>
      <c r="C1183" s="4" t="s">
        <v>2434</v>
      </c>
      <c r="D1183" s="4" t="s">
        <v>463</v>
      </c>
      <c r="E1183" s="4" t="s">
        <v>2840</v>
      </c>
      <c r="F1183" s="127" t="n">
        <v>46790</v>
      </c>
      <c r="G1183" s="127" t="n">
        <v>46800</v>
      </c>
      <c r="H1183" s="127" t="n">
        <v>46289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25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28</v>
      </c>
      <c r="O1183" s="2" t="str">
        <f aca="false">IF(OR(F1183="",G1183=""),"",IF(G1183&lt;='RETRATO 2027'!$K$5,"CONCLUÍDA",IF(F1183&lt;='RETRATO 2027'!$K$5,"EM ANDAMENTO","A INICIAR")))</f>
        <v>A INICIAR</v>
      </c>
    </row>
    <row r="1184" customFormat="false" ht="15" hidden="false" customHeight="false" outlineLevel="0" collapsed="false">
      <c r="B1184" s="4" t="n">
        <v>29980742</v>
      </c>
      <c r="C1184" s="4" t="s">
        <v>2425</v>
      </c>
      <c r="D1184" s="4" t="s">
        <v>463</v>
      </c>
      <c r="E1184" s="4" t="s">
        <v>2841</v>
      </c>
      <c r="F1184" s="127" t="n">
        <v>46790</v>
      </c>
      <c r="G1184" s="127" t="n">
        <v>46800</v>
      </c>
      <c r="H1184" s="127" t="n">
        <v>46289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21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29</v>
      </c>
      <c r="O1184" s="2" t="str">
        <f aca="false">IF(OR(F1184="",G1184=""),"",IF(G1184&lt;='RETRATO 2027'!$K$5,"CONCLUÍDA",IF(F1184&lt;='RETRATO 2027'!$K$5,"EM ANDAMENTO","A INICIAR")))</f>
        <v>A INICIAR</v>
      </c>
    </row>
    <row r="1185" customFormat="false" ht="15" hidden="false" customHeight="false" outlineLevel="0" collapsed="false">
      <c r="B1185" s="4" t="n">
        <v>29980711</v>
      </c>
      <c r="C1185" s="4" t="s">
        <v>2428</v>
      </c>
      <c r="D1185" s="4" t="s">
        <v>463</v>
      </c>
      <c r="E1185" s="4" t="s">
        <v>2841</v>
      </c>
      <c r="F1185" s="127" t="n">
        <v>46790</v>
      </c>
      <c r="G1185" s="127" t="n">
        <v>46800</v>
      </c>
      <c r="H1185" s="127" t="n">
        <v>46289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29</v>
      </c>
      <c r="O1185" s="2" t="str">
        <f aca="false">IF(OR(F1185="",G1185=""),"",IF(G1185&lt;='RETRATO 2027'!$K$5,"CONCLUÍDA",IF(F1185&lt;='RETRATO 2027'!$K$5,"EM ANDAMENTO","A INICIAR")))</f>
        <v>A INICIAR</v>
      </c>
    </row>
    <row r="1186" customFormat="false" ht="15" hidden="false" customHeight="false" outlineLevel="0" collapsed="false">
      <c r="B1186" s="4" t="n">
        <v>29980744</v>
      </c>
      <c r="C1186" s="4" t="s">
        <v>2431</v>
      </c>
      <c r="D1186" s="4" t="s">
        <v>463</v>
      </c>
      <c r="E1186" s="4" t="s">
        <v>2841</v>
      </c>
      <c r="F1186" s="127" t="n">
        <v>46790</v>
      </c>
      <c r="G1186" s="127" t="n">
        <v>46800</v>
      </c>
      <c r="H1186" s="127" t="n">
        <v>46289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21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29</v>
      </c>
      <c r="O1186" s="2" t="str">
        <f aca="false">IF(OR(F1186="",G1186=""),"",IF(G1186&lt;='RETRATO 2027'!$K$5,"CONCLUÍDA",IF(F1186&lt;='RETRATO 2027'!$K$5,"EM ANDAMENTO","A INICIAR")))</f>
        <v>A INICIAR</v>
      </c>
    </row>
    <row r="1187" customFormat="false" ht="15" hidden="false" customHeight="false" outlineLevel="0" collapsed="false">
      <c r="B1187" s="4" t="n">
        <v>29980691</v>
      </c>
      <c r="C1187" s="4" t="s">
        <v>2422</v>
      </c>
      <c r="D1187" s="4" t="s">
        <v>463</v>
      </c>
      <c r="E1187" s="4" t="s">
        <v>2842</v>
      </c>
      <c r="F1187" s="127" t="n">
        <v>46790</v>
      </c>
      <c r="G1187" s="127" t="n">
        <v>46800</v>
      </c>
      <c r="H1187" s="127" t="n">
        <v>46289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29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30</v>
      </c>
      <c r="O1187" s="2" t="str">
        <f aca="false">IF(OR(F1187="",G1187=""),"",IF(G1187&lt;='RETRATO 2027'!$K$5,"CONCLUÍDA",IF(F1187&lt;='RETRATO 2027'!$K$5,"EM ANDAMENTO","A INICIAR")))</f>
        <v>A INICIAR</v>
      </c>
    </row>
    <row r="1188" customFormat="false" ht="15" hidden="false" customHeight="false" outlineLevel="0" collapsed="false">
      <c r="B1188" s="4" t="n">
        <v>29980657</v>
      </c>
      <c r="C1188" s="4" t="s">
        <v>2413</v>
      </c>
      <c r="D1188" s="4" t="s">
        <v>463</v>
      </c>
      <c r="E1188" s="4" t="s">
        <v>2843</v>
      </c>
      <c r="F1188" s="127" t="n">
        <v>46790</v>
      </c>
      <c r="G1188" s="127" t="n">
        <v>46800</v>
      </c>
      <c r="H1188" s="127" t="n">
        <v>46289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21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31</v>
      </c>
      <c r="O1188" s="2" t="str">
        <f aca="false">IF(OR(F1188="",G1188=""),"",IF(G1188&lt;='RETRATO 2027'!$K$5,"CONCLUÍDA",IF(F1188&lt;='RETRATO 2027'!$K$5,"EM ANDAMENTO","A INICIAR")))</f>
        <v>A INICIAR</v>
      </c>
    </row>
    <row r="1189" customFormat="false" ht="15" hidden="false" customHeight="false" outlineLevel="0" collapsed="false">
      <c r="B1189" s="4" t="n">
        <v>30206120</v>
      </c>
      <c r="C1189" s="4" t="s">
        <v>2416</v>
      </c>
      <c r="D1189" s="4" t="s">
        <v>463</v>
      </c>
      <c r="E1189" s="4" t="s">
        <v>2846</v>
      </c>
      <c r="F1189" s="127" t="n">
        <v>46791</v>
      </c>
      <c r="G1189" s="127" t="n">
        <v>46804</v>
      </c>
      <c r="H1189" s="127" t="n">
        <v>46289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18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6</v>
      </c>
      <c r="O1189" s="2" t="str">
        <f aca="false">IF(OR(F1189="",G1189=""),"",IF(G1189&lt;='RETRATO 2027'!$K$5,"CONCLUÍDA",IF(F1189&lt;='RETRATO 2027'!$K$5,"EM ANDAMENTO","A INICIAR")))</f>
        <v>A INICIAR</v>
      </c>
    </row>
    <row r="1190" customFormat="false" ht="15" hidden="false" customHeight="false" outlineLevel="0" collapsed="false">
      <c r="B1190" s="4" t="n">
        <v>29980656</v>
      </c>
      <c r="C1190" s="4" t="s">
        <v>2416</v>
      </c>
      <c r="D1190" s="4" t="s">
        <v>463</v>
      </c>
      <c r="E1190" s="4" t="s">
        <v>2843</v>
      </c>
      <c r="F1190" s="127" t="n">
        <v>46792</v>
      </c>
      <c r="G1190" s="127" t="n">
        <v>46804</v>
      </c>
      <c r="H1190" s="127" t="n">
        <v>46289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18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31</v>
      </c>
      <c r="O1190" s="2" t="str">
        <f aca="false">IF(OR(F1190="",G1190=""),"",IF(G1190&lt;='RETRATO 2027'!$K$5,"CONCLUÍDA",IF(F1190&lt;='RETRATO 2027'!$K$5,"EM ANDAMENTO","A INICIAR")))</f>
        <v>A INICIAR</v>
      </c>
    </row>
    <row r="1191" customFormat="false" ht="15" hidden="false" customHeight="false" outlineLevel="0" collapsed="false">
      <c r="B1191" s="4" t="n">
        <v>30205571</v>
      </c>
      <c r="C1191" s="4" t="s">
        <v>2539</v>
      </c>
      <c r="D1191" s="4" t="s">
        <v>463</v>
      </c>
      <c r="E1191" s="4" t="s">
        <v>2830</v>
      </c>
      <c r="F1191" s="127" t="n">
        <v>46794</v>
      </c>
      <c r="G1191" s="127" t="n">
        <v>46807</v>
      </c>
      <c r="H1191" s="127" t="n">
        <v>46289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35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0</v>
      </c>
      <c r="O1191" s="2" t="str">
        <f aca="false">IF(OR(F1191="",G1191=""),"",IF(G1191&lt;='RETRATO 2027'!$K$5,"CONCLUÍDA",IF(F1191&lt;='RETRATO 2027'!$K$5,"EM ANDAMENTO","A INICIAR")))</f>
        <v>A INICIAR</v>
      </c>
    </row>
    <row r="1192" customFormat="false" ht="15" hidden="false" customHeight="false" outlineLevel="0" collapsed="false">
      <c r="B1192" s="4" t="n">
        <v>30205541</v>
      </c>
      <c r="C1192" s="4" t="s">
        <v>216</v>
      </c>
      <c r="D1192" s="4" t="s">
        <v>463</v>
      </c>
      <c r="E1192" s="4" t="s">
        <v>2832</v>
      </c>
      <c r="F1192" s="127" t="n">
        <v>46794</v>
      </c>
      <c r="G1192" s="127" t="n">
        <v>46807</v>
      </c>
      <c r="H1192" s="127" t="n">
        <v>46289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33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0</v>
      </c>
      <c r="O1192" s="2" t="str">
        <f aca="false">IF(OR(F1192="",G1192=""),"",IF(G1192&lt;='RETRATO 2027'!$K$5,"CONCLUÍDA",IF(F1192&lt;='RETRATO 2027'!$K$5,"EM ANDAMENTO","A INICIAR")))</f>
        <v>A INICIAR</v>
      </c>
    </row>
    <row r="1193" customFormat="false" ht="15" hidden="false" customHeight="false" outlineLevel="0" collapsed="false">
      <c r="B1193" s="4" t="n">
        <v>30171514</v>
      </c>
      <c r="C1193" s="4" t="s">
        <v>2581</v>
      </c>
      <c r="D1193" s="4" t="s">
        <v>463</v>
      </c>
      <c r="E1193" s="4" t="s">
        <v>2817</v>
      </c>
      <c r="F1193" s="127" t="n">
        <v>46794</v>
      </c>
      <c r="G1193" s="127" t="n">
        <v>47143</v>
      </c>
      <c r="H1193" s="127" t="n">
        <v>46289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/>
      </c>
      <c r="N1193" s="2" t="str">
        <f aca="false"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 t="str">
        <f aca="false">IF(OR(F1193="",G1193=""),"",IF(G1193&lt;='RETRATO 2027'!$K$5,"CONCLUÍDA",IF(F1193&lt;='RETRATO 2027'!$K$5,"EM ANDAMENTO","A INICIAR")))</f>
        <v>A INICIAR</v>
      </c>
    </row>
    <row r="1194" customFormat="false" ht="15" hidden="false" customHeight="false" outlineLevel="0" collapsed="false">
      <c r="B1194" s="4" t="n">
        <v>30171507</v>
      </c>
      <c r="C1194" s="4" t="s">
        <v>2584</v>
      </c>
      <c r="D1194" s="4" t="s">
        <v>463</v>
      </c>
      <c r="E1194" s="4" t="s">
        <v>2817</v>
      </c>
      <c r="F1194" s="127" t="n">
        <v>46794</v>
      </c>
      <c r="G1194" s="127" t="n">
        <v>47143</v>
      </c>
      <c r="H1194" s="127" t="n">
        <v>46289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20</v>
      </c>
      <c r="N1194" s="2" t="str">
        <f aca="false"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 t="str">
        <f aca="false">IF(OR(F1194="",G1194=""),"",IF(G1194&lt;='RETRATO 2027'!$K$5,"CONCLUÍDA",IF(F1194&lt;='RETRATO 2027'!$K$5,"EM ANDAMENTO","A INICIAR")))</f>
        <v>A INICIAR</v>
      </c>
    </row>
    <row r="1195" customFormat="false" ht="15" hidden="false" customHeight="false" outlineLevel="0" collapsed="false">
      <c r="B1195" s="4" t="n">
        <v>30206118</v>
      </c>
      <c r="C1195" s="4" t="s">
        <v>2422</v>
      </c>
      <c r="D1195" s="4" t="s">
        <v>463</v>
      </c>
      <c r="E1195" s="4" t="s">
        <v>2846</v>
      </c>
      <c r="F1195" s="127" t="n">
        <v>46797</v>
      </c>
      <c r="G1195" s="127" t="n">
        <v>46808</v>
      </c>
      <c r="H1195" s="127" t="n">
        <v>46289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29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6</v>
      </c>
      <c r="O1195" s="2" t="str">
        <f aca="false">IF(OR(F1195="",G1195=""),"",IF(G1195&lt;='RETRATO 2027'!$K$5,"CONCLUÍDA",IF(F1195&lt;='RETRATO 2027'!$K$5,"EM ANDAMENTO","A INICIAR")))</f>
        <v>A INICIAR</v>
      </c>
    </row>
    <row r="1196" customFormat="false" ht="15" hidden="false" customHeight="false" outlineLevel="0" collapsed="false">
      <c r="B1196" s="4" t="n">
        <v>30206084</v>
      </c>
      <c r="C1196" s="4" t="s">
        <v>2413</v>
      </c>
      <c r="D1196" s="4" t="s">
        <v>463</v>
      </c>
      <c r="E1196" s="4" t="s">
        <v>2847</v>
      </c>
      <c r="F1196" s="127" t="n">
        <v>46797</v>
      </c>
      <c r="G1196" s="127" t="n">
        <v>46808</v>
      </c>
      <c r="H1196" s="127" t="n">
        <v>46289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21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6</v>
      </c>
      <c r="O1196" s="2" t="str">
        <f aca="false">IF(OR(F1196="",G1196=""),"",IF(G1196&lt;='RETRATO 2027'!$K$5,"CONCLUÍDA",IF(F1196&lt;='RETRATO 2027'!$K$5,"EM ANDAMENTO","A INICIAR")))</f>
        <v>A INICIAR</v>
      </c>
    </row>
    <row r="1197" customFormat="false" ht="15" hidden="false" customHeight="false" outlineLevel="0" collapsed="false">
      <c r="B1197" s="4" t="n">
        <v>30206010</v>
      </c>
      <c r="C1197" s="4" t="s">
        <v>2413</v>
      </c>
      <c r="D1197" s="4" t="s">
        <v>463</v>
      </c>
      <c r="E1197" s="4" t="s">
        <v>2849</v>
      </c>
      <c r="F1197" s="127" t="n">
        <v>46797</v>
      </c>
      <c r="G1197" s="127" t="n">
        <v>46808</v>
      </c>
      <c r="H1197" s="127" t="n">
        <v>46289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21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6</v>
      </c>
      <c r="O1197" s="2" t="str">
        <f aca="false">IF(OR(F1197="",G1197=""),"",IF(G1197&lt;='RETRATO 2027'!$K$5,"CONCLUÍDA",IF(F1197&lt;='RETRATO 2027'!$K$5,"EM ANDAMENTO","A INICIAR")))</f>
        <v>A INICIAR</v>
      </c>
    </row>
    <row r="1198" customFormat="false" ht="15" hidden="false" customHeight="false" outlineLevel="0" collapsed="false">
      <c r="B1198" s="4" t="n">
        <v>30171513</v>
      </c>
      <c r="C1198" s="4" t="s">
        <v>2587</v>
      </c>
      <c r="D1198" s="4" t="s">
        <v>463</v>
      </c>
      <c r="E1198" s="4" t="s">
        <v>2817</v>
      </c>
      <c r="F1198" s="127" t="n">
        <v>46797</v>
      </c>
      <c r="G1198" s="127" t="n">
        <v>47134</v>
      </c>
      <c r="H1198" s="127" t="n">
        <v>46289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26</v>
      </c>
      <c r="N1198" s="2" t="str">
        <f aca="false"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 t="str">
        <f aca="false">IF(OR(F1198="",G1198=""),"",IF(G1198&lt;='RETRATO 2027'!$K$5,"CONCLUÍDA",IF(F1198&lt;='RETRATO 2027'!$K$5,"EM ANDAMENTO","A INICIAR")))</f>
        <v>A INICIAR</v>
      </c>
    </row>
    <row r="1199" customFormat="false" ht="15" hidden="false" customHeight="false" outlineLevel="0" collapsed="false">
      <c r="B1199" s="4" t="n">
        <v>30171515</v>
      </c>
      <c r="C1199" s="4" t="s">
        <v>2590</v>
      </c>
      <c r="D1199" s="4" t="s">
        <v>463</v>
      </c>
      <c r="E1199" s="4" t="s">
        <v>2817</v>
      </c>
      <c r="F1199" s="127" t="n">
        <v>46797</v>
      </c>
      <c r="G1199" s="127" t="n">
        <v>47134</v>
      </c>
      <c r="H1199" s="127" t="n">
        <v>46289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27</v>
      </c>
      <c r="N1199" s="2" t="str">
        <f aca="false"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 t="str">
        <f aca="false">IF(OR(F1199="",G1199=""),"",IF(G1199&lt;='RETRATO 2027'!$K$5,"CONCLUÍDA",IF(F1199&lt;='RETRATO 2027'!$K$5,"EM ANDAMENTO","A INICIAR")))</f>
        <v>A INICIAR</v>
      </c>
    </row>
    <row r="1200" customFormat="false" ht="15" hidden="false" customHeight="false" outlineLevel="0" collapsed="false">
      <c r="B1200" s="4" t="n">
        <v>29980630</v>
      </c>
      <c r="C1200" s="4" t="s">
        <v>2410</v>
      </c>
      <c r="D1200" s="4" t="s">
        <v>463</v>
      </c>
      <c r="E1200" s="4" t="s">
        <v>2844</v>
      </c>
      <c r="F1200" s="127" t="n">
        <v>46797</v>
      </c>
      <c r="G1200" s="127" t="n">
        <v>46807</v>
      </c>
      <c r="H1200" s="127" t="n">
        <v>46289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22</v>
      </c>
      <c r="N1200" s="2" t="n">
        <f aca="false">IF(E1200="","",IF(ISNUMBER(SEARCH("SUBSOLO",E1200)),IFERROR(-VALUE(LEFT(E1200,FIND("º",SUBSTITUTE(E1200,"°","º"))-1)),-1),IF(LEFT(E1200,6)="TÉRREO",0,IFERROR(VALUE(LEFT(E1200,FIND("º",SUBSTITUTE(E1200,"°","º"))-1)),""))))</f>
        <v>32</v>
      </c>
      <c r="O1200" s="2" t="str">
        <f aca="false">IF(OR(F1200="",G1200=""),"",IF(G1200&lt;='RETRATO 2027'!$K$5,"CONCLUÍDA",IF(F1200&lt;='RETRATO 2027'!$K$5,"EM ANDAMENTO","A INICIAR")))</f>
        <v>A INICIAR</v>
      </c>
    </row>
    <row r="1201" customFormat="false" ht="15" hidden="false" customHeight="false" outlineLevel="0" collapsed="false">
      <c r="B1201" s="4" t="n">
        <v>30210365</v>
      </c>
      <c r="C1201" s="4" t="s">
        <v>2593</v>
      </c>
      <c r="D1201" s="4" t="s">
        <v>463</v>
      </c>
      <c r="E1201" s="4" t="s">
        <v>186</v>
      </c>
      <c r="F1201" s="127" t="n">
        <v>46797</v>
      </c>
      <c r="G1201" s="127" t="n">
        <v>46891</v>
      </c>
      <c r="H1201" s="127" t="n">
        <v>46289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24</v>
      </c>
      <c r="N1201" s="2" t="str">
        <f aca="false"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 t="str">
        <f aca="false">IF(OR(F1201="",G1201=""),"",IF(G1201&lt;='RETRATO 2027'!$K$5,"CONCLUÍDA",IF(F1201&lt;='RETRATO 2027'!$K$5,"EM ANDAMENTO","A INICIAR")))</f>
        <v>A INICIAR</v>
      </c>
    </row>
    <row r="1202" customFormat="false" ht="15" hidden="false" customHeight="false" outlineLevel="0" collapsed="false">
      <c r="B1202" s="4" t="n">
        <v>31790050</v>
      </c>
      <c r="C1202" s="4" t="s">
        <v>2596</v>
      </c>
      <c r="D1202" s="4" t="s">
        <v>463</v>
      </c>
      <c r="E1202" s="4" t="s">
        <v>2678</v>
      </c>
      <c r="F1202" s="127" t="n">
        <v>46797</v>
      </c>
      <c r="G1202" s="127" t="n">
        <v>46822</v>
      </c>
      <c r="H1202" s="127" t="n">
        <v>46289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32</v>
      </c>
      <c r="N1202" s="2" t="str">
        <f aca="false"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 t="str">
        <f aca="false">IF(OR(F1202="",G1202=""),"",IF(G1202&lt;='RETRATO 2027'!$K$5,"CONCLUÍDA",IF(F1202&lt;='RETRATO 2027'!$K$5,"EM ANDAMENTO","A INICIAR")))</f>
        <v>A INICIAR</v>
      </c>
    </row>
    <row r="1203" customFormat="false" ht="15" hidden="false" customHeight="false" outlineLevel="0" collapsed="false">
      <c r="B1203" s="4" t="n">
        <v>30205698</v>
      </c>
      <c r="C1203" s="4" t="s">
        <v>2545</v>
      </c>
      <c r="D1203" s="4" t="s">
        <v>463</v>
      </c>
      <c r="E1203" s="4" t="s">
        <v>2819</v>
      </c>
      <c r="F1203" s="127" t="n">
        <v>46799</v>
      </c>
      <c r="G1203" s="127" t="n">
        <v>46826</v>
      </c>
      <c r="H1203" s="127" t="n">
        <v>46289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25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0</v>
      </c>
      <c r="O1203" s="2" t="str">
        <f aca="false">IF(OR(F1203="",G1203=""),"",IF(G1203&lt;='RETRATO 2027'!$K$5,"CONCLUÍDA",IF(F1203&lt;='RETRATO 2027'!$K$5,"EM ANDAMENTO","A INICIAR")))</f>
        <v>A INICIAR</v>
      </c>
    </row>
    <row r="1204" customFormat="false" ht="15" hidden="false" customHeight="false" outlineLevel="0" collapsed="false">
      <c r="B1204" s="4" t="n">
        <v>30205671</v>
      </c>
      <c r="C1204" s="4" t="s">
        <v>2545</v>
      </c>
      <c r="D1204" s="4" t="s">
        <v>463</v>
      </c>
      <c r="E1204" s="4" t="s">
        <v>2821</v>
      </c>
      <c r="F1204" s="127" t="n">
        <v>46799</v>
      </c>
      <c r="G1204" s="127" t="n">
        <v>46826</v>
      </c>
      <c r="H1204" s="127" t="n">
        <v>46289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25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0</v>
      </c>
      <c r="O1204" s="2" t="str">
        <f aca="false">IF(OR(F1204="",G1204=""),"",IF(G1204&lt;='RETRATO 2027'!$K$5,"CONCLUÍDA",IF(F1204&lt;='RETRATO 2027'!$K$5,"EM ANDAMENTO","A INICIAR")))</f>
        <v>A INICIAR</v>
      </c>
    </row>
    <row r="1205" customFormat="false" ht="15" hidden="false" customHeight="false" outlineLevel="0" collapsed="false">
      <c r="B1205" s="4" t="n">
        <v>30205644</v>
      </c>
      <c r="C1205" s="4" t="s">
        <v>2545</v>
      </c>
      <c r="D1205" s="4" t="s">
        <v>463</v>
      </c>
      <c r="E1205" s="4" t="s">
        <v>2824</v>
      </c>
      <c r="F1205" s="127" t="n">
        <v>46799</v>
      </c>
      <c r="G1205" s="127" t="n">
        <v>46826</v>
      </c>
      <c r="H1205" s="127" t="n">
        <v>46289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25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0</v>
      </c>
      <c r="O1205" s="2" t="str">
        <f aca="false">IF(OR(F1205="",G1205=""),"",IF(G1205&lt;='RETRATO 2027'!$K$5,"CONCLUÍDA",IF(F1205&lt;='RETRATO 2027'!$K$5,"EM ANDAMENTO","A INICIAR")))</f>
        <v>A INICIAR</v>
      </c>
    </row>
    <row r="1206" customFormat="false" ht="15" hidden="false" customHeight="false" outlineLevel="0" collapsed="false">
      <c r="B1206" s="4" t="n">
        <v>30205617</v>
      </c>
      <c r="C1206" s="4" t="s">
        <v>2545</v>
      </c>
      <c r="D1206" s="4" t="s">
        <v>463</v>
      </c>
      <c r="E1206" s="4" t="s">
        <v>2826</v>
      </c>
      <c r="F1206" s="127" t="n">
        <v>46799</v>
      </c>
      <c r="G1206" s="127" t="n">
        <v>46826</v>
      </c>
      <c r="H1206" s="127" t="n">
        <v>46289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25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0</v>
      </c>
      <c r="O1206" s="2" t="str">
        <f aca="false">IF(OR(F1206="",G1206=""),"",IF(G1206&lt;='RETRATO 2027'!$K$5,"CONCLUÍDA",IF(F1206&lt;='RETRATO 2027'!$K$5,"EM ANDAMENTO","A INICIAR")))</f>
        <v>A INICIAR</v>
      </c>
    </row>
    <row r="1207" customFormat="false" ht="15" hidden="false" customHeight="false" outlineLevel="0" collapsed="false">
      <c r="B1207" s="4" t="n">
        <v>30205590</v>
      </c>
      <c r="C1207" s="4" t="s">
        <v>2545</v>
      </c>
      <c r="D1207" s="4" t="s">
        <v>463</v>
      </c>
      <c r="E1207" s="4" t="s">
        <v>2828</v>
      </c>
      <c r="F1207" s="127" t="n">
        <v>46799</v>
      </c>
      <c r="G1207" s="127" t="n">
        <v>46826</v>
      </c>
      <c r="H1207" s="127" t="n">
        <v>46289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25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0</v>
      </c>
      <c r="O1207" s="2" t="str">
        <f aca="false">IF(OR(F1207="",G1207=""),"",IF(G1207&lt;='RETRATO 2027'!$K$5,"CONCLUÍDA",IF(F1207&lt;='RETRATO 2027'!$K$5,"EM ANDAMENTO","A INICIAR")))</f>
        <v>A INICIAR</v>
      </c>
    </row>
    <row r="1208" customFormat="false" ht="15" hidden="false" customHeight="false" outlineLevel="0" collapsed="false">
      <c r="B1208" s="4" t="n">
        <v>29981530</v>
      </c>
      <c r="C1208" s="4" t="s">
        <v>2599</v>
      </c>
      <c r="D1208" s="4" t="s">
        <v>463</v>
      </c>
      <c r="E1208" s="4" t="s">
        <v>2803</v>
      </c>
      <c r="F1208" s="127" t="n">
        <v>46800</v>
      </c>
      <c r="G1208" s="127" t="n">
        <v>46812</v>
      </c>
      <c r="H1208" s="127" t="n">
        <v>46289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30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7</v>
      </c>
      <c r="O1208" s="2" t="str">
        <f aca="false">IF(OR(F1208="",G1208=""),"",IF(G1208&lt;='RETRATO 2027'!$K$5,"CONCLUÍDA",IF(F1208&lt;='RETRATO 2027'!$K$5,"EM ANDAMENTO","A INICIAR")))</f>
        <v>A INICIAR</v>
      </c>
    </row>
    <row r="1209" customFormat="false" ht="15" hidden="false" customHeight="false" outlineLevel="0" collapsed="false">
      <c r="B1209" s="4" t="n">
        <v>29981492</v>
      </c>
      <c r="C1209" s="4" t="s">
        <v>2578</v>
      </c>
      <c r="D1209" s="4" t="s">
        <v>463</v>
      </c>
      <c r="E1209" s="4" t="s">
        <v>2804</v>
      </c>
      <c r="F1209" s="127" t="n">
        <v>46800</v>
      </c>
      <c r="G1209" s="127" t="n">
        <v>46812</v>
      </c>
      <c r="H1209" s="127" t="n">
        <v>46289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25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8</v>
      </c>
      <c r="O1209" s="2" t="str">
        <f aca="false">IF(OR(F1209="",G1209=""),"",IF(G1209&lt;='RETRATO 2027'!$K$5,"CONCLUÍDA",IF(F1209&lt;='RETRATO 2027'!$K$5,"EM ANDAMENTO","A INICIAR")))</f>
        <v>A INICIAR</v>
      </c>
    </row>
    <row r="1210" customFormat="false" ht="15" hidden="false" customHeight="false" outlineLevel="0" collapsed="false">
      <c r="B1210" s="4" t="n">
        <v>29981454</v>
      </c>
      <c r="C1210" s="4" t="s">
        <v>2569</v>
      </c>
      <c r="D1210" s="4" t="s">
        <v>463</v>
      </c>
      <c r="E1210" s="4" t="s">
        <v>2805</v>
      </c>
      <c r="F1210" s="127" t="n">
        <v>46800</v>
      </c>
      <c r="G1210" s="127" t="n">
        <v>46812</v>
      </c>
      <c r="H1210" s="127" t="n">
        <v>46289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30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9</v>
      </c>
      <c r="O1210" s="2" t="str">
        <f aca="false">IF(OR(F1210="",G1210=""),"",IF(G1210&lt;='RETRATO 2027'!$K$5,"CONCLUÍDA",IF(F1210&lt;='RETRATO 2027'!$K$5,"EM ANDAMENTO","A INICIAR")))</f>
        <v>A INICIAR</v>
      </c>
    </row>
    <row r="1211" customFormat="false" ht="15" hidden="false" customHeight="false" outlineLevel="0" collapsed="false">
      <c r="B1211" s="4" t="n">
        <v>29981416</v>
      </c>
      <c r="C1211" s="4" t="s">
        <v>2554</v>
      </c>
      <c r="D1211" s="4" t="s">
        <v>463</v>
      </c>
      <c r="E1211" s="4" t="s">
        <v>2809</v>
      </c>
      <c r="F1211" s="127" t="n">
        <v>46800</v>
      </c>
      <c r="G1211" s="127" t="n">
        <v>46812</v>
      </c>
      <c r="H1211" s="127" t="n">
        <v>46289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35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10</v>
      </c>
      <c r="O1211" s="2" t="str">
        <f aca="false">IF(OR(F1211="",G1211=""),"",IF(G1211&lt;='RETRATO 2027'!$K$5,"CONCLUÍDA",IF(F1211&lt;='RETRATO 2027'!$K$5,"EM ANDAMENTO","A INICIAR")))</f>
        <v>A INICIAR</v>
      </c>
    </row>
    <row r="1212" customFormat="false" ht="15" hidden="false" customHeight="false" outlineLevel="0" collapsed="false">
      <c r="B1212" s="4" t="n">
        <v>29981405</v>
      </c>
      <c r="C1212" s="4" t="s">
        <v>2539</v>
      </c>
      <c r="D1212" s="4" t="s">
        <v>463</v>
      </c>
      <c r="E1212" s="4" t="s">
        <v>2810</v>
      </c>
      <c r="F1212" s="127" t="n">
        <v>46800</v>
      </c>
      <c r="G1212" s="127" t="n">
        <v>46812</v>
      </c>
      <c r="H1212" s="127" t="n">
        <v>46289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35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11</v>
      </c>
      <c r="O1212" s="2" t="str">
        <f aca="false">IF(OR(F1212="",G1212=""),"",IF(G1212&lt;='RETRATO 2027'!$K$5,"CONCLUÍDA",IF(F1212&lt;='RETRATO 2027'!$K$5,"EM ANDAMENTO","A INICIAR")))</f>
        <v>A INICIAR</v>
      </c>
    </row>
    <row r="1213" customFormat="false" ht="15" hidden="false" customHeight="false" outlineLevel="0" collapsed="false">
      <c r="B1213" s="4" t="n">
        <v>33898093</v>
      </c>
      <c r="C1213" s="4" t="s">
        <v>2545</v>
      </c>
      <c r="D1213" s="4" t="s">
        <v>463</v>
      </c>
      <c r="E1213" s="4" t="s">
        <v>2811</v>
      </c>
      <c r="F1213" s="127" t="n">
        <v>46800</v>
      </c>
      <c r="G1213" s="127" t="n">
        <v>46812</v>
      </c>
      <c r="H1213" s="127" t="n">
        <v>46289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25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12</v>
      </c>
      <c r="O1213" s="2" t="str">
        <f aca="false">IF(OR(F1213="",G1213=""),"",IF(G1213&lt;='RETRATO 2027'!$K$5,"CONCLUÍDA",IF(F1213&lt;='RETRATO 2027'!$K$5,"EM ANDAMENTO","A INICIAR")))</f>
        <v>A INICIAR</v>
      </c>
    </row>
    <row r="1214" customFormat="false" ht="15" hidden="false" customHeight="false" outlineLevel="0" collapsed="false">
      <c r="B1214" s="4" t="n">
        <v>30205796</v>
      </c>
      <c r="C1214" s="4" t="s">
        <v>2486</v>
      </c>
      <c r="D1214" s="4" t="s">
        <v>463</v>
      </c>
      <c r="E1214" s="4" t="s">
        <v>2835</v>
      </c>
      <c r="F1214" s="127" t="n">
        <v>46801</v>
      </c>
      <c r="G1214" s="127" t="n">
        <v>46821</v>
      </c>
      <c r="H1214" s="127" t="n">
        <v>46289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30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0</v>
      </c>
      <c r="O1214" s="2" t="str">
        <f aca="false">IF(OR(F1214="",G1214=""),"",IF(G1214&lt;='RETRATO 2027'!$K$5,"CONCLUÍDA",IF(F1214&lt;='RETRATO 2027'!$K$5,"EM ANDAMENTO","A INICIAR")))</f>
        <v>A INICIAR</v>
      </c>
    </row>
    <row r="1215" customFormat="false" ht="15" hidden="false" customHeight="false" outlineLevel="0" collapsed="false">
      <c r="B1215" s="4" t="n">
        <v>30205851</v>
      </c>
      <c r="C1215" s="4" t="s">
        <v>2492</v>
      </c>
      <c r="D1215" s="4" t="s">
        <v>463</v>
      </c>
      <c r="E1215" s="4" t="s">
        <v>2782</v>
      </c>
      <c r="F1215" s="127" t="n">
        <v>46801</v>
      </c>
      <c r="G1215" s="127" t="n">
        <v>46814</v>
      </c>
      <c r="H1215" s="127" t="n">
        <v>46289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18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</v>
      </c>
      <c r="O1215" s="2" t="str">
        <f aca="false">IF(OR(F1215="",G1215=""),"",IF(G1215&lt;='RETRATO 2027'!$K$5,"CONCLUÍDA",IF(F1215&lt;='RETRATO 2027'!$K$5,"EM ANDAMENTO","A INICIAR")))</f>
        <v>A INICIAR</v>
      </c>
    </row>
    <row r="1216" customFormat="false" ht="15" hidden="false" customHeight="false" outlineLevel="0" collapsed="false">
      <c r="B1216" s="4" t="n">
        <v>29981218</v>
      </c>
      <c r="C1216" s="4" t="s">
        <v>216</v>
      </c>
      <c r="D1216" s="4" t="s">
        <v>463</v>
      </c>
      <c r="E1216" s="4" t="s">
        <v>2815</v>
      </c>
      <c r="F1216" s="127" t="n">
        <v>46801</v>
      </c>
      <c r="G1216" s="127" t="n">
        <v>46813</v>
      </c>
      <c r="H1216" s="127" t="n">
        <v>46289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33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16</v>
      </c>
      <c r="O1216" s="2" t="str">
        <f aca="false">IF(OR(F1216="",G1216=""),"",IF(G1216&lt;='RETRATO 2027'!$K$5,"CONCLUÍDA",IF(F1216&lt;='RETRATO 2027'!$K$5,"EM ANDAMENTO","A INICIAR")))</f>
        <v>A INICIAR</v>
      </c>
    </row>
    <row r="1217" customFormat="false" ht="15" hidden="false" customHeight="false" outlineLevel="0" collapsed="false">
      <c r="B1217" s="4" t="n">
        <v>29981179</v>
      </c>
      <c r="C1217" s="4" t="s">
        <v>2508</v>
      </c>
      <c r="D1217" s="4" t="s">
        <v>463</v>
      </c>
      <c r="E1217" s="4" t="s">
        <v>2818</v>
      </c>
      <c r="F1217" s="127" t="n">
        <v>46801</v>
      </c>
      <c r="G1217" s="127" t="n">
        <v>46813</v>
      </c>
      <c r="H1217" s="127" t="n">
        <v>46289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20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17</v>
      </c>
      <c r="O1217" s="2" t="str">
        <f aca="false">IF(OR(F1217="",G1217=""),"",IF(G1217&lt;='RETRATO 2027'!$K$5,"CONCLUÍDA",IF(F1217&lt;='RETRATO 2027'!$K$5,"EM ANDAMENTO","A INICIAR")))</f>
        <v>A INICIAR</v>
      </c>
    </row>
    <row r="1218" customFormat="false" ht="15" hidden="false" customHeight="false" outlineLevel="0" collapsed="false">
      <c r="B1218" s="4" t="n">
        <v>29981184</v>
      </c>
      <c r="C1218" s="4" t="s">
        <v>2511</v>
      </c>
      <c r="D1218" s="4" t="s">
        <v>463</v>
      </c>
      <c r="E1218" s="4" t="s">
        <v>2818</v>
      </c>
      <c r="F1218" s="127" t="n">
        <v>46801</v>
      </c>
      <c r="G1218" s="127" t="n">
        <v>46813</v>
      </c>
      <c r="H1218" s="127" t="n">
        <v>46289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20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17</v>
      </c>
      <c r="O1218" s="2" t="str">
        <f aca="false">IF(OR(F1218="",G1218=""),"",IF(G1218&lt;='RETRATO 2027'!$K$5,"CONCLUÍDA",IF(F1218&lt;='RETRATO 2027'!$K$5,"EM ANDAMENTO","A INICIAR")))</f>
        <v>A INICIAR</v>
      </c>
    </row>
    <row r="1219" customFormat="false" ht="15" hidden="false" customHeight="false" outlineLevel="0" collapsed="false">
      <c r="B1219" s="4" t="n">
        <v>30214079</v>
      </c>
      <c r="C1219" s="4" t="s">
        <v>2514</v>
      </c>
      <c r="D1219" s="4" t="s">
        <v>463</v>
      </c>
      <c r="E1219" s="4" t="s">
        <v>2818</v>
      </c>
      <c r="F1219" s="127" t="n">
        <v>46801</v>
      </c>
      <c r="G1219" s="127" t="n">
        <v>46814</v>
      </c>
      <c r="H1219" s="127" t="n">
        <v>46289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20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17</v>
      </c>
      <c r="O1219" s="2" t="str">
        <f aca="false">IF(OR(F1219="",G1219=""),"",IF(G1219&lt;='RETRATO 2027'!$K$5,"CONCLUÍDA",IF(F1219&lt;='RETRATO 2027'!$K$5,"EM ANDAMENTO","A INICIAR")))</f>
        <v>A INICIAR</v>
      </c>
    </row>
    <row r="1220" customFormat="false" ht="15" hidden="false" customHeight="false" outlineLevel="0" collapsed="false">
      <c r="B1220" s="4" t="n">
        <v>29981126</v>
      </c>
      <c r="C1220" s="4" t="s">
        <v>2501</v>
      </c>
      <c r="D1220" s="4" t="s">
        <v>463</v>
      </c>
      <c r="E1220" s="4" t="s">
        <v>2820</v>
      </c>
      <c r="F1220" s="127" t="n">
        <v>46801</v>
      </c>
      <c r="G1220" s="127" t="n">
        <v>46813</v>
      </c>
      <c r="H1220" s="127" t="n">
        <v>46289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30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18</v>
      </c>
      <c r="O1220" s="2" t="str">
        <f aca="false">IF(OR(F1220="",G1220=""),"",IF(G1220&lt;='RETRATO 2027'!$K$5,"CONCLUÍDA",IF(F1220&lt;='RETRATO 2027'!$K$5,"EM ANDAMENTO","A INICIAR")))</f>
        <v>A INICIAR</v>
      </c>
    </row>
    <row r="1221" customFormat="false" ht="15" hidden="false" customHeight="false" outlineLevel="0" collapsed="false">
      <c r="B1221" s="4" t="n">
        <v>29981051</v>
      </c>
      <c r="C1221" s="4" t="s">
        <v>2486</v>
      </c>
      <c r="D1221" s="4" t="s">
        <v>463</v>
      </c>
      <c r="E1221" s="4" t="s">
        <v>2823</v>
      </c>
      <c r="F1221" s="127" t="n">
        <v>46801</v>
      </c>
      <c r="G1221" s="127" t="n">
        <v>46813</v>
      </c>
      <c r="H1221" s="127" t="n">
        <v>46289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30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20</v>
      </c>
      <c r="O1221" s="2" t="str">
        <f aca="false">IF(OR(F1221="",G1221=""),"",IF(G1221&lt;='RETRATO 2027'!$K$5,"CONCLUÍDA",IF(F1221&lt;='RETRATO 2027'!$K$5,"EM ANDAMENTO","A INICIAR")))</f>
        <v>A INICIAR</v>
      </c>
    </row>
    <row r="1222" customFormat="false" ht="15" hidden="false" customHeight="false" outlineLevel="0" collapsed="false">
      <c r="B1222" s="4" t="n">
        <v>29981030</v>
      </c>
      <c r="C1222" s="4" t="s">
        <v>2480</v>
      </c>
      <c r="D1222" s="4" t="s">
        <v>463</v>
      </c>
      <c r="E1222" s="4" t="s">
        <v>2825</v>
      </c>
      <c r="F1222" s="127" t="n">
        <v>46801</v>
      </c>
      <c r="G1222" s="127" t="n">
        <v>46813</v>
      </c>
      <c r="H1222" s="127" t="n">
        <v>46289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21</v>
      </c>
      <c r="O1222" s="2" t="str">
        <f aca="false">IF(OR(F1222="",G1222=""),"",IF(G1222&lt;='RETRATO 2027'!$K$5,"CONCLUÍDA",IF(F1222&lt;='RETRATO 2027'!$K$5,"EM ANDAMENTO","A INICIAR")))</f>
        <v>A INICIAR</v>
      </c>
    </row>
    <row r="1223" customFormat="false" ht="15" hidden="false" customHeight="false" outlineLevel="0" collapsed="false">
      <c r="B1223" s="4" t="n">
        <v>29980991</v>
      </c>
      <c r="C1223" s="4" t="s">
        <v>171</v>
      </c>
      <c r="D1223" s="4" t="s">
        <v>463</v>
      </c>
      <c r="E1223" s="4" t="s">
        <v>2827</v>
      </c>
      <c r="F1223" s="127" t="n">
        <v>46801</v>
      </c>
      <c r="G1223" s="127" t="n">
        <v>46813</v>
      </c>
      <c r="H1223" s="127" t="n">
        <v>46289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19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22</v>
      </c>
      <c r="O1223" s="2" t="str">
        <f aca="false">IF(OR(F1223="",G1223=""),"",IF(G1223&lt;='RETRATO 2027'!$K$5,"CONCLUÍDA",IF(F1223&lt;='RETRATO 2027'!$K$5,"EM ANDAMENTO","A INICIAR")))</f>
        <v>A INICIAR</v>
      </c>
    </row>
    <row r="1224" customFormat="false" ht="15" hidden="false" customHeight="false" outlineLevel="0" collapsed="false">
      <c r="B1224" s="4" t="n">
        <v>32750449</v>
      </c>
      <c r="C1224" s="4" t="s">
        <v>2470</v>
      </c>
      <c r="D1224" s="4" t="s">
        <v>463</v>
      </c>
      <c r="E1224" s="4" t="s">
        <v>2829</v>
      </c>
      <c r="F1224" s="127" t="n">
        <v>46801</v>
      </c>
      <c r="G1224" s="127" t="n">
        <v>46813</v>
      </c>
      <c r="H1224" s="127" t="n">
        <v>46289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18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23</v>
      </c>
      <c r="O1224" s="2" t="str">
        <f aca="false">IF(OR(F1224="",G1224=""),"",IF(G1224&lt;='RETRATO 2027'!$K$5,"CONCLUÍDA",IF(F1224&lt;='RETRATO 2027'!$K$5,"EM ANDAMENTO","A INICIAR")))</f>
        <v>A INICIAR</v>
      </c>
    </row>
    <row r="1225" customFormat="false" ht="15" hidden="false" customHeight="false" outlineLevel="0" collapsed="false">
      <c r="B1225" s="4" t="n">
        <v>32750372</v>
      </c>
      <c r="C1225" s="4" t="s">
        <v>2458</v>
      </c>
      <c r="D1225" s="4" t="s">
        <v>463</v>
      </c>
      <c r="E1225" s="4" t="s">
        <v>2831</v>
      </c>
      <c r="F1225" s="127" t="n">
        <v>46801</v>
      </c>
      <c r="G1225" s="127" t="n">
        <v>46813</v>
      </c>
      <c r="H1225" s="127" t="n">
        <v>46289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21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24</v>
      </c>
      <c r="O1225" s="2" t="str">
        <f aca="false">IF(OR(F1225="",G1225=""),"",IF(G1225&lt;='RETRATO 2027'!$K$5,"CONCLUÍDA",IF(F1225&lt;='RETRATO 2027'!$K$5,"EM ANDAMENTO","A INICIAR")))</f>
        <v>A INICIAR</v>
      </c>
    </row>
    <row r="1226" customFormat="false" ht="15" hidden="false" customHeight="false" outlineLevel="0" collapsed="false">
      <c r="B1226" s="4" t="n">
        <v>32750398</v>
      </c>
      <c r="C1226" s="4" t="s">
        <v>2461</v>
      </c>
      <c r="D1226" s="4" t="s">
        <v>463</v>
      </c>
      <c r="E1226" s="4" t="s">
        <v>2831</v>
      </c>
      <c r="F1226" s="127" t="n">
        <v>46801</v>
      </c>
      <c r="G1226" s="127" t="n">
        <v>46813</v>
      </c>
      <c r="H1226" s="127" t="n">
        <v>46289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20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24</v>
      </c>
      <c r="O1226" s="2" t="str">
        <f aca="false">IF(OR(F1226="",G1226=""),"",IF(G1226&lt;='RETRATO 2027'!$K$5,"CONCLUÍDA",IF(F1226&lt;='RETRATO 2027'!$K$5,"EM ANDAMENTO","A INICIAR")))</f>
        <v>A INICIAR</v>
      </c>
    </row>
    <row r="1227" customFormat="false" ht="15" hidden="false" customHeight="false" outlineLevel="0" collapsed="false">
      <c r="B1227" s="4" t="n">
        <v>32750424</v>
      </c>
      <c r="C1227" s="4" t="s">
        <v>2464</v>
      </c>
      <c r="D1227" s="4" t="s">
        <v>463</v>
      </c>
      <c r="E1227" s="4" t="s">
        <v>2831</v>
      </c>
      <c r="F1227" s="127" t="n">
        <v>46801</v>
      </c>
      <c r="G1227" s="127" t="n">
        <v>46813</v>
      </c>
      <c r="H1227" s="127" t="n">
        <v>46289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21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24</v>
      </c>
      <c r="O1227" s="2" t="str">
        <f aca="false">IF(OR(F1227="",G1227=""),"",IF(G1227&lt;='RETRATO 2027'!$K$5,"CONCLUÍDA",IF(F1227&lt;='RETRATO 2027'!$K$5,"EM ANDAMENTO","A INICIAR")))</f>
        <v>A INICIAR</v>
      </c>
    </row>
    <row r="1228" customFormat="false" ht="15" hidden="false" customHeight="false" outlineLevel="0" collapsed="false">
      <c r="B1228" s="4" t="n">
        <v>33896842</v>
      </c>
      <c r="C1228" s="4" t="s">
        <v>2467</v>
      </c>
      <c r="D1228" s="4" t="s">
        <v>463</v>
      </c>
      <c r="E1228" s="4" t="s">
        <v>2831</v>
      </c>
      <c r="F1228" s="127" t="n">
        <v>46801</v>
      </c>
      <c r="G1228" s="127" t="n">
        <v>46813</v>
      </c>
      <c r="H1228" s="127" t="n">
        <v>46289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23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24</v>
      </c>
      <c r="O1228" s="2" t="str">
        <f aca="false">IF(OR(F1228="",G1228=""),"",IF(G1228&lt;='RETRATO 2027'!$K$5,"CONCLUÍDA",IF(F1228&lt;='RETRATO 2027'!$K$5,"EM ANDAMENTO","A INICIAR")))</f>
        <v>A INICIAR</v>
      </c>
    </row>
    <row r="1229" customFormat="false" ht="15" hidden="false" customHeight="false" outlineLevel="0" collapsed="false">
      <c r="B1229" s="4" t="n">
        <v>32749868</v>
      </c>
      <c r="C1229" s="4" t="s">
        <v>2455</v>
      </c>
      <c r="D1229" s="4" t="s">
        <v>463</v>
      </c>
      <c r="E1229" s="4" t="s">
        <v>2833</v>
      </c>
      <c r="F1229" s="127" t="n">
        <v>46801</v>
      </c>
      <c r="G1229" s="127" t="n">
        <v>46813</v>
      </c>
      <c r="H1229" s="127" t="n">
        <v>46289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18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25</v>
      </c>
      <c r="O1229" s="2" t="str">
        <f aca="false">IF(OR(F1229="",G1229=""),"",IF(G1229&lt;='RETRATO 2027'!$K$5,"CONCLUÍDA",IF(F1229&lt;='RETRATO 2027'!$K$5,"EM ANDAMENTO","A INICIAR")))</f>
        <v>A INICIAR</v>
      </c>
    </row>
    <row r="1230" customFormat="false" ht="15" hidden="false" customHeight="false" outlineLevel="0" collapsed="false">
      <c r="B1230" s="4" t="n">
        <v>29980844</v>
      </c>
      <c r="C1230" s="4" t="s">
        <v>2449</v>
      </c>
      <c r="D1230" s="4" t="s">
        <v>463</v>
      </c>
      <c r="E1230" s="4" t="s">
        <v>2834</v>
      </c>
      <c r="F1230" s="127" t="n">
        <v>46801</v>
      </c>
      <c r="G1230" s="127" t="n">
        <v>46813</v>
      </c>
      <c r="H1230" s="127" t="n">
        <v>46289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28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26</v>
      </c>
      <c r="O1230" s="2" t="str">
        <f aca="false">IF(OR(F1230="",G1230=""),"",IF(G1230&lt;='RETRATO 2027'!$K$5,"CONCLUÍDA",IF(F1230&lt;='RETRATO 2027'!$K$5,"EM ANDAMENTO","A INICIAR")))</f>
        <v>A INICIAR</v>
      </c>
    </row>
    <row r="1231" customFormat="false" ht="15" hidden="false" customHeight="false" outlineLevel="0" collapsed="false">
      <c r="B1231" s="4" t="n">
        <v>29980784</v>
      </c>
      <c r="C1231" s="4" t="s">
        <v>2440</v>
      </c>
      <c r="D1231" s="4" t="s">
        <v>463</v>
      </c>
      <c r="E1231" s="4" t="s">
        <v>2838</v>
      </c>
      <c r="F1231" s="127" t="n">
        <v>46801</v>
      </c>
      <c r="G1231" s="127" t="n">
        <v>46813</v>
      </c>
      <c r="H1231" s="127" t="n">
        <v>46289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21</v>
      </c>
      <c r="N1231" s="2" t="n">
        <f aca="false">IF(E1231="","",IF(ISNUMBER(SEARCH("SUBSOLO",E1231)),IFERROR(-VALUE(LEFT(E1231,FIND("º",SUBSTITUTE(E1231,"°","º"))-1)),-1),IF(LEFT(E1231,6)="TÉRREO",0,IFERROR(VALUE(LEFT(E1231,FIND("º",SUBSTITUTE(E1231,"°","º"))-1)),""))))</f>
        <v>27</v>
      </c>
      <c r="O1231" s="2" t="str">
        <f aca="false">IF(OR(F1231="",G1231=""),"",IF(G1231&lt;='RETRATO 2027'!$K$5,"CONCLUÍDA",IF(F1231&lt;='RETRATO 2027'!$K$5,"EM ANDAMENTO","A INICIAR")))</f>
        <v>A INICIAR</v>
      </c>
    </row>
    <row r="1232" customFormat="false" ht="15" hidden="false" customHeight="false" outlineLevel="0" collapsed="false">
      <c r="B1232" s="4" t="n">
        <v>29980817</v>
      </c>
      <c r="C1232" s="4" t="s">
        <v>2443</v>
      </c>
      <c r="D1232" s="4" t="s">
        <v>463</v>
      </c>
      <c r="E1232" s="4" t="s">
        <v>2838</v>
      </c>
      <c r="F1232" s="127" t="n">
        <v>46801</v>
      </c>
      <c r="G1232" s="127" t="n">
        <v>46813</v>
      </c>
      <c r="H1232" s="127" t="n">
        <v>46289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20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27</v>
      </c>
      <c r="O1232" s="2" t="str">
        <f aca="false">IF(OR(F1232="",G1232=""),"",IF(G1232&lt;='RETRATO 2027'!$K$5,"CONCLUÍDA",IF(F1232&lt;='RETRATO 2027'!$K$5,"EM ANDAMENTO","A INICIAR")))</f>
        <v>A INICIAR</v>
      </c>
    </row>
    <row r="1233" customFormat="false" ht="15" hidden="false" customHeight="false" outlineLevel="0" collapsed="false">
      <c r="B1233" s="4" t="n">
        <v>29980746</v>
      </c>
      <c r="C1233" s="4" t="s">
        <v>2437</v>
      </c>
      <c r="D1233" s="4" t="s">
        <v>463</v>
      </c>
      <c r="E1233" s="4" t="s">
        <v>2840</v>
      </c>
      <c r="F1233" s="127" t="n">
        <v>46801</v>
      </c>
      <c r="G1233" s="127" t="n">
        <v>46813</v>
      </c>
      <c r="H1233" s="127" t="n">
        <v>46289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29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28</v>
      </c>
      <c r="O1233" s="2" t="str">
        <f aca="false">IF(OR(F1233="",G1233=""),"",IF(G1233&lt;='RETRATO 2027'!$K$5,"CONCLUÍDA",IF(F1233&lt;='RETRATO 2027'!$K$5,"EM ANDAMENTO","A INICIAR")))</f>
        <v>A INICIAR</v>
      </c>
    </row>
    <row r="1234" customFormat="false" ht="15" hidden="false" customHeight="false" outlineLevel="0" collapsed="false">
      <c r="B1234" s="4" t="n">
        <v>29980712</v>
      </c>
      <c r="C1234" s="4" t="s">
        <v>2434</v>
      </c>
      <c r="D1234" s="4" t="s">
        <v>463</v>
      </c>
      <c r="E1234" s="4" t="s">
        <v>2841</v>
      </c>
      <c r="F1234" s="127" t="n">
        <v>46801</v>
      </c>
      <c r="G1234" s="127" t="n">
        <v>46813</v>
      </c>
      <c r="H1234" s="127" t="n">
        <v>46289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29</v>
      </c>
      <c r="O1234" s="2" t="str">
        <f aca="false">IF(OR(F1234="",G1234=""),"",IF(G1234&lt;='RETRATO 2027'!$K$5,"CONCLUÍDA",IF(F1234&lt;='RETRATO 2027'!$K$5,"EM ANDAMENTO","A INICIAR")))</f>
        <v>A INICIAR</v>
      </c>
    </row>
    <row r="1235" customFormat="false" ht="15" hidden="false" customHeight="false" outlineLevel="0" collapsed="false">
      <c r="B1235" s="4" t="n">
        <v>29980705</v>
      </c>
      <c r="C1235" s="4" t="s">
        <v>2425</v>
      </c>
      <c r="D1235" s="4" t="s">
        <v>463</v>
      </c>
      <c r="E1235" s="4" t="s">
        <v>2842</v>
      </c>
      <c r="F1235" s="127" t="n">
        <v>46801</v>
      </c>
      <c r="G1235" s="127" t="n">
        <v>46813</v>
      </c>
      <c r="H1235" s="127" t="n">
        <v>46289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21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30</v>
      </c>
      <c r="O1235" s="2" t="str">
        <f aca="false">IF(OR(F1235="",G1235=""),"",IF(G1235&lt;='RETRATO 2027'!$K$5,"CONCLUÍDA",IF(F1235&lt;='RETRATO 2027'!$K$5,"EM ANDAMENTO","A INICIAR")))</f>
        <v>A INICIAR</v>
      </c>
    </row>
    <row r="1236" customFormat="false" ht="15" hidden="false" customHeight="false" outlineLevel="0" collapsed="false">
      <c r="B1236" s="4" t="n">
        <v>29980674</v>
      </c>
      <c r="C1236" s="4" t="s">
        <v>2428</v>
      </c>
      <c r="D1236" s="4" t="s">
        <v>463</v>
      </c>
      <c r="E1236" s="4" t="s">
        <v>2842</v>
      </c>
      <c r="F1236" s="127" t="n">
        <v>46801</v>
      </c>
      <c r="G1236" s="127" t="n">
        <v>46813</v>
      </c>
      <c r="H1236" s="127" t="n">
        <v>46289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20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30</v>
      </c>
      <c r="O1236" s="2" t="str">
        <f aca="false">IF(OR(F1236="",G1236=""),"",IF(G1236&lt;='RETRATO 2027'!$K$5,"CONCLUÍDA",IF(F1236&lt;='RETRATO 2027'!$K$5,"EM ANDAMENTO","A INICIAR")))</f>
        <v>A INICIAR</v>
      </c>
    </row>
    <row r="1237" customFormat="false" ht="15" hidden="false" customHeight="false" outlineLevel="0" collapsed="false">
      <c r="B1237" s="4" t="n">
        <v>29980707</v>
      </c>
      <c r="C1237" s="4" t="s">
        <v>2431</v>
      </c>
      <c r="D1237" s="4" t="s">
        <v>463</v>
      </c>
      <c r="E1237" s="4" t="s">
        <v>2842</v>
      </c>
      <c r="F1237" s="127" t="n">
        <v>46801</v>
      </c>
      <c r="G1237" s="127" t="n">
        <v>46813</v>
      </c>
      <c r="H1237" s="127" t="n">
        <v>46289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30</v>
      </c>
      <c r="O1237" s="2" t="str">
        <f aca="false">IF(OR(F1237="",G1237=""),"",IF(G1237&lt;='RETRATO 2027'!$K$5,"CONCLUÍDA",IF(F1237&lt;='RETRATO 2027'!$K$5,"EM ANDAMENTO","A INICIAR")))</f>
        <v>A INICIAR</v>
      </c>
    </row>
    <row r="1238" customFormat="false" ht="15" hidden="false" customHeight="false" outlineLevel="0" collapsed="false">
      <c r="B1238" s="4" t="n">
        <v>29980654</v>
      </c>
      <c r="C1238" s="4" t="s">
        <v>2422</v>
      </c>
      <c r="D1238" s="4" t="s">
        <v>463</v>
      </c>
      <c r="E1238" s="4" t="s">
        <v>2843</v>
      </c>
      <c r="F1238" s="127" t="n">
        <v>46801</v>
      </c>
      <c r="G1238" s="127" t="n">
        <v>46813</v>
      </c>
      <c r="H1238" s="127" t="n">
        <v>46289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29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31</v>
      </c>
      <c r="O1238" s="2" t="str">
        <f aca="false">IF(OR(F1238="",G1238=""),"",IF(G1238&lt;='RETRATO 2027'!$K$5,"CONCLUÍDA",IF(F1238&lt;='RETRATO 2027'!$K$5,"EM ANDAMENTO","A INICIAR")))</f>
        <v>A INICIAR</v>
      </c>
    </row>
    <row r="1239" customFormat="false" ht="15" hidden="false" customHeight="false" outlineLevel="0" collapsed="false">
      <c r="B1239" s="4" t="n">
        <v>29980620</v>
      </c>
      <c r="C1239" s="4" t="s">
        <v>2413</v>
      </c>
      <c r="D1239" s="4" t="s">
        <v>463</v>
      </c>
      <c r="E1239" s="4" t="s">
        <v>2844</v>
      </c>
      <c r="F1239" s="127" t="n">
        <v>46801</v>
      </c>
      <c r="G1239" s="127" t="n">
        <v>46813</v>
      </c>
      <c r="H1239" s="127" t="n">
        <v>46289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21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32</v>
      </c>
      <c r="O1239" s="2" t="str">
        <f aca="false">IF(OR(F1239="",G1239=""),"",IF(G1239&lt;='RETRATO 2027'!$K$5,"CONCLUÍDA",IF(F1239&lt;='RETRATO 2027'!$K$5,"EM ANDAMENTO","A INICIAR")))</f>
        <v>A INICIAR</v>
      </c>
    </row>
    <row r="1240" customFormat="false" ht="15" hidden="false" customHeight="false" outlineLevel="0" collapsed="false">
      <c r="B1240" s="4" t="n">
        <v>30206083</v>
      </c>
      <c r="C1240" s="4" t="s">
        <v>2416</v>
      </c>
      <c r="D1240" s="4" t="s">
        <v>463</v>
      </c>
      <c r="E1240" s="4" t="s">
        <v>2847</v>
      </c>
      <c r="F1240" s="127" t="n">
        <v>46805</v>
      </c>
      <c r="G1240" s="127" t="n">
        <v>46818</v>
      </c>
      <c r="H1240" s="127" t="n">
        <v>46289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18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6</v>
      </c>
      <c r="O1240" s="2" t="str">
        <f aca="false">IF(OR(F1240="",G1240=""),"",IF(G1240&lt;='RETRATO 2027'!$K$5,"CONCLUÍDA",IF(F1240&lt;='RETRATO 2027'!$K$5,"EM ANDAMENTO","A INICIAR")))</f>
        <v>A INICIAR</v>
      </c>
    </row>
    <row r="1241" customFormat="false" ht="15" hidden="false" customHeight="false" outlineLevel="0" collapsed="false">
      <c r="B1241" s="4" t="n">
        <v>30171651</v>
      </c>
      <c r="C1241" s="4" t="s">
        <v>2602</v>
      </c>
      <c r="D1241" s="4" t="s">
        <v>463</v>
      </c>
      <c r="E1241" s="4" t="s">
        <v>2816</v>
      </c>
      <c r="F1241" s="127" t="n">
        <v>46805</v>
      </c>
      <c r="G1241" s="127" t="n">
        <v>46877</v>
      </c>
      <c r="H1241" s="127" t="n">
        <v>46289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26</v>
      </c>
      <c r="N1241" s="2" t="str">
        <f aca="false"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 t="str">
        <f aca="false">IF(OR(F1241="",G1241=""),"",IF(G1241&lt;='RETRATO 2027'!$K$5,"CONCLUÍDA",IF(F1241&lt;='RETRATO 2027'!$K$5,"EM ANDAMENTO","A INICIAR")))</f>
        <v>A INICIAR</v>
      </c>
    </row>
    <row r="1242" customFormat="false" ht="15" hidden="false" customHeight="false" outlineLevel="0" collapsed="false">
      <c r="B1242" s="4" t="n">
        <v>29980619</v>
      </c>
      <c r="C1242" s="4" t="s">
        <v>2416</v>
      </c>
      <c r="D1242" s="4" t="s">
        <v>463</v>
      </c>
      <c r="E1242" s="4" t="s">
        <v>2844</v>
      </c>
      <c r="F1242" s="127" t="n">
        <v>46805</v>
      </c>
      <c r="G1242" s="127" t="n">
        <v>46815</v>
      </c>
      <c r="H1242" s="127" t="n">
        <v>46289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18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32</v>
      </c>
      <c r="O1242" s="2" t="str">
        <f aca="false">IF(OR(F1242="",G1242=""),"",IF(G1242&lt;='RETRATO 2027'!$K$5,"CONCLUÍDA",IF(F1242&lt;='RETRATO 2027'!$K$5,"EM ANDAMENTO","A INICIAR")))</f>
        <v>A INICIAR</v>
      </c>
    </row>
    <row r="1243" customFormat="false" ht="15" hidden="false" customHeight="false" outlineLevel="0" collapsed="false">
      <c r="B1243" s="4" t="n">
        <v>30205748</v>
      </c>
      <c r="C1243" s="4" t="s">
        <v>216</v>
      </c>
      <c r="D1243" s="4" t="s">
        <v>463</v>
      </c>
      <c r="E1243" s="4" t="s">
        <v>2740</v>
      </c>
      <c r="F1243" s="127" t="n">
        <v>46806</v>
      </c>
      <c r="G1243" s="127" t="n">
        <v>46850</v>
      </c>
      <c r="H1243" s="127" t="n">
        <v>46289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33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-1</v>
      </c>
      <c r="O1243" s="2" t="str">
        <f aca="false">IF(OR(F1243="",G1243=""),"",IF(G1243&lt;='RETRATO 2027'!$K$5,"CONCLUÍDA",IF(F1243&lt;='RETRATO 2027'!$K$5,"EM ANDAMENTO","A INICIAR")))</f>
        <v>A INICIAR</v>
      </c>
    </row>
    <row r="1244" customFormat="false" ht="15" hidden="false" customHeight="false" outlineLevel="0" collapsed="false">
      <c r="B1244" s="4" t="n">
        <v>30205714</v>
      </c>
      <c r="C1244" s="4" t="s">
        <v>2563</v>
      </c>
      <c r="D1244" s="4" t="s">
        <v>463</v>
      </c>
      <c r="E1244" s="4" t="s">
        <v>2740</v>
      </c>
      <c r="F1244" s="127" t="n">
        <v>46806</v>
      </c>
      <c r="G1244" s="127" t="n">
        <v>46835</v>
      </c>
      <c r="H1244" s="127" t="n">
        <v>46289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20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-1</v>
      </c>
      <c r="O1244" s="2" t="str">
        <f aca="false">IF(OR(F1244="",G1244=""),"",IF(G1244&lt;='RETRATO 2027'!$K$5,"CONCLUÍDA",IF(F1244&lt;='RETRATO 2027'!$K$5,"EM ANDAMENTO","A INICIAR")))</f>
        <v>A INICIAR</v>
      </c>
    </row>
    <row r="1245" customFormat="false" ht="15" hidden="false" customHeight="false" outlineLevel="0" collapsed="false">
      <c r="B1245" s="4" t="n">
        <v>30205711</v>
      </c>
      <c r="C1245" s="4" t="s">
        <v>2566</v>
      </c>
      <c r="D1245" s="4" t="s">
        <v>463</v>
      </c>
      <c r="E1245" s="4" t="s">
        <v>2740</v>
      </c>
      <c r="F1245" s="127" t="n">
        <v>46806</v>
      </c>
      <c r="G1245" s="127" t="n">
        <v>46812</v>
      </c>
      <c r="H1245" s="127" t="n">
        <v>46289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20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-1</v>
      </c>
      <c r="O1245" s="2" t="str">
        <f aca="false">IF(OR(F1245="",G1245=""),"",IF(G1245&lt;='RETRATO 2027'!$K$5,"CONCLUÍDA",IF(F1245&lt;='RETRATO 2027'!$K$5,"EM ANDAMENTO","A INICIAR")))</f>
        <v>A INICIAR</v>
      </c>
    </row>
    <row r="1246" customFormat="false" ht="15" hidden="false" customHeight="false" outlineLevel="0" collapsed="false">
      <c r="B1246" s="4" t="n">
        <v>30205932</v>
      </c>
      <c r="C1246" s="4" t="s">
        <v>171</v>
      </c>
      <c r="D1246" s="4" t="s">
        <v>463</v>
      </c>
      <c r="E1246" s="4" t="s">
        <v>2800</v>
      </c>
      <c r="F1246" s="127" t="n">
        <v>46807</v>
      </c>
      <c r="G1246" s="127" t="n">
        <v>46820</v>
      </c>
      <c r="H1246" s="127" t="n">
        <v>46289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19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4</v>
      </c>
      <c r="O1246" s="2" t="str">
        <f aca="false">IF(OR(F1246="",G1246=""),"",IF(G1246&lt;='RETRATO 2027'!$K$5,"CONCLUÍDA",IF(F1246&lt;='RETRATO 2027'!$K$5,"EM ANDAMENTO","A INICIAR")))</f>
        <v>A INICIAR</v>
      </c>
    </row>
    <row r="1247" customFormat="false" ht="15" hidden="false" customHeight="false" outlineLevel="0" collapsed="false">
      <c r="B1247" s="4" t="n">
        <v>30171415</v>
      </c>
      <c r="C1247" s="4" t="s">
        <v>2413</v>
      </c>
      <c r="D1247" s="4" t="s">
        <v>463</v>
      </c>
      <c r="E1247" s="4" t="s">
        <v>2800</v>
      </c>
      <c r="F1247" s="127" t="n">
        <v>46807</v>
      </c>
      <c r="G1247" s="127" t="n">
        <v>46834</v>
      </c>
      <c r="H1247" s="127" t="n">
        <v>46289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21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4</v>
      </c>
      <c r="O1247" s="2" t="str">
        <f aca="false">IF(OR(F1247="",G1247=""),"",IF(G1247&lt;='RETRATO 2027'!$K$5,"CONCLUÍDA",IF(F1247&lt;='RETRATO 2027'!$K$5,"EM ANDAMENTO","A INICIAR")))</f>
        <v>A INICIAR</v>
      </c>
    </row>
    <row r="1248" customFormat="false" ht="15" hidden="false" customHeight="false" outlineLevel="0" collapsed="false">
      <c r="B1248" s="4" t="n">
        <v>30171416</v>
      </c>
      <c r="C1248" s="4" t="s">
        <v>2443</v>
      </c>
      <c r="D1248" s="4" t="s">
        <v>463</v>
      </c>
      <c r="E1248" s="4" t="s">
        <v>2800</v>
      </c>
      <c r="F1248" s="127" t="n">
        <v>46807</v>
      </c>
      <c r="G1248" s="127" t="n">
        <v>46834</v>
      </c>
      <c r="H1248" s="127" t="n">
        <v>46289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20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4</v>
      </c>
      <c r="O1248" s="2" t="str">
        <f aca="false">IF(OR(F1248="",G1248=""),"",IF(G1248&lt;='RETRATO 2027'!$K$5,"CONCLUÍDA",IF(F1248&lt;='RETRATO 2027'!$K$5,"EM ANDAMENTO","A INICIAR")))</f>
        <v>A INICIAR</v>
      </c>
    </row>
    <row r="1249" customFormat="false" ht="15" hidden="false" customHeight="false" outlineLevel="0" collapsed="false">
      <c r="B1249" s="4" t="n">
        <v>30171428</v>
      </c>
      <c r="C1249" s="4" t="s">
        <v>2517</v>
      </c>
      <c r="D1249" s="4" t="s">
        <v>463</v>
      </c>
      <c r="E1249" s="4" t="s">
        <v>2800</v>
      </c>
      <c r="F1249" s="127" t="n">
        <v>46807</v>
      </c>
      <c r="G1249" s="127" t="n">
        <v>46834</v>
      </c>
      <c r="H1249" s="127" t="n">
        <v>46289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22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4</v>
      </c>
      <c r="O1249" s="2" t="str">
        <f aca="false">IF(OR(F1249="",G1249=""),"",IF(G1249&lt;='RETRATO 2027'!$K$5,"CONCLUÍDA",IF(F1249&lt;='RETRATO 2027'!$K$5,"EM ANDAMENTO","A INICIAR")))</f>
        <v>A INICIAR</v>
      </c>
    </row>
    <row r="1250" customFormat="false" ht="15" hidden="false" customHeight="false" outlineLevel="0" collapsed="false">
      <c r="B1250" s="4" t="n">
        <v>30171393</v>
      </c>
      <c r="C1250" s="4" t="s">
        <v>194</v>
      </c>
      <c r="D1250" s="4" t="s">
        <v>463</v>
      </c>
      <c r="E1250" s="4" t="s">
        <v>2801</v>
      </c>
      <c r="F1250" s="127" t="n">
        <v>46807</v>
      </c>
      <c r="G1250" s="127" t="n">
        <v>46820</v>
      </c>
      <c r="H1250" s="127" t="n">
        <v>46289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26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5</v>
      </c>
      <c r="O1250" s="2" t="str">
        <f aca="false">IF(OR(F1250="",G1250=""),"",IF(G1250&lt;='RETRATO 2027'!$K$5,"CONCLUÍDA",IF(F1250&lt;='RETRATO 2027'!$K$5,"EM ANDAMENTO","A INICIAR")))</f>
        <v>A INICIAR</v>
      </c>
    </row>
    <row r="1251" customFormat="false" ht="15" hidden="false" customHeight="false" outlineLevel="0" collapsed="false">
      <c r="B1251" s="4" t="n">
        <v>30171394</v>
      </c>
      <c r="C1251" s="4" t="s">
        <v>2437</v>
      </c>
      <c r="D1251" s="4" t="s">
        <v>463</v>
      </c>
      <c r="E1251" s="4" t="s">
        <v>2801</v>
      </c>
      <c r="F1251" s="127" t="n">
        <v>46807</v>
      </c>
      <c r="G1251" s="127" t="n">
        <v>46870</v>
      </c>
      <c r="H1251" s="127" t="n">
        <v>46289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29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5</v>
      </c>
      <c r="O1251" s="2" t="str">
        <f aca="false">IF(OR(F1251="",G1251=""),"",IF(G1251&lt;='RETRATO 2027'!$K$5,"CONCLUÍDA",IF(F1251&lt;='RETRATO 2027'!$K$5,"EM ANDAMENTO","A INICIAR")))</f>
        <v>A INICIAR</v>
      </c>
    </row>
    <row r="1252" customFormat="false" ht="15" hidden="false" customHeight="false" outlineLevel="0" collapsed="false">
      <c r="B1252" s="4" t="n">
        <v>30205563</v>
      </c>
      <c r="C1252" s="4" t="s">
        <v>2545</v>
      </c>
      <c r="D1252" s="4" t="s">
        <v>463</v>
      </c>
      <c r="E1252" s="4" t="s">
        <v>2830</v>
      </c>
      <c r="F1252" s="127" t="n">
        <v>46808</v>
      </c>
      <c r="G1252" s="127" t="n">
        <v>46835</v>
      </c>
      <c r="H1252" s="127" t="n">
        <v>46289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25</v>
      </c>
      <c r="N1252" s="2" t="n">
        <f aca="false">IF(E1252="","",IF(ISNUMBER(SEARCH("SUBSOLO",E1252)),IFERROR(-VALUE(LEFT(E1252,FIND("º",SUBSTITUTE(E1252,"°","º"))-1)),-1),IF(LEFT(E1252,6)="TÉRREO",0,IFERROR(VALUE(LEFT(E1252,FIND("º",SUBSTITUTE(E1252,"°","º"))-1)),""))))</f>
        <v>0</v>
      </c>
      <c r="O1252" s="2" t="str">
        <f aca="false">IF(OR(F1252="",G1252=""),"",IF(G1252&lt;='RETRATO 2027'!$K$5,"CONCLUÍDA",IF(F1252&lt;='RETRATO 2027'!$K$5,"EM ANDAMENTO","A INICIAR")))</f>
        <v>A INICIAR</v>
      </c>
    </row>
    <row r="1253" customFormat="false" ht="15" hidden="false" customHeight="false" outlineLevel="0" collapsed="false">
      <c r="B1253" s="4" t="n">
        <v>30205544</v>
      </c>
      <c r="C1253" s="4" t="s">
        <v>2539</v>
      </c>
      <c r="D1253" s="4" t="s">
        <v>463</v>
      </c>
      <c r="E1253" s="4" t="s">
        <v>2832</v>
      </c>
      <c r="F1253" s="127" t="n">
        <v>46808</v>
      </c>
      <c r="G1253" s="127" t="n">
        <v>46821</v>
      </c>
      <c r="H1253" s="127" t="n">
        <v>46289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35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0</v>
      </c>
      <c r="O1253" s="2" t="str">
        <f aca="false">IF(OR(F1253="",G1253=""),"",IF(G1253&lt;='RETRATO 2027'!$K$5,"CONCLUÍDA",IF(F1253&lt;='RETRATO 2027'!$K$5,"EM ANDAMENTO","A INICIAR")))</f>
        <v>A INICIAR</v>
      </c>
    </row>
    <row r="1254" customFormat="false" ht="15" hidden="false" customHeight="false" outlineLevel="0" collapsed="false">
      <c r="B1254" s="4" t="n">
        <v>30206130</v>
      </c>
      <c r="C1254" s="4" t="s">
        <v>2425</v>
      </c>
      <c r="D1254" s="4" t="s">
        <v>463</v>
      </c>
      <c r="E1254" s="4" t="s">
        <v>2846</v>
      </c>
      <c r="F1254" s="127" t="n">
        <v>46811</v>
      </c>
      <c r="G1254" s="127" t="n">
        <v>46822</v>
      </c>
      <c r="H1254" s="127" t="n">
        <v>46289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21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6</v>
      </c>
      <c r="O1254" s="2" t="str">
        <f aca="false">IF(OR(F1254="",G1254=""),"",IF(G1254&lt;='RETRATO 2027'!$K$5,"CONCLUÍDA",IF(F1254&lt;='RETRATO 2027'!$K$5,"EM ANDAMENTO","A INICIAR")))</f>
        <v>A INICIAR</v>
      </c>
    </row>
    <row r="1255" customFormat="false" ht="15" hidden="false" customHeight="false" outlineLevel="0" collapsed="false">
      <c r="B1255" s="4" t="n">
        <v>30206101</v>
      </c>
      <c r="C1255" s="4" t="s">
        <v>2428</v>
      </c>
      <c r="D1255" s="4" t="s">
        <v>463</v>
      </c>
      <c r="E1255" s="4" t="s">
        <v>2846</v>
      </c>
      <c r="F1255" s="127" t="n">
        <v>46811</v>
      </c>
      <c r="G1255" s="127" t="n">
        <v>46822</v>
      </c>
      <c r="H1255" s="127" t="n">
        <v>46289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20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6</v>
      </c>
      <c r="O1255" s="2" t="str">
        <f aca="false">IF(OR(F1255="",G1255=""),"",IF(G1255&lt;='RETRATO 2027'!$K$5,"CONCLUÍDA",IF(F1255&lt;='RETRATO 2027'!$K$5,"EM ANDAMENTO","A INICIAR")))</f>
        <v>A INICIAR</v>
      </c>
    </row>
    <row r="1256" customFormat="false" ht="15" hidden="false" customHeight="false" outlineLevel="0" collapsed="false">
      <c r="B1256" s="4" t="n">
        <v>30206081</v>
      </c>
      <c r="C1256" s="4" t="s">
        <v>2422</v>
      </c>
      <c r="D1256" s="4" t="s">
        <v>463</v>
      </c>
      <c r="E1256" s="4" t="s">
        <v>2847</v>
      </c>
      <c r="F1256" s="127" t="n">
        <v>46811</v>
      </c>
      <c r="G1256" s="127" t="n">
        <v>46822</v>
      </c>
      <c r="H1256" s="127" t="n">
        <v>46289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29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6</v>
      </c>
      <c r="O1256" s="2" t="str">
        <f aca="false">IF(OR(F1256="",G1256=""),"",IF(G1256&lt;='RETRATO 2027'!$K$5,"CONCLUÍDA",IF(F1256&lt;='RETRATO 2027'!$K$5,"EM ANDAMENTO","A INICIAR")))</f>
        <v>A INICIAR</v>
      </c>
    </row>
    <row r="1257" customFormat="false" ht="15" hidden="false" customHeight="false" outlineLevel="0" collapsed="false">
      <c r="B1257" s="4" t="n">
        <v>30205973</v>
      </c>
      <c r="C1257" s="4" t="s">
        <v>2413</v>
      </c>
      <c r="D1257" s="4" t="s">
        <v>463</v>
      </c>
      <c r="E1257" s="4" t="s">
        <v>2850</v>
      </c>
      <c r="F1257" s="127" t="n">
        <v>46811</v>
      </c>
      <c r="G1257" s="127" t="n">
        <v>46822</v>
      </c>
      <c r="H1257" s="127" t="n">
        <v>46289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21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6</v>
      </c>
      <c r="O1257" s="2" t="str">
        <f aca="false">IF(OR(F1257="",G1257=""),"",IF(G1257&lt;='RETRATO 2027'!$K$5,"CONCLUÍDA",IF(F1257&lt;='RETRATO 2027'!$K$5,"EM ANDAMENTO","A INICIAR")))</f>
        <v>A INICIAR</v>
      </c>
    </row>
    <row r="1258" customFormat="false" ht="15" hidden="false" customHeight="false" outlineLevel="0" collapsed="false">
      <c r="B1258" s="4" t="n">
        <v>29981531</v>
      </c>
      <c r="C1258" s="4" t="s">
        <v>2605</v>
      </c>
      <c r="D1258" s="4" t="s">
        <v>463</v>
      </c>
      <c r="E1258" s="4" t="s">
        <v>2803</v>
      </c>
      <c r="F1258" s="127" t="n">
        <v>46813</v>
      </c>
      <c r="G1258" s="127" t="n">
        <v>46825</v>
      </c>
      <c r="H1258" s="127" t="n">
        <v>46289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34</v>
      </c>
      <c r="N1258" s="2" t="n">
        <f aca="false">IF(E1258="","",IF(ISNUMBER(SEARCH("SUBSOLO",E1258)),IFERROR(-VALUE(LEFT(E1258,FIND("º",SUBSTITUTE(E1258,"°","º"))-1)),-1),IF(LEFT(E1258,6)="TÉRREO",0,IFERROR(VALUE(LEFT(E1258,FIND("º",SUBSTITUTE(E1258,"°","º"))-1)),""))))</f>
        <v>7</v>
      </c>
      <c r="O1258" s="2" t="str">
        <f aca="false">IF(OR(F1258="",G1258=""),"",IF(G1258&lt;='RETRATO 2027'!$K$5,"CONCLUÍDA",IF(F1258&lt;='RETRATO 2027'!$K$5,"EM ANDAMENTO","A INICIAR")))</f>
        <v>A INICIAR</v>
      </c>
    </row>
    <row r="1259" customFormat="false" ht="15" hidden="false" customHeight="false" outlineLevel="0" collapsed="false">
      <c r="B1259" s="4" t="n">
        <v>29981536</v>
      </c>
      <c r="C1259" s="4" t="s">
        <v>2607</v>
      </c>
      <c r="D1259" s="4" t="s">
        <v>463</v>
      </c>
      <c r="E1259" s="4" t="s">
        <v>2803</v>
      </c>
      <c r="F1259" s="127" t="n">
        <v>46813</v>
      </c>
      <c r="G1259" s="127" t="n">
        <v>46825</v>
      </c>
      <c r="H1259" s="127" t="n">
        <v>46289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34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7</v>
      </c>
      <c r="O1259" s="2" t="str">
        <f aca="false">IF(OR(F1259="",G1259=""),"",IF(G1259&lt;='RETRATO 2027'!$K$5,"CONCLUÍDA",IF(F1259&lt;='RETRATO 2027'!$K$5,"EM ANDAMENTO","A INICIAR")))</f>
        <v>A INICIAR</v>
      </c>
    </row>
    <row r="1260" customFormat="false" ht="15" hidden="false" customHeight="false" outlineLevel="0" collapsed="false">
      <c r="B1260" s="4" t="n">
        <v>29981535</v>
      </c>
      <c r="C1260" s="4" t="s">
        <v>2563</v>
      </c>
      <c r="D1260" s="4" t="s">
        <v>463</v>
      </c>
      <c r="E1260" s="4" t="s">
        <v>2803</v>
      </c>
      <c r="F1260" s="127" t="n">
        <v>46813</v>
      </c>
      <c r="G1260" s="127" t="n">
        <v>46825</v>
      </c>
      <c r="H1260" s="127" t="n">
        <v>46289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20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7</v>
      </c>
      <c r="O1260" s="2" t="str">
        <f aca="false">IF(OR(F1260="",G1260=""),"",IF(G1260&lt;='RETRATO 2027'!$K$5,"CONCLUÍDA",IF(F1260&lt;='RETRATO 2027'!$K$5,"EM ANDAMENTO","A INICIAR")))</f>
        <v>A INICIAR</v>
      </c>
    </row>
    <row r="1261" customFormat="false" ht="15" hidden="false" customHeight="false" outlineLevel="0" collapsed="false">
      <c r="B1261" s="4" t="n">
        <v>29981534</v>
      </c>
      <c r="C1261" s="4" t="s">
        <v>2609</v>
      </c>
      <c r="D1261" s="4" t="s">
        <v>463</v>
      </c>
      <c r="E1261" s="4" t="s">
        <v>2803</v>
      </c>
      <c r="F1261" s="127" t="n">
        <v>46813</v>
      </c>
      <c r="G1261" s="127" t="n">
        <v>46825</v>
      </c>
      <c r="H1261" s="127" t="n">
        <v>46289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23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7</v>
      </c>
      <c r="O1261" s="2" t="str">
        <f aca="false">IF(OR(F1261="",G1261=""),"",IF(G1261&lt;='RETRATO 2027'!$K$5,"CONCLUÍDA",IF(F1261&lt;='RETRATO 2027'!$K$5,"EM ANDAMENTO","A INICIAR")))</f>
        <v>A INICIAR</v>
      </c>
    </row>
    <row r="1262" customFormat="false" ht="15" hidden="false" customHeight="false" outlineLevel="0" collapsed="false">
      <c r="B1262" s="4" t="n">
        <v>29981493</v>
      </c>
      <c r="C1262" s="4" t="s">
        <v>2599</v>
      </c>
      <c r="D1262" s="4" t="s">
        <v>463</v>
      </c>
      <c r="E1262" s="4" t="s">
        <v>2804</v>
      </c>
      <c r="F1262" s="127" t="n">
        <v>46813</v>
      </c>
      <c r="G1262" s="127" t="n">
        <v>46825</v>
      </c>
      <c r="H1262" s="127" t="n">
        <v>46289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30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8</v>
      </c>
      <c r="O1262" s="2" t="str">
        <f aca="false">IF(OR(F1262="",G1262=""),"",IF(G1262&lt;='RETRATO 2027'!$K$5,"CONCLUÍDA",IF(F1262&lt;='RETRATO 2027'!$K$5,"EM ANDAMENTO","A INICIAR")))</f>
        <v>A INICIAR</v>
      </c>
    </row>
    <row r="1263" customFormat="false" ht="15" hidden="false" customHeight="false" outlineLevel="0" collapsed="false">
      <c r="B1263" s="4" t="n">
        <v>29981455</v>
      </c>
      <c r="C1263" s="4" t="s">
        <v>2578</v>
      </c>
      <c r="D1263" s="4" t="s">
        <v>463</v>
      </c>
      <c r="E1263" s="4" t="s">
        <v>2805</v>
      </c>
      <c r="F1263" s="127" t="n">
        <v>46813</v>
      </c>
      <c r="G1263" s="127" t="n">
        <v>46825</v>
      </c>
      <c r="H1263" s="127" t="n">
        <v>46289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25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9</v>
      </c>
      <c r="O1263" s="2" t="str">
        <f aca="false">IF(OR(F1263="",G1263=""),"",IF(G1263&lt;='RETRATO 2027'!$K$5,"CONCLUÍDA",IF(F1263&lt;='RETRATO 2027'!$K$5,"EM ANDAMENTO","A INICIAR")))</f>
        <v>A INICIAR</v>
      </c>
    </row>
    <row r="1264" customFormat="false" ht="15" hidden="false" customHeight="false" outlineLevel="0" collapsed="false">
      <c r="B1264" s="4" t="n">
        <v>29981417</v>
      </c>
      <c r="C1264" s="4" t="s">
        <v>2569</v>
      </c>
      <c r="D1264" s="4" t="s">
        <v>463</v>
      </c>
      <c r="E1264" s="4" t="s">
        <v>2809</v>
      </c>
      <c r="F1264" s="127" t="n">
        <v>46813</v>
      </c>
      <c r="G1264" s="127" t="n">
        <v>46825</v>
      </c>
      <c r="H1264" s="127" t="n">
        <v>46289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30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10</v>
      </c>
      <c r="O1264" s="2" t="str">
        <f aca="false">IF(OR(F1264="",G1264=""),"",IF(G1264&lt;='RETRATO 2027'!$K$5,"CONCLUÍDA",IF(F1264&lt;='RETRATO 2027'!$K$5,"EM ANDAMENTO","A INICIAR")))</f>
        <v>A INICIAR</v>
      </c>
    </row>
    <row r="1265" customFormat="false" ht="15" hidden="false" customHeight="false" outlineLevel="0" collapsed="false">
      <c r="B1265" s="4" t="n">
        <v>29981379</v>
      </c>
      <c r="C1265" s="4" t="s">
        <v>2554</v>
      </c>
      <c r="D1265" s="4" t="s">
        <v>463</v>
      </c>
      <c r="E1265" s="4" t="s">
        <v>2810</v>
      </c>
      <c r="F1265" s="127" t="n">
        <v>46813</v>
      </c>
      <c r="G1265" s="127" t="n">
        <v>46825</v>
      </c>
      <c r="H1265" s="127" t="n">
        <v>46289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35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11</v>
      </c>
      <c r="O1265" s="2" t="str">
        <f aca="false">IF(OR(F1265="",G1265=""),"",IF(G1265&lt;='RETRATO 2027'!$K$5,"CONCLUÍDA",IF(F1265&lt;='RETRATO 2027'!$K$5,"EM ANDAMENTO","A INICIAR")))</f>
        <v>A INICIAR</v>
      </c>
    </row>
    <row r="1266" customFormat="false" ht="15" hidden="false" customHeight="false" outlineLevel="0" collapsed="false">
      <c r="B1266" s="4" t="n">
        <v>29981368</v>
      </c>
      <c r="C1266" s="4" t="s">
        <v>2539</v>
      </c>
      <c r="D1266" s="4" t="s">
        <v>463</v>
      </c>
      <c r="E1266" s="4" t="s">
        <v>2811</v>
      </c>
      <c r="F1266" s="127" t="n">
        <v>46813</v>
      </c>
      <c r="G1266" s="127" t="n">
        <v>46825</v>
      </c>
      <c r="H1266" s="127" t="n">
        <v>46289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35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12</v>
      </c>
      <c r="O1266" s="2" t="str">
        <f aca="false">IF(OR(F1266="",G1266=""),"",IF(G1266&lt;='RETRATO 2027'!$K$5,"CONCLUÍDA",IF(F1266&lt;='RETRATO 2027'!$K$5,"EM ANDAMENTO","A INICIAR")))</f>
        <v>A INICIAR</v>
      </c>
    </row>
    <row r="1267" customFormat="false" ht="15" hidden="false" customHeight="false" outlineLevel="0" collapsed="false">
      <c r="B1267" s="4" t="n">
        <v>33898094</v>
      </c>
      <c r="C1267" s="4" t="s">
        <v>2545</v>
      </c>
      <c r="D1267" s="4" t="s">
        <v>463</v>
      </c>
      <c r="E1267" s="4" t="s">
        <v>2812</v>
      </c>
      <c r="F1267" s="127" t="n">
        <v>46813</v>
      </c>
      <c r="G1267" s="127" t="n">
        <v>46825</v>
      </c>
      <c r="H1267" s="127" t="n">
        <v>46289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25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13</v>
      </c>
      <c r="O1267" s="2" t="str">
        <f aca="false">IF(OR(F1267="",G1267=""),"",IF(G1267&lt;='RETRATO 2027'!$K$5,"CONCLUÍDA",IF(F1267&lt;='RETRATO 2027'!$K$5,"EM ANDAMENTO","A INICIAR")))</f>
        <v>A INICIAR</v>
      </c>
    </row>
    <row r="1268" customFormat="false" ht="15" hidden="false" customHeight="false" outlineLevel="0" collapsed="false">
      <c r="B1268" s="4" t="n">
        <v>30205729</v>
      </c>
      <c r="C1268" s="4" t="s">
        <v>2511</v>
      </c>
      <c r="D1268" s="4" t="s">
        <v>463</v>
      </c>
      <c r="E1268" s="4" t="s">
        <v>2740</v>
      </c>
      <c r="F1268" s="127" t="n">
        <v>46814</v>
      </c>
      <c r="G1268" s="127" t="n">
        <v>46843</v>
      </c>
      <c r="H1268" s="127" t="n">
        <v>46289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20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-1</v>
      </c>
      <c r="O1268" s="2" t="str">
        <f aca="false">IF(OR(F1268="",G1268=""),"",IF(G1268&lt;='RETRATO 2027'!$K$5,"CONCLUÍDA",IF(F1268&lt;='RETRATO 2027'!$K$5,"EM ANDAMENTO","A INICIAR")))</f>
        <v>A INICIAR</v>
      </c>
    </row>
    <row r="1269" customFormat="false" ht="15" hidden="false" customHeight="false" outlineLevel="0" collapsed="false">
      <c r="B1269" s="4" t="n">
        <v>29981181</v>
      </c>
      <c r="C1269" s="4" t="s">
        <v>216</v>
      </c>
      <c r="D1269" s="4" t="s">
        <v>463</v>
      </c>
      <c r="E1269" s="4" t="s">
        <v>2818</v>
      </c>
      <c r="F1269" s="127" t="n">
        <v>46814</v>
      </c>
      <c r="G1269" s="127" t="n">
        <v>46826</v>
      </c>
      <c r="H1269" s="127" t="n">
        <v>46289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33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17</v>
      </c>
      <c r="O1269" s="2" t="str">
        <f aca="false">IF(OR(F1269="",G1269=""),"",IF(G1269&lt;='RETRATO 2027'!$K$5,"CONCLUÍDA",IF(F1269&lt;='RETRATO 2027'!$K$5,"EM ANDAMENTO","A INICIAR")))</f>
        <v>A INICIAR</v>
      </c>
    </row>
    <row r="1270" customFormat="false" ht="15" hidden="false" customHeight="false" outlineLevel="0" collapsed="false">
      <c r="B1270" s="4" t="n">
        <v>29981142</v>
      </c>
      <c r="C1270" s="4" t="s">
        <v>2508</v>
      </c>
      <c r="D1270" s="4" t="s">
        <v>463</v>
      </c>
      <c r="E1270" s="4" t="s">
        <v>2820</v>
      </c>
      <c r="F1270" s="127" t="n">
        <v>46814</v>
      </c>
      <c r="G1270" s="127" t="n">
        <v>46826</v>
      </c>
      <c r="H1270" s="127" t="n">
        <v>46289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20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18</v>
      </c>
      <c r="O1270" s="2" t="str">
        <f aca="false">IF(OR(F1270="",G1270=""),"",IF(G1270&lt;='RETRATO 2027'!$K$5,"CONCLUÍDA",IF(F1270&lt;='RETRATO 2027'!$K$5,"EM ANDAMENTO","A INICIAR")))</f>
        <v>A INICIAR</v>
      </c>
    </row>
    <row r="1271" customFormat="false" ht="15" hidden="false" customHeight="false" outlineLevel="0" collapsed="false">
      <c r="B1271" s="4" t="n">
        <v>29981147</v>
      </c>
      <c r="C1271" s="4" t="s">
        <v>2511</v>
      </c>
      <c r="D1271" s="4" t="s">
        <v>463</v>
      </c>
      <c r="E1271" s="4" t="s">
        <v>2820</v>
      </c>
      <c r="F1271" s="127" t="n">
        <v>46814</v>
      </c>
      <c r="G1271" s="127" t="n">
        <v>46826</v>
      </c>
      <c r="H1271" s="127" t="n">
        <v>46289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20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18</v>
      </c>
      <c r="O1271" s="2" t="str">
        <f aca="false">IF(OR(F1271="",G1271=""),"",IF(G1271&lt;='RETRATO 2027'!$K$5,"CONCLUÍDA",IF(F1271&lt;='RETRATO 2027'!$K$5,"EM ANDAMENTO","A INICIAR")))</f>
        <v>A INICIAR</v>
      </c>
    </row>
    <row r="1272" customFormat="false" ht="15" hidden="false" customHeight="false" outlineLevel="0" collapsed="false">
      <c r="B1272" s="4" t="n">
        <v>30214080</v>
      </c>
      <c r="C1272" s="4" t="s">
        <v>2514</v>
      </c>
      <c r="D1272" s="4" t="s">
        <v>463</v>
      </c>
      <c r="E1272" s="4" t="s">
        <v>2820</v>
      </c>
      <c r="F1272" s="127" t="n">
        <v>46814</v>
      </c>
      <c r="G1272" s="127" t="n">
        <v>46827</v>
      </c>
      <c r="H1272" s="127" t="n">
        <v>46289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20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18</v>
      </c>
      <c r="O1272" s="2" t="str">
        <f aca="false">IF(OR(F1272="",G1272=""),"",IF(G1272&lt;='RETRATO 2027'!$K$5,"CONCLUÍDA",IF(F1272&lt;='RETRATO 2027'!$K$5,"EM ANDAMENTO","A INICIAR")))</f>
        <v>A INICIAR</v>
      </c>
    </row>
    <row r="1273" customFormat="false" ht="15" hidden="false" customHeight="false" outlineLevel="0" collapsed="false">
      <c r="B1273" s="4" t="n">
        <v>29981052</v>
      </c>
      <c r="C1273" s="4" t="s">
        <v>2501</v>
      </c>
      <c r="D1273" s="4" t="s">
        <v>463</v>
      </c>
      <c r="E1273" s="4" t="s">
        <v>2823</v>
      </c>
      <c r="F1273" s="127" t="n">
        <v>46814</v>
      </c>
      <c r="G1273" s="127" t="n">
        <v>46826</v>
      </c>
      <c r="H1273" s="127" t="n">
        <v>46289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30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20</v>
      </c>
      <c r="O1273" s="2" t="str">
        <f aca="false">IF(OR(F1273="",G1273=""),"",IF(G1273&lt;='RETRATO 2027'!$K$5,"CONCLUÍDA",IF(F1273&lt;='RETRATO 2027'!$K$5,"EM ANDAMENTO","A INICIAR")))</f>
        <v>A INICIAR</v>
      </c>
    </row>
    <row r="1274" customFormat="false" ht="15" hidden="false" customHeight="false" outlineLevel="0" collapsed="false">
      <c r="B1274" s="4" t="n">
        <v>29981014</v>
      </c>
      <c r="C1274" s="4" t="s">
        <v>2486</v>
      </c>
      <c r="D1274" s="4" t="s">
        <v>463</v>
      </c>
      <c r="E1274" s="4" t="s">
        <v>2825</v>
      </c>
      <c r="F1274" s="127" t="n">
        <v>46814</v>
      </c>
      <c r="G1274" s="127" t="n">
        <v>46826</v>
      </c>
      <c r="H1274" s="127" t="n">
        <v>46289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30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21</v>
      </c>
      <c r="O1274" s="2" t="str">
        <f aca="false">IF(OR(F1274="",G1274=""),"",IF(G1274&lt;='RETRATO 2027'!$K$5,"CONCLUÍDA",IF(F1274&lt;='RETRATO 2027'!$K$5,"EM ANDAMENTO","A INICIAR")))</f>
        <v>A INICIAR</v>
      </c>
    </row>
    <row r="1275" customFormat="false" ht="15" hidden="false" customHeight="false" outlineLevel="0" collapsed="false">
      <c r="B1275" s="4" t="n">
        <v>29980993</v>
      </c>
      <c r="C1275" s="4" t="s">
        <v>2480</v>
      </c>
      <c r="D1275" s="4" t="s">
        <v>463</v>
      </c>
      <c r="E1275" s="4" t="s">
        <v>2827</v>
      </c>
      <c r="F1275" s="127" t="n">
        <v>46814</v>
      </c>
      <c r="G1275" s="127" t="n">
        <v>46826</v>
      </c>
      <c r="H1275" s="127" t="n">
        <v>46289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30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22</v>
      </c>
      <c r="O1275" s="2" t="str">
        <f aca="false">IF(OR(F1275="",G1275=""),"",IF(G1275&lt;='RETRATO 2027'!$K$5,"CONCLUÍDA",IF(F1275&lt;='RETRATO 2027'!$K$5,"EM ANDAMENTO","A INICIAR")))</f>
        <v>A INICIAR</v>
      </c>
    </row>
    <row r="1276" customFormat="false" ht="15" hidden="false" customHeight="false" outlineLevel="0" collapsed="false">
      <c r="B1276" s="4" t="n">
        <v>29980954</v>
      </c>
      <c r="C1276" s="4" t="s">
        <v>171</v>
      </c>
      <c r="D1276" s="4" t="s">
        <v>463</v>
      </c>
      <c r="E1276" s="4" t="s">
        <v>2829</v>
      </c>
      <c r="F1276" s="127" t="n">
        <v>46814</v>
      </c>
      <c r="G1276" s="127" t="n">
        <v>46826</v>
      </c>
      <c r="H1276" s="127" t="n">
        <v>46289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23</v>
      </c>
      <c r="O1276" s="2" t="str">
        <f aca="false">IF(OR(F1276="",G1276=""),"",IF(G1276&lt;='RETRATO 2027'!$K$5,"CONCLUÍDA",IF(F1276&lt;='RETRATO 2027'!$K$5,"EM ANDAMENTO","A INICIAR")))</f>
        <v>A INICIAR</v>
      </c>
    </row>
    <row r="1277" customFormat="false" ht="15" hidden="false" customHeight="false" outlineLevel="0" collapsed="false">
      <c r="B1277" s="4" t="n">
        <v>32750450</v>
      </c>
      <c r="C1277" s="4" t="s">
        <v>2470</v>
      </c>
      <c r="D1277" s="4" t="s">
        <v>463</v>
      </c>
      <c r="E1277" s="4" t="s">
        <v>2831</v>
      </c>
      <c r="F1277" s="127" t="n">
        <v>46814</v>
      </c>
      <c r="G1277" s="127" t="n">
        <v>46826</v>
      </c>
      <c r="H1277" s="127" t="n">
        <v>46289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18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24</v>
      </c>
      <c r="O1277" s="2" t="str">
        <f aca="false">IF(OR(F1277="",G1277=""),"",IF(G1277&lt;='RETRATO 2027'!$K$5,"CONCLUÍDA",IF(F1277&lt;='RETRATO 2027'!$K$5,"EM ANDAMENTO","A INICIAR")))</f>
        <v>A INICIAR</v>
      </c>
    </row>
    <row r="1278" customFormat="false" ht="15" hidden="false" customHeight="false" outlineLevel="0" collapsed="false">
      <c r="B1278" s="4" t="n">
        <v>32750373</v>
      </c>
      <c r="C1278" s="4" t="s">
        <v>2458</v>
      </c>
      <c r="D1278" s="4" t="s">
        <v>463</v>
      </c>
      <c r="E1278" s="4" t="s">
        <v>2833</v>
      </c>
      <c r="F1278" s="127" t="n">
        <v>46814</v>
      </c>
      <c r="G1278" s="127" t="n">
        <v>46826</v>
      </c>
      <c r="H1278" s="127" t="n">
        <v>46289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21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25</v>
      </c>
      <c r="O1278" s="2" t="str">
        <f aca="false">IF(OR(F1278="",G1278=""),"",IF(G1278&lt;='RETRATO 2027'!$K$5,"CONCLUÍDA",IF(F1278&lt;='RETRATO 2027'!$K$5,"EM ANDAMENTO","A INICIAR")))</f>
        <v>A INICIAR</v>
      </c>
    </row>
    <row r="1279" customFormat="false" ht="15" hidden="false" customHeight="false" outlineLevel="0" collapsed="false">
      <c r="B1279" s="4" t="n">
        <v>32750399</v>
      </c>
      <c r="C1279" s="4" t="s">
        <v>2461</v>
      </c>
      <c r="D1279" s="4" t="s">
        <v>463</v>
      </c>
      <c r="E1279" s="4" t="s">
        <v>2833</v>
      </c>
      <c r="F1279" s="127" t="n">
        <v>46814</v>
      </c>
      <c r="G1279" s="127" t="n">
        <v>46826</v>
      </c>
      <c r="H1279" s="127" t="n">
        <v>46289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20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25</v>
      </c>
      <c r="O1279" s="2" t="str">
        <f aca="false">IF(OR(F1279="",G1279=""),"",IF(G1279&lt;='RETRATO 2027'!$K$5,"CONCLUÍDA",IF(F1279&lt;='RETRATO 2027'!$K$5,"EM ANDAMENTO","A INICIAR")))</f>
        <v>A INICIAR</v>
      </c>
    </row>
    <row r="1280" customFormat="false" ht="15" hidden="false" customHeight="false" outlineLevel="0" collapsed="false">
      <c r="B1280" s="4" t="n">
        <v>32750425</v>
      </c>
      <c r="C1280" s="4" t="s">
        <v>2464</v>
      </c>
      <c r="D1280" s="4" t="s">
        <v>463</v>
      </c>
      <c r="E1280" s="4" t="s">
        <v>2833</v>
      </c>
      <c r="F1280" s="127" t="n">
        <v>46814</v>
      </c>
      <c r="G1280" s="127" t="n">
        <v>46826</v>
      </c>
      <c r="H1280" s="127" t="n">
        <v>46289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21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25</v>
      </c>
      <c r="O1280" s="2" t="str">
        <f aca="false">IF(OR(F1280="",G1280=""),"",IF(G1280&lt;='RETRATO 2027'!$K$5,"CONCLUÍDA",IF(F1280&lt;='RETRATO 2027'!$K$5,"EM ANDAMENTO","A INICIAR")))</f>
        <v>A INICIAR</v>
      </c>
    </row>
    <row r="1281" customFormat="false" ht="15" hidden="false" customHeight="false" outlineLevel="0" collapsed="false">
      <c r="B1281" s="4" t="n">
        <v>33896843</v>
      </c>
      <c r="C1281" s="4" t="s">
        <v>2467</v>
      </c>
      <c r="D1281" s="4" t="s">
        <v>463</v>
      </c>
      <c r="E1281" s="4" t="s">
        <v>2833</v>
      </c>
      <c r="F1281" s="127" t="n">
        <v>46814</v>
      </c>
      <c r="G1281" s="127" t="n">
        <v>46826</v>
      </c>
      <c r="H1281" s="127" t="n">
        <v>46289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23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25</v>
      </c>
      <c r="O1281" s="2" t="str">
        <f aca="false">IF(OR(F1281="",G1281=""),"",IF(G1281&lt;='RETRATO 2027'!$K$5,"CONCLUÍDA",IF(F1281&lt;='RETRATO 2027'!$K$5,"EM ANDAMENTO","A INICIAR")))</f>
        <v>A INICIAR</v>
      </c>
    </row>
    <row r="1282" customFormat="false" ht="15" hidden="false" customHeight="false" outlineLevel="0" collapsed="false">
      <c r="B1282" s="4" t="n">
        <v>32749869</v>
      </c>
      <c r="C1282" s="4" t="s">
        <v>2455</v>
      </c>
      <c r="D1282" s="4" t="s">
        <v>463</v>
      </c>
      <c r="E1282" s="4" t="s">
        <v>2834</v>
      </c>
      <c r="F1282" s="127" t="n">
        <v>46814</v>
      </c>
      <c r="G1282" s="127" t="n">
        <v>46826</v>
      </c>
      <c r="H1282" s="127" t="n">
        <v>46289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18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26</v>
      </c>
      <c r="O1282" s="2" t="str">
        <f aca="false">IF(OR(F1282="",G1282=""),"",IF(G1282&lt;='RETRATO 2027'!$K$5,"CONCLUÍDA",IF(F1282&lt;='RETRATO 2027'!$K$5,"EM ANDAMENTO","A INICIAR")))</f>
        <v>A INICIAR</v>
      </c>
    </row>
    <row r="1283" customFormat="false" ht="15" hidden="false" customHeight="false" outlineLevel="0" collapsed="false">
      <c r="B1283" s="4" t="n">
        <v>29980807</v>
      </c>
      <c r="C1283" s="4" t="s">
        <v>2449</v>
      </c>
      <c r="D1283" s="4" t="s">
        <v>463</v>
      </c>
      <c r="E1283" s="4" t="s">
        <v>2838</v>
      </c>
      <c r="F1283" s="127" t="n">
        <v>46814</v>
      </c>
      <c r="G1283" s="127" t="n">
        <v>46826</v>
      </c>
      <c r="H1283" s="127" t="n">
        <v>46289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28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27</v>
      </c>
      <c r="O1283" s="2" t="str">
        <f aca="false">IF(OR(F1283="",G1283=""),"",IF(G1283&lt;='RETRATO 2027'!$K$5,"CONCLUÍDA",IF(F1283&lt;='RETRATO 2027'!$K$5,"EM ANDAMENTO","A INICIAR")))</f>
        <v>A INICIAR</v>
      </c>
    </row>
    <row r="1284" customFormat="false" ht="15" hidden="false" customHeight="false" outlineLevel="0" collapsed="false">
      <c r="B1284" s="4" t="n">
        <v>29980747</v>
      </c>
      <c r="C1284" s="4" t="s">
        <v>2440</v>
      </c>
      <c r="D1284" s="4" t="s">
        <v>463</v>
      </c>
      <c r="E1284" s="4" t="s">
        <v>2840</v>
      </c>
      <c r="F1284" s="127" t="n">
        <v>46814</v>
      </c>
      <c r="G1284" s="127" t="n">
        <v>46826</v>
      </c>
      <c r="H1284" s="127" t="n">
        <v>46289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21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28</v>
      </c>
      <c r="O1284" s="2" t="str">
        <f aca="false">IF(OR(F1284="",G1284=""),"",IF(G1284&lt;='RETRATO 2027'!$K$5,"CONCLUÍDA",IF(F1284&lt;='RETRATO 2027'!$K$5,"EM ANDAMENTO","A INICIAR")))</f>
        <v>A INICIAR</v>
      </c>
    </row>
    <row r="1285" customFormat="false" ht="15" hidden="false" customHeight="false" outlineLevel="0" collapsed="false">
      <c r="B1285" s="4" t="n">
        <v>29980780</v>
      </c>
      <c r="C1285" s="4" t="s">
        <v>2443</v>
      </c>
      <c r="D1285" s="4" t="s">
        <v>463</v>
      </c>
      <c r="E1285" s="4" t="s">
        <v>2840</v>
      </c>
      <c r="F1285" s="127" t="n">
        <v>46814</v>
      </c>
      <c r="G1285" s="127" t="n">
        <v>46826</v>
      </c>
      <c r="H1285" s="127" t="n">
        <v>46289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20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28</v>
      </c>
      <c r="O1285" s="2" t="str">
        <f aca="false">IF(OR(F1285="",G1285=""),"",IF(G1285&lt;='RETRATO 2027'!$K$5,"CONCLUÍDA",IF(F1285&lt;='RETRATO 2027'!$K$5,"EM ANDAMENTO","A INICIAR")))</f>
        <v>A INICIAR</v>
      </c>
    </row>
    <row r="1286" customFormat="false" ht="15" hidden="false" customHeight="false" outlineLevel="0" collapsed="false">
      <c r="B1286" s="4" t="n">
        <v>29980709</v>
      </c>
      <c r="C1286" s="4" t="s">
        <v>2437</v>
      </c>
      <c r="D1286" s="4" t="s">
        <v>463</v>
      </c>
      <c r="E1286" s="4" t="s">
        <v>2841</v>
      </c>
      <c r="F1286" s="127" t="n">
        <v>46814</v>
      </c>
      <c r="G1286" s="127" t="n">
        <v>46826</v>
      </c>
      <c r="H1286" s="127" t="n">
        <v>46289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29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29</v>
      </c>
      <c r="O1286" s="2" t="str">
        <f aca="false">IF(OR(F1286="",G1286=""),"",IF(G1286&lt;='RETRATO 2027'!$K$5,"CONCLUÍDA",IF(F1286&lt;='RETRATO 2027'!$K$5,"EM ANDAMENTO","A INICIAR")))</f>
        <v>A INICIAR</v>
      </c>
    </row>
    <row r="1287" customFormat="false" ht="15" hidden="false" customHeight="false" outlineLevel="0" collapsed="false">
      <c r="B1287" s="4" t="n">
        <v>29980675</v>
      </c>
      <c r="C1287" s="4" t="s">
        <v>2434</v>
      </c>
      <c r="D1287" s="4" t="s">
        <v>463</v>
      </c>
      <c r="E1287" s="4" t="s">
        <v>2842</v>
      </c>
      <c r="F1287" s="127" t="n">
        <v>46814</v>
      </c>
      <c r="G1287" s="127" t="n">
        <v>46826</v>
      </c>
      <c r="H1287" s="127" t="n">
        <v>46289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25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30</v>
      </c>
      <c r="O1287" s="2" t="str">
        <f aca="false">IF(OR(F1287="",G1287=""),"",IF(G1287&lt;='RETRATO 2027'!$K$5,"CONCLUÍDA",IF(F1287&lt;='RETRATO 2027'!$K$5,"EM ANDAMENTO","A INICIAR")))</f>
        <v>A INICIAR</v>
      </c>
    </row>
    <row r="1288" customFormat="false" ht="15" hidden="false" customHeight="false" outlineLevel="0" collapsed="false">
      <c r="B1288" s="4" t="n">
        <v>29980668</v>
      </c>
      <c r="C1288" s="4" t="s">
        <v>2425</v>
      </c>
      <c r="D1288" s="4" t="s">
        <v>463</v>
      </c>
      <c r="E1288" s="4" t="s">
        <v>2843</v>
      </c>
      <c r="F1288" s="127" t="n">
        <v>46814</v>
      </c>
      <c r="G1288" s="127" t="n">
        <v>46826</v>
      </c>
      <c r="H1288" s="127" t="n">
        <v>46289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31</v>
      </c>
      <c r="O1288" s="2" t="str">
        <f aca="false">IF(OR(F1288="",G1288=""),"",IF(G1288&lt;='RETRATO 2027'!$K$5,"CONCLUÍDA",IF(F1288&lt;='RETRATO 2027'!$K$5,"EM ANDAMENTO","A INICIAR")))</f>
        <v>A INICIAR</v>
      </c>
    </row>
    <row r="1289" customFormat="false" ht="15" hidden="false" customHeight="false" outlineLevel="0" collapsed="false">
      <c r="B1289" s="4" t="n">
        <v>29980637</v>
      </c>
      <c r="C1289" s="4" t="s">
        <v>2428</v>
      </c>
      <c r="D1289" s="4" t="s">
        <v>463</v>
      </c>
      <c r="E1289" s="4" t="s">
        <v>2843</v>
      </c>
      <c r="F1289" s="127" t="n">
        <v>46814</v>
      </c>
      <c r="G1289" s="127" t="n">
        <v>46826</v>
      </c>
      <c r="H1289" s="127" t="n">
        <v>46289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20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31</v>
      </c>
      <c r="O1289" s="2" t="str">
        <f aca="false">IF(OR(F1289="",G1289=""),"",IF(G1289&lt;='RETRATO 2027'!$K$5,"CONCLUÍDA",IF(F1289&lt;='RETRATO 2027'!$K$5,"EM ANDAMENTO","A INICIAR")))</f>
        <v>A INICIAR</v>
      </c>
    </row>
    <row r="1290" customFormat="false" ht="15" hidden="false" customHeight="false" outlineLevel="0" collapsed="false">
      <c r="B1290" s="4" t="n">
        <v>29980670</v>
      </c>
      <c r="C1290" s="4" t="s">
        <v>2431</v>
      </c>
      <c r="D1290" s="4" t="s">
        <v>463</v>
      </c>
      <c r="E1290" s="4" t="s">
        <v>2843</v>
      </c>
      <c r="F1290" s="127" t="n">
        <v>46814</v>
      </c>
      <c r="G1290" s="127" t="n">
        <v>46826</v>
      </c>
      <c r="H1290" s="127" t="n">
        <v>46289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31</v>
      </c>
      <c r="O1290" s="2" t="str">
        <f aca="false">IF(OR(F1290="",G1290=""),"",IF(G1290&lt;='RETRATO 2027'!$K$5,"CONCLUÍDA",IF(F1290&lt;='RETRATO 2027'!$K$5,"EM ANDAMENTO","A INICIAR")))</f>
        <v>A INICIAR</v>
      </c>
    </row>
    <row r="1291" customFormat="false" ht="15" hidden="false" customHeight="false" outlineLevel="0" collapsed="false">
      <c r="B1291" s="4" t="n">
        <v>29980617</v>
      </c>
      <c r="C1291" s="4" t="s">
        <v>2422</v>
      </c>
      <c r="D1291" s="4" t="s">
        <v>463</v>
      </c>
      <c r="E1291" s="4" t="s">
        <v>2844</v>
      </c>
      <c r="F1291" s="127" t="n">
        <v>46814</v>
      </c>
      <c r="G1291" s="127" t="n">
        <v>46826</v>
      </c>
      <c r="H1291" s="127" t="n">
        <v>46289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29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32</v>
      </c>
      <c r="O1291" s="2" t="str">
        <f aca="false">IF(OR(F1291="",G1291=""),"",IF(G1291&lt;='RETRATO 2027'!$K$5,"CONCLUÍDA",IF(F1291&lt;='RETRATO 2027'!$K$5,"EM ANDAMENTO","A INICIAR")))</f>
        <v>A INICIAR</v>
      </c>
    </row>
    <row r="1292" customFormat="false" ht="15" hidden="false" customHeight="false" outlineLevel="0" collapsed="false">
      <c r="B1292" s="4" t="n">
        <v>30205858</v>
      </c>
      <c r="C1292" s="4" t="s">
        <v>2480</v>
      </c>
      <c r="D1292" s="4" t="s">
        <v>463</v>
      </c>
      <c r="E1292" s="4" t="s">
        <v>2782</v>
      </c>
      <c r="F1292" s="127" t="n">
        <v>46815</v>
      </c>
      <c r="G1292" s="127" t="n">
        <v>46835</v>
      </c>
      <c r="H1292" s="127" t="n">
        <v>46289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30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1</v>
      </c>
      <c r="O1292" s="2" t="str">
        <f aca="false">IF(OR(F1292="",G1292=""),"",IF(G1292&lt;='RETRATO 2027'!$K$5,"CONCLUÍDA",IF(F1292&lt;='RETRATO 2027'!$K$5,"EM ANDAMENTO","A INICIAR")))</f>
        <v>A INICIAR</v>
      </c>
    </row>
    <row r="1293" customFormat="false" ht="15" hidden="false" customHeight="false" outlineLevel="0" collapsed="false">
      <c r="B1293" s="4" t="n">
        <v>30208608</v>
      </c>
      <c r="C1293" s="4" t="s">
        <v>2611</v>
      </c>
      <c r="D1293" s="4" t="s">
        <v>463</v>
      </c>
      <c r="E1293" s="4" t="s">
        <v>2851</v>
      </c>
      <c r="F1293" s="127" t="n">
        <v>46815</v>
      </c>
      <c r="G1293" s="127" t="n">
        <v>46828</v>
      </c>
      <c r="H1293" s="127" t="n">
        <v>46289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32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6</v>
      </c>
      <c r="O1293" s="2" t="str">
        <f aca="false">IF(OR(F1293="",G1293=""),"",IF(G1293&lt;='RETRATO 2027'!$K$5,"CONCLUÍDA",IF(F1293&lt;='RETRATO 2027'!$K$5,"EM ANDAMENTO","A INICIAR")))</f>
        <v>A INICIAR</v>
      </c>
    </row>
    <row r="1294" customFormat="false" ht="15" hidden="false" customHeight="false" outlineLevel="0" collapsed="false">
      <c r="B1294" s="4" t="n">
        <v>30206046</v>
      </c>
      <c r="C1294" s="4" t="s">
        <v>2416</v>
      </c>
      <c r="D1294" s="4" t="s">
        <v>463</v>
      </c>
      <c r="E1294" s="4" t="s">
        <v>2848</v>
      </c>
      <c r="F1294" s="127" t="n">
        <v>46819</v>
      </c>
      <c r="G1294" s="127" t="n">
        <v>46832</v>
      </c>
      <c r="H1294" s="127" t="n">
        <v>46289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18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6</v>
      </c>
      <c r="O1294" s="2" t="str">
        <f aca="false">IF(OR(F1294="",G1294=""),"",IF(G1294&lt;='RETRATO 2027'!$K$5,"CONCLUÍDA",IF(F1294&lt;='RETRATO 2027'!$K$5,"EM ANDAMENTO","A INICIAR")))</f>
        <v>A INICIAR</v>
      </c>
    </row>
    <row r="1295" customFormat="false" ht="15" hidden="false" customHeight="false" outlineLevel="0" collapsed="false">
      <c r="B1295" s="4" t="n">
        <v>30205536</v>
      </c>
      <c r="C1295" s="4" t="s">
        <v>2545</v>
      </c>
      <c r="D1295" s="4" t="s">
        <v>463</v>
      </c>
      <c r="E1295" s="4" t="s">
        <v>2832</v>
      </c>
      <c r="F1295" s="127" t="n">
        <v>46822</v>
      </c>
      <c r="G1295" s="127" t="n">
        <v>46849</v>
      </c>
      <c r="H1295" s="127" t="n">
        <v>46289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25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0</v>
      </c>
      <c r="O1295" s="2" t="str">
        <f aca="false">IF(OR(F1295="",G1295=""),"",IF(G1295&lt;='RETRATO 2027'!$K$5,"CONCLUÍDA",IF(F1295&lt;='RETRATO 2027'!$K$5,"EM ANDAMENTO","A INICIAR")))</f>
        <v>A INICIAR</v>
      </c>
    </row>
    <row r="1296" customFormat="false" ht="15" hidden="false" customHeight="false" outlineLevel="0" collapsed="false">
      <c r="B1296" s="4" t="n">
        <v>30205794</v>
      </c>
      <c r="C1296" s="4" t="s">
        <v>2501</v>
      </c>
      <c r="D1296" s="4" t="s">
        <v>463</v>
      </c>
      <c r="E1296" s="4" t="s">
        <v>2835</v>
      </c>
      <c r="F1296" s="127" t="n">
        <v>46822</v>
      </c>
      <c r="G1296" s="127" t="n">
        <v>46835</v>
      </c>
      <c r="H1296" s="127" t="n">
        <v>46289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0</v>
      </c>
      <c r="O1296" s="2" t="str">
        <f aca="false">IF(OR(F1296="",G1296=""),"",IF(G1296&lt;='RETRATO 2027'!$K$5,"CONCLUÍDA",IF(F1296&lt;='RETRATO 2027'!$K$5,"EM ANDAMENTO","A INICIAR")))</f>
        <v>A INICIAR</v>
      </c>
    </row>
    <row r="1297" customFormat="false" ht="15" hidden="false" customHeight="false" outlineLevel="0" collapsed="false">
      <c r="B1297" s="4" t="n">
        <v>30205827</v>
      </c>
      <c r="C1297" s="4" t="s">
        <v>2480</v>
      </c>
      <c r="D1297" s="4" t="s">
        <v>463</v>
      </c>
      <c r="E1297" s="4" t="s">
        <v>2839</v>
      </c>
      <c r="F1297" s="127" t="n">
        <v>46822</v>
      </c>
      <c r="G1297" s="127" t="n">
        <v>46835</v>
      </c>
      <c r="H1297" s="127" t="n">
        <v>46289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30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0</v>
      </c>
      <c r="O1297" s="2" t="str">
        <f aca="false">IF(OR(F1297="",G1297=""),"",IF(G1297&lt;='RETRATO 2027'!$K$5,"CONCLUÍDA",IF(F1297&lt;='RETRATO 2027'!$K$5,"EM ANDAMENTO","A INICIAR")))</f>
        <v>A INICIAR</v>
      </c>
    </row>
    <row r="1298" customFormat="false" ht="15" hidden="false" customHeight="false" outlineLevel="0" collapsed="false">
      <c r="B1298" s="4" t="n">
        <v>34179693</v>
      </c>
      <c r="C1298" s="4" t="s">
        <v>171</v>
      </c>
      <c r="D1298" s="4" t="s">
        <v>463</v>
      </c>
      <c r="E1298" s="4" t="s">
        <v>2836</v>
      </c>
      <c r="F1298" s="127" t="n">
        <v>46822</v>
      </c>
      <c r="G1298" s="127" t="n">
        <v>46918</v>
      </c>
      <c r="H1298" s="127" t="n">
        <v>46289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19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0</v>
      </c>
      <c r="O1298" s="2" t="str">
        <f aca="false">IF(OR(F1298="",G1298=""),"",IF(G1298&lt;='RETRATO 2027'!$K$5,"CONCLUÍDA",IF(F1298&lt;='RETRATO 2027'!$K$5,"EM ANDAMENTO","A INICIAR")))</f>
        <v>A INICIAR</v>
      </c>
    </row>
    <row r="1299" customFormat="false" ht="15" hidden="false" customHeight="false" outlineLevel="0" collapsed="false">
      <c r="B1299" s="4" t="n">
        <v>30205759</v>
      </c>
      <c r="C1299" s="4" t="s">
        <v>171</v>
      </c>
      <c r="D1299" s="4" t="s">
        <v>463</v>
      </c>
      <c r="E1299" s="4" t="s">
        <v>2837</v>
      </c>
      <c r="F1299" s="127" t="n">
        <v>46822</v>
      </c>
      <c r="G1299" s="127" t="n">
        <v>46918</v>
      </c>
      <c r="H1299" s="127" t="n">
        <v>46289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19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0</v>
      </c>
      <c r="O1299" s="2" t="str">
        <f aca="false">IF(OR(F1299="",G1299=""),"",IF(G1299&lt;='RETRATO 2027'!$K$5,"CONCLUÍDA",IF(F1299&lt;='RETRATO 2027'!$K$5,"EM ANDAMENTO","A INICIAR")))</f>
        <v>A INICIAR</v>
      </c>
    </row>
    <row r="1300" customFormat="false" ht="15" hidden="false" customHeight="false" outlineLevel="0" collapsed="false">
      <c r="B1300" s="4" t="n">
        <v>30206102</v>
      </c>
      <c r="C1300" s="4" t="s">
        <v>2434</v>
      </c>
      <c r="D1300" s="4" t="s">
        <v>463</v>
      </c>
      <c r="E1300" s="4" t="s">
        <v>2846</v>
      </c>
      <c r="F1300" s="127" t="n">
        <v>46825</v>
      </c>
      <c r="G1300" s="127" t="n">
        <v>46829</v>
      </c>
      <c r="H1300" s="127" t="n">
        <v>46289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25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6</v>
      </c>
      <c r="O1300" s="2" t="str">
        <f aca="false">IF(OR(F1300="",G1300=""),"",IF(G1300&lt;='RETRATO 2027'!$K$5,"CONCLUÍDA",IF(F1300&lt;='RETRATO 2027'!$K$5,"EM ANDAMENTO","A INICIAR")))</f>
        <v>A INICIAR</v>
      </c>
    </row>
    <row r="1301" customFormat="false" ht="15" hidden="false" customHeight="false" outlineLevel="0" collapsed="false">
      <c r="B1301" s="4" t="n">
        <v>30206093</v>
      </c>
      <c r="C1301" s="4" t="s">
        <v>2425</v>
      </c>
      <c r="D1301" s="4" t="s">
        <v>463</v>
      </c>
      <c r="E1301" s="4" t="s">
        <v>2847</v>
      </c>
      <c r="F1301" s="127" t="n">
        <v>46825</v>
      </c>
      <c r="G1301" s="127" t="n">
        <v>46836</v>
      </c>
      <c r="H1301" s="127" t="n">
        <v>46289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21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6</v>
      </c>
      <c r="O1301" s="2" t="str">
        <f aca="false">IF(OR(F1301="",G1301=""),"",IF(G1301&lt;='RETRATO 2027'!$K$5,"CONCLUÍDA",IF(F1301&lt;='RETRATO 2027'!$K$5,"EM ANDAMENTO","A INICIAR")))</f>
        <v>A INICIAR</v>
      </c>
    </row>
    <row r="1302" customFormat="false" ht="15" hidden="false" customHeight="false" outlineLevel="0" collapsed="false">
      <c r="B1302" s="4" t="n">
        <v>30206064</v>
      </c>
      <c r="C1302" s="4" t="s">
        <v>2428</v>
      </c>
      <c r="D1302" s="4" t="s">
        <v>463</v>
      </c>
      <c r="E1302" s="4" t="s">
        <v>2847</v>
      </c>
      <c r="F1302" s="127" t="n">
        <v>46825</v>
      </c>
      <c r="G1302" s="127" t="n">
        <v>46836</v>
      </c>
      <c r="H1302" s="127" t="n">
        <v>46289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20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6</v>
      </c>
      <c r="O1302" s="2" t="str">
        <f aca="false">IF(OR(F1302="",G1302=""),"",IF(G1302&lt;='RETRATO 2027'!$K$5,"CONCLUÍDA",IF(F1302&lt;='RETRATO 2027'!$K$5,"EM ANDAMENTO","A INICIAR")))</f>
        <v>A INICIAR</v>
      </c>
    </row>
    <row r="1303" customFormat="false" ht="15" hidden="false" customHeight="false" outlineLevel="0" collapsed="false">
      <c r="B1303" s="4" t="n">
        <v>30206044</v>
      </c>
      <c r="C1303" s="4" t="s">
        <v>2422</v>
      </c>
      <c r="D1303" s="4" t="s">
        <v>463</v>
      </c>
      <c r="E1303" s="4" t="s">
        <v>2848</v>
      </c>
      <c r="F1303" s="127" t="n">
        <v>46825</v>
      </c>
      <c r="G1303" s="127" t="n">
        <v>46836</v>
      </c>
      <c r="H1303" s="127" t="n">
        <v>46289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29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6</v>
      </c>
      <c r="O1303" s="2" t="str">
        <f aca="false">IF(OR(F1303="",G1303=""),"",IF(G1303&lt;='RETRATO 2027'!$K$5,"CONCLUÍDA",IF(F1303&lt;='RETRATO 2027'!$K$5,"EM ANDAMENTO","A INICIAR")))</f>
        <v>A INICIAR</v>
      </c>
    </row>
    <row r="1304" customFormat="false" ht="15" hidden="false" customHeight="false" outlineLevel="0" collapsed="false">
      <c r="B1304" s="4" t="n">
        <v>31790592</v>
      </c>
      <c r="C1304" s="4" t="s">
        <v>2613</v>
      </c>
      <c r="D1304" s="4" t="s">
        <v>463</v>
      </c>
      <c r="E1304" s="4" t="s">
        <v>2678</v>
      </c>
      <c r="F1304" s="127" t="n">
        <v>46825</v>
      </c>
      <c r="G1304" s="127" t="n">
        <v>46868</v>
      </c>
      <c r="H1304" s="127" t="n">
        <v>46289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32</v>
      </c>
      <c r="N1304" s="2" t="str">
        <f aca="false"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 t="str">
        <f aca="false">IF(OR(F1304="",G1304=""),"",IF(G1304&lt;='RETRATO 2027'!$K$5,"CONCLUÍDA",IF(F1304&lt;='RETRATO 2027'!$K$5,"EM ANDAMENTO","A INICIAR")))</f>
        <v>A INICIAR</v>
      </c>
    </row>
    <row r="1305" customFormat="false" ht="15" hidden="false" customHeight="false" outlineLevel="0" collapsed="false">
      <c r="B1305" s="4" t="n">
        <v>29981537</v>
      </c>
      <c r="C1305" s="4" t="s">
        <v>2615</v>
      </c>
      <c r="D1305" s="4" t="s">
        <v>463</v>
      </c>
      <c r="E1305" s="4" t="s">
        <v>2803</v>
      </c>
      <c r="F1305" s="127" t="n">
        <v>46826</v>
      </c>
      <c r="G1305" s="127" t="n">
        <v>46836</v>
      </c>
      <c r="H1305" s="127" t="n">
        <v>46289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37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7</v>
      </c>
      <c r="O1305" s="2" t="str">
        <f aca="false">IF(OR(F1305="",G1305=""),"",IF(G1305&lt;='RETRATO 2027'!$K$5,"CONCLUÍDA",IF(F1305&lt;='RETRATO 2027'!$K$5,"EM ANDAMENTO","A INICIAR")))</f>
        <v>A INICIAR</v>
      </c>
    </row>
    <row r="1306" customFormat="false" ht="15" hidden="false" customHeight="false" outlineLevel="0" collapsed="false">
      <c r="B1306" s="4" t="n">
        <v>29981494</v>
      </c>
      <c r="C1306" s="4" t="s">
        <v>2605</v>
      </c>
      <c r="D1306" s="4" t="s">
        <v>463</v>
      </c>
      <c r="E1306" s="4" t="s">
        <v>2804</v>
      </c>
      <c r="F1306" s="127" t="n">
        <v>46826</v>
      </c>
      <c r="G1306" s="127" t="n">
        <v>46836</v>
      </c>
      <c r="H1306" s="127" t="n">
        <v>46289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34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8</v>
      </c>
      <c r="O1306" s="2" t="str">
        <f aca="false">IF(OR(F1306="",G1306=""),"",IF(G1306&lt;='RETRATO 2027'!$K$5,"CONCLUÍDA",IF(F1306&lt;='RETRATO 2027'!$K$5,"EM ANDAMENTO","A INICIAR")))</f>
        <v>A INICIAR</v>
      </c>
    </row>
    <row r="1307" customFormat="false" ht="15" hidden="false" customHeight="false" outlineLevel="0" collapsed="false">
      <c r="B1307" s="4" t="n">
        <v>29981499</v>
      </c>
      <c r="C1307" s="4" t="s">
        <v>2607</v>
      </c>
      <c r="D1307" s="4" t="s">
        <v>463</v>
      </c>
      <c r="E1307" s="4" t="s">
        <v>2804</v>
      </c>
      <c r="F1307" s="127" t="n">
        <v>46826</v>
      </c>
      <c r="G1307" s="127" t="n">
        <v>46836</v>
      </c>
      <c r="H1307" s="127" t="n">
        <v>46289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34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8</v>
      </c>
      <c r="O1307" s="2" t="str">
        <f aca="false">IF(OR(F1307="",G1307=""),"",IF(G1307&lt;='RETRATO 2027'!$K$5,"CONCLUÍDA",IF(F1307&lt;='RETRATO 2027'!$K$5,"EM ANDAMENTO","A INICIAR")))</f>
        <v>A INICIAR</v>
      </c>
    </row>
    <row r="1308" customFormat="false" ht="15" hidden="false" customHeight="false" outlineLevel="0" collapsed="false">
      <c r="B1308" s="4" t="n">
        <v>29981498</v>
      </c>
      <c r="C1308" s="4" t="s">
        <v>2563</v>
      </c>
      <c r="D1308" s="4" t="s">
        <v>463</v>
      </c>
      <c r="E1308" s="4" t="s">
        <v>2804</v>
      </c>
      <c r="F1308" s="127" t="n">
        <v>46826</v>
      </c>
      <c r="G1308" s="127" t="n">
        <v>46836</v>
      </c>
      <c r="H1308" s="127" t="n">
        <v>46289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20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8</v>
      </c>
      <c r="O1308" s="2" t="str">
        <f aca="false">IF(OR(F1308="",G1308=""),"",IF(G1308&lt;='RETRATO 2027'!$K$5,"CONCLUÍDA",IF(F1308&lt;='RETRATO 2027'!$K$5,"EM ANDAMENTO","A INICIAR")))</f>
        <v>A INICIAR</v>
      </c>
    </row>
    <row r="1309" customFormat="false" ht="15" hidden="false" customHeight="false" outlineLevel="0" collapsed="false">
      <c r="B1309" s="4" t="n">
        <v>29981497</v>
      </c>
      <c r="C1309" s="4" t="s">
        <v>2609</v>
      </c>
      <c r="D1309" s="4" t="s">
        <v>463</v>
      </c>
      <c r="E1309" s="4" t="s">
        <v>2804</v>
      </c>
      <c r="F1309" s="127" t="n">
        <v>46826</v>
      </c>
      <c r="G1309" s="127" t="n">
        <v>46836</v>
      </c>
      <c r="H1309" s="127" t="n">
        <v>46289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23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8</v>
      </c>
      <c r="O1309" s="2" t="str">
        <f aca="false">IF(OR(F1309="",G1309=""),"",IF(G1309&lt;='RETRATO 2027'!$K$5,"CONCLUÍDA",IF(F1309&lt;='RETRATO 2027'!$K$5,"EM ANDAMENTO","A INICIAR")))</f>
        <v>A INICIAR</v>
      </c>
    </row>
    <row r="1310" customFormat="false" ht="15" hidden="false" customHeight="false" outlineLevel="0" collapsed="false">
      <c r="B1310" s="4" t="n">
        <v>29981456</v>
      </c>
      <c r="C1310" s="4" t="s">
        <v>2599</v>
      </c>
      <c r="D1310" s="4" t="s">
        <v>463</v>
      </c>
      <c r="E1310" s="4" t="s">
        <v>2805</v>
      </c>
      <c r="F1310" s="127" t="n">
        <v>46826</v>
      </c>
      <c r="G1310" s="127" t="n">
        <v>46836</v>
      </c>
      <c r="H1310" s="127" t="n">
        <v>46289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30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9</v>
      </c>
      <c r="O1310" s="2" t="str">
        <f aca="false">IF(OR(F1310="",G1310=""),"",IF(G1310&lt;='RETRATO 2027'!$K$5,"CONCLUÍDA",IF(F1310&lt;='RETRATO 2027'!$K$5,"EM ANDAMENTO","A INICIAR")))</f>
        <v>A INICIAR</v>
      </c>
    </row>
    <row r="1311" customFormat="false" ht="15" hidden="false" customHeight="false" outlineLevel="0" collapsed="false">
      <c r="B1311" s="4" t="n">
        <v>29981418</v>
      </c>
      <c r="C1311" s="4" t="s">
        <v>2578</v>
      </c>
      <c r="D1311" s="4" t="s">
        <v>463</v>
      </c>
      <c r="E1311" s="4" t="s">
        <v>2809</v>
      </c>
      <c r="F1311" s="127" t="n">
        <v>46826</v>
      </c>
      <c r="G1311" s="127" t="n">
        <v>46836</v>
      </c>
      <c r="H1311" s="127" t="n">
        <v>46289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25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10</v>
      </c>
      <c r="O1311" s="2" t="str">
        <f aca="false">IF(OR(F1311="",G1311=""),"",IF(G1311&lt;='RETRATO 2027'!$K$5,"CONCLUÍDA",IF(F1311&lt;='RETRATO 2027'!$K$5,"EM ANDAMENTO","A INICIAR")))</f>
        <v>A INICIAR</v>
      </c>
    </row>
    <row r="1312" customFormat="false" ht="15" hidden="false" customHeight="false" outlineLevel="0" collapsed="false">
      <c r="B1312" s="4" t="n">
        <v>29981380</v>
      </c>
      <c r="C1312" s="4" t="s">
        <v>2569</v>
      </c>
      <c r="D1312" s="4" t="s">
        <v>463</v>
      </c>
      <c r="E1312" s="4" t="s">
        <v>2810</v>
      </c>
      <c r="F1312" s="127" t="n">
        <v>46826</v>
      </c>
      <c r="G1312" s="127" t="n">
        <v>46836</v>
      </c>
      <c r="H1312" s="127" t="n">
        <v>46289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11</v>
      </c>
      <c r="O1312" s="2" t="str">
        <f aca="false">IF(OR(F1312="",G1312=""),"",IF(G1312&lt;='RETRATO 2027'!$K$5,"CONCLUÍDA",IF(F1312&lt;='RETRATO 2027'!$K$5,"EM ANDAMENTO","A INICIAR")))</f>
        <v>A INICIAR</v>
      </c>
    </row>
    <row r="1313" customFormat="false" ht="15" hidden="false" customHeight="false" outlineLevel="0" collapsed="false">
      <c r="B1313" s="4" t="n">
        <v>29981342</v>
      </c>
      <c r="C1313" s="4" t="s">
        <v>2554</v>
      </c>
      <c r="D1313" s="4" t="s">
        <v>463</v>
      </c>
      <c r="E1313" s="4" t="s">
        <v>2811</v>
      </c>
      <c r="F1313" s="127" t="n">
        <v>46826</v>
      </c>
      <c r="G1313" s="127" t="n">
        <v>46836</v>
      </c>
      <c r="H1313" s="127" t="n">
        <v>46289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35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A INICIAR</v>
      </c>
    </row>
    <row r="1314" customFormat="false" ht="15" hidden="false" customHeight="false" outlineLevel="0" collapsed="false">
      <c r="B1314" s="4" t="n">
        <v>29981331</v>
      </c>
      <c r="C1314" s="4" t="s">
        <v>2539</v>
      </c>
      <c r="D1314" s="4" t="s">
        <v>463</v>
      </c>
      <c r="E1314" s="4" t="s">
        <v>2812</v>
      </c>
      <c r="F1314" s="127" t="n">
        <v>46826</v>
      </c>
      <c r="G1314" s="127" t="n">
        <v>46836</v>
      </c>
      <c r="H1314" s="127" t="n">
        <v>46289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35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A INICIAR</v>
      </c>
    </row>
    <row r="1315" customFormat="false" ht="15" hidden="false" customHeight="false" outlineLevel="0" collapsed="false">
      <c r="B1315" s="4" t="n">
        <v>33898095</v>
      </c>
      <c r="C1315" s="4" t="s">
        <v>2545</v>
      </c>
      <c r="D1315" s="4" t="s">
        <v>463</v>
      </c>
      <c r="E1315" s="4" t="s">
        <v>2813</v>
      </c>
      <c r="F1315" s="127" t="n">
        <v>46826</v>
      </c>
      <c r="G1315" s="127" t="n">
        <v>46836</v>
      </c>
      <c r="H1315" s="127" t="n">
        <v>46289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25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14</v>
      </c>
      <c r="O1315" s="2" t="str">
        <f aca="false">IF(OR(F1315="",G1315=""),"",IF(G1315&lt;='RETRATO 2027'!$K$5,"CONCLUÍDA",IF(F1315&lt;='RETRATO 2027'!$K$5,"EM ANDAMENTO","A INICIAR")))</f>
        <v>A INICIAR</v>
      </c>
    </row>
    <row r="1316" customFormat="false" ht="15" hidden="false" customHeight="false" outlineLevel="0" collapsed="false">
      <c r="B1316" s="4" t="n">
        <v>30205699</v>
      </c>
      <c r="C1316" s="4" t="s">
        <v>2554</v>
      </c>
      <c r="D1316" s="4" t="s">
        <v>463</v>
      </c>
      <c r="E1316" s="4" t="s">
        <v>2819</v>
      </c>
      <c r="F1316" s="127" t="n">
        <v>46827</v>
      </c>
      <c r="G1316" s="127" t="n">
        <v>46840</v>
      </c>
      <c r="H1316" s="127" t="n">
        <v>46289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35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0</v>
      </c>
      <c r="O1316" s="2" t="str">
        <f aca="false">IF(OR(F1316="",G1316=""),"",IF(G1316&lt;='RETRATO 2027'!$K$5,"CONCLUÍDA",IF(F1316&lt;='RETRATO 2027'!$K$5,"EM ANDAMENTO","A INICIAR")))</f>
        <v>A INICIAR</v>
      </c>
    </row>
    <row r="1317" customFormat="false" ht="15" hidden="false" customHeight="false" outlineLevel="0" collapsed="false">
      <c r="B1317" s="4" t="n">
        <v>29981144</v>
      </c>
      <c r="C1317" s="4" t="s">
        <v>216</v>
      </c>
      <c r="D1317" s="4" t="s">
        <v>463</v>
      </c>
      <c r="E1317" s="4" t="s">
        <v>2820</v>
      </c>
      <c r="F1317" s="127" t="n">
        <v>46827</v>
      </c>
      <c r="G1317" s="127" t="n">
        <v>46839</v>
      </c>
      <c r="H1317" s="127" t="n">
        <v>46289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33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18</v>
      </c>
      <c r="O1317" s="2" t="str">
        <f aca="false">IF(OR(F1317="",G1317=""),"",IF(G1317&lt;='RETRATO 2027'!$K$5,"CONCLUÍDA",IF(F1317&lt;='RETRATO 2027'!$K$5,"EM ANDAMENTO","A INICIAR")))</f>
        <v>A INICIAR</v>
      </c>
    </row>
    <row r="1318" customFormat="false" ht="15" hidden="false" customHeight="false" outlineLevel="0" collapsed="false">
      <c r="B1318" s="4" t="n">
        <v>29981068</v>
      </c>
      <c r="C1318" s="4" t="s">
        <v>2508</v>
      </c>
      <c r="D1318" s="4" t="s">
        <v>463</v>
      </c>
      <c r="E1318" s="4" t="s">
        <v>2823</v>
      </c>
      <c r="F1318" s="127" t="n">
        <v>46827</v>
      </c>
      <c r="G1318" s="127" t="n">
        <v>46839</v>
      </c>
      <c r="H1318" s="127" t="n">
        <v>46289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20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20</v>
      </c>
      <c r="O1318" s="2" t="str">
        <f aca="false">IF(OR(F1318="",G1318=""),"",IF(G1318&lt;='RETRATO 2027'!$K$5,"CONCLUÍDA",IF(F1318&lt;='RETRATO 2027'!$K$5,"EM ANDAMENTO","A INICIAR")))</f>
        <v>A INICIAR</v>
      </c>
    </row>
    <row r="1319" customFormat="false" ht="15" hidden="false" customHeight="false" outlineLevel="0" collapsed="false">
      <c r="B1319" s="4" t="n">
        <v>29981073</v>
      </c>
      <c r="C1319" s="4" t="s">
        <v>2511</v>
      </c>
      <c r="D1319" s="4" t="s">
        <v>463</v>
      </c>
      <c r="E1319" s="4" t="s">
        <v>2823</v>
      </c>
      <c r="F1319" s="127" t="n">
        <v>46827</v>
      </c>
      <c r="G1319" s="127" t="n">
        <v>46839</v>
      </c>
      <c r="H1319" s="127" t="n">
        <v>46289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20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20</v>
      </c>
      <c r="O1319" s="2" t="str">
        <f aca="false">IF(OR(F1319="",G1319=""),"",IF(G1319&lt;='RETRATO 2027'!$K$5,"CONCLUÍDA",IF(F1319&lt;='RETRATO 2027'!$K$5,"EM ANDAMENTO","A INICIAR")))</f>
        <v>A INICIAR</v>
      </c>
    </row>
    <row r="1320" customFormat="false" ht="15" hidden="false" customHeight="false" outlineLevel="0" collapsed="false">
      <c r="B1320" s="4" t="n">
        <v>30214082</v>
      </c>
      <c r="C1320" s="4" t="s">
        <v>2514</v>
      </c>
      <c r="D1320" s="4" t="s">
        <v>463</v>
      </c>
      <c r="E1320" s="4" t="s">
        <v>2823</v>
      </c>
      <c r="F1320" s="127" t="n">
        <v>46827</v>
      </c>
      <c r="G1320" s="127" t="n">
        <v>46840</v>
      </c>
      <c r="H1320" s="127" t="n">
        <v>46289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20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20</v>
      </c>
      <c r="O1320" s="2" t="str">
        <f aca="false">IF(OR(F1320="",G1320=""),"",IF(G1320&lt;='RETRATO 2027'!$K$5,"CONCLUÍDA",IF(F1320&lt;='RETRATO 2027'!$K$5,"EM ANDAMENTO","A INICIAR")))</f>
        <v>A INICIAR</v>
      </c>
    </row>
    <row r="1321" customFormat="false" ht="15" hidden="false" customHeight="false" outlineLevel="0" collapsed="false">
      <c r="B1321" s="4" t="n">
        <v>29981015</v>
      </c>
      <c r="C1321" s="4" t="s">
        <v>2501</v>
      </c>
      <c r="D1321" s="4" t="s">
        <v>463</v>
      </c>
      <c r="E1321" s="4" t="s">
        <v>2825</v>
      </c>
      <c r="F1321" s="127" t="n">
        <v>46827</v>
      </c>
      <c r="G1321" s="127" t="n">
        <v>46839</v>
      </c>
      <c r="H1321" s="127" t="n">
        <v>46289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30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21</v>
      </c>
      <c r="O1321" s="2" t="str">
        <f aca="false">IF(OR(F1321="",G1321=""),"",IF(G1321&lt;='RETRATO 2027'!$K$5,"CONCLUÍDA",IF(F1321&lt;='RETRATO 2027'!$K$5,"EM ANDAMENTO","A INICIAR")))</f>
        <v>A INICIAR</v>
      </c>
    </row>
    <row r="1322" customFormat="false" ht="15" hidden="false" customHeight="false" outlineLevel="0" collapsed="false">
      <c r="B1322" s="4" t="n">
        <v>29980977</v>
      </c>
      <c r="C1322" s="4" t="s">
        <v>2486</v>
      </c>
      <c r="D1322" s="4" t="s">
        <v>463</v>
      </c>
      <c r="E1322" s="4" t="s">
        <v>2827</v>
      </c>
      <c r="F1322" s="127" t="n">
        <v>46827</v>
      </c>
      <c r="G1322" s="127" t="n">
        <v>46839</v>
      </c>
      <c r="H1322" s="127" t="n">
        <v>46289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30</v>
      </c>
      <c r="N1322" s="2" t="n">
        <f aca="false">IF(E1322="","",IF(ISNUMBER(SEARCH("SUBSOLO",E1322)),IFERROR(-VALUE(LEFT(E1322,FIND("º",SUBSTITUTE(E1322,"°","º"))-1)),-1),IF(LEFT(E1322,6)="TÉRREO",0,IFERROR(VALUE(LEFT(E1322,FIND("º",SUBSTITUTE(E1322,"°","º"))-1)),""))))</f>
        <v>22</v>
      </c>
      <c r="O1322" s="2" t="str">
        <f aca="false">IF(OR(F1322="",G1322=""),"",IF(G1322&lt;='RETRATO 2027'!$K$5,"CONCLUÍDA",IF(F1322&lt;='RETRATO 2027'!$K$5,"EM ANDAMENTO","A INICIAR")))</f>
        <v>A INICIAR</v>
      </c>
    </row>
    <row r="1323" customFormat="false" ht="15" hidden="false" customHeight="false" outlineLevel="0" collapsed="false">
      <c r="B1323" s="4" t="n">
        <v>29980956</v>
      </c>
      <c r="C1323" s="4" t="s">
        <v>2480</v>
      </c>
      <c r="D1323" s="4" t="s">
        <v>463</v>
      </c>
      <c r="E1323" s="4" t="s">
        <v>2829</v>
      </c>
      <c r="F1323" s="127" t="n">
        <v>46827</v>
      </c>
      <c r="G1323" s="127" t="n">
        <v>46839</v>
      </c>
      <c r="H1323" s="127" t="n">
        <v>46289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30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23</v>
      </c>
      <c r="O1323" s="2" t="str">
        <f aca="false">IF(OR(F1323="",G1323=""),"",IF(G1323&lt;='RETRATO 2027'!$K$5,"CONCLUÍDA",IF(F1323&lt;='RETRATO 2027'!$K$5,"EM ANDAMENTO","A INICIAR")))</f>
        <v>A INICIAR</v>
      </c>
    </row>
    <row r="1324" customFormat="false" ht="15" hidden="false" customHeight="false" outlineLevel="0" collapsed="false">
      <c r="B1324" s="4" t="n">
        <v>29980917</v>
      </c>
      <c r="C1324" s="4" t="s">
        <v>171</v>
      </c>
      <c r="D1324" s="4" t="s">
        <v>463</v>
      </c>
      <c r="E1324" s="4" t="s">
        <v>2831</v>
      </c>
      <c r="F1324" s="127" t="n">
        <v>46827</v>
      </c>
      <c r="G1324" s="127" t="n">
        <v>46839</v>
      </c>
      <c r="H1324" s="127" t="n">
        <v>46289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19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24</v>
      </c>
      <c r="O1324" s="2" t="str">
        <f aca="false">IF(OR(F1324="",G1324=""),"",IF(G1324&lt;='RETRATO 2027'!$K$5,"CONCLUÍDA",IF(F1324&lt;='RETRATO 2027'!$K$5,"EM ANDAMENTO","A INICIAR")))</f>
        <v>A INICIAR</v>
      </c>
    </row>
    <row r="1325" customFormat="false" ht="15" hidden="false" customHeight="false" outlineLevel="0" collapsed="false">
      <c r="B1325" s="4" t="n">
        <v>32750451</v>
      </c>
      <c r="C1325" s="4" t="s">
        <v>2470</v>
      </c>
      <c r="D1325" s="4" t="s">
        <v>463</v>
      </c>
      <c r="E1325" s="4" t="s">
        <v>2833</v>
      </c>
      <c r="F1325" s="127" t="n">
        <v>46827</v>
      </c>
      <c r="G1325" s="127" t="n">
        <v>46839</v>
      </c>
      <c r="H1325" s="127" t="n">
        <v>46289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18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25</v>
      </c>
      <c r="O1325" s="2" t="str">
        <f aca="false">IF(OR(F1325="",G1325=""),"",IF(G1325&lt;='RETRATO 2027'!$K$5,"CONCLUÍDA",IF(F1325&lt;='RETRATO 2027'!$K$5,"EM ANDAMENTO","A INICIAR")))</f>
        <v>A INICIAR</v>
      </c>
    </row>
    <row r="1326" customFormat="false" ht="15" hidden="false" customHeight="false" outlineLevel="0" collapsed="false">
      <c r="B1326" s="4" t="n">
        <v>32750374</v>
      </c>
      <c r="C1326" s="4" t="s">
        <v>2458</v>
      </c>
      <c r="D1326" s="4" t="s">
        <v>463</v>
      </c>
      <c r="E1326" s="4" t="s">
        <v>2834</v>
      </c>
      <c r="F1326" s="127" t="n">
        <v>46827</v>
      </c>
      <c r="G1326" s="127" t="n">
        <v>46839</v>
      </c>
      <c r="H1326" s="127" t="n">
        <v>46289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21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26</v>
      </c>
      <c r="O1326" s="2" t="str">
        <f aca="false">IF(OR(F1326="",G1326=""),"",IF(G1326&lt;='RETRATO 2027'!$K$5,"CONCLUÍDA",IF(F1326&lt;='RETRATO 2027'!$K$5,"EM ANDAMENTO","A INICIAR")))</f>
        <v>A INICIAR</v>
      </c>
    </row>
    <row r="1327" customFormat="false" ht="15" hidden="false" customHeight="false" outlineLevel="0" collapsed="false">
      <c r="B1327" s="4" t="n">
        <v>32750400</v>
      </c>
      <c r="C1327" s="4" t="s">
        <v>2461</v>
      </c>
      <c r="D1327" s="4" t="s">
        <v>463</v>
      </c>
      <c r="E1327" s="4" t="s">
        <v>2834</v>
      </c>
      <c r="F1327" s="127" t="n">
        <v>46827</v>
      </c>
      <c r="G1327" s="127" t="n">
        <v>46839</v>
      </c>
      <c r="H1327" s="127" t="n">
        <v>46289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20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26</v>
      </c>
      <c r="O1327" s="2" t="str">
        <f aca="false">IF(OR(F1327="",G1327=""),"",IF(G1327&lt;='RETRATO 2027'!$K$5,"CONCLUÍDA",IF(F1327&lt;='RETRATO 2027'!$K$5,"EM ANDAMENTO","A INICIAR")))</f>
        <v>A INICIAR</v>
      </c>
    </row>
    <row r="1328" customFormat="false" ht="15" hidden="false" customHeight="false" outlineLevel="0" collapsed="false">
      <c r="B1328" s="4" t="n">
        <v>32750426</v>
      </c>
      <c r="C1328" s="4" t="s">
        <v>2464</v>
      </c>
      <c r="D1328" s="4" t="s">
        <v>463</v>
      </c>
      <c r="E1328" s="4" t="s">
        <v>2834</v>
      </c>
      <c r="F1328" s="127" t="n">
        <v>46827</v>
      </c>
      <c r="G1328" s="127" t="n">
        <v>46839</v>
      </c>
      <c r="H1328" s="127" t="n">
        <v>46289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26</v>
      </c>
      <c r="O1328" s="2" t="str">
        <f aca="false">IF(OR(F1328="",G1328=""),"",IF(G1328&lt;='RETRATO 2027'!$K$5,"CONCLUÍDA",IF(F1328&lt;='RETRATO 2027'!$K$5,"EM ANDAMENTO","A INICIAR")))</f>
        <v>A INICIAR</v>
      </c>
    </row>
    <row r="1329" customFormat="false" ht="15" hidden="false" customHeight="false" outlineLevel="0" collapsed="false">
      <c r="B1329" s="4" t="n">
        <v>33896844</v>
      </c>
      <c r="C1329" s="4" t="s">
        <v>2467</v>
      </c>
      <c r="D1329" s="4" t="s">
        <v>463</v>
      </c>
      <c r="E1329" s="4" t="s">
        <v>2834</v>
      </c>
      <c r="F1329" s="127" t="n">
        <v>46827</v>
      </c>
      <c r="G1329" s="127" t="n">
        <v>46839</v>
      </c>
      <c r="H1329" s="127" t="n">
        <v>46289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23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26</v>
      </c>
      <c r="O1329" s="2" t="str">
        <f aca="false">IF(OR(F1329="",G1329=""),"",IF(G1329&lt;='RETRATO 2027'!$K$5,"CONCLUÍDA",IF(F1329&lt;='RETRATO 2027'!$K$5,"EM ANDAMENTO","A INICIAR")))</f>
        <v>A INICIAR</v>
      </c>
    </row>
    <row r="1330" customFormat="false" ht="15" hidden="false" customHeight="false" outlineLevel="0" collapsed="false">
      <c r="B1330" s="4" t="n">
        <v>32749870</v>
      </c>
      <c r="C1330" s="4" t="s">
        <v>2455</v>
      </c>
      <c r="D1330" s="4" t="s">
        <v>463</v>
      </c>
      <c r="E1330" s="4" t="s">
        <v>2838</v>
      </c>
      <c r="F1330" s="127" t="n">
        <v>46827</v>
      </c>
      <c r="G1330" s="127" t="n">
        <v>46839</v>
      </c>
      <c r="H1330" s="127" t="n">
        <v>46289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18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27</v>
      </c>
      <c r="O1330" s="2" t="str">
        <f aca="false">IF(OR(F1330="",G1330=""),"",IF(G1330&lt;='RETRATO 2027'!$K$5,"CONCLUÍDA",IF(F1330&lt;='RETRATO 2027'!$K$5,"EM ANDAMENTO","A INICIAR")))</f>
        <v>A INICIAR</v>
      </c>
    </row>
    <row r="1331" customFormat="false" ht="15" hidden="false" customHeight="false" outlineLevel="0" collapsed="false">
      <c r="B1331" s="4" t="n">
        <v>29980770</v>
      </c>
      <c r="C1331" s="4" t="s">
        <v>2449</v>
      </c>
      <c r="D1331" s="4" t="s">
        <v>463</v>
      </c>
      <c r="E1331" s="4" t="s">
        <v>2840</v>
      </c>
      <c r="F1331" s="127" t="n">
        <v>46827</v>
      </c>
      <c r="G1331" s="127" t="n">
        <v>46839</v>
      </c>
      <c r="H1331" s="127" t="n">
        <v>46289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28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28</v>
      </c>
      <c r="O1331" s="2" t="str">
        <f aca="false">IF(OR(F1331="",G1331=""),"",IF(G1331&lt;='RETRATO 2027'!$K$5,"CONCLUÍDA",IF(F1331&lt;='RETRATO 2027'!$K$5,"EM ANDAMENTO","A INICIAR")))</f>
        <v>A INICIAR</v>
      </c>
    </row>
    <row r="1332" customFormat="false" ht="15" hidden="false" customHeight="false" outlineLevel="0" collapsed="false">
      <c r="B1332" s="4" t="n">
        <v>29980710</v>
      </c>
      <c r="C1332" s="4" t="s">
        <v>2440</v>
      </c>
      <c r="D1332" s="4" t="s">
        <v>463</v>
      </c>
      <c r="E1332" s="4" t="s">
        <v>2841</v>
      </c>
      <c r="F1332" s="127" t="n">
        <v>46827</v>
      </c>
      <c r="G1332" s="127" t="n">
        <v>46839</v>
      </c>
      <c r="H1332" s="127" t="n">
        <v>46289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21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29</v>
      </c>
      <c r="O1332" s="2" t="str">
        <f aca="false">IF(OR(F1332="",G1332=""),"",IF(G1332&lt;='RETRATO 2027'!$K$5,"CONCLUÍDA",IF(F1332&lt;='RETRATO 2027'!$K$5,"EM ANDAMENTO","A INICIAR")))</f>
        <v>A INICIAR</v>
      </c>
    </row>
    <row r="1333" customFormat="false" ht="15" hidden="false" customHeight="false" outlineLevel="0" collapsed="false">
      <c r="B1333" s="4" t="n">
        <v>29980743</v>
      </c>
      <c r="C1333" s="4" t="s">
        <v>2443</v>
      </c>
      <c r="D1333" s="4" t="s">
        <v>463</v>
      </c>
      <c r="E1333" s="4" t="s">
        <v>2841</v>
      </c>
      <c r="F1333" s="127" t="n">
        <v>46827</v>
      </c>
      <c r="G1333" s="127" t="n">
        <v>46839</v>
      </c>
      <c r="H1333" s="127" t="n">
        <v>46289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20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29</v>
      </c>
      <c r="O1333" s="2" t="str">
        <f aca="false">IF(OR(F1333="",G1333=""),"",IF(G1333&lt;='RETRATO 2027'!$K$5,"CONCLUÍDA",IF(F1333&lt;='RETRATO 2027'!$K$5,"EM ANDAMENTO","A INICIAR")))</f>
        <v>A INICIAR</v>
      </c>
    </row>
    <row r="1334" customFormat="false" ht="15" hidden="false" customHeight="false" outlineLevel="0" collapsed="false">
      <c r="B1334" s="4" t="n">
        <v>29980672</v>
      </c>
      <c r="C1334" s="4" t="s">
        <v>2437</v>
      </c>
      <c r="D1334" s="4" t="s">
        <v>463</v>
      </c>
      <c r="E1334" s="4" t="s">
        <v>2842</v>
      </c>
      <c r="F1334" s="127" t="n">
        <v>46827</v>
      </c>
      <c r="G1334" s="127" t="n">
        <v>46839</v>
      </c>
      <c r="H1334" s="127" t="n">
        <v>46289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29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30</v>
      </c>
      <c r="O1334" s="2" t="str">
        <f aca="false">IF(OR(F1334="",G1334=""),"",IF(G1334&lt;='RETRATO 2027'!$K$5,"CONCLUÍDA",IF(F1334&lt;='RETRATO 2027'!$K$5,"EM ANDAMENTO","A INICIAR")))</f>
        <v>A INICIAR</v>
      </c>
    </row>
    <row r="1335" customFormat="false" ht="15" hidden="false" customHeight="false" outlineLevel="0" collapsed="false">
      <c r="B1335" s="4" t="n">
        <v>29980638</v>
      </c>
      <c r="C1335" s="4" t="s">
        <v>2434</v>
      </c>
      <c r="D1335" s="4" t="s">
        <v>463</v>
      </c>
      <c r="E1335" s="4" t="s">
        <v>2843</v>
      </c>
      <c r="F1335" s="127" t="n">
        <v>46827</v>
      </c>
      <c r="G1335" s="127" t="n">
        <v>46839</v>
      </c>
      <c r="H1335" s="127" t="n">
        <v>46289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25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31</v>
      </c>
      <c r="O1335" s="2" t="str">
        <f aca="false">IF(OR(F1335="",G1335=""),"",IF(G1335&lt;='RETRATO 2027'!$K$5,"CONCLUÍDA",IF(F1335&lt;='RETRATO 2027'!$K$5,"EM ANDAMENTO","A INICIAR")))</f>
        <v>A INICIAR</v>
      </c>
    </row>
    <row r="1336" customFormat="false" ht="15" hidden="false" customHeight="false" outlineLevel="0" collapsed="false">
      <c r="B1336" s="4" t="n">
        <v>29980631</v>
      </c>
      <c r="C1336" s="4" t="s">
        <v>2425</v>
      </c>
      <c r="D1336" s="4" t="s">
        <v>463</v>
      </c>
      <c r="E1336" s="4" t="s">
        <v>2844</v>
      </c>
      <c r="F1336" s="127" t="n">
        <v>46827</v>
      </c>
      <c r="G1336" s="127" t="n">
        <v>46839</v>
      </c>
      <c r="H1336" s="127" t="n">
        <v>46289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21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32</v>
      </c>
      <c r="O1336" s="2" t="str">
        <f aca="false">IF(OR(F1336="",G1336=""),"",IF(G1336&lt;='RETRATO 2027'!$K$5,"CONCLUÍDA",IF(F1336&lt;='RETRATO 2027'!$K$5,"EM ANDAMENTO","A INICIAR")))</f>
        <v>A INICIAR</v>
      </c>
    </row>
    <row r="1337" customFormat="false" ht="15" hidden="false" customHeight="false" outlineLevel="0" collapsed="false">
      <c r="B1337" s="4" t="n">
        <v>29980600</v>
      </c>
      <c r="C1337" s="4" t="s">
        <v>2428</v>
      </c>
      <c r="D1337" s="4" t="s">
        <v>463</v>
      </c>
      <c r="E1337" s="4" t="s">
        <v>2844</v>
      </c>
      <c r="F1337" s="127" t="n">
        <v>46827</v>
      </c>
      <c r="G1337" s="127" t="n">
        <v>46839</v>
      </c>
      <c r="H1337" s="127" t="n">
        <v>46289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32</v>
      </c>
      <c r="O1337" s="2" t="str">
        <f aca="false">IF(OR(F1337="",G1337=""),"",IF(G1337&lt;='RETRATO 2027'!$K$5,"CONCLUÍDA",IF(F1337&lt;='RETRATO 2027'!$K$5,"EM ANDAMENTO","A INICIAR")))</f>
        <v>A INICIAR</v>
      </c>
    </row>
    <row r="1338" customFormat="false" ht="15" hidden="false" customHeight="false" outlineLevel="0" collapsed="false">
      <c r="B1338" s="4" t="n">
        <v>29980633</v>
      </c>
      <c r="C1338" s="4" t="s">
        <v>2431</v>
      </c>
      <c r="D1338" s="4" t="s">
        <v>463</v>
      </c>
      <c r="E1338" s="4" t="s">
        <v>2844</v>
      </c>
      <c r="F1338" s="127" t="n">
        <v>46827</v>
      </c>
      <c r="G1338" s="127" t="n">
        <v>46839</v>
      </c>
      <c r="H1338" s="127" t="n">
        <v>46289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21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32</v>
      </c>
      <c r="O1338" s="2" t="str">
        <f aca="false">IF(OR(F1338="",G1338=""),"",IF(G1338&lt;='RETRATO 2027'!$K$5,"CONCLUÍDA",IF(F1338&lt;='RETRATO 2027'!$K$5,"EM ANDAMENTO","A INICIAR")))</f>
        <v>A INICIAR</v>
      </c>
    </row>
    <row r="1339" customFormat="false" ht="15" hidden="false" customHeight="false" outlineLevel="0" collapsed="false">
      <c r="B1339" s="4" t="n">
        <v>31790148</v>
      </c>
      <c r="C1339" s="4" t="s">
        <v>2617</v>
      </c>
      <c r="D1339" s="4" t="s">
        <v>463</v>
      </c>
      <c r="E1339" s="4" t="s">
        <v>2678</v>
      </c>
      <c r="F1339" s="127" t="n">
        <v>46827</v>
      </c>
      <c r="G1339" s="127" t="n">
        <v>46862</v>
      </c>
      <c r="H1339" s="127" t="n">
        <v>46289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32</v>
      </c>
      <c r="N1339" s="2" t="str">
        <f aca="false"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 t="str">
        <f aca="false">IF(OR(F1339="",G1339=""),"",IF(G1339&lt;='RETRATO 2027'!$K$5,"CONCLUÍDA",IF(F1339&lt;='RETRATO 2027'!$K$5,"EM ANDAMENTO","A INICIAR")))</f>
        <v>A INICIAR</v>
      </c>
    </row>
    <row r="1340" customFormat="false" ht="15" hidden="false" customHeight="false" outlineLevel="0" collapsed="false">
      <c r="B1340" s="4" t="n">
        <v>30205879</v>
      </c>
      <c r="C1340" s="4" t="s">
        <v>2611</v>
      </c>
      <c r="D1340" s="4" t="s">
        <v>463</v>
      </c>
      <c r="E1340" s="4" t="s">
        <v>2845</v>
      </c>
      <c r="F1340" s="127" t="n">
        <v>46828</v>
      </c>
      <c r="G1340" s="127" t="n">
        <v>46877</v>
      </c>
      <c r="H1340" s="127" t="n">
        <v>46289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32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6</v>
      </c>
      <c r="O1340" s="2" t="str">
        <f aca="false">IF(OR(F1340="",G1340=""),"",IF(G1340&lt;='RETRATO 2027'!$K$5,"CONCLUÍDA",IF(F1340&lt;='RETRATO 2027'!$K$5,"EM ANDAMENTO","A INICIAR")))</f>
        <v>A INICIAR</v>
      </c>
    </row>
    <row r="1341" customFormat="false" ht="15" hidden="false" customHeight="false" outlineLevel="0" collapsed="false">
      <c r="B1341" s="4" t="n">
        <v>30208609</v>
      </c>
      <c r="C1341" s="4" t="s">
        <v>171</v>
      </c>
      <c r="D1341" s="4" t="s">
        <v>463</v>
      </c>
      <c r="E1341" s="4" t="s">
        <v>2851</v>
      </c>
      <c r="F1341" s="127" t="n">
        <v>46829</v>
      </c>
      <c r="G1341" s="127" t="n">
        <v>46882</v>
      </c>
      <c r="H1341" s="127" t="n">
        <v>46289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19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6</v>
      </c>
      <c r="O1341" s="2" t="str">
        <f aca="false">IF(OR(F1341="",G1341=""),"",IF(G1341&lt;='RETRATO 2027'!$K$5,"CONCLUÍDA",IF(F1341&lt;='RETRATO 2027'!$K$5,"EM ANDAMENTO","A INICIAR")))</f>
        <v>A INICIAR</v>
      </c>
    </row>
    <row r="1342" customFormat="false" ht="15" hidden="false" customHeight="false" outlineLevel="0" collapsed="false">
      <c r="B1342" s="4" t="n">
        <v>13636002</v>
      </c>
      <c r="C1342" s="4" t="s">
        <v>171</v>
      </c>
      <c r="D1342" s="4" t="s">
        <v>2854</v>
      </c>
      <c r="E1342" s="4" t="s">
        <v>2851</v>
      </c>
      <c r="F1342" s="127" t="n">
        <v>46829</v>
      </c>
      <c r="G1342" s="127" t="n">
        <v>46835</v>
      </c>
      <c r="H1342" s="127" t="n">
        <v>46289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19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6</v>
      </c>
      <c r="O1342" s="2" t="str">
        <f aca="false">IF(OR(F1342="",G1342=""),"",IF(G1342&lt;='RETRATO 2027'!$K$5,"CONCLUÍDA",IF(F1342&lt;='RETRATO 2027'!$K$5,"EM ANDAMENTO","A INICIAR")))</f>
        <v>A INICIAR</v>
      </c>
    </row>
    <row r="1343" customFormat="false" ht="15" hidden="false" customHeight="false" outlineLevel="0" collapsed="false">
      <c r="B1343" s="4" t="n">
        <v>13636003</v>
      </c>
      <c r="C1343" s="4" t="s">
        <v>171</v>
      </c>
      <c r="D1343" s="4" t="s">
        <v>2855</v>
      </c>
      <c r="E1343" s="4" t="s">
        <v>2851</v>
      </c>
      <c r="F1343" s="127" t="n">
        <v>46836</v>
      </c>
      <c r="G1343" s="127" t="n">
        <v>46842</v>
      </c>
      <c r="H1343" s="127" t="n">
        <v>46289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19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6</v>
      </c>
      <c r="O1343" s="2" t="str">
        <f aca="false">IF(OR(F1343="",G1343=""),"",IF(G1343&lt;='RETRATO 2027'!$K$5,"CONCLUÍDA",IF(F1343&lt;='RETRATO 2027'!$K$5,"EM ANDAMENTO","A INICIAR")))</f>
        <v>A INICIAR</v>
      </c>
    </row>
    <row r="1344" customFormat="false" ht="15" hidden="false" customHeight="false" outlineLevel="0" collapsed="false">
      <c r="B1344" s="4" t="n">
        <v>13636004</v>
      </c>
      <c r="C1344" s="4" t="s">
        <v>171</v>
      </c>
      <c r="D1344" s="4" t="s">
        <v>2475</v>
      </c>
      <c r="E1344" s="4" t="s">
        <v>2851</v>
      </c>
      <c r="F1344" s="127" t="n">
        <v>46843</v>
      </c>
      <c r="G1344" s="127" t="n">
        <v>46867</v>
      </c>
      <c r="H1344" s="127" t="n">
        <v>46289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19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6</v>
      </c>
      <c r="O1344" s="2" t="str">
        <f aca="false">IF(OR(F1344="",G1344=""),"",IF(G1344&lt;='RETRATO 2027'!$K$5,"CONCLUÍDA",IF(F1344&lt;='RETRATO 2027'!$K$5,"EM ANDAMENTO","A INICIAR")))</f>
        <v>A INICIAR</v>
      </c>
    </row>
    <row r="1345" customFormat="false" ht="15" hidden="false" customHeight="false" outlineLevel="0" collapsed="false">
      <c r="B1345" s="4" t="n">
        <v>13636005</v>
      </c>
      <c r="C1345" s="4" t="s">
        <v>171</v>
      </c>
      <c r="D1345" s="4" t="s">
        <v>2856</v>
      </c>
      <c r="E1345" s="4" t="s">
        <v>2851</v>
      </c>
      <c r="F1345" s="127" t="n">
        <v>46868</v>
      </c>
      <c r="G1345" s="127" t="n">
        <v>46882</v>
      </c>
      <c r="H1345" s="127" t="n">
        <v>46289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6</v>
      </c>
      <c r="O1345" s="2" t="str">
        <f aca="false">IF(OR(F1345="",G1345=""),"",IF(G1345&lt;='RETRATO 2027'!$K$5,"CONCLUÍDA",IF(F1345&lt;='RETRATO 2027'!$K$5,"EM ANDAMENTO","A INICIAR")))</f>
        <v>A INICIAR</v>
      </c>
    </row>
    <row r="1346" customFormat="false" ht="15" hidden="false" customHeight="false" outlineLevel="0" collapsed="false">
      <c r="B1346" s="4" t="n">
        <v>30206099</v>
      </c>
      <c r="C1346" s="4" t="s">
        <v>2437</v>
      </c>
      <c r="D1346" s="4" t="s">
        <v>463</v>
      </c>
      <c r="E1346" s="4" t="s">
        <v>2846</v>
      </c>
      <c r="F1346" s="127" t="n">
        <v>46832</v>
      </c>
      <c r="G1346" s="127" t="n">
        <v>46843</v>
      </c>
      <c r="H1346" s="127" t="n">
        <v>46289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29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6</v>
      </c>
      <c r="O1346" s="2" t="str">
        <f aca="false">IF(OR(F1346="",G1346=""),"",IF(G1346&lt;='RETRATO 2027'!$K$5,"CONCLUÍDA",IF(F1346&lt;='RETRATO 2027'!$K$5,"EM ANDAMENTO","A INICIAR")))</f>
        <v>A INICIAR</v>
      </c>
    </row>
    <row r="1347" customFormat="false" ht="15" hidden="false" customHeight="false" outlineLevel="0" collapsed="false">
      <c r="B1347" s="4" t="n">
        <v>30206009</v>
      </c>
      <c r="C1347" s="4" t="s">
        <v>2416</v>
      </c>
      <c r="D1347" s="4" t="s">
        <v>463</v>
      </c>
      <c r="E1347" s="4" t="s">
        <v>2849</v>
      </c>
      <c r="F1347" s="127" t="n">
        <v>46833</v>
      </c>
      <c r="G1347" s="127" t="n">
        <v>46846</v>
      </c>
      <c r="H1347" s="127" t="n">
        <v>46289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18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6</v>
      </c>
      <c r="O1347" s="2" t="str">
        <f aca="false">IF(OR(F1347="",G1347=""),"",IF(G1347&lt;='RETRATO 2027'!$K$5,"CONCLUÍDA",IF(F1347&lt;='RETRATO 2027'!$K$5,"EM ANDAMENTO","A INICIAR")))</f>
        <v>A INICIAR</v>
      </c>
    </row>
    <row r="1348" customFormat="false" ht="15" hidden="false" customHeight="false" outlineLevel="0" collapsed="false">
      <c r="B1348" s="4" t="n">
        <v>30210371</v>
      </c>
      <c r="C1348" s="4" t="s">
        <v>168</v>
      </c>
      <c r="D1348" s="4" t="s">
        <v>463</v>
      </c>
      <c r="E1348" s="4" t="s">
        <v>2852</v>
      </c>
      <c r="F1348" s="127" t="n">
        <v>46833</v>
      </c>
      <c r="G1348" s="127" t="n">
        <v>46853</v>
      </c>
      <c r="H1348" s="127" t="n">
        <v>46289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18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33</v>
      </c>
      <c r="O1348" s="2" t="str">
        <f aca="false">IF(OR(F1348="",G1348=""),"",IF(G1348&lt;='RETRATO 2027'!$K$5,"CONCLUÍDA",IF(F1348&lt;='RETRATO 2027'!$K$5,"EM ANDAMENTO","A INICIAR")))</f>
        <v>A INICIAR</v>
      </c>
    </row>
    <row r="1349" customFormat="false" ht="15" hidden="false" customHeight="false" outlineLevel="0" collapsed="false">
      <c r="B1349" s="4" t="n">
        <v>30171442</v>
      </c>
      <c r="C1349" s="4" t="s">
        <v>2563</v>
      </c>
      <c r="D1349" s="4" t="s">
        <v>463</v>
      </c>
      <c r="E1349" s="4" t="s">
        <v>2790</v>
      </c>
      <c r="F1349" s="127" t="n">
        <v>46835</v>
      </c>
      <c r="G1349" s="127" t="n">
        <v>46863</v>
      </c>
      <c r="H1349" s="127" t="n">
        <v>46289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20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3</v>
      </c>
      <c r="O1349" s="2" t="str">
        <f aca="false">IF(OR(F1349="",G1349=""),"",IF(G1349&lt;='RETRATO 2027'!$K$5,"CONCLUÍDA",IF(F1349&lt;='RETRATO 2027'!$K$5,"EM ANDAMENTO","A INICIAR")))</f>
        <v>A INICIAR</v>
      </c>
    </row>
    <row r="1350" customFormat="false" ht="15" hidden="false" customHeight="false" outlineLevel="0" collapsed="false">
      <c r="B1350" s="4" t="n">
        <v>30171439</v>
      </c>
      <c r="C1350" s="4" t="s">
        <v>2566</v>
      </c>
      <c r="D1350" s="4" t="s">
        <v>463</v>
      </c>
      <c r="E1350" s="4" t="s">
        <v>2790</v>
      </c>
      <c r="F1350" s="127" t="n">
        <v>46835</v>
      </c>
      <c r="G1350" s="127" t="n">
        <v>46863</v>
      </c>
      <c r="H1350" s="127" t="n">
        <v>46289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20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3</v>
      </c>
      <c r="O1350" s="2" t="str">
        <f aca="false">IF(OR(F1350="",G1350=""),"",IF(G1350&lt;='RETRATO 2027'!$K$5,"CONCLUÍDA",IF(F1350&lt;='RETRATO 2027'!$K$5,"EM ANDAMENTO","A INICIAR")))</f>
        <v>A INICIAR</v>
      </c>
    </row>
    <row r="1351" customFormat="false" ht="15" hidden="false" customHeight="false" outlineLevel="0" collapsed="false">
      <c r="B1351" s="4" t="n">
        <v>30171410</v>
      </c>
      <c r="C1351" s="4" t="s">
        <v>2508</v>
      </c>
      <c r="D1351" s="4" t="s">
        <v>463</v>
      </c>
      <c r="E1351" s="4" t="s">
        <v>2800</v>
      </c>
      <c r="F1351" s="127" t="n">
        <v>46835</v>
      </c>
      <c r="G1351" s="127" t="n">
        <v>46899</v>
      </c>
      <c r="H1351" s="127" t="n">
        <v>46289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20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4</v>
      </c>
      <c r="O1351" s="2" t="str">
        <f aca="false">IF(OR(F1351="",G1351=""),"",IF(G1351&lt;='RETRATO 2027'!$K$5,"CONCLUÍDA",IF(F1351&lt;='RETRATO 2027'!$K$5,"EM ANDAMENTO","A INICIAR")))</f>
        <v>A INICIAR</v>
      </c>
    </row>
    <row r="1352" customFormat="false" ht="15" hidden="false" customHeight="false" outlineLevel="0" collapsed="false">
      <c r="B1352" s="4" t="n">
        <v>30171429</v>
      </c>
      <c r="C1352" s="4" t="s">
        <v>2511</v>
      </c>
      <c r="D1352" s="4" t="s">
        <v>463</v>
      </c>
      <c r="E1352" s="4" t="s">
        <v>2800</v>
      </c>
      <c r="F1352" s="127" t="n">
        <v>46835</v>
      </c>
      <c r="G1352" s="127" t="n">
        <v>46899</v>
      </c>
      <c r="H1352" s="127" t="n">
        <v>46289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20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4</v>
      </c>
      <c r="O1352" s="2" t="str">
        <f aca="false">IF(OR(F1352="",G1352=""),"",IF(G1352&lt;='RETRATO 2027'!$K$5,"CONCLUÍDA",IF(F1352&lt;='RETRATO 2027'!$K$5,"EM ANDAMENTO","A INICIAR")))</f>
        <v>A INICIAR</v>
      </c>
    </row>
    <row r="1353" customFormat="false" ht="15" hidden="false" customHeight="false" outlineLevel="0" collapsed="false">
      <c r="B1353" s="4" t="n">
        <v>30171412</v>
      </c>
      <c r="C1353" s="4" t="s">
        <v>2525</v>
      </c>
      <c r="D1353" s="4" t="s">
        <v>463</v>
      </c>
      <c r="E1353" s="4" t="s">
        <v>2800</v>
      </c>
      <c r="F1353" s="127" t="n">
        <v>46835</v>
      </c>
      <c r="G1353" s="127" t="n">
        <v>46863</v>
      </c>
      <c r="H1353" s="127" t="n">
        <v>46289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18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4</v>
      </c>
      <c r="O1353" s="2" t="str">
        <f aca="false">IF(OR(F1353="",G1353=""),"",IF(G1353&lt;='RETRATO 2027'!$K$5,"CONCLUÍDA",IF(F1353&lt;='RETRATO 2027'!$K$5,"EM ANDAMENTO","A INICIAR")))</f>
        <v>A INICIAR</v>
      </c>
    </row>
    <row r="1354" customFormat="false" ht="15" hidden="false" customHeight="false" outlineLevel="0" collapsed="false">
      <c r="B1354" s="4" t="n">
        <v>30214061</v>
      </c>
      <c r="C1354" s="4" t="s">
        <v>2514</v>
      </c>
      <c r="D1354" s="4" t="s">
        <v>463</v>
      </c>
      <c r="E1354" s="4" t="s">
        <v>2800</v>
      </c>
      <c r="F1354" s="127" t="n">
        <v>46835</v>
      </c>
      <c r="G1354" s="127" t="n">
        <v>46848</v>
      </c>
      <c r="H1354" s="127" t="n">
        <v>46289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20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4</v>
      </c>
      <c r="O1354" s="2" t="str">
        <f aca="false">IF(OR(F1354="",G1354=""),"",IF(G1354&lt;='RETRATO 2027'!$K$5,"CONCLUÍDA",IF(F1354&lt;='RETRATO 2027'!$K$5,"EM ANDAMENTO","A INICIAR")))</f>
        <v>A INICIAR</v>
      </c>
    </row>
    <row r="1355" customFormat="false" ht="15" hidden="false" customHeight="false" outlineLevel="0" collapsed="false">
      <c r="B1355" s="4" t="n">
        <v>29981099</v>
      </c>
      <c r="C1355" s="4" t="s">
        <v>168</v>
      </c>
      <c r="D1355" s="4" t="s">
        <v>463</v>
      </c>
      <c r="E1355" s="4" t="s">
        <v>2822</v>
      </c>
      <c r="F1355" s="127" t="n">
        <v>46835</v>
      </c>
      <c r="G1355" s="127" t="n">
        <v>46847</v>
      </c>
      <c r="H1355" s="127" t="n">
        <v>46289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18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19</v>
      </c>
      <c r="O1355" s="2" t="str">
        <f aca="false">IF(OR(F1355="",G1355=""),"",IF(G1355&lt;='RETRATO 2027'!$K$5,"CONCLUÍDA",IF(F1355&lt;='RETRATO 2027'!$K$5,"EM ANDAMENTO","A INICIAR")))</f>
        <v>A INICIAR</v>
      </c>
    </row>
    <row r="1356" customFormat="false" ht="15" hidden="false" customHeight="false" outlineLevel="0" collapsed="false">
      <c r="B1356" s="4" t="n">
        <v>30205713</v>
      </c>
      <c r="C1356" s="4" t="s">
        <v>2619</v>
      </c>
      <c r="D1356" s="4" t="s">
        <v>463</v>
      </c>
      <c r="E1356" s="4" t="s">
        <v>2740</v>
      </c>
      <c r="F1356" s="127" t="n">
        <v>46836</v>
      </c>
      <c r="G1356" s="127" t="n">
        <v>46856</v>
      </c>
      <c r="H1356" s="127" t="n">
        <v>46289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30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-1</v>
      </c>
      <c r="O1356" s="2" t="str">
        <f aca="false">IF(OR(F1356="",G1356=""),"",IF(G1356&lt;='RETRATO 2027'!$K$5,"CONCLUÍDA",IF(F1356&lt;='RETRATO 2027'!$K$5,"EM ANDAMENTO","A INICIAR")))</f>
        <v>A INICIAR</v>
      </c>
    </row>
    <row r="1357" customFormat="false" ht="15" hidden="false" customHeight="false" outlineLevel="0" collapsed="false">
      <c r="B1357" s="4" t="n">
        <v>30205829</v>
      </c>
      <c r="C1357" s="4" t="s">
        <v>2508</v>
      </c>
      <c r="D1357" s="4" t="s">
        <v>463</v>
      </c>
      <c r="E1357" s="4" t="s">
        <v>2835</v>
      </c>
      <c r="F1357" s="127" t="n">
        <v>46836</v>
      </c>
      <c r="G1357" s="127" t="n">
        <v>46849</v>
      </c>
      <c r="H1357" s="127" t="n">
        <v>46289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20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0</v>
      </c>
      <c r="O1357" s="2" t="str">
        <f aca="false">IF(OR(F1357="",G1357=""),"",IF(G1357&lt;='RETRATO 2027'!$K$5,"CONCLUÍDA",IF(F1357&lt;='RETRATO 2027'!$K$5,"EM ANDAMENTO","A INICIAR")))</f>
        <v>A INICIAR</v>
      </c>
    </row>
    <row r="1358" customFormat="false" ht="15" hidden="false" customHeight="false" outlineLevel="0" collapsed="false">
      <c r="B1358" s="4" t="n">
        <v>30205823</v>
      </c>
      <c r="C1358" s="4" t="s">
        <v>2486</v>
      </c>
      <c r="D1358" s="4" t="s">
        <v>463</v>
      </c>
      <c r="E1358" s="4" t="s">
        <v>2839</v>
      </c>
      <c r="F1358" s="127" t="n">
        <v>46836</v>
      </c>
      <c r="G1358" s="127" t="n">
        <v>46849</v>
      </c>
      <c r="H1358" s="127" t="n">
        <v>46289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30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0</v>
      </c>
      <c r="O1358" s="2" t="str">
        <f aca="false">IF(OR(F1358="",G1358=""),"",IF(G1358&lt;='RETRATO 2027'!$K$5,"CONCLUÍDA",IF(F1358&lt;='RETRATO 2027'!$K$5,"EM ANDAMENTO","A INICIAR")))</f>
        <v>A INICIAR</v>
      </c>
    </row>
    <row r="1359" customFormat="false" ht="15" hidden="false" customHeight="false" outlineLevel="0" collapsed="false">
      <c r="B1359" s="4" t="n">
        <v>30205854</v>
      </c>
      <c r="C1359" s="4" t="s">
        <v>2486</v>
      </c>
      <c r="D1359" s="4" t="s">
        <v>463</v>
      </c>
      <c r="E1359" s="4" t="s">
        <v>2782</v>
      </c>
      <c r="F1359" s="127" t="n">
        <v>46836</v>
      </c>
      <c r="G1359" s="127" t="n">
        <v>46856</v>
      </c>
      <c r="H1359" s="127" t="n">
        <v>46289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30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1</v>
      </c>
      <c r="O1359" s="2" t="str">
        <f aca="false">IF(OR(F1359="",G1359=""),"",IF(G1359&lt;='RETRATO 2027'!$K$5,"CONCLUÍDA",IF(F1359&lt;='RETRATO 2027'!$K$5,"EM ANDAMENTO","A INICIAR")))</f>
        <v>A INICIAR</v>
      </c>
    </row>
    <row r="1360" customFormat="false" ht="15" hidden="false" customHeight="false" outlineLevel="0" collapsed="false">
      <c r="B1360" s="4" t="n">
        <v>31791084</v>
      </c>
      <c r="C1360" s="4" t="s">
        <v>2621</v>
      </c>
      <c r="D1360" s="4" t="s">
        <v>463</v>
      </c>
      <c r="E1360" s="4" t="s">
        <v>2678</v>
      </c>
      <c r="F1360" s="127" t="n">
        <v>46836</v>
      </c>
      <c r="G1360" s="127" t="n">
        <v>46867</v>
      </c>
      <c r="H1360" s="127" t="n">
        <v>46289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32</v>
      </c>
      <c r="N1360" s="2" t="str">
        <f aca="false"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 t="str">
        <f aca="false">IF(OR(F1360="",G1360=""),"",IF(G1360&lt;='RETRATO 2027'!$K$5,"CONCLUÍDA",IF(F1360&lt;='RETRATO 2027'!$K$5,"EM ANDAMENTO","A INICIAR")))</f>
        <v>A INICIAR</v>
      </c>
    </row>
    <row r="1361" customFormat="false" ht="15" hidden="false" customHeight="false" outlineLevel="0" collapsed="false">
      <c r="B1361" s="4" t="n">
        <v>30206065</v>
      </c>
      <c r="C1361" s="4" t="s">
        <v>2434</v>
      </c>
      <c r="D1361" s="4" t="s">
        <v>463</v>
      </c>
      <c r="E1361" s="4" t="s">
        <v>2847</v>
      </c>
      <c r="F1361" s="127" t="n">
        <v>46839</v>
      </c>
      <c r="G1361" s="127" t="n">
        <v>46843</v>
      </c>
      <c r="H1361" s="127" t="n">
        <v>46289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25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6</v>
      </c>
      <c r="O1361" s="2" t="str">
        <f aca="false">IF(OR(F1361="",G1361=""),"",IF(G1361&lt;='RETRATO 2027'!$K$5,"CONCLUÍDA",IF(F1361&lt;='RETRATO 2027'!$K$5,"EM ANDAMENTO","A INICIAR")))</f>
        <v>A INICIAR</v>
      </c>
    </row>
    <row r="1362" customFormat="false" ht="15" hidden="false" customHeight="false" outlineLevel="0" collapsed="false">
      <c r="B1362" s="4" t="n">
        <v>30206056</v>
      </c>
      <c r="C1362" s="4" t="s">
        <v>2425</v>
      </c>
      <c r="D1362" s="4" t="s">
        <v>463</v>
      </c>
      <c r="E1362" s="4" t="s">
        <v>2848</v>
      </c>
      <c r="F1362" s="127" t="n">
        <v>46839</v>
      </c>
      <c r="G1362" s="127" t="n">
        <v>46850</v>
      </c>
      <c r="H1362" s="127" t="n">
        <v>46289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21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6</v>
      </c>
      <c r="O1362" s="2" t="str">
        <f aca="false">IF(OR(F1362="",G1362=""),"",IF(G1362&lt;='RETRATO 2027'!$K$5,"CONCLUÍDA",IF(F1362&lt;='RETRATO 2027'!$K$5,"EM ANDAMENTO","A INICIAR")))</f>
        <v>A INICIAR</v>
      </c>
    </row>
    <row r="1363" customFormat="false" ht="15" hidden="false" customHeight="false" outlineLevel="0" collapsed="false">
      <c r="B1363" s="4" t="n">
        <v>30206027</v>
      </c>
      <c r="C1363" s="4" t="s">
        <v>2428</v>
      </c>
      <c r="D1363" s="4" t="s">
        <v>463</v>
      </c>
      <c r="E1363" s="4" t="s">
        <v>2848</v>
      </c>
      <c r="F1363" s="127" t="n">
        <v>46839</v>
      </c>
      <c r="G1363" s="127" t="n">
        <v>46850</v>
      </c>
      <c r="H1363" s="127" t="n">
        <v>46289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20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6</v>
      </c>
      <c r="O1363" s="2" t="str">
        <f aca="false">IF(OR(F1363="",G1363=""),"",IF(G1363&lt;='RETRATO 2027'!$K$5,"CONCLUÍDA",IF(F1363&lt;='RETRATO 2027'!$K$5,"EM ANDAMENTO","A INICIAR")))</f>
        <v>A INICIAR</v>
      </c>
    </row>
    <row r="1364" customFormat="false" ht="15" hidden="false" customHeight="false" outlineLevel="0" collapsed="false">
      <c r="B1364" s="4" t="n">
        <v>30206057</v>
      </c>
      <c r="C1364" s="4" t="s">
        <v>2431</v>
      </c>
      <c r="D1364" s="4" t="s">
        <v>463</v>
      </c>
      <c r="E1364" s="4" t="s">
        <v>2848</v>
      </c>
      <c r="F1364" s="127" t="n">
        <v>46839</v>
      </c>
      <c r="G1364" s="127" t="n">
        <v>46850</v>
      </c>
      <c r="H1364" s="127" t="n">
        <v>46289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21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6</v>
      </c>
      <c r="O1364" s="2" t="str">
        <f aca="false">IF(OR(F1364="",G1364=""),"",IF(G1364&lt;='RETRATO 2027'!$K$5,"CONCLUÍDA",IF(F1364&lt;='RETRATO 2027'!$K$5,"EM ANDAMENTO","A INICIAR")))</f>
        <v>A INICIAR</v>
      </c>
    </row>
    <row r="1365" customFormat="false" ht="15" hidden="false" customHeight="false" outlineLevel="0" collapsed="false">
      <c r="B1365" s="4" t="n">
        <v>30206007</v>
      </c>
      <c r="C1365" s="4" t="s">
        <v>2422</v>
      </c>
      <c r="D1365" s="4" t="s">
        <v>463</v>
      </c>
      <c r="E1365" s="4" t="s">
        <v>2849</v>
      </c>
      <c r="F1365" s="127" t="n">
        <v>46839</v>
      </c>
      <c r="G1365" s="127" t="n">
        <v>46850</v>
      </c>
      <c r="H1365" s="127" t="n">
        <v>46289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29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6</v>
      </c>
      <c r="O1365" s="2" t="str">
        <f aca="false">IF(OR(F1365="",G1365=""),"",IF(G1365&lt;='RETRATO 2027'!$K$5,"CONCLUÍDA",IF(F1365&lt;='RETRATO 2027'!$K$5,"EM ANDAMENTO","A INICIAR")))</f>
        <v>A INICIAR</v>
      </c>
    </row>
    <row r="1366" customFormat="false" ht="15" hidden="false" customHeight="false" outlineLevel="0" collapsed="false">
      <c r="B1366" s="4" t="n">
        <v>29981538</v>
      </c>
      <c r="C1366" s="4" t="s">
        <v>2623</v>
      </c>
      <c r="D1366" s="4" t="s">
        <v>463</v>
      </c>
      <c r="E1366" s="4" t="s">
        <v>2803</v>
      </c>
      <c r="F1366" s="127" t="n">
        <v>46839</v>
      </c>
      <c r="G1366" s="127" t="n">
        <v>46849</v>
      </c>
      <c r="H1366" s="127" t="n">
        <v>46289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35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7</v>
      </c>
      <c r="O1366" s="2" t="str">
        <f aca="false">IF(OR(F1366="",G1366=""),"",IF(G1366&lt;='RETRATO 2027'!$K$5,"CONCLUÍDA",IF(F1366&lt;='RETRATO 2027'!$K$5,"EM ANDAMENTO","A INICIAR")))</f>
        <v>A INICIAR</v>
      </c>
    </row>
    <row r="1367" customFormat="false" ht="15" hidden="false" customHeight="false" outlineLevel="0" collapsed="false">
      <c r="B1367" s="4" t="n">
        <v>33919785</v>
      </c>
      <c r="C1367" s="4" t="s">
        <v>2625</v>
      </c>
      <c r="D1367" s="4" t="s">
        <v>463</v>
      </c>
      <c r="E1367" s="4" t="s">
        <v>2803</v>
      </c>
      <c r="F1367" s="127" t="n">
        <v>46839</v>
      </c>
      <c r="G1367" s="127" t="n">
        <v>46849</v>
      </c>
      <c r="H1367" s="127" t="n">
        <v>46289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32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7</v>
      </c>
      <c r="O1367" s="2" t="str">
        <f aca="false">IF(OR(F1367="",G1367=""),"",IF(G1367&lt;='RETRATO 2027'!$K$5,"CONCLUÍDA",IF(F1367&lt;='RETRATO 2027'!$K$5,"EM ANDAMENTO","A INICIAR")))</f>
        <v>A INICIAR</v>
      </c>
    </row>
    <row r="1368" customFormat="false" ht="15" hidden="false" customHeight="false" outlineLevel="0" collapsed="false">
      <c r="B1368" s="4" t="n">
        <v>29981500</v>
      </c>
      <c r="C1368" s="4" t="s">
        <v>2615</v>
      </c>
      <c r="D1368" s="4" t="s">
        <v>463</v>
      </c>
      <c r="E1368" s="4" t="s">
        <v>2804</v>
      </c>
      <c r="F1368" s="127" t="n">
        <v>46839</v>
      </c>
      <c r="G1368" s="127" t="n">
        <v>46849</v>
      </c>
      <c r="H1368" s="127" t="n">
        <v>46289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37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8</v>
      </c>
      <c r="O1368" s="2" t="str">
        <f aca="false">IF(OR(F1368="",G1368=""),"",IF(G1368&lt;='RETRATO 2027'!$K$5,"CONCLUÍDA",IF(F1368&lt;='RETRATO 2027'!$K$5,"EM ANDAMENTO","A INICIAR")))</f>
        <v>A INICIAR</v>
      </c>
    </row>
    <row r="1369" customFormat="false" ht="15" hidden="false" customHeight="false" outlineLevel="0" collapsed="false">
      <c r="B1369" s="4" t="n">
        <v>29981457</v>
      </c>
      <c r="C1369" s="4" t="s">
        <v>2605</v>
      </c>
      <c r="D1369" s="4" t="s">
        <v>463</v>
      </c>
      <c r="E1369" s="4" t="s">
        <v>2805</v>
      </c>
      <c r="F1369" s="127" t="n">
        <v>46839</v>
      </c>
      <c r="G1369" s="127" t="n">
        <v>46849</v>
      </c>
      <c r="H1369" s="127" t="n">
        <v>46289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34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9</v>
      </c>
      <c r="O1369" s="2" t="str">
        <f aca="false">IF(OR(F1369="",G1369=""),"",IF(G1369&lt;='RETRATO 2027'!$K$5,"CONCLUÍDA",IF(F1369&lt;='RETRATO 2027'!$K$5,"EM ANDAMENTO","A INICIAR")))</f>
        <v>A INICIAR</v>
      </c>
    </row>
    <row r="1370" customFormat="false" ht="15" hidden="false" customHeight="false" outlineLevel="0" collapsed="false">
      <c r="B1370" s="4" t="n">
        <v>29981462</v>
      </c>
      <c r="C1370" s="4" t="s">
        <v>2607</v>
      </c>
      <c r="D1370" s="4" t="s">
        <v>463</v>
      </c>
      <c r="E1370" s="4" t="s">
        <v>2805</v>
      </c>
      <c r="F1370" s="127" t="n">
        <v>46839</v>
      </c>
      <c r="G1370" s="127" t="n">
        <v>46849</v>
      </c>
      <c r="H1370" s="127" t="n">
        <v>46289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34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9</v>
      </c>
      <c r="O1370" s="2" t="str">
        <f aca="false">IF(OR(F1370="",G1370=""),"",IF(G1370&lt;='RETRATO 2027'!$K$5,"CONCLUÍDA",IF(F1370&lt;='RETRATO 2027'!$K$5,"EM ANDAMENTO","A INICIAR")))</f>
        <v>A INICIAR</v>
      </c>
    </row>
    <row r="1371" customFormat="false" ht="15" hidden="false" customHeight="false" outlineLevel="0" collapsed="false">
      <c r="B1371" s="4" t="n">
        <v>29981461</v>
      </c>
      <c r="C1371" s="4" t="s">
        <v>2563</v>
      </c>
      <c r="D1371" s="4" t="s">
        <v>463</v>
      </c>
      <c r="E1371" s="4" t="s">
        <v>2805</v>
      </c>
      <c r="F1371" s="127" t="n">
        <v>46839</v>
      </c>
      <c r="G1371" s="127" t="n">
        <v>46849</v>
      </c>
      <c r="H1371" s="127" t="n">
        <v>46289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20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9</v>
      </c>
      <c r="O1371" s="2" t="str">
        <f aca="false">IF(OR(F1371="",G1371=""),"",IF(G1371&lt;='RETRATO 2027'!$K$5,"CONCLUÍDA",IF(F1371&lt;='RETRATO 2027'!$K$5,"EM ANDAMENTO","A INICIAR")))</f>
        <v>A INICIAR</v>
      </c>
    </row>
    <row r="1372" customFormat="false" ht="15" hidden="false" customHeight="false" outlineLevel="0" collapsed="false">
      <c r="B1372" s="4" t="n">
        <v>29981460</v>
      </c>
      <c r="C1372" s="4" t="s">
        <v>2609</v>
      </c>
      <c r="D1372" s="4" t="s">
        <v>463</v>
      </c>
      <c r="E1372" s="4" t="s">
        <v>2805</v>
      </c>
      <c r="F1372" s="127" t="n">
        <v>46839</v>
      </c>
      <c r="G1372" s="127" t="n">
        <v>46849</v>
      </c>
      <c r="H1372" s="127" t="n">
        <v>46289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23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9</v>
      </c>
      <c r="O1372" s="2" t="str">
        <f aca="false">IF(OR(F1372="",G1372=""),"",IF(G1372&lt;='RETRATO 2027'!$K$5,"CONCLUÍDA",IF(F1372&lt;='RETRATO 2027'!$K$5,"EM ANDAMENTO","A INICIAR")))</f>
        <v>A INICIAR</v>
      </c>
    </row>
    <row r="1373" customFormat="false" ht="15" hidden="false" customHeight="false" outlineLevel="0" collapsed="false">
      <c r="B1373" s="4" t="n">
        <v>29981419</v>
      </c>
      <c r="C1373" s="4" t="s">
        <v>2599</v>
      </c>
      <c r="D1373" s="4" t="s">
        <v>463</v>
      </c>
      <c r="E1373" s="4" t="s">
        <v>2809</v>
      </c>
      <c r="F1373" s="127" t="n">
        <v>46839</v>
      </c>
      <c r="G1373" s="127" t="n">
        <v>46849</v>
      </c>
      <c r="H1373" s="127" t="n">
        <v>46289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30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10</v>
      </c>
      <c r="O1373" s="2" t="str">
        <f aca="false">IF(OR(F1373="",G1373=""),"",IF(G1373&lt;='RETRATO 2027'!$K$5,"CONCLUÍDA",IF(F1373&lt;='RETRATO 2027'!$K$5,"EM ANDAMENTO","A INICIAR")))</f>
        <v>A INICIAR</v>
      </c>
    </row>
    <row r="1374" customFormat="false" ht="15" hidden="false" customHeight="false" outlineLevel="0" collapsed="false">
      <c r="B1374" s="4" t="n">
        <v>29981381</v>
      </c>
      <c r="C1374" s="4" t="s">
        <v>2578</v>
      </c>
      <c r="D1374" s="4" t="s">
        <v>463</v>
      </c>
      <c r="E1374" s="4" t="s">
        <v>2810</v>
      </c>
      <c r="F1374" s="127" t="n">
        <v>46839</v>
      </c>
      <c r="G1374" s="127" t="n">
        <v>46849</v>
      </c>
      <c r="H1374" s="127" t="n">
        <v>46289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25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11</v>
      </c>
      <c r="O1374" s="2" t="str">
        <f aca="false">IF(OR(F1374="",G1374=""),"",IF(G1374&lt;='RETRATO 2027'!$K$5,"CONCLUÍDA",IF(F1374&lt;='RETRATO 2027'!$K$5,"EM ANDAMENTO","A INICIAR")))</f>
        <v>A INICIAR</v>
      </c>
    </row>
    <row r="1375" customFormat="false" ht="15" hidden="false" customHeight="false" outlineLevel="0" collapsed="false">
      <c r="B1375" s="4" t="n">
        <v>29981343</v>
      </c>
      <c r="C1375" s="4" t="s">
        <v>2569</v>
      </c>
      <c r="D1375" s="4" t="s">
        <v>463</v>
      </c>
      <c r="E1375" s="4" t="s">
        <v>2811</v>
      </c>
      <c r="F1375" s="127" t="n">
        <v>46839</v>
      </c>
      <c r="G1375" s="127" t="n">
        <v>46849</v>
      </c>
      <c r="H1375" s="127" t="n">
        <v>46289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12</v>
      </c>
      <c r="O1375" s="2" t="str">
        <f aca="false">IF(OR(F1375="",G1375=""),"",IF(G1375&lt;='RETRATO 2027'!$K$5,"CONCLUÍDA",IF(F1375&lt;='RETRATO 2027'!$K$5,"EM ANDAMENTO","A INICIAR")))</f>
        <v>A INICIAR</v>
      </c>
    </row>
    <row r="1376" customFormat="false" ht="15" hidden="false" customHeight="false" outlineLevel="0" collapsed="false">
      <c r="B1376" s="4" t="n">
        <v>29981305</v>
      </c>
      <c r="C1376" s="4" t="s">
        <v>2554</v>
      </c>
      <c r="D1376" s="4" t="s">
        <v>463</v>
      </c>
      <c r="E1376" s="4" t="s">
        <v>2812</v>
      </c>
      <c r="F1376" s="127" t="n">
        <v>46839</v>
      </c>
      <c r="G1376" s="127" t="n">
        <v>46849</v>
      </c>
      <c r="H1376" s="127" t="n">
        <v>46289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35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13</v>
      </c>
      <c r="O1376" s="2" t="str">
        <f aca="false">IF(OR(F1376="",G1376=""),"",IF(G1376&lt;='RETRATO 2027'!$K$5,"CONCLUÍDA",IF(F1376&lt;='RETRATO 2027'!$K$5,"EM ANDAMENTO","A INICIAR")))</f>
        <v>A INICIAR</v>
      </c>
    </row>
    <row r="1377" customFormat="false" ht="15" hidden="false" customHeight="false" outlineLevel="0" collapsed="false">
      <c r="B1377" s="4" t="n">
        <v>29981294</v>
      </c>
      <c r="C1377" s="4" t="s">
        <v>2539</v>
      </c>
      <c r="D1377" s="4" t="s">
        <v>463</v>
      </c>
      <c r="E1377" s="4" t="s">
        <v>2813</v>
      </c>
      <c r="F1377" s="127" t="n">
        <v>46839</v>
      </c>
      <c r="G1377" s="127" t="n">
        <v>46849</v>
      </c>
      <c r="H1377" s="127" t="n">
        <v>46289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35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14</v>
      </c>
      <c r="O1377" s="2" t="str">
        <f aca="false">IF(OR(F1377="",G1377=""),"",IF(G1377&lt;='RETRATO 2027'!$K$5,"CONCLUÍDA",IF(F1377&lt;='RETRATO 2027'!$K$5,"EM ANDAMENTO","A INICIAR")))</f>
        <v>A INICIAR</v>
      </c>
    </row>
    <row r="1378" customFormat="false" ht="15" hidden="false" customHeight="false" outlineLevel="0" collapsed="false">
      <c r="B1378" s="4" t="n">
        <v>33898096</v>
      </c>
      <c r="C1378" s="4" t="s">
        <v>2545</v>
      </c>
      <c r="D1378" s="4" t="s">
        <v>463</v>
      </c>
      <c r="E1378" s="4" t="s">
        <v>2814</v>
      </c>
      <c r="F1378" s="127" t="n">
        <v>46839</v>
      </c>
      <c r="G1378" s="127" t="n">
        <v>46849</v>
      </c>
      <c r="H1378" s="127" t="n">
        <v>46289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25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15</v>
      </c>
      <c r="O1378" s="2" t="str">
        <f aca="false">IF(OR(F1378="",G1378=""),"",IF(G1378&lt;='RETRATO 2027'!$K$5,"CONCLUÍDA",IF(F1378&lt;='RETRATO 2027'!$K$5,"EM ANDAMENTO","A INICIAR")))</f>
        <v>A INICIAR</v>
      </c>
    </row>
    <row r="1379" customFormat="false" ht="15" hidden="false" customHeight="false" outlineLevel="0" collapsed="false">
      <c r="B1379" s="4" t="n">
        <v>29981070</v>
      </c>
      <c r="C1379" s="4" t="s">
        <v>216</v>
      </c>
      <c r="D1379" s="4" t="s">
        <v>463</v>
      </c>
      <c r="E1379" s="4" t="s">
        <v>2823</v>
      </c>
      <c r="F1379" s="127" t="n">
        <v>46840</v>
      </c>
      <c r="G1379" s="127" t="n">
        <v>46850</v>
      </c>
      <c r="H1379" s="127" t="n">
        <v>46289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33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A INICIAR</v>
      </c>
    </row>
    <row r="1380" customFormat="false" ht="15" hidden="false" customHeight="false" outlineLevel="0" collapsed="false">
      <c r="B1380" s="4" t="n">
        <v>29981031</v>
      </c>
      <c r="C1380" s="4" t="s">
        <v>2508</v>
      </c>
      <c r="D1380" s="4" t="s">
        <v>463</v>
      </c>
      <c r="E1380" s="4" t="s">
        <v>2825</v>
      </c>
      <c r="F1380" s="127" t="n">
        <v>46840</v>
      </c>
      <c r="G1380" s="127" t="n">
        <v>46850</v>
      </c>
      <c r="H1380" s="127" t="n">
        <v>46289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21</v>
      </c>
      <c r="O1380" s="2" t="str">
        <f aca="false">IF(OR(F1380="",G1380=""),"",IF(G1380&lt;='RETRATO 2027'!$K$5,"CONCLUÍDA",IF(F1380&lt;='RETRATO 2027'!$K$5,"EM ANDAMENTO","A INICIAR")))</f>
        <v>A INICIAR</v>
      </c>
    </row>
    <row r="1381" customFormat="false" ht="15" hidden="false" customHeight="false" outlineLevel="0" collapsed="false">
      <c r="B1381" s="4" t="n">
        <v>29981036</v>
      </c>
      <c r="C1381" s="4" t="s">
        <v>2511</v>
      </c>
      <c r="D1381" s="4" t="s">
        <v>463</v>
      </c>
      <c r="E1381" s="4" t="s">
        <v>2825</v>
      </c>
      <c r="F1381" s="127" t="n">
        <v>46840</v>
      </c>
      <c r="G1381" s="127" t="n">
        <v>46850</v>
      </c>
      <c r="H1381" s="127" t="n">
        <v>46289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20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21</v>
      </c>
      <c r="O1381" s="2" t="str">
        <f aca="false">IF(OR(F1381="",G1381=""),"",IF(G1381&lt;='RETRATO 2027'!$K$5,"CONCLUÍDA",IF(F1381&lt;='RETRATO 2027'!$K$5,"EM ANDAMENTO","A INICIAR")))</f>
        <v>A INICIAR</v>
      </c>
    </row>
    <row r="1382" customFormat="false" ht="15" hidden="false" customHeight="false" outlineLevel="0" collapsed="false">
      <c r="B1382" s="4" t="n">
        <v>30214083</v>
      </c>
      <c r="C1382" s="4" t="s">
        <v>2514</v>
      </c>
      <c r="D1382" s="4" t="s">
        <v>463</v>
      </c>
      <c r="E1382" s="4" t="s">
        <v>2825</v>
      </c>
      <c r="F1382" s="127" t="n">
        <v>46840</v>
      </c>
      <c r="G1382" s="127" t="n">
        <v>46853</v>
      </c>
      <c r="H1382" s="127" t="n">
        <v>46289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20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21</v>
      </c>
      <c r="O1382" s="2" t="str">
        <f aca="false">IF(OR(F1382="",G1382=""),"",IF(G1382&lt;='RETRATO 2027'!$K$5,"CONCLUÍDA",IF(F1382&lt;='RETRATO 2027'!$K$5,"EM ANDAMENTO","A INICIAR")))</f>
        <v>A INICIAR</v>
      </c>
    </row>
    <row r="1383" customFormat="false" ht="15" hidden="false" customHeight="false" outlineLevel="0" collapsed="false">
      <c r="B1383" s="4" t="n">
        <v>29980978</v>
      </c>
      <c r="C1383" s="4" t="s">
        <v>2501</v>
      </c>
      <c r="D1383" s="4" t="s">
        <v>463</v>
      </c>
      <c r="E1383" s="4" t="s">
        <v>2827</v>
      </c>
      <c r="F1383" s="127" t="n">
        <v>46840</v>
      </c>
      <c r="G1383" s="127" t="n">
        <v>46850</v>
      </c>
      <c r="H1383" s="127" t="n">
        <v>46289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30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22</v>
      </c>
      <c r="O1383" s="2" t="str">
        <f aca="false">IF(OR(F1383="",G1383=""),"",IF(G1383&lt;='RETRATO 2027'!$K$5,"CONCLUÍDA",IF(F1383&lt;='RETRATO 2027'!$K$5,"EM ANDAMENTO","A INICIAR")))</f>
        <v>A INICIAR</v>
      </c>
    </row>
    <row r="1384" customFormat="false" ht="15" hidden="false" customHeight="false" outlineLevel="0" collapsed="false">
      <c r="B1384" s="4" t="n">
        <v>29980940</v>
      </c>
      <c r="C1384" s="4" t="s">
        <v>2486</v>
      </c>
      <c r="D1384" s="4" t="s">
        <v>463</v>
      </c>
      <c r="E1384" s="4" t="s">
        <v>2829</v>
      </c>
      <c r="F1384" s="127" t="n">
        <v>46840</v>
      </c>
      <c r="G1384" s="127" t="n">
        <v>46850</v>
      </c>
      <c r="H1384" s="127" t="n">
        <v>46289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30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23</v>
      </c>
      <c r="O1384" s="2" t="str">
        <f aca="false">IF(OR(F1384="",G1384=""),"",IF(G1384&lt;='RETRATO 2027'!$K$5,"CONCLUÍDA",IF(F1384&lt;='RETRATO 2027'!$K$5,"EM ANDAMENTO","A INICIAR")))</f>
        <v>A INICIAR</v>
      </c>
    </row>
    <row r="1385" customFormat="false" ht="15" hidden="false" customHeight="false" outlineLevel="0" collapsed="false">
      <c r="B1385" s="4" t="n">
        <v>29980919</v>
      </c>
      <c r="C1385" s="4" t="s">
        <v>2480</v>
      </c>
      <c r="D1385" s="4" t="s">
        <v>463</v>
      </c>
      <c r="E1385" s="4" t="s">
        <v>2831</v>
      </c>
      <c r="F1385" s="127" t="n">
        <v>46840</v>
      </c>
      <c r="G1385" s="127" t="n">
        <v>46850</v>
      </c>
      <c r="H1385" s="127" t="n">
        <v>46289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30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24</v>
      </c>
      <c r="O1385" s="2" t="str">
        <f aca="false">IF(OR(F1385="",G1385=""),"",IF(G1385&lt;='RETRATO 2027'!$K$5,"CONCLUÍDA",IF(F1385&lt;='RETRATO 2027'!$K$5,"EM ANDAMENTO","A INICIAR")))</f>
        <v>A INICIAR</v>
      </c>
    </row>
    <row r="1386" customFormat="false" ht="15" hidden="false" customHeight="false" outlineLevel="0" collapsed="false">
      <c r="B1386" s="4" t="n">
        <v>29980880</v>
      </c>
      <c r="C1386" s="4" t="s">
        <v>171</v>
      </c>
      <c r="D1386" s="4" t="s">
        <v>463</v>
      </c>
      <c r="E1386" s="4" t="s">
        <v>2833</v>
      </c>
      <c r="F1386" s="127" t="n">
        <v>46840</v>
      </c>
      <c r="G1386" s="127" t="n">
        <v>46850</v>
      </c>
      <c r="H1386" s="127" t="n">
        <v>46289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19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25</v>
      </c>
      <c r="O1386" s="2" t="str">
        <f aca="false">IF(OR(F1386="",G1386=""),"",IF(G1386&lt;='RETRATO 2027'!$K$5,"CONCLUÍDA",IF(F1386&lt;='RETRATO 2027'!$K$5,"EM ANDAMENTO","A INICIAR")))</f>
        <v>A INICIAR</v>
      </c>
    </row>
    <row r="1387" customFormat="false" ht="15" hidden="false" customHeight="false" outlineLevel="0" collapsed="false">
      <c r="B1387" s="4" t="n">
        <v>32750452</v>
      </c>
      <c r="C1387" s="4" t="s">
        <v>2470</v>
      </c>
      <c r="D1387" s="4" t="s">
        <v>463</v>
      </c>
      <c r="E1387" s="4" t="s">
        <v>2834</v>
      </c>
      <c r="F1387" s="127" t="n">
        <v>46840</v>
      </c>
      <c r="G1387" s="127" t="n">
        <v>46850</v>
      </c>
      <c r="H1387" s="127" t="n">
        <v>46289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18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26</v>
      </c>
      <c r="O1387" s="2" t="str">
        <f aca="false">IF(OR(F1387="",G1387=""),"",IF(G1387&lt;='RETRATO 2027'!$K$5,"CONCLUÍDA",IF(F1387&lt;='RETRATO 2027'!$K$5,"EM ANDAMENTO","A INICIAR")))</f>
        <v>A INICIAR</v>
      </c>
    </row>
    <row r="1388" customFormat="false" ht="15" hidden="false" customHeight="false" outlineLevel="0" collapsed="false">
      <c r="B1388" s="4" t="n">
        <v>32750375</v>
      </c>
      <c r="C1388" s="4" t="s">
        <v>2458</v>
      </c>
      <c r="D1388" s="4" t="s">
        <v>463</v>
      </c>
      <c r="E1388" s="4" t="s">
        <v>2838</v>
      </c>
      <c r="F1388" s="127" t="n">
        <v>46840</v>
      </c>
      <c r="G1388" s="127" t="n">
        <v>46850</v>
      </c>
      <c r="H1388" s="127" t="n">
        <v>46289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21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27</v>
      </c>
      <c r="O1388" s="2" t="str">
        <f aca="false">IF(OR(F1388="",G1388=""),"",IF(G1388&lt;='RETRATO 2027'!$K$5,"CONCLUÍDA",IF(F1388&lt;='RETRATO 2027'!$K$5,"EM ANDAMENTO","A INICIAR")))</f>
        <v>A INICIAR</v>
      </c>
    </row>
    <row r="1389" customFormat="false" ht="15" hidden="false" customHeight="false" outlineLevel="0" collapsed="false">
      <c r="B1389" s="4" t="n">
        <v>32750401</v>
      </c>
      <c r="C1389" s="4" t="s">
        <v>2461</v>
      </c>
      <c r="D1389" s="4" t="s">
        <v>463</v>
      </c>
      <c r="E1389" s="4" t="s">
        <v>2838</v>
      </c>
      <c r="F1389" s="127" t="n">
        <v>46840</v>
      </c>
      <c r="G1389" s="127" t="n">
        <v>46850</v>
      </c>
      <c r="H1389" s="127" t="n">
        <v>46289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20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27</v>
      </c>
      <c r="O1389" s="2" t="str">
        <f aca="false">IF(OR(F1389="",G1389=""),"",IF(G1389&lt;='RETRATO 2027'!$K$5,"CONCLUÍDA",IF(F1389&lt;='RETRATO 2027'!$K$5,"EM ANDAMENTO","A INICIAR")))</f>
        <v>A INICIAR</v>
      </c>
    </row>
    <row r="1390" customFormat="false" ht="15" hidden="false" customHeight="false" outlineLevel="0" collapsed="false">
      <c r="B1390" s="4" t="n">
        <v>32750427</v>
      </c>
      <c r="C1390" s="4" t="s">
        <v>2464</v>
      </c>
      <c r="D1390" s="4" t="s">
        <v>463</v>
      </c>
      <c r="E1390" s="4" t="s">
        <v>2838</v>
      </c>
      <c r="F1390" s="127" t="n">
        <v>46840</v>
      </c>
      <c r="G1390" s="127" t="n">
        <v>46850</v>
      </c>
      <c r="H1390" s="127" t="n">
        <v>46289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21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27</v>
      </c>
      <c r="O1390" s="2" t="str">
        <f aca="false">IF(OR(F1390="",G1390=""),"",IF(G1390&lt;='RETRATO 2027'!$K$5,"CONCLUÍDA",IF(F1390&lt;='RETRATO 2027'!$K$5,"EM ANDAMENTO","A INICIAR")))</f>
        <v>A INICIAR</v>
      </c>
    </row>
    <row r="1391" customFormat="false" ht="15" hidden="false" customHeight="false" outlineLevel="0" collapsed="false">
      <c r="B1391" s="4" t="n">
        <v>33896845</v>
      </c>
      <c r="C1391" s="4" t="s">
        <v>2467</v>
      </c>
      <c r="D1391" s="4" t="s">
        <v>463</v>
      </c>
      <c r="E1391" s="4" t="s">
        <v>2838</v>
      </c>
      <c r="F1391" s="127" t="n">
        <v>46840</v>
      </c>
      <c r="G1391" s="127" t="n">
        <v>46850</v>
      </c>
      <c r="H1391" s="127" t="n">
        <v>46289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27</v>
      </c>
      <c r="O1391" s="2" t="str">
        <f aca="false">IF(OR(F1391="",G1391=""),"",IF(G1391&lt;='RETRATO 2027'!$K$5,"CONCLUÍDA",IF(F1391&lt;='RETRATO 2027'!$K$5,"EM ANDAMENTO","A INICIAR")))</f>
        <v>A INICIAR</v>
      </c>
    </row>
    <row r="1392" customFormat="false" ht="15" hidden="false" customHeight="false" outlineLevel="0" collapsed="false">
      <c r="B1392" s="4" t="n">
        <v>32749871</v>
      </c>
      <c r="C1392" s="4" t="s">
        <v>2455</v>
      </c>
      <c r="D1392" s="4" t="s">
        <v>463</v>
      </c>
      <c r="E1392" s="4" t="s">
        <v>2840</v>
      </c>
      <c r="F1392" s="127" t="n">
        <v>46840</v>
      </c>
      <c r="G1392" s="127" t="n">
        <v>46850</v>
      </c>
      <c r="H1392" s="127" t="n">
        <v>46289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18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28</v>
      </c>
      <c r="O1392" s="2" t="str">
        <f aca="false">IF(OR(F1392="",G1392=""),"",IF(G1392&lt;='RETRATO 2027'!$K$5,"CONCLUÍDA",IF(F1392&lt;='RETRATO 2027'!$K$5,"EM ANDAMENTO","A INICIAR")))</f>
        <v>A INICIAR</v>
      </c>
    </row>
    <row r="1393" customFormat="false" ht="15" hidden="false" customHeight="false" outlineLevel="0" collapsed="false">
      <c r="B1393" s="4" t="n">
        <v>29980733</v>
      </c>
      <c r="C1393" s="4" t="s">
        <v>2449</v>
      </c>
      <c r="D1393" s="4" t="s">
        <v>463</v>
      </c>
      <c r="E1393" s="4" t="s">
        <v>2841</v>
      </c>
      <c r="F1393" s="127" t="n">
        <v>46840</v>
      </c>
      <c r="G1393" s="127" t="n">
        <v>46850</v>
      </c>
      <c r="H1393" s="127" t="n">
        <v>46289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28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29</v>
      </c>
      <c r="O1393" s="2" t="str">
        <f aca="false">IF(OR(F1393="",G1393=""),"",IF(G1393&lt;='RETRATO 2027'!$K$5,"CONCLUÍDA",IF(F1393&lt;='RETRATO 2027'!$K$5,"EM ANDAMENTO","A INICIAR")))</f>
        <v>A INICIAR</v>
      </c>
    </row>
    <row r="1394" customFormat="false" ht="15" hidden="false" customHeight="false" outlineLevel="0" collapsed="false">
      <c r="B1394" s="4" t="n">
        <v>29980673</v>
      </c>
      <c r="C1394" s="4" t="s">
        <v>2440</v>
      </c>
      <c r="D1394" s="4" t="s">
        <v>463</v>
      </c>
      <c r="E1394" s="4" t="s">
        <v>2842</v>
      </c>
      <c r="F1394" s="127" t="n">
        <v>46840</v>
      </c>
      <c r="G1394" s="127" t="n">
        <v>46850</v>
      </c>
      <c r="H1394" s="127" t="n">
        <v>46289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21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30</v>
      </c>
      <c r="O1394" s="2" t="str">
        <f aca="false">IF(OR(F1394="",G1394=""),"",IF(G1394&lt;='RETRATO 2027'!$K$5,"CONCLUÍDA",IF(F1394&lt;='RETRATO 2027'!$K$5,"EM ANDAMENTO","A INICIAR")))</f>
        <v>A INICIAR</v>
      </c>
    </row>
    <row r="1395" customFormat="false" ht="15" hidden="false" customHeight="false" outlineLevel="0" collapsed="false">
      <c r="B1395" s="4" t="n">
        <v>29980706</v>
      </c>
      <c r="C1395" s="4" t="s">
        <v>2443</v>
      </c>
      <c r="D1395" s="4" t="s">
        <v>463</v>
      </c>
      <c r="E1395" s="4" t="s">
        <v>2842</v>
      </c>
      <c r="F1395" s="127" t="n">
        <v>46840</v>
      </c>
      <c r="G1395" s="127" t="n">
        <v>46850</v>
      </c>
      <c r="H1395" s="127" t="n">
        <v>46289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20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30</v>
      </c>
      <c r="O1395" s="2" t="str">
        <f aca="false">IF(OR(F1395="",G1395=""),"",IF(G1395&lt;='RETRATO 2027'!$K$5,"CONCLUÍDA",IF(F1395&lt;='RETRATO 2027'!$K$5,"EM ANDAMENTO","A INICIAR")))</f>
        <v>A INICIAR</v>
      </c>
    </row>
    <row r="1396" customFormat="false" ht="15" hidden="false" customHeight="false" outlineLevel="0" collapsed="false">
      <c r="B1396" s="4" t="n">
        <v>29980635</v>
      </c>
      <c r="C1396" s="4" t="s">
        <v>2437</v>
      </c>
      <c r="D1396" s="4" t="s">
        <v>463</v>
      </c>
      <c r="E1396" s="4" t="s">
        <v>2843</v>
      </c>
      <c r="F1396" s="127" t="n">
        <v>46840</v>
      </c>
      <c r="G1396" s="127" t="n">
        <v>46850</v>
      </c>
      <c r="H1396" s="127" t="n">
        <v>46289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29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31</v>
      </c>
      <c r="O1396" s="2" t="str">
        <f aca="false">IF(OR(F1396="",G1396=""),"",IF(G1396&lt;='RETRATO 2027'!$K$5,"CONCLUÍDA",IF(F1396&lt;='RETRATO 2027'!$K$5,"EM ANDAMENTO","A INICIAR")))</f>
        <v>A INICIAR</v>
      </c>
    </row>
    <row r="1397" customFormat="false" ht="15" hidden="false" customHeight="false" outlineLevel="0" collapsed="false">
      <c r="B1397" s="4" t="n">
        <v>29980601</v>
      </c>
      <c r="C1397" s="4" t="s">
        <v>2434</v>
      </c>
      <c r="D1397" s="4" t="s">
        <v>463</v>
      </c>
      <c r="E1397" s="4" t="s">
        <v>2844</v>
      </c>
      <c r="F1397" s="127" t="n">
        <v>46840</v>
      </c>
      <c r="G1397" s="127" t="n">
        <v>46850</v>
      </c>
      <c r="H1397" s="127" t="n">
        <v>46289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32</v>
      </c>
      <c r="O1397" s="2" t="str">
        <f aca="false">IF(OR(F1397="",G1397=""),"",IF(G1397&lt;='RETRATO 2027'!$K$5,"CONCLUÍDA",IF(F1397&lt;='RETRATO 2027'!$K$5,"EM ANDAMENTO","A INICIAR")))</f>
        <v>A INICIAR</v>
      </c>
    </row>
    <row r="1398" customFormat="false" ht="15" hidden="false" customHeight="false" outlineLevel="0" collapsed="false">
      <c r="B1398" s="4" t="n">
        <v>30211208</v>
      </c>
      <c r="C1398" s="4" t="s">
        <v>2505</v>
      </c>
      <c r="D1398" s="4" t="s">
        <v>463</v>
      </c>
      <c r="E1398" s="4" t="s">
        <v>2853</v>
      </c>
      <c r="F1398" s="127" t="n">
        <v>46840</v>
      </c>
      <c r="G1398" s="127" t="n">
        <v>46861</v>
      </c>
      <c r="H1398" s="127" t="n">
        <v>46289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21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34</v>
      </c>
      <c r="O1398" s="2" t="str">
        <f aca="false">IF(OR(F1398="",G1398=""),"",IF(G1398&lt;='RETRATO 2027'!$K$5,"CONCLUÍDA",IF(F1398&lt;='RETRATO 2027'!$K$5,"EM ANDAMENTO","A INICIAR")))</f>
        <v>A INICIAR</v>
      </c>
    </row>
    <row r="1399" customFormat="false" ht="15" hidden="false" customHeight="false" outlineLevel="0" collapsed="false">
      <c r="B1399" s="4" t="n">
        <v>30205690</v>
      </c>
      <c r="C1399" s="4" t="s">
        <v>2578</v>
      </c>
      <c r="D1399" s="4" t="s">
        <v>463</v>
      </c>
      <c r="E1399" s="4" t="s">
        <v>2819</v>
      </c>
      <c r="F1399" s="127" t="n">
        <v>46841</v>
      </c>
      <c r="G1399" s="127" t="n">
        <v>46854</v>
      </c>
      <c r="H1399" s="127" t="n">
        <v>46289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25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0</v>
      </c>
      <c r="O1399" s="2" t="str">
        <f aca="false">IF(OR(F1399="",G1399=""),"",IF(G1399&lt;='RETRATO 2027'!$K$5,"CONCLUÍDA",IF(F1399&lt;='RETRATO 2027'!$K$5,"EM ANDAMENTO","A INICIAR")))</f>
        <v>A INICIAR</v>
      </c>
    </row>
    <row r="1400" customFormat="false" ht="15" hidden="false" customHeight="false" outlineLevel="0" collapsed="false">
      <c r="B1400" s="4" t="n">
        <v>30205689</v>
      </c>
      <c r="C1400" s="4" t="s">
        <v>2605</v>
      </c>
      <c r="D1400" s="4" t="s">
        <v>463</v>
      </c>
      <c r="E1400" s="4" t="s">
        <v>2819</v>
      </c>
      <c r="F1400" s="127" t="n">
        <v>46841</v>
      </c>
      <c r="G1400" s="127" t="n">
        <v>46854</v>
      </c>
      <c r="H1400" s="127" t="n">
        <v>46289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34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0</v>
      </c>
      <c r="O1400" s="2" t="str">
        <f aca="false">IF(OR(F1400="",G1400=""),"",IF(G1400&lt;='RETRATO 2027'!$K$5,"CONCLUÍDA",IF(F1400&lt;='RETRATO 2027'!$K$5,"EM ANDAMENTO","A INICIAR")))</f>
        <v>A INICIAR</v>
      </c>
    </row>
    <row r="1401" customFormat="false" ht="15" hidden="false" customHeight="false" outlineLevel="0" collapsed="false">
      <c r="B1401" s="4" t="n">
        <v>30205687</v>
      </c>
      <c r="C1401" s="4" t="s">
        <v>2607</v>
      </c>
      <c r="D1401" s="4" t="s">
        <v>463</v>
      </c>
      <c r="E1401" s="4" t="s">
        <v>2819</v>
      </c>
      <c r="F1401" s="127" t="n">
        <v>46841</v>
      </c>
      <c r="G1401" s="127" t="n">
        <v>46854</v>
      </c>
      <c r="H1401" s="127" t="n">
        <v>46289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34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0</v>
      </c>
      <c r="O1401" s="2" t="str">
        <f aca="false">IF(OR(F1401="",G1401=""),"",IF(G1401&lt;='RETRATO 2027'!$K$5,"CONCLUÍDA",IF(F1401&lt;='RETRATO 2027'!$K$5,"EM ANDAMENTO","A INICIAR")))</f>
        <v>A INICIAR</v>
      </c>
    </row>
    <row r="1402" customFormat="false" ht="15" hidden="false" customHeight="false" outlineLevel="0" collapsed="false">
      <c r="B1402" s="4" t="n">
        <v>30205672</v>
      </c>
      <c r="C1402" s="4" t="s">
        <v>2554</v>
      </c>
      <c r="D1402" s="4" t="s">
        <v>463</v>
      </c>
      <c r="E1402" s="4" t="s">
        <v>2821</v>
      </c>
      <c r="F1402" s="127" t="n">
        <v>46841</v>
      </c>
      <c r="G1402" s="127" t="n">
        <v>46854</v>
      </c>
      <c r="H1402" s="127" t="n">
        <v>46289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35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0</v>
      </c>
      <c r="O1402" s="2" t="str">
        <f aca="false">IF(OR(F1402="",G1402=""),"",IF(G1402&lt;='RETRATO 2027'!$K$5,"CONCLUÍDA",IF(F1402&lt;='RETRATO 2027'!$K$5,"EM ANDAMENTO","A INICIAR")))</f>
        <v>A INICIAR</v>
      </c>
    </row>
    <row r="1403" customFormat="false" ht="15" hidden="false" customHeight="false" outlineLevel="0" collapsed="false">
      <c r="B1403" s="4" t="n">
        <v>30210378</v>
      </c>
      <c r="C1403" s="4" t="s">
        <v>2627</v>
      </c>
      <c r="D1403" s="4" t="s">
        <v>463</v>
      </c>
      <c r="E1403" s="4" t="s">
        <v>2853</v>
      </c>
      <c r="F1403" s="127" t="n">
        <v>46841</v>
      </c>
      <c r="G1403" s="127" t="n">
        <v>46847</v>
      </c>
      <c r="H1403" s="127" t="n">
        <v>46289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26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34</v>
      </c>
      <c r="O1403" s="2" t="str">
        <f aca="false">IF(OR(F1403="",G1403=""),"",IF(G1403&lt;='RETRATO 2027'!$K$5,"CONCLUÍDA",IF(F1403&lt;='RETRATO 2027'!$K$5,"EM ANDAMENTO","A INICIAR")))</f>
        <v>A INICIAR</v>
      </c>
    </row>
    <row r="1404" customFormat="false" ht="15" hidden="false" customHeight="false" outlineLevel="0" collapsed="false">
      <c r="B1404" s="4" t="n">
        <v>30206100</v>
      </c>
      <c r="C1404" s="4" t="s">
        <v>2440</v>
      </c>
      <c r="D1404" s="4" t="s">
        <v>463</v>
      </c>
      <c r="E1404" s="4" t="s">
        <v>2846</v>
      </c>
      <c r="F1404" s="127" t="n">
        <v>46846</v>
      </c>
      <c r="G1404" s="127" t="n">
        <v>46860</v>
      </c>
      <c r="H1404" s="127" t="n">
        <v>46289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6</v>
      </c>
      <c r="O1404" s="2" t="str">
        <f aca="false">IF(OR(F1404="",G1404=""),"",IF(G1404&lt;='RETRATO 2027'!$K$5,"CONCLUÍDA",IF(F1404&lt;='RETRATO 2027'!$K$5,"EM ANDAMENTO","A INICIAR")))</f>
        <v>A INICIAR</v>
      </c>
    </row>
    <row r="1405" customFormat="false" ht="15" hidden="false" customHeight="false" outlineLevel="0" collapsed="false">
      <c r="B1405" s="4" t="n">
        <v>30206062</v>
      </c>
      <c r="C1405" s="4" t="s">
        <v>2437</v>
      </c>
      <c r="D1405" s="4" t="s">
        <v>463</v>
      </c>
      <c r="E1405" s="4" t="s">
        <v>2847</v>
      </c>
      <c r="F1405" s="127" t="n">
        <v>46846</v>
      </c>
      <c r="G1405" s="127" t="n">
        <v>46860</v>
      </c>
      <c r="H1405" s="127" t="n">
        <v>46289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29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6</v>
      </c>
      <c r="O1405" s="2" t="str">
        <f aca="false">IF(OR(F1405="",G1405=""),"",IF(G1405&lt;='RETRATO 2027'!$K$5,"CONCLUÍDA",IF(F1405&lt;='RETRATO 2027'!$K$5,"EM ANDAMENTO","A INICIAR")))</f>
        <v>A INICIAR</v>
      </c>
    </row>
    <row r="1406" customFormat="false" ht="15" hidden="false" customHeight="false" outlineLevel="0" collapsed="false">
      <c r="B1406" s="4" t="n">
        <v>30205972</v>
      </c>
      <c r="C1406" s="4" t="s">
        <v>2416</v>
      </c>
      <c r="D1406" s="4" t="s">
        <v>463</v>
      </c>
      <c r="E1406" s="4" t="s">
        <v>2850</v>
      </c>
      <c r="F1406" s="127" t="n">
        <v>46847</v>
      </c>
      <c r="G1406" s="127" t="n">
        <v>46861</v>
      </c>
      <c r="H1406" s="127" t="n">
        <v>46289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18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6</v>
      </c>
      <c r="O1406" s="2" t="str">
        <f aca="false">IF(OR(F1406="",G1406=""),"",IF(G1406&lt;='RETRATO 2027'!$K$5,"CONCLUÍDA",IF(F1406&lt;='RETRATO 2027'!$K$5,"EM ANDAMENTO","A INICIAR")))</f>
        <v>A INICIAR</v>
      </c>
    </row>
    <row r="1407" customFormat="false" ht="15" hidden="false" customHeight="false" outlineLevel="0" collapsed="false">
      <c r="B1407" s="4" t="n">
        <v>29981111</v>
      </c>
      <c r="C1407" s="4" t="s">
        <v>2410</v>
      </c>
      <c r="D1407" s="4" t="s">
        <v>463</v>
      </c>
      <c r="E1407" s="4" t="s">
        <v>2822</v>
      </c>
      <c r="F1407" s="127" t="n">
        <v>46848</v>
      </c>
      <c r="G1407" s="127" t="n">
        <v>46861</v>
      </c>
      <c r="H1407" s="127" t="n">
        <v>46289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22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19</v>
      </c>
      <c r="O1407" s="2" t="str">
        <f aca="false">IF(OR(F1407="",G1407=""),"",IF(G1407&lt;='RETRATO 2027'!$K$5,"CONCLUÍDA",IF(F1407&lt;='RETRATO 2027'!$K$5,"EM ANDAMENTO","A INICIAR")))</f>
        <v>A INICIAR</v>
      </c>
    </row>
    <row r="1408" customFormat="false" ht="15" hidden="false" customHeight="false" outlineLevel="0" collapsed="false">
      <c r="B1408" s="4" t="n">
        <v>30205795</v>
      </c>
      <c r="C1408" s="4" t="s">
        <v>216</v>
      </c>
      <c r="D1408" s="4" t="s">
        <v>463</v>
      </c>
      <c r="E1408" s="4" t="s">
        <v>2835</v>
      </c>
      <c r="F1408" s="127" t="n">
        <v>46850</v>
      </c>
      <c r="G1408" s="127" t="n">
        <v>46867</v>
      </c>
      <c r="H1408" s="127" t="n">
        <v>46289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33</v>
      </c>
      <c r="N1408" s="2" t="n">
        <f aca="false">IF(E1408="","",IF(ISNUMBER(SEARCH("SUBSOLO",E1408)),IFERROR(-VALUE(LEFT(E1408,FIND("º",SUBSTITUTE(E1408,"°","º"))-1)),-1),IF(LEFT(E1408,6)="TÉRREO",0,IFERROR(VALUE(LEFT(E1408,FIND("º",SUBSTITUTE(E1408,"°","º"))-1)),""))))</f>
        <v>0</v>
      </c>
      <c r="O1408" s="2" t="str">
        <f aca="false">IF(OR(F1408="",G1408=""),"",IF(G1408&lt;='RETRATO 2027'!$K$5,"CONCLUÍDA",IF(F1408&lt;='RETRATO 2027'!$K$5,"EM ANDAMENTO","A INICIAR")))</f>
        <v>A INICIAR</v>
      </c>
    </row>
    <row r="1409" customFormat="false" ht="15" hidden="false" customHeight="false" outlineLevel="0" collapsed="false">
      <c r="B1409" s="4" t="n">
        <v>30205821</v>
      </c>
      <c r="C1409" s="4" t="s">
        <v>2501</v>
      </c>
      <c r="D1409" s="4" t="s">
        <v>463</v>
      </c>
      <c r="E1409" s="4" t="s">
        <v>2839</v>
      </c>
      <c r="F1409" s="127" t="n">
        <v>46850</v>
      </c>
      <c r="G1409" s="127" t="n">
        <v>46867</v>
      </c>
      <c r="H1409" s="127" t="n">
        <v>46289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0</v>
      </c>
      <c r="O1409" s="2" t="str">
        <f aca="false">IF(OR(F1409="",G1409=""),"",IF(G1409&lt;='RETRATO 2027'!$K$5,"CONCLUÍDA",IF(F1409&lt;='RETRATO 2027'!$K$5,"EM ANDAMENTO","A INICIAR")))</f>
        <v>A INICIAR</v>
      </c>
    </row>
    <row r="1410" customFormat="false" ht="15" hidden="false" customHeight="false" outlineLevel="0" collapsed="false">
      <c r="B1410" s="4" t="n">
        <v>29981541</v>
      </c>
      <c r="C1410" s="4" t="s">
        <v>2629</v>
      </c>
      <c r="D1410" s="4" t="s">
        <v>463</v>
      </c>
      <c r="E1410" s="4" t="s">
        <v>2803</v>
      </c>
      <c r="F1410" s="127" t="n">
        <v>46850</v>
      </c>
      <c r="G1410" s="127" t="n">
        <v>46863</v>
      </c>
      <c r="H1410" s="127" t="n">
        <v>46289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A INICIAR</v>
      </c>
    </row>
    <row r="1411" customFormat="false" ht="15" hidden="false" customHeight="false" outlineLevel="0" collapsed="false">
      <c r="B1411" s="4" t="n">
        <v>29981501</v>
      </c>
      <c r="C1411" s="4" t="s">
        <v>2623</v>
      </c>
      <c r="D1411" s="4" t="s">
        <v>463</v>
      </c>
      <c r="E1411" s="4" t="s">
        <v>2804</v>
      </c>
      <c r="F1411" s="127" t="n">
        <v>46850</v>
      </c>
      <c r="G1411" s="127" t="n">
        <v>46863</v>
      </c>
      <c r="H1411" s="127" t="n">
        <v>46289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35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8</v>
      </c>
      <c r="O1411" s="2" t="str">
        <f aca="false">IF(OR(F1411="",G1411=""),"",IF(G1411&lt;='RETRATO 2027'!$K$5,"CONCLUÍDA",IF(F1411&lt;='RETRATO 2027'!$K$5,"EM ANDAMENTO","A INICIAR")))</f>
        <v>A INICIAR</v>
      </c>
    </row>
    <row r="1412" customFormat="false" ht="15" hidden="false" customHeight="false" outlineLevel="0" collapsed="false">
      <c r="B1412" s="4" t="n">
        <v>33919786</v>
      </c>
      <c r="C1412" s="4" t="s">
        <v>2625</v>
      </c>
      <c r="D1412" s="4" t="s">
        <v>463</v>
      </c>
      <c r="E1412" s="4" t="s">
        <v>2804</v>
      </c>
      <c r="F1412" s="127" t="n">
        <v>46850</v>
      </c>
      <c r="G1412" s="127" t="n">
        <v>46863</v>
      </c>
      <c r="H1412" s="127" t="n">
        <v>46289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32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8</v>
      </c>
      <c r="O1412" s="2" t="str">
        <f aca="false">IF(OR(F1412="",G1412=""),"",IF(G1412&lt;='RETRATO 2027'!$K$5,"CONCLUÍDA",IF(F1412&lt;='RETRATO 2027'!$K$5,"EM ANDAMENTO","A INICIAR")))</f>
        <v>A INICIAR</v>
      </c>
    </row>
    <row r="1413" customFormat="false" ht="15" hidden="false" customHeight="false" outlineLevel="0" collapsed="false">
      <c r="B1413" s="4" t="n">
        <v>29981463</v>
      </c>
      <c r="C1413" s="4" t="s">
        <v>2615</v>
      </c>
      <c r="D1413" s="4" t="s">
        <v>463</v>
      </c>
      <c r="E1413" s="4" t="s">
        <v>2805</v>
      </c>
      <c r="F1413" s="127" t="n">
        <v>46850</v>
      </c>
      <c r="G1413" s="127" t="n">
        <v>46863</v>
      </c>
      <c r="H1413" s="127" t="n">
        <v>46289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37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9</v>
      </c>
      <c r="O1413" s="2" t="str">
        <f aca="false">IF(OR(F1413="",G1413=""),"",IF(G1413&lt;='RETRATO 2027'!$K$5,"CONCLUÍDA",IF(F1413&lt;='RETRATO 2027'!$K$5,"EM ANDAMENTO","A INICIAR")))</f>
        <v>A INICIAR</v>
      </c>
    </row>
    <row r="1414" customFormat="false" ht="15" hidden="false" customHeight="false" outlineLevel="0" collapsed="false">
      <c r="B1414" s="4" t="n">
        <v>29981420</v>
      </c>
      <c r="C1414" s="4" t="s">
        <v>2605</v>
      </c>
      <c r="D1414" s="4" t="s">
        <v>463</v>
      </c>
      <c r="E1414" s="4" t="s">
        <v>2809</v>
      </c>
      <c r="F1414" s="127" t="n">
        <v>46850</v>
      </c>
      <c r="G1414" s="127" t="n">
        <v>46863</v>
      </c>
      <c r="H1414" s="127" t="n">
        <v>46289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34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10</v>
      </c>
      <c r="O1414" s="2" t="str">
        <f aca="false">IF(OR(F1414="",G1414=""),"",IF(G1414&lt;='RETRATO 2027'!$K$5,"CONCLUÍDA",IF(F1414&lt;='RETRATO 2027'!$K$5,"EM ANDAMENTO","A INICIAR")))</f>
        <v>A INICIAR</v>
      </c>
    </row>
    <row r="1415" customFormat="false" ht="15" hidden="false" customHeight="false" outlineLevel="0" collapsed="false">
      <c r="B1415" s="4" t="n">
        <v>29981425</v>
      </c>
      <c r="C1415" s="4" t="s">
        <v>2607</v>
      </c>
      <c r="D1415" s="4" t="s">
        <v>463</v>
      </c>
      <c r="E1415" s="4" t="s">
        <v>2809</v>
      </c>
      <c r="F1415" s="127" t="n">
        <v>46850</v>
      </c>
      <c r="G1415" s="127" t="n">
        <v>46863</v>
      </c>
      <c r="H1415" s="127" t="n">
        <v>46289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34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10</v>
      </c>
      <c r="O1415" s="2" t="str">
        <f aca="false">IF(OR(F1415="",G1415=""),"",IF(G1415&lt;='RETRATO 2027'!$K$5,"CONCLUÍDA",IF(F1415&lt;='RETRATO 2027'!$K$5,"EM ANDAMENTO","A INICIAR")))</f>
        <v>A INICIAR</v>
      </c>
    </row>
    <row r="1416" customFormat="false" ht="15" hidden="false" customHeight="false" outlineLevel="0" collapsed="false">
      <c r="B1416" s="4" t="n">
        <v>29981424</v>
      </c>
      <c r="C1416" s="4" t="s">
        <v>2563</v>
      </c>
      <c r="D1416" s="4" t="s">
        <v>463</v>
      </c>
      <c r="E1416" s="4" t="s">
        <v>2809</v>
      </c>
      <c r="F1416" s="127" t="n">
        <v>46850</v>
      </c>
      <c r="G1416" s="127" t="n">
        <v>46863</v>
      </c>
      <c r="H1416" s="127" t="n">
        <v>46289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20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10</v>
      </c>
      <c r="O1416" s="2" t="str">
        <f aca="false">IF(OR(F1416="",G1416=""),"",IF(G1416&lt;='RETRATO 2027'!$K$5,"CONCLUÍDA",IF(F1416&lt;='RETRATO 2027'!$K$5,"EM ANDAMENTO","A INICIAR")))</f>
        <v>A INICIAR</v>
      </c>
    </row>
    <row r="1417" customFormat="false" ht="15" hidden="false" customHeight="false" outlineLevel="0" collapsed="false">
      <c r="B1417" s="4" t="n">
        <v>29981423</v>
      </c>
      <c r="C1417" s="4" t="s">
        <v>2609</v>
      </c>
      <c r="D1417" s="4" t="s">
        <v>463</v>
      </c>
      <c r="E1417" s="4" t="s">
        <v>2809</v>
      </c>
      <c r="F1417" s="127" t="n">
        <v>46850</v>
      </c>
      <c r="G1417" s="127" t="n">
        <v>46863</v>
      </c>
      <c r="H1417" s="127" t="n">
        <v>46289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23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10</v>
      </c>
      <c r="O1417" s="2" t="str">
        <f aca="false">IF(OR(F1417="",G1417=""),"",IF(G1417&lt;='RETRATO 2027'!$K$5,"CONCLUÍDA",IF(F1417&lt;='RETRATO 2027'!$K$5,"EM ANDAMENTO","A INICIAR")))</f>
        <v>A INICIAR</v>
      </c>
    </row>
    <row r="1418" customFormat="false" ht="15" hidden="false" customHeight="false" outlineLevel="0" collapsed="false">
      <c r="B1418" s="4" t="n">
        <v>29981382</v>
      </c>
      <c r="C1418" s="4" t="s">
        <v>2599</v>
      </c>
      <c r="D1418" s="4" t="s">
        <v>463</v>
      </c>
      <c r="E1418" s="4" t="s">
        <v>2810</v>
      </c>
      <c r="F1418" s="127" t="n">
        <v>46850</v>
      </c>
      <c r="G1418" s="127" t="n">
        <v>46863</v>
      </c>
      <c r="H1418" s="127" t="n">
        <v>46289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30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11</v>
      </c>
      <c r="O1418" s="2" t="str">
        <f aca="false">IF(OR(F1418="",G1418=""),"",IF(G1418&lt;='RETRATO 2027'!$K$5,"CONCLUÍDA",IF(F1418&lt;='RETRATO 2027'!$K$5,"EM ANDAMENTO","A INICIAR")))</f>
        <v>A INICIAR</v>
      </c>
    </row>
    <row r="1419" customFormat="false" ht="15" hidden="false" customHeight="false" outlineLevel="0" collapsed="false">
      <c r="B1419" s="4" t="n">
        <v>29981344</v>
      </c>
      <c r="C1419" s="4" t="s">
        <v>2578</v>
      </c>
      <c r="D1419" s="4" t="s">
        <v>463</v>
      </c>
      <c r="E1419" s="4" t="s">
        <v>2811</v>
      </c>
      <c r="F1419" s="127" t="n">
        <v>46850</v>
      </c>
      <c r="G1419" s="127" t="n">
        <v>46863</v>
      </c>
      <c r="H1419" s="127" t="n">
        <v>46289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12</v>
      </c>
      <c r="O1419" s="2" t="str">
        <f aca="false">IF(OR(F1419="",G1419=""),"",IF(G1419&lt;='RETRATO 2027'!$K$5,"CONCLUÍDA",IF(F1419&lt;='RETRATO 2027'!$K$5,"EM ANDAMENTO","A INICIAR")))</f>
        <v>A INICIAR</v>
      </c>
    </row>
    <row r="1420" customFormat="false" ht="15" hidden="false" customHeight="false" outlineLevel="0" collapsed="false">
      <c r="B1420" s="4" t="n">
        <v>29981306</v>
      </c>
      <c r="C1420" s="4" t="s">
        <v>2569</v>
      </c>
      <c r="D1420" s="4" t="s">
        <v>463</v>
      </c>
      <c r="E1420" s="4" t="s">
        <v>2812</v>
      </c>
      <c r="F1420" s="127" t="n">
        <v>46850</v>
      </c>
      <c r="G1420" s="127" t="n">
        <v>46863</v>
      </c>
      <c r="H1420" s="127" t="n">
        <v>46289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30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13</v>
      </c>
      <c r="O1420" s="2" t="str">
        <f aca="false">IF(OR(F1420="",G1420=""),"",IF(G1420&lt;='RETRATO 2027'!$K$5,"CONCLUÍDA",IF(F1420&lt;='RETRATO 2027'!$K$5,"EM ANDAMENTO","A INICIAR")))</f>
        <v>A INICIAR</v>
      </c>
    </row>
    <row r="1421" customFormat="false" ht="15" hidden="false" customHeight="false" outlineLevel="0" collapsed="false">
      <c r="B1421" s="4" t="n">
        <v>29981268</v>
      </c>
      <c r="C1421" s="4" t="s">
        <v>2554</v>
      </c>
      <c r="D1421" s="4" t="s">
        <v>463</v>
      </c>
      <c r="E1421" s="4" t="s">
        <v>2813</v>
      </c>
      <c r="F1421" s="127" t="n">
        <v>46850</v>
      </c>
      <c r="G1421" s="127" t="n">
        <v>46863</v>
      </c>
      <c r="H1421" s="127" t="n">
        <v>46289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35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14</v>
      </c>
      <c r="O1421" s="2" t="str">
        <f aca="false">IF(OR(F1421="",G1421=""),"",IF(G1421&lt;='RETRATO 2027'!$K$5,"CONCLUÍDA",IF(F1421&lt;='RETRATO 2027'!$K$5,"EM ANDAMENTO","A INICIAR")))</f>
        <v>A INICIAR</v>
      </c>
    </row>
    <row r="1422" customFormat="false" ht="15" hidden="false" customHeight="false" outlineLevel="0" collapsed="false">
      <c r="B1422" s="4" t="n">
        <v>29981257</v>
      </c>
      <c r="C1422" s="4" t="s">
        <v>2539</v>
      </c>
      <c r="D1422" s="4" t="s">
        <v>463</v>
      </c>
      <c r="E1422" s="4" t="s">
        <v>2814</v>
      </c>
      <c r="F1422" s="127" t="n">
        <v>46850</v>
      </c>
      <c r="G1422" s="127" t="n">
        <v>46863</v>
      </c>
      <c r="H1422" s="127" t="n">
        <v>46289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35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15</v>
      </c>
      <c r="O1422" s="2" t="str">
        <f aca="false">IF(OR(F1422="",G1422=""),"",IF(G1422&lt;='RETRATO 2027'!$K$5,"CONCLUÍDA",IF(F1422&lt;='RETRATO 2027'!$K$5,"EM ANDAMENTO","A INICIAR")))</f>
        <v>A INICIAR</v>
      </c>
    </row>
    <row r="1423" customFormat="false" ht="15" hidden="false" customHeight="false" outlineLevel="0" collapsed="false">
      <c r="B1423" s="4" t="n">
        <v>33898097</v>
      </c>
      <c r="C1423" s="4" t="s">
        <v>2545</v>
      </c>
      <c r="D1423" s="4" t="s">
        <v>463</v>
      </c>
      <c r="E1423" s="4" t="s">
        <v>2815</v>
      </c>
      <c r="F1423" s="127" t="n">
        <v>46850</v>
      </c>
      <c r="G1423" s="127" t="n">
        <v>46863</v>
      </c>
      <c r="H1423" s="127" t="n">
        <v>46289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25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16</v>
      </c>
      <c r="O1423" s="2" t="str">
        <f aca="false">IF(OR(F1423="",G1423=""),"",IF(G1423&lt;='RETRATO 2027'!$K$5,"CONCLUÍDA",IF(F1423&lt;='RETRATO 2027'!$K$5,"EM ANDAMENTO","A INICIAR")))</f>
        <v>A INICIAR</v>
      </c>
    </row>
    <row r="1424" customFormat="false" ht="15" hidden="false" customHeight="false" outlineLevel="0" collapsed="false">
      <c r="B1424" s="4" t="n">
        <v>30206028</v>
      </c>
      <c r="C1424" s="4" t="s">
        <v>2434</v>
      </c>
      <c r="D1424" s="4" t="s">
        <v>463</v>
      </c>
      <c r="E1424" s="4" t="s">
        <v>2848</v>
      </c>
      <c r="F1424" s="127" t="n">
        <v>46853</v>
      </c>
      <c r="G1424" s="127" t="n">
        <v>46860</v>
      </c>
      <c r="H1424" s="127" t="n">
        <v>46289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25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6</v>
      </c>
      <c r="O1424" s="2" t="str">
        <f aca="false">IF(OR(F1424="",G1424=""),"",IF(G1424&lt;='RETRATO 2027'!$K$5,"CONCLUÍDA",IF(F1424&lt;='RETRATO 2027'!$K$5,"EM ANDAMENTO","A INICIAR")))</f>
        <v>A INICIAR</v>
      </c>
    </row>
    <row r="1425" customFormat="false" ht="15" hidden="false" customHeight="false" outlineLevel="0" collapsed="false">
      <c r="B1425" s="4" t="n">
        <v>30206019</v>
      </c>
      <c r="C1425" s="4" t="s">
        <v>2425</v>
      </c>
      <c r="D1425" s="4" t="s">
        <v>463</v>
      </c>
      <c r="E1425" s="4" t="s">
        <v>2849</v>
      </c>
      <c r="F1425" s="127" t="n">
        <v>46853</v>
      </c>
      <c r="G1425" s="127" t="n">
        <v>46868</v>
      </c>
      <c r="H1425" s="127" t="n">
        <v>46289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21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A INICIAR</v>
      </c>
    </row>
    <row r="1426" customFormat="false" ht="15" hidden="false" customHeight="false" outlineLevel="0" collapsed="false">
      <c r="B1426" s="4" t="n">
        <v>30205990</v>
      </c>
      <c r="C1426" s="4" t="s">
        <v>2428</v>
      </c>
      <c r="D1426" s="4" t="s">
        <v>463</v>
      </c>
      <c r="E1426" s="4" t="s">
        <v>2849</v>
      </c>
      <c r="F1426" s="127" t="n">
        <v>46853</v>
      </c>
      <c r="G1426" s="127" t="n">
        <v>46868</v>
      </c>
      <c r="H1426" s="127" t="n">
        <v>46289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20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6</v>
      </c>
      <c r="O1426" s="2" t="str">
        <f aca="false">IF(OR(F1426="",G1426=""),"",IF(G1426&lt;='RETRATO 2027'!$K$5,"CONCLUÍDA",IF(F1426&lt;='RETRATO 2027'!$K$5,"EM ANDAMENTO","A INICIAR")))</f>
        <v>A INICIAR</v>
      </c>
    </row>
    <row r="1427" customFormat="false" ht="15" hidden="false" customHeight="false" outlineLevel="0" collapsed="false">
      <c r="B1427" s="4" t="n">
        <v>30205970</v>
      </c>
      <c r="C1427" s="4" t="s">
        <v>2422</v>
      </c>
      <c r="D1427" s="4" t="s">
        <v>463</v>
      </c>
      <c r="E1427" s="4" t="s">
        <v>2850</v>
      </c>
      <c r="F1427" s="127" t="n">
        <v>46853</v>
      </c>
      <c r="G1427" s="127" t="n">
        <v>46868</v>
      </c>
      <c r="H1427" s="127" t="n">
        <v>46289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29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6</v>
      </c>
      <c r="O1427" s="2" t="str">
        <f aca="false">IF(OR(F1427="",G1427=""),"",IF(G1427&lt;='RETRATO 2027'!$K$5,"CONCLUÍDA",IF(F1427&lt;='RETRATO 2027'!$K$5,"EM ANDAMENTO","A INICIAR")))</f>
        <v>A INICIAR</v>
      </c>
    </row>
    <row r="1428" customFormat="false" ht="15" hidden="false" customHeight="false" outlineLevel="0" collapsed="false">
      <c r="B1428" s="4" t="n">
        <v>29981033</v>
      </c>
      <c r="C1428" s="4" t="s">
        <v>216</v>
      </c>
      <c r="D1428" s="4" t="s">
        <v>463</v>
      </c>
      <c r="E1428" s="4" t="s">
        <v>2825</v>
      </c>
      <c r="F1428" s="127" t="n">
        <v>46853</v>
      </c>
      <c r="G1428" s="127" t="n">
        <v>46867</v>
      </c>
      <c r="H1428" s="127" t="n">
        <v>46289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33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21</v>
      </c>
      <c r="O1428" s="2" t="str">
        <f aca="false">IF(OR(F1428="",G1428=""),"",IF(G1428&lt;='RETRATO 2027'!$K$5,"CONCLUÍDA",IF(F1428&lt;='RETRATO 2027'!$K$5,"EM ANDAMENTO","A INICIAR")))</f>
        <v>A INICIAR</v>
      </c>
    </row>
    <row r="1429" customFormat="false" ht="15" hidden="false" customHeight="false" outlineLevel="0" collapsed="false">
      <c r="B1429" s="4" t="n">
        <v>29980994</v>
      </c>
      <c r="C1429" s="4" t="s">
        <v>2508</v>
      </c>
      <c r="D1429" s="4" t="s">
        <v>463</v>
      </c>
      <c r="E1429" s="4" t="s">
        <v>2827</v>
      </c>
      <c r="F1429" s="127" t="n">
        <v>46853</v>
      </c>
      <c r="G1429" s="127" t="n">
        <v>46867</v>
      </c>
      <c r="H1429" s="127" t="n">
        <v>46289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20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22</v>
      </c>
      <c r="O1429" s="2" t="str">
        <f aca="false">IF(OR(F1429="",G1429=""),"",IF(G1429&lt;='RETRATO 2027'!$K$5,"CONCLUÍDA",IF(F1429&lt;='RETRATO 2027'!$K$5,"EM ANDAMENTO","A INICIAR")))</f>
        <v>A INICIAR</v>
      </c>
    </row>
    <row r="1430" customFormat="false" ht="15" hidden="false" customHeight="false" outlineLevel="0" collapsed="false">
      <c r="B1430" s="4" t="n">
        <v>29980999</v>
      </c>
      <c r="C1430" s="4" t="s">
        <v>2511</v>
      </c>
      <c r="D1430" s="4" t="s">
        <v>463</v>
      </c>
      <c r="E1430" s="4" t="s">
        <v>2827</v>
      </c>
      <c r="F1430" s="127" t="n">
        <v>46853</v>
      </c>
      <c r="G1430" s="127" t="n">
        <v>46867</v>
      </c>
      <c r="H1430" s="127" t="n">
        <v>46289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20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22</v>
      </c>
      <c r="O1430" s="2" t="str">
        <f aca="false">IF(OR(F1430="",G1430=""),"",IF(G1430&lt;='RETRATO 2027'!$K$5,"CONCLUÍDA",IF(F1430&lt;='RETRATO 2027'!$K$5,"EM ANDAMENTO","A INICIAR")))</f>
        <v>A INICIAR</v>
      </c>
    </row>
    <row r="1431" customFormat="false" ht="15" hidden="false" customHeight="false" outlineLevel="0" collapsed="false">
      <c r="B1431" s="4" t="n">
        <v>30214084</v>
      </c>
      <c r="C1431" s="4" t="s">
        <v>2514</v>
      </c>
      <c r="D1431" s="4" t="s">
        <v>463</v>
      </c>
      <c r="E1431" s="4" t="s">
        <v>2827</v>
      </c>
      <c r="F1431" s="127" t="n">
        <v>46853</v>
      </c>
      <c r="G1431" s="127" t="n">
        <v>46868</v>
      </c>
      <c r="H1431" s="127" t="n">
        <v>46289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20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22</v>
      </c>
      <c r="O1431" s="2" t="str">
        <f aca="false">IF(OR(F1431="",G1431=""),"",IF(G1431&lt;='RETRATO 2027'!$K$5,"CONCLUÍDA",IF(F1431&lt;='RETRATO 2027'!$K$5,"EM ANDAMENTO","A INICIAR")))</f>
        <v>A INICIAR</v>
      </c>
    </row>
    <row r="1432" customFormat="false" ht="15" hidden="false" customHeight="false" outlineLevel="0" collapsed="false">
      <c r="B1432" s="4" t="n">
        <v>29980941</v>
      </c>
      <c r="C1432" s="4" t="s">
        <v>2501</v>
      </c>
      <c r="D1432" s="4" t="s">
        <v>463</v>
      </c>
      <c r="E1432" s="4" t="s">
        <v>2829</v>
      </c>
      <c r="F1432" s="127" t="n">
        <v>46853</v>
      </c>
      <c r="G1432" s="127" t="n">
        <v>46867</v>
      </c>
      <c r="H1432" s="127" t="n">
        <v>46289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30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23</v>
      </c>
      <c r="O1432" s="2" t="str">
        <f aca="false">IF(OR(F1432="",G1432=""),"",IF(G1432&lt;='RETRATO 2027'!$K$5,"CONCLUÍDA",IF(F1432&lt;='RETRATO 2027'!$K$5,"EM ANDAMENTO","A INICIAR")))</f>
        <v>A INICIAR</v>
      </c>
    </row>
    <row r="1433" customFormat="false" ht="15" hidden="false" customHeight="false" outlineLevel="0" collapsed="false">
      <c r="B1433" s="4" t="n">
        <v>29980903</v>
      </c>
      <c r="C1433" s="4" t="s">
        <v>2486</v>
      </c>
      <c r="D1433" s="4" t="s">
        <v>463</v>
      </c>
      <c r="E1433" s="4" t="s">
        <v>2831</v>
      </c>
      <c r="F1433" s="127" t="n">
        <v>46853</v>
      </c>
      <c r="G1433" s="127" t="n">
        <v>46867</v>
      </c>
      <c r="H1433" s="127" t="n">
        <v>46289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30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24</v>
      </c>
      <c r="O1433" s="2" t="str">
        <f aca="false">IF(OR(F1433="",G1433=""),"",IF(G1433&lt;='RETRATO 2027'!$K$5,"CONCLUÍDA",IF(F1433&lt;='RETRATO 2027'!$K$5,"EM ANDAMENTO","A INICIAR")))</f>
        <v>A INICIAR</v>
      </c>
    </row>
    <row r="1434" customFormat="false" ht="15" hidden="false" customHeight="false" outlineLevel="0" collapsed="false">
      <c r="B1434" s="4" t="n">
        <v>29980882</v>
      </c>
      <c r="C1434" s="4" t="s">
        <v>2480</v>
      </c>
      <c r="D1434" s="4" t="s">
        <v>463</v>
      </c>
      <c r="E1434" s="4" t="s">
        <v>2833</v>
      </c>
      <c r="F1434" s="127" t="n">
        <v>46853</v>
      </c>
      <c r="G1434" s="127" t="n">
        <v>46867</v>
      </c>
      <c r="H1434" s="127" t="n">
        <v>46289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30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25</v>
      </c>
      <c r="O1434" s="2" t="str">
        <f aca="false">IF(OR(F1434="",G1434=""),"",IF(G1434&lt;='RETRATO 2027'!$K$5,"CONCLUÍDA",IF(F1434&lt;='RETRATO 2027'!$K$5,"EM ANDAMENTO","A INICIAR")))</f>
        <v>A INICIAR</v>
      </c>
    </row>
    <row r="1435" customFormat="false" ht="15" hidden="false" customHeight="false" outlineLevel="0" collapsed="false">
      <c r="B1435" s="4" t="n">
        <v>29980843</v>
      </c>
      <c r="C1435" s="4" t="s">
        <v>171</v>
      </c>
      <c r="D1435" s="4" t="s">
        <v>463</v>
      </c>
      <c r="E1435" s="4" t="s">
        <v>2834</v>
      </c>
      <c r="F1435" s="127" t="n">
        <v>46853</v>
      </c>
      <c r="G1435" s="127" t="n">
        <v>46867</v>
      </c>
      <c r="H1435" s="127" t="n">
        <v>46289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19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26</v>
      </c>
      <c r="O1435" s="2" t="str">
        <f aca="false">IF(OR(F1435="",G1435=""),"",IF(G1435&lt;='RETRATO 2027'!$K$5,"CONCLUÍDA",IF(F1435&lt;='RETRATO 2027'!$K$5,"EM ANDAMENTO","A INICIAR")))</f>
        <v>A INICIAR</v>
      </c>
    </row>
    <row r="1436" customFormat="false" ht="15" hidden="false" customHeight="false" outlineLevel="0" collapsed="false">
      <c r="B1436" s="4" t="n">
        <v>32750453</v>
      </c>
      <c r="C1436" s="4" t="s">
        <v>2470</v>
      </c>
      <c r="D1436" s="4" t="s">
        <v>463</v>
      </c>
      <c r="E1436" s="4" t="s">
        <v>2838</v>
      </c>
      <c r="F1436" s="127" t="n">
        <v>46853</v>
      </c>
      <c r="G1436" s="127" t="n">
        <v>46867</v>
      </c>
      <c r="H1436" s="127" t="n">
        <v>46289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18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27</v>
      </c>
      <c r="O1436" s="2" t="str">
        <f aca="false">IF(OR(F1436="",G1436=""),"",IF(G1436&lt;='RETRATO 2027'!$K$5,"CONCLUÍDA",IF(F1436&lt;='RETRATO 2027'!$K$5,"EM ANDAMENTO","A INICIAR")))</f>
        <v>A INICIAR</v>
      </c>
    </row>
    <row r="1437" customFormat="false" ht="15" hidden="false" customHeight="false" outlineLevel="0" collapsed="false">
      <c r="B1437" s="4" t="n">
        <v>32750376</v>
      </c>
      <c r="C1437" s="4" t="s">
        <v>2458</v>
      </c>
      <c r="D1437" s="4" t="s">
        <v>463</v>
      </c>
      <c r="E1437" s="4" t="s">
        <v>2840</v>
      </c>
      <c r="F1437" s="127" t="n">
        <v>46853</v>
      </c>
      <c r="G1437" s="127" t="n">
        <v>46867</v>
      </c>
      <c r="H1437" s="127" t="n">
        <v>46289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21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28</v>
      </c>
      <c r="O1437" s="2" t="str">
        <f aca="false">IF(OR(F1437="",G1437=""),"",IF(G1437&lt;='RETRATO 2027'!$K$5,"CONCLUÍDA",IF(F1437&lt;='RETRATO 2027'!$K$5,"EM ANDAMENTO","A INICIAR")))</f>
        <v>A INICIAR</v>
      </c>
    </row>
    <row r="1438" customFormat="false" ht="15" hidden="false" customHeight="false" outlineLevel="0" collapsed="false">
      <c r="B1438" s="4" t="n">
        <v>32750402</v>
      </c>
      <c r="C1438" s="4" t="s">
        <v>2461</v>
      </c>
      <c r="D1438" s="4" t="s">
        <v>463</v>
      </c>
      <c r="E1438" s="4" t="s">
        <v>2840</v>
      </c>
      <c r="F1438" s="127" t="n">
        <v>46853</v>
      </c>
      <c r="G1438" s="127" t="n">
        <v>46867</v>
      </c>
      <c r="H1438" s="127" t="n">
        <v>46289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28</v>
      </c>
      <c r="O1438" s="2" t="str">
        <f aca="false">IF(OR(F1438="",G1438=""),"",IF(G1438&lt;='RETRATO 2027'!$K$5,"CONCLUÍDA",IF(F1438&lt;='RETRATO 2027'!$K$5,"EM ANDAMENTO","A INICIAR")))</f>
        <v>A INICIAR</v>
      </c>
    </row>
    <row r="1439" customFormat="false" ht="15" hidden="false" customHeight="false" outlineLevel="0" collapsed="false">
      <c r="B1439" s="4" t="n">
        <v>32750428</v>
      </c>
      <c r="C1439" s="4" t="s">
        <v>2464</v>
      </c>
      <c r="D1439" s="4" t="s">
        <v>463</v>
      </c>
      <c r="E1439" s="4" t="s">
        <v>2840</v>
      </c>
      <c r="F1439" s="127" t="n">
        <v>46853</v>
      </c>
      <c r="G1439" s="127" t="n">
        <v>46867</v>
      </c>
      <c r="H1439" s="127" t="n">
        <v>46289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28</v>
      </c>
      <c r="O1439" s="2" t="str">
        <f aca="false">IF(OR(F1439="",G1439=""),"",IF(G1439&lt;='RETRATO 2027'!$K$5,"CONCLUÍDA",IF(F1439&lt;='RETRATO 2027'!$K$5,"EM ANDAMENTO","A INICIAR")))</f>
        <v>A INICIAR</v>
      </c>
    </row>
    <row r="1440" customFormat="false" ht="15" hidden="false" customHeight="false" outlineLevel="0" collapsed="false">
      <c r="B1440" s="4" t="n">
        <v>33896846</v>
      </c>
      <c r="C1440" s="4" t="s">
        <v>2467</v>
      </c>
      <c r="D1440" s="4" t="s">
        <v>463</v>
      </c>
      <c r="E1440" s="4" t="s">
        <v>2840</v>
      </c>
      <c r="F1440" s="127" t="n">
        <v>46853</v>
      </c>
      <c r="G1440" s="127" t="n">
        <v>46867</v>
      </c>
      <c r="H1440" s="127" t="n">
        <v>46289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23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28</v>
      </c>
      <c r="O1440" s="2" t="str">
        <f aca="false">IF(OR(F1440="",G1440=""),"",IF(G1440&lt;='RETRATO 2027'!$K$5,"CONCLUÍDA",IF(F1440&lt;='RETRATO 2027'!$K$5,"EM ANDAMENTO","A INICIAR")))</f>
        <v>A INICIAR</v>
      </c>
    </row>
    <row r="1441" customFormat="false" ht="15" hidden="false" customHeight="false" outlineLevel="0" collapsed="false">
      <c r="B1441" s="4" t="n">
        <v>32749872</v>
      </c>
      <c r="C1441" s="4" t="s">
        <v>2455</v>
      </c>
      <c r="D1441" s="4" t="s">
        <v>463</v>
      </c>
      <c r="E1441" s="4" t="s">
        <v>2841</v>
      </c>
      <c r="F1441" s="127" t="n">
        <v>46853</v>
      </c>
      <c r="G1441" s="127" t="n">
        <v>46867</v>
      </c>
      <c r="H1441" s="127" t="n">
        <v>46289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18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29</v>
      </c>
      <c r="O1441" s="2" t="str">
        <f aca="false">IF(OR(F1441="",G1441=""),"",IF(G1441&lt;='RETRATO 2027'!$K$5,"CONCLUÍDA",IF(F1441&lt;='RETRATO 2027'!$K$5,"EM ANDAMENTO","A INICIAR")))</f>
        <v>A INICIAR</v>
      </c>
    </row>
    <row r="1442" customFormat="false" ht="15" hidden="false" customHeight="false" outlineLevel="0" collapsed="false">
      <c r="B1442" s="4" t="n">
        <v>29980696</v>
      </c>
      <c r="C1442" s="4" t="s">
        <v>2449</v>
      </c>
      <c r="D1442" s="4" t="s">
        <v>463</v>
      </c>
      <c r="E1442" s="4" t="s">
        <v>2842</v>
      </c>
      <c r="F1442" s="127" t="n">
        <v>46853</v>
      </c>
      <c r="G1442" s="127" t="n">
        <v>46867</v>
      </c>
      <c r="H1442" s="127" t="n">
        <v>46289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28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30</v>
      </c>
      <c r="O1442" s="2" t="str">
        <f aca="false">IF(OR(F1442="",G1442=""),"",IF(G1442&lt;='RETRATO 2027'!$K$5,"CONCLUÍDA",IF(F1442&lt;='RETRATO 2027'!$K$5,"EM ANDAMENTO","A INICIAR")))</f>
        <v>A INICIAR</v>
      </c>
    </row>
    <row r="1443" customFormat="false" ht="15" hidden="false" customHeight="false" outlineLevel="0" collapsed="false">
      <c r="B1443" s="4" t="n">
        <v>29980636</v>
      </c>
      <c r="C1443" s="4" t="s">
        <v>2440</v>
      </c>
      <c r="D1443" s="4" t="s">
        <v>463</v>
      </c>
      <c r="E1443" s="4" t="s">
        <v>2843</v>
      </c>
      <c r="F1443" s="127" t="n">
        <v>46853</v>
      </c>
      <c r="G1443" s="127" t="n">
        <v>46867</v>
      </c>
      <c r="H1443" s="127" t="n">
        <v>46289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21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31</v>
      </c>
      <c r="O1443" s="2" t="str">
        <f aca="false">IF(OR(F1443="",G1443=""),"",IF(G1443&lt;='RETRATO 2027'!$K$5,"CONCLUÍDA",IF(F1443&lt;='RETRATO 2027'!$K$5,"EM ANDAMENTO","A INICIAR")))</f>
        <v>A INICIAR</v>
      </c>
    </row>
    <row r="1444" customFormat="false" ht="15" hidden="false" customHeight="false" outlineLevel="0" collapsed="false">
      <c r="B1444" s="4" t="n">
        <v>29980669</v>
      </c>
      <c r="C1444" s="4" t="s">
        <v>2443</v>
      </c>
      <c r="D1444" s="4" t="s">
        <v>463</v>
      </c>
      <c r="E1444" s="4" t="s">
        <v>2843</v>
      </c>
      <c r="F1444" s="127" t="n">
        <v>46853</v>
      </c>
      <c r="G1444" s="127" t="n">
        <v>46867</v>
      </c>
      <c r="H1444" s="127" t="n">
        <v>46289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20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31</v>
      </c>
      <c r="O1444" s="2" t="str">
        <f aca="false">IF(OR(F1444="",G1444=""),"",IF(G1444&lt;='RETRATO 2027'!$K$5,"CONCLUÍDA",IF(F1444&lt;='RETRATO 2027'!$K$5,"EM ANDAMENTO","A INICIAR")))</f>
        <v>A INICIAR</v>
      </c>
    </row>
    <row r="1445" customFormat="false" ht="15" hidden="false" customHeight="false" outlineLevel="0" collapsed="false">
      <c r="B1445" s="4" t="n">
        <v>29980598</v>
      </c>
      <c r="C1445" s="4" t="s">
        <v>2437</v>
      </c>
      <c r="D1445" s="4" t="s">
        <v>463</v>
      </c>
      <c r="E1445" s="4" t="s">
        <v>2844</v>
      </c>
      <c r="F1445" s="127" t="n">
        <v>46853</v>
      </c>
      <c r="G1445" s="127" t="n">
        <v>46867</v>
      </c>
      <c r="H1445" s="127" t="n">
        <v>46289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29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32</v>
      </c>
      <c r="O1445" s="2" t="str">
        <f aca="false">IF(OR(F1445="",G1445=""),"",IF(G1445&lt;='RETRATO 2027'!$K$5,"CONCLUÍDA",IF(F1445&lt;='RETRATO 2027'!$K$5,"EM ANDAMENTO","A INICIAR")))</f>
        <v>A INICIAR</v>
      </c>
    </row>
    <row r="1446" customFormat="false" ht="15" hidden="false" customHeight="false" outlineLevel="0" collapsed="false">
      <c r="B1446" s="4" t="n">
        <v>29981101</v>
      </c>
      <c r="C1446" s="4" t="s">
        <v>2413</v>
      </c>
      <c r="D1446" s="4" t="s">
        <v>463</v>
      </c>
      <c r="E1446" s="4" t="s">
        <v>2822</v>
      </c>
      <c r="F1446" s="127" t="n">
        <v>46854</v>
      </c>
      <c r="G1446" s="127" t="n">
        <v>46868</v>
      </c>
      <c r="H1446" s="127" t="n">
        <v>46289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21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19</v>
      </c>
      <c r="O1446" s="2" t="str">
        <f aca="false">IF(OR(F1446="",G1446=""),"",IF(G1446&lt;='RETRATO 2027'!$K$5,"CONCLUÍDA",IF(F1446&lt;='RETRATO 2027'!$K$5,"EM ANDAMENTO","A INICIAR")))</f>
        <v>A INICIAR</v>
      </c>
    </row>
    <row r="1447" customFormat="false" ht="15" hidden="false" customHeight="false" outlineLevel="0" collapsed="false">
      <c r="B1447" s="4" t="n">
        <v>30210372</v>
      </c>
      <c r="C1447" s="4" t="s">
        <v>77</v>
      </c>
      <c r="D1447" s="4" t="s">
        <v>463</v>
      </c>
      <c r="E1447" s="4" t="s">
        <v>2852</v>
      </c>
      <c r="F1447" s="127" t="n">
        <v>46854</v>
      </c>
      <c r="G1447" s="127" t="n">
        <v>46903</v>
      </c>
      <c r="H1447" s="127" t="n">
        <v>46289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20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33</v>
      </c>
      <c r="O1447" s="2" t="str">
        <f aca="false">IF(OR(F1447="",G1447=""),"",IF(G1447&lt;='RETRATO 2027'!$K$5,"CONCLUÍDA",IF(F1447&lt;='RETRATO 2027'!$K$5,"EM ANDAMENTO","A INICIAR")))</f>
        <v>A INICIAR</v>
      </c>
    </row>
    <row r="1448" customFormat="false" ht="15" hidden="false" customHeight="false" outlineLevel="0" collapsed="false">
      <c r="B1448" s="4" t="n">
        <v>30210373</v>
      </c>
      <c r="C1448" s="4" t="s">
        <v>2505</v>
      </c>
      <c r="D1448" s="4" t="s">
        <v>463</v>
      </c>
      <c r="E1448" s="4" t="s">
        <v>2852</v>
      </c>
      <c r="F1448" s="127" t="n">
        <v>46854</v>
      </c>
      <c r="G1448" s="127" t="n">
        <v>46903</v>
      </c>
      <c r="H1448" s="127" t="n">
        <v>46289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21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33</v>
      </c>
      <c r="O1448" s="2" t="str">
        <f aca="false">IF(OR(F1448="",G1448=""),"",IF(G1448&lt;='RETRATO 2027'!$K$5,"CONCLUÍDA",IF(F1448&lt;='RETRATO 2027'!$K$5,"EM ANDAMENTO","A INICIAR")))</f>
        <v>A INICIAR</v>
      </c>
    </row>
    <row r="1449" customFormat="false" ht="15" hidden="false" customHeight="false" outlineLevel="0" collapsed="false">
      <c r="B1449" s="4" t="n">
        <v>30211205</v>
      </c>
      <c r="C1449" s="4" t="s">
        <v>168</v>
      </c>
      <c r="D1449" s="4" t="s">
        <v>463</v>
      </c>
      <c r="E1449" s="4" t="s">
        <v>2853</v>
      </c>
      <c r="F1449" s="127" t="n">
        <v>46854</v>
      </c>
      <c r="G1449" s="127" t="n">
        <v>46877</v>
      </c>
      <c r="H1449" s="127" t="n">
        <v>46289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34</v>
      </c>
      <c r="O1449" s="2" t="str">
        <f aca="false">IF(OR(F1449="",G1449=""),"",IF(G1449&lt;='RETRATO 2027'!$K$5,"CONCLUÍDA",IF(F1449&lt;='RETRATO 2027'!$K$5,"EM ANDAMENTO","A INICIAR")))</f>
        <v>A INICIAR</v>
      </c>
    </row>
    <row r="1450" customFormat="false" ht="15" hidden="false" customHeight="false" outlineLevel="0" collapsed="false">
      <c r="B1450" s="4" t="n">
        <v>30205688</v>
      </c>
      <c r="C1450" s="4" t="s">
        <v>2563</v>
      </c>
      <c r="D1450" s="4" t="s">
        <v>463</v>
      </c>
      <c r="E1450" s="4" t="s">
        <v>2819</v>
      </c>
      <c r="F1450" s="127" t="n">
        <v>46855</v>
      </c>
      <c r="G1450" s="127" t="n">
        <v>46862</v>
      </c>
      <c r="H1450" s="127" t="n">
        <v>46289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20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0</v>
      </c>
      <c r="O1450" s="2" t="str">
        <f aca="false">IF(OR(F1450="",G1450=""),"",IF(G1450&lt;='RETRATO 2027'!$K$5,"CONCLUÍDA",IF(F1450&lt;='RETRATO 2027'!$K$5,"EM ANDAMENTO","A INICIAR")))</f>
        <v>A INICIAR</v>
      </c>
    </row>
    <row r="1451" customFormat="false" ht="15" hidden="false" customHeight="false" outlineLevel="0" collapsed="false">
      <c r="B1451" s="4" t="n">
        <v>30205663</v>
      </c>
      <c r="C1451" s="4" t="s">
        <v>2578</v>
      </c>
      <c r="D1451" s="4" t="s">
        <v>463</v>
      </c>
      <c r="E1451" s="4" t="s">
        <v>2821</v>
      </c>
      <c r="F1451" s="127" t="n">
        <v>46855</v>
      </c>
      <c r="G1451" s="127" t="n">
        <v>46870</v>
      </c>
      <c r="H1451" s="127" t="n">
        <v>46289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25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0</v>
      </c>
      <c r="O1451" s="2" t="str">
        <f aca="false">IF(OR(F1451="",G1451=""),"",IF(G1451&lt;='RETRATO 2027'!$K$5,"CONCLUÍDA",IF(F1451&lt;='RETRATO 2027'!$K$5,"EM ANDAMENTO","A INICIAR")))</f>
        <v>A INICIAR</v>
      </c>
    </row>
    <row r="1452" customFormat="false" ht="15" hidden="false" customHeight="false" outlineLevel="0" collapsed="false">
      <c r="B1452" s="4" t="n">
        <v>30205662</v>
      </c>
      <c r="C1452" s="4" t="s">
        <v>2605</v>
      </c>
      <c r="D1452" s="4" t="s">
        <v>463</v>
      </c>
      <c r="E1452" s="4" t="s">
        <v>2821</v>
      </c>
      <c r="F1452" s="127" t="n">
        <v>46855</v>
      </c>
      <c r="G1452" s="127" t="n">
        <v>46870</v>
      </c>
      <c r="H1452" s="127" t="n">
        <v>46289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34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0</v>
      </c>
      <c r="O1452" s="2" t="str">
        <f aca="false">IF(OR(F1452="",G1452=""),"",IF(G1452&lt;='RETRATO 2027'!$K$5,"CONCLUÍDA",IF(F1452&lt;='RETRATO 2027'!$K$5,"EM ANDAMENTO","A INICIAR")))</f>
        <v>A INICIAR</v>
      </c>
    </row>
    <row r="1453" customFormat="false" ht="15" hidden="false" customHeight="false" outlineLevel="0" collapsed="false">
      <c r="B1453" s="4" t="n">
        <v>30205660</v>
      </c>
      <c r="C1453" s="4" t="s">
        <v>2607</v>
      </c>
      <c r="D1453" s="4" t="s">
        <v>463</v>
      </c>
      <c r="E1453" s="4" t="s">
        <v>2821</v>
      </c>
      <c r="F1453" s="127" t="n">
        <v>46855</v>
      </c>
      <c r="G1453" s="127" t="n">
        <v>46870</v>
      </c>
      <c r="H1453" s="127" t="n">
        <v>46289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34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0</v>
      </c>
      <c r="O1453" s="2" t="str">
        <f aca="false">IF(OR(F1453="",G1453=""),"",IF(G1453&lt;='RETRATO 2027'!$K$5,"CONCLUÍDA",IF(F1453&lt;='RETRATO 2027'!$K$5,"EM ANDAMENTO","A INICIAR")))</f>
        <v>A INICIAR</v>
      </c>
    </row>
    <row r="1454" customFormat="false" ht="15" hidden="false" customHeight="false" outlineLevel="0" collapsed="false">
      <c r="B1454" s="4" t="n">
        <v>30205645</v>
      </c>
      <c r="C1454" s="4" t="s">
        <v>2554</v>
      </c>
      <c r="D1454" s="4" t="s">
        <v>463</v>
      </c>
      <c r="E1454" s="4" t="s">
        <v>2824</v>
      </c>
      <c r="F1454" s="127" t="n">
        <v>46855</v>
      </c>
      <c r="G1454" s="127" t="n">
        <v>46870</v>
      </c>
      <c r="H1454" s="127" t="n">
        <v>46289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35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0</v>
      </c>
      <c r="O1454" s="2" t="str">
        <f aca="false">IF(OR(F1454="",G1454=""),"",IF(G1454&lt;='RETRATO 2027'!$K$5,"CONCLUÍDA",IF(F1454&lt;='RETRATO 2027'!$K$5,"EM ANDAMENTO","A INICIAR")))</f>
        <v>A INICIAR</v>
      </c>
    </row>
    <row r="1455" customFormat="false" ht="15" hidden="false" customHeight="false" outlineLevel="0" collapsed="false">
      <c r="B1455" s="4" t="n">
        <v>29981100</v>
      </c>
      <c r="C1455" s="4" t="s">
        <v>2416</v>
      </c>
      <c r="D1455" s="4" t="s">
        <v>463</v>
      </c>
      <c r="E1455" s="4" t="s">
        <v>2822</v>
      </c>
      <c r="F1455" s="127" t="n">
        <v>46856</v>
      </c>
      <c r="G1455" s="127" t="n">
        <v>46870</v>
      </c>
      <c r="H1455" s="127" t="n">
        <v>46289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18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19</v>
      </c>
      <c r="O1455" s="2" t="str">
        <f aca="false">IF(OR(F1455="",G1455=""),"",IF(G1455&lt;='RETRATO 2027'!$K$5,"CONCLUÍDA",IF(F1455&lt;='RETRATO 2027'!$K$5,"EM ANDAMENTO","A INICIAR")))</f>
        <v>A INICIAR</v>
      </c>
    </row>
    <row r="1456" customFormat="false" ht="15" hidden="false" customHeight="false" outlineLevel="0" collapsed="false">
      <c r="B1456" s="4" t="n">
        <v>30205717</v>
      </c>
      <c r="C1456" s="4" t="s">
        <v>2631</v>
      </c>
      <c r="D1456" s="4" t="s">
        <v>463</v>
      </c>
      <c r="E1456" s="4" t="s">
        <v>2740</v>
      </c>
      <c r="F1456" s="127" t="n">
        <v>46860</v>
      </c>
      <c r="G1456" s="127" t="n">
        <v>46891</v>
      </c>
      <c r="H1456" s="127" t="n">
        <v>46289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35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-1</v>
      </c>
      <c r="O1456" s="2" t="str">
        <f aca="false">IF(OR(F1456="",G1456=""),"",IF(G1456&lt;='RETRATO 2027'!$K$5,"CONCLUÍDA",IF(F1456&lt;='RETRATO 2027'!$K$5,"EM ANDAMENTO","A INICIAR")))</f>
        <v>A INICIAR</v>
      </c>
    </row>
    <row r="1457" customFormat="false" ht="15" hidden="false" customHeight="false" outlineLevel="0" collapsed="false">
      <c r="B1457" s="4" t="n">
        <v>30205733</v>
      </c>
      <c r="C1457" s="4" t="s">
        <v>2633</v>
      </c>
      <c r="D1457" s="4" t="s">
        <v>463</v>
      </c>
      <c r="E1457" s="4" t="s">
        <v>2740</v>
      </c>
      <c r="F1457" s="127" t="n">
        <v>46860</v>
      </c>
      <c r="G1457" s="127" t="n">
        <v>46891</v>
      </c>
      <c r="H1457" s="127" t="n">
        <v>46289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35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-1</v>
      </c>
      <c r="O1457" s="2" t="str">
        <f aca="false">IF(OR(F1457="",G1457=""),"",IF(G1457&lt;='RETRATO 2027'!$K$5,"CONCLUÍDA",IF(F1457&lt;='RETRATO 2027'!$K$5,"EM ANDAMENTO","A INICIAR")))</f>
        <v>A INICIAR</v>
      </c>
    </row>
    <row r="1458" customFormat="false" ht="15" hidden="false" customHeight="false" outlineLevel="0" collapsed="false">
      <c r="B1458" s="4" t="n">
        <v>30205852</v>
      </c>
      <c r="C1458" s="4" t="s">
        <v>2501</v>
      </c>
      <c r="D1458" s="4" t="s">
        <v>463</v>
      </c>
      <c r="E1458" s="4" t="s">
        <v>2782</v>
      </c>
      <c r="F1458" s="127" t="n">
        <v>46860</v>
      </c>
      <c r="G1458" s="127" t="n">
        <v>46875</v>
      </c>
      <c r="H1458" s="127" t="n">
        <v>46289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30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1</v>
      </c>
      <c r="O1458" s="2" t="str">
        <f aca="false">IF(OR(F1458="",G1458=""),"",IF(G1458&lt;='RETRATO 2027'!$K$5,"CONCLUÍDA",IF(F1458&lt;='RETRATO 2027'!$K$5,"EM ANDAMENTO","A INICIAR")))</f>
        <v>A INICIAR</v>
      </c>
    </row>
    <row r="1459" customFormat="false" ht="15" hidden="false" customHeight="false" outlineLevel="0" collapsed="false">
      <c r="B1459" s="4" t="n">
        <v>31791437</v>
      </c>
      <c r="C1459" s="4" t="s">
        <v>2635</v>
      </c>
      <c r="D1459" s="4" t="s">
        <v>463</v>
      </c>
      <c r="E1459" s="4" t="s">
        <v>2678</v>
      </c>
      <c r="F1459" s="127" t="n">
        <v>46860</v>
      </c>
      <c r="G1459" s="127" t="n">
        <v>46882</v>
      </c>
      <c r="H1459" s="127" t="n">
        <v>46289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32</v>
      </c>
      <c r="N1459" s="2" t="str">
        <f aca="false"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 t="str">
        <f aca="false">IF(OR(F1459="",G1459=""),"",IF(G1459&lt;='RETRATO 2027'!$K$5,"CONCLUÍDA",IF(F1459&lt;='RETRATO 2027'!$K$5,"EM ANDAMENTO","A INICIAR")))</f>
        <v>A INICIAR</v>
      </c>
    </row>
    <row r="1460" customFormat="false" ht="15" hidden="false" customHeight="false" outlineLevel="0" collapsed="false">
      <c r="B1460" s="4" t="n">
        <v>30206123</v>
      </c>
      <c r="C1460" s="4" t="s">
        <v>2449</v>
      </c>
      <c r="D1460" s="4" t="s">
        <v>463</v>
      </c>
      <c r="E1460" s="4" t="s">
        <v>2846</v>
      </c>
      <c r="F1460" s="127" t="n">
        <v>46861</v>
      </c>
      <c r="G1460" s="127" t="n">
        <v>46876</v>
      </c>
      <c r="H1460" s="127" t="n">
        <v>46289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28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6</v>
      </c>
      <c r="O1460" s="2" t="str">
        <f aca="false">IF(OR(F1460="",G1460=""),"",IF(G1460&lt;='RETRATO 2027'!$K$5,"CONCLUÍDA",IF(F1460&lt;='RETRATO 2027'!$K$5,"EM ANDAMENTO","A INICIAR")))</f>
        <v>A INICIAR</v>
      </c>
    </row>
    <row r="1461" customFormat="false" ht="15" hidden="false" customHeight="false" outlineLevel="0" collapsed="false">
      <c r="B1461" s="4" t="n">
        <v>30206063</v>
      </c>
      <c r="C1461" s="4" t="s">
        <v>2440</v>
      </c>
      <c r="D1461" s="4" t="s">
        <v>463</v>
      </c>
      <c r="E1461" s="4" t="s">
        <v>2847</v>
      </c>
      <c r="F1461" s="127" t="n">
        <v>46861</v>
      </c>
      <c r="G1461" s="127" t="n">
        <v>46876</v>
      </c>
      <c r="H1461" s="127" t="n">
        <v>46289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21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6</v>
      </c>
      <c r="O1461" s="2" t="str">
        <f aca="false">IF(OR(F1461="",G1461=""),"",IF(G1461&lt;='RETRATO 2027'!$K$5,"CONCLUÍDA",IF(F1461&lt;='RETRATO 2027'!$K$5,"EM ANDAMENTO","A INICIAR")))</f>
        <v>A INICIAR</v>
      </c>
    </row>
    <row r="1462" customFormat="false" ht="15" hidden="false" customHeight="false" outlineLevel="0" collapsed="false">
      <c r="B1462" s="4" t="n">
        <v>30206025</v>
      </c>
      <c r="C1462" s="4" t="s">
        <v>2437</v>
      </c>
      <c r="D1462" s="4" t="s">
        <v>463</v>
      </c>
      <c r="E1462" s="4" t="s">
        <v>2848</v>
      </c>
      <c r="F1462" s="127" t="n">
        <v>46861</v>
      </c>
      <c r="G1462" s="127" t="n">
        <v>46876</v>
      </c>
      <c r="H1462" s="127" t="n">
        <v>46289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29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6</v>
      </c>
      <c r="O1462" s="2" t="str">
        <f aca="false">IF(OR(F1462="",G1462=""),"",IF(G1462&lt;='RETRATO 2027'!$K$5,"CONCLUÍDA",IF(F1462&lt;='RETRATO 2027'!$K$5,"EM ANDAMENTO","A INICIAR")))</f>
        <v>A INICIAR</v>
      </c>
    </row>
    <row r="1463" customFormat="false" ht="15" hidden="false" customHeight="false" outlineLevel="0" collapsed="false">
      <c r="B1463" s="4" t="n">
        <v>30205707</v>
      </c>
      <c r="C1463" s="4" t="s">
        <v>2615</v>
      </c>
      <c r="D1463" s="4" t="s">
        <v>463</v>
      </c>
      <c r="E1463" s="4" t="s">
        <v>2819</v>
      </c>
      <c r="F1463" s="127" t="n">
        <v>46863</v>
      </c>
      <c r="G1463" s="127" t="n">
        <v>46878</v>
      </c>
      <c r="H1463" s="127" t="n">
        <v>46289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37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0</v>
      </c>
      <c r="O1463" s="2" t="str">
        <f aca="false">IF(OR(F1463="",G1463=""),"",IF(G1463&lt;='RETRATO 2027'!$K$5,"CONCLUÍDA",IF(F1463&lt;='RETRATO 2027'!$K$5,"EM ANDAMENTO","A INICIAR")))</f>
        <v>A INICIAR</v>
      </c>
    </row>
    <row r="1464" customFormat="false" ht="15" hidden="false" customHeight="false" outlineLevel="0" collapsed="false">
      <c r="B1464" s="4" t="n">
        <v>30171516</v>
      </c>
      <c r="C1464" s="4" t="s">
        <v>2623</v>
      </c>
      <c r="D1464" s="4" t="s">
        <v>463</v>
      </c>
      <c r="E1464" s="4" t="s">
        <v>2817</v>
      </c>
      <c r="F1464" s="127" t="n">
        <v>46867</v>
      </c>
      <c r="G1464" s="127" t="n">
        <v>47165</v>
      </c>
      <c r="H1464" s="127" t="n">
        <v>46289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35</v>
      </c>
      <c r="N1464" s="2" t="str">
        <f aca="false"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 t="str">
        <f aca="false">IF(OR(F1464="",G1464=""),"",IF(G1464&lt;='RETRATO 2027'!$K$5,"CONCLUÍDA",IF(F1464&lt;='RETRATO 2027'!$K$5,"EM ANDAMENTO","A INICIAR")))</f>
        <v>A INICIAR</v>
      </c>
    </row>
    <row r="1465" customFormat="false" ht="15" hidden="false" customHeight="false" outlineLevel="0" collapsed="false">
      <c r="B1465" s="4" t="n">
        <v>29981539</v>
      </c>
      <c r="C1465" s="4" t="s">
        <v>2637</v>
      </c>
      <c r="D1465" s="4" t="s">
        <v>463</v>
      </c>
      <c r="E1465" s="4" t="s">
        <v>2803</v>
      </c>
      <c r="F1465" s="127" t="n">
        <v>46867</v>
      </c>
      <c r="G1465" s="127" t="n">
        <v>46871</v>
      </c>
      <c r="H1465" s="127" t="n">
        <v>46289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/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7</v>
      </c>
      <c r="O1465" s="2" t="str">
        <f aca="false">IF(OR(F1465="",G1465=""),"",IF(G1465&lt;='RETRATO 2027'!$K$5,"CONCLUÍDA",IF(F1465&lt;='RETRATO 2027'!$K$5,"EM ANDAMENTO","A INICIAR")))</f>
        <v>A INICIAR</v>
      </c>
    </row>
    <row r="1466" customFormat="false" ht="15" hidden="false" customHeight="false" outlineLevel="0" collapsed="false">
      <c r="B1466" s="4" t="n">
        <v>29981504</v>
      </c>
      <c r="C1466" s="4" t="s">
        <v>2629</v>
      </c>
      <c r="D1466" s="4" t="s">
        <v>463</v>
      </c>
      <c r="E1466" s="4" t="s">
        <v>2804</v>
      </c>
      <c r="F1466" s="127" t="n">
        <v>46867</v>
      </c>
      <c r="G1466" s="127" t="n">
        <v>46878</v>
      </c>
      <c r="H1466" s="127" t="n">
        <v>46289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20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8</v>
      </c>
      <c r="O1466" s="2" t="str">
        <f aca="false">IF(OR(F1466="",G1466=""),"",IF(G1466&lt;='RETRATO 2027'!$K$5,"CONCLUÍDA",IF(F1466&lt;='RETRATO 2027'!$K$5,"EM ANDAMENTO","A INICIAR")))</f>
        <v>A INICIAR</v>
      </c>
    </row>
    <row r="1467" customFormat="false" ht="15" hidden="false" customHeight="false" outlineLevel="0" collapsed="false">
      <c r="B1467" s="4" t="n">
        <v>29981464</v>
      </c>
      <c r="C1467" s="4" t="s">
        <v>2623</v>
      </c>
      <c r="D1467" s="4" t="s">
        <v>463</v>
      </c>
      <c r="E1467" s="4" t="s">
        <v>2805</v>
      </c>
      <c r="F1467" s="127" t="n">
        <v>46867</v>
      </c>
      <c r="G1467" s="127" t="n">
        <v>46878</v>
      </c>
      <c r="H1467" s="127" t="n">
        <v>46289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35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9</v>
      </c>
      <c r="O1467" s="2" t="str">
        <f aca="false">IF(OR(F1467="",G1467=""),"",IF(G1467&lt;='RETRATO 2027'!$K$5,"CONCLUÍDA",IF(F1467&lt;='RETRATO 2027'!$K$5,"EM ANDAMENTO","A INICIAR")))</f>
        <v>A INICIAR</v>
      </c>
    </row>
    <row r="1468" customFormat="false" ht="15" hidden="false" customHeight="false" outlineLevel="0" collapsed="false">
      <c r="B1468" s="4" t="n">
        <v>33919787</v>
      </c>
      <c r="C1468" s="4" t="s">
        <v>2625</v>
      </c>
      <c r="D1468" s="4" t="s">
        <v>463</v>
      </c>
      <c r="E1468" s="4" t="s">
        <v>2805</v>
      </c>
      <c r="F1468" s="127" t="n">
        <v>46867</v>
      </c>
      <c r="G1468" s="127" t="n">
        <v>46878</v>
      </c>
      <c r="H1468" s="127" t="n">
        <v>46289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32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9</v>
      </c>
      <c r="O1468" s="2" t="str">
        <f aca="false">IF(OR(F1468="",G1468=""),"",IF(G1468&lt;='RETRATO 2027'!$K$5,"CONCLUÍDA",IF(F1468&lt;='RETRATO 2027'!$K$5,"EM ANDAMENTO","A INICIAR")))</f>
        <v>A INICIAR</v>
      </c>
    </row>
    <row r="1469" customFormat="false" ht="15" hidden="false" customHeight="false" outlineLevel="0" collapsed="false">
      <c r="B1469" s="4" t="n">
        <v>29981426</v>
      </c>
      <c r="C1469" s="4" t="s">
        <v>2615</v>
      </c>
      <c r="D1469" s="4" t="s">
        <v>463</v>
      </c>
      <c r="E1469" s="4" t="s">
        <v>2809</v>
      </c>
      <c r="F1469" s="127" t="n">
        <v>46867</v>
      </c>
      <c r="G1469" s="127" t="n">
        <v>46878</v>
      </c>
      <c r="H1469" s="127" t="n">
        <v>46289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37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10</v>
      </c>
      <c r="O1469" s="2" t="str">
        <f aca="false">IF(OR(F1469="",G1469=""),"",IF(G1469&lt;='RETRATO 2027'!$K$5,"CONCLUÍDA",IF(F1469&lt;='RETRATO 2027'!$K$5,"EM ANDAMENTO","A INICIAR")))</f>
        <v>A INICIAR</v>
      </c>
    </row>
    <row r="1470" customFormat="false" ht="15" hidden="false" customHeight="false" outlineLevel="0" collapsed="false">
      <c r="B1470" s="4" t="n">
        <v>29981383</v>
      </c>
      <c r="C1470" s="4" t="s">
        <v>2605</v>
      </c>
      <c r="D1470" s="4" t="s">
        <v>463</v>
      </c>
      <c r="E1470" s="4" t="s">
        <v>2810</v>
      </c>
      <c r="F1470" s="127" t="n">
        <v>46867</v>
      </c>
      <c r="G1470" s="127" t="n">
        <v>46878</v>
      </c>
      <c r="H1470" s="127" t="n">
        <v>46289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34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11</v>
      </c>
      <c r="O1470" s="2" t="str">
        <f aca="false">IF(OR(F1470="",G1470=""),"",IF(G1470&lt;='RETRATO 2027'!$K$5,"CONCLUÍDA",IF(F1470&lt;='RETRATO 2027'!$K$5,"EM ANDAMENTO","A INICIAR")))</f>
        <v>A INICIAR</v>
      </c>
    </row>
    <row r="1471" customFormat="false" ht="15" hidden="false" customHeight="false" outlineLevel="0" collapsed="false">
      <c r="B1471" s="4" t="n">
        <v>29981388</v>
      </c>
      <c r="C1471" s="4" t="s">
        <v>2607</v>
      </c>
      <c r="D1471" s="4" t="s">
        <v>463</v>
      </c>
      <c r="E1471" s="4" t="s">
        <v>2810</v>
      </c>
      <c r="F1471" s="127" t="n">
        <v>46867</v>
      </c>
      <c r="G1471" s="127" t="n">
        <v>46878</v>
      </c>
      <c r="H1471" s="127" t="n">
        <v>46289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34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11</v>
      </c>
      <c r="O1471" s="2" t="str">
        <f aca="false">IF(OR(F1471="",G1471=""),"",IF(G1471&lt;='RETRATO 2027'!$K$5,"CONCLUÍDA",IF(F1471&lt;='RETRATO 2027'!$K$5,"EM ANDAMENTO","A INICIAR")))</f>
        <v>A INICIAR</v>
      </c>
    </row>
    <row r="1472" customFormat="false" ht="15" hidden="false" customHeight="false" outlineLevel="0" collapsed="false">
      <c r="B1472" s="4" t="n">
        <v>29981387</v>
      </c>
      <c r="C1472" s="4" t="s">
        <v>2563</v>
      </c>
      <c r="D1472" s="4" t="s">
        <v>463</v>
      </c>
      <c r="E1472" s="4" t="s">
        <v>2810</v>
      </c>
      <c r="F1472" s="127" t="n">
        <v>46867</v>
      </c>
      <c r="G1472" s="127" t="n">
        <v>46878</v>
      </c>
      <c r="H1472" s="127" t="n">
        <v>46289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20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11</v>
      </c>
      <c r="O1472" s="2" t="str">
        <f aca="false">IF(OR(F1472="",G1472=""),"",IF(G1472&lt;='RETRATO 2027'!$K$5,"CONCLUÍDA",IF(F1472&lt;='RETRATO 2027'!$K$5,"EM ANDAMENTO","A INICIAR")))</f>
        <v>A INICIAR</v>
      </c>
    </row>
    <row r="1473" customFormat="false" ht="15" hidden="false" customHeight="false" outlineLevel="0" collapsed="false">
      <c r="B1473" s="4" t="n">
        <v>29981386</v>
      </c>
      <c r="C1473" s="4" t="s">
        <v>2609</v>
      </c>
      <c r="D1473" s="4" t="s">
        <v>463</v>
      </c>
      <c r="E1473" s="4" t="s">
        <v>2810</v>
      </c>
      <c r="F1473" s="127" t="n">
        <v>46867</v>
      </c>
      <c r="G1473" s="127" t="n">
        <v>46878</v>
      </c>
      <c r="H1473" s="127" t="n">
        <v>46289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23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11</v>
      </c>
      <c r="O1473" s="2" t="str">
        <f aca="false">IF(OR(F1473="",G1473=""),"",IF(G1473&lt;='RETRATO 2027'!$K$5,"CONCLUÍDA",IF(F1473&lt;='RETRATO 2027'!$K$5,"EM ANDAMENTO","A INICIAR")))</f>
        <v>A INICIAR</v>
      </c>
    </row>
    <row r="1474" customFormat="false" ht="15" hidden="false" customHeight="false" outlineLevel="0" collapsed="false">
      <c r="B1474" s="4" t="n">
        <v>29981345</v>
      </c>
      <c r="C1474" s="4" t="s">
        <v>2599</v>
      </c>
      <c r="D1474" s="4" t="s">
        <v>463</v>
      </c>
      <c r="E1474" s="4" t="s">
        <v>2811</v>
      </c>
      <c r="F1474" s="127" t="n">
        <v>46867</v>
      </c>
      <c r="G1474" s="127" t="n">
        <v>46878</v>
      </c>
      <c r="H1474" s="127" t="n">
        <v>46289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30</v>
      </c>
      <c r="N1474" s="2" t="n">
        <f aca="false">IF(E1474="","",IF(ISNUMBER(SEARCH("SUBSOLO",E1474)),IFERROR(-VALUE(LEFT(E1474,FIND("º",SUBSTITUTE(E1474,"°","º"))-1)),-1),IF(LEFT(E1474,6)="TÉRREO",0,IFERROR(VALUE(LEFT(E1474,FIND("º",SUBSTITUTE(E1474,"°","º"))-1)),""))))</f>
        <v>12</v>
      </c>
      <c r="O1474" s="2" t="str">
        <f aca="false">IF(OR(F1474="",G1474=""),"",IF(G1474&lt;='RETRATO 2027'!$K$5,"CONCLUÍDA",IF(F1474&lt;='RETRATO 2027'!$K$5,"EM ANDAMENTO","A INICIAR")))</f>
        <v>A INICIAR</v>
      </c>
    </row>
    <row r="1475" customFormat="false" ht="15" hidden="false" customHeight="false" outlineLevel="0" collapsed="false">
      <c r="B1475" s="4" t="n">
        <v>29981307</v>
      </c>
      <c r="C1475" s="4" t="s">
        <v>2578</v>
      </c>
      <c r="D1475" s="4" t="s">
        <v>463</v>
      </c>
      <c r="E1475" s="4" t="s">
        <v>2812</v>
      </c>
      <c r="F1475" s="127" t="n">
        <v>46867</v>
      </c>
      <c r="G1475" s="127" t="n">
        <v>46878</v>
      </c>
      <c r="H1475" s="127" t="n">
        <v>46289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25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13</v>
      </c>
      <c r="O1475" s="2" t="str">
        <f aca="false">IF(OR(F1475="",G1475=""),"",IF(G1475&lt;='RETRATO 2027'!$K$5,"CONCLUÍDA",IF(F1475&lt;='RETRATO 2027'!$K$5,"EM ANDAMENTO","A INICIAR")))</f>
        <v>A INICIAR</v>
      </c>
    </row>
    <row r="1476" customFormat="false" ht="15" hidden="false" customHeight="false" outlineLevel="0" collapsed="false">
      <c r="B1476" s="4" t="n">
        <v>29981269</v>
      </c>
      <c r="C1476" s="4" t="s">
        <v>2569</v>
      </c>
      <c r="D1476" s="4" t="s">
        <v>463</v>
      </c>
      <c r="E1476" s="4" t="s">
        <v>2813</v>
      </c>
      <c r="F1476" s="127" t="n">
        <v>46867</v>
      </c>
      <c r="G1476" s="127" t="n">
        <v>46878</v>
      </c>
      <c r="H1476" s="127" t="n">
        <v>46289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30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14</v>
      </c>
      <c r="O1476" s="2" t="str">
        <f aca="false">IF(OR(F1476="",G1476=""),"",IF(G1476&lt;='RETRATO 2027'!$K$5,"CONCLUÍDA",IF(F1476&lt;='RETRATO 2027'!$K$5,"EM ANDAMENTO","A INICIAR")))</f>
        <v>A INICIAR</v>
      </c>
    </row>
    <row r="1477" customFormat="false" ht="15" hidden="false" customHeight="false" outlineLevel="0" collapsed="false">
      <c r="B1477" s="4" t="n">
        <v>29981231</v>
      </c>
      <c r="C1477" s="4" t="s">
        <v>2554</v>
      </c>
      <c r="D1477" s="4" t="s">
        <v>463</v>
      </c>
      <c r="E1477" s="4" t="s">
        <v>2814</v>
      </c>
      <c r="F1477" s="127" t="n">
        <v>46867</v>
      </c>
      <c r="G1477" s="127" t="n">
        <v>46878</v>
      </c>
      <c r="H1477" s="127" t="n">
        <v>46289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35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15</v>
      </c>
      <c r="O1477" s="2" t="str">
        <f aca="false">IF(OR(F1477="",G1477=""),"",IF(G1477&lt;='RETRATO 2027'!$K$5,"CONCLUÍDA",IF(F1477&lt;='RETRATO 2027'!$K$5,"EM ANDAMENTO","A INICIAR")))</f>
        <v>A INICIAR</v>
      </c>
    </row>
    <row r="1478" customFormat="false" ht="15" hidden="false" customHeight="false" outlineLevel="0" collapsed="false">
      <c r="B1478" s="4" t="n">
        <v>29981220</v>
      </c>
      <c r="C1478" s="4" t="s">
        <v>2539</v>
      </c>
      <c r="D1478" s="4" t="s">
        <v>463</v>
      </c>
      <c r="E1478" s="4" t="s">
        <v>2815</v>
      </c>
      <c r="F1478" s="127" t="n">
        <v>46867</v>
      </c>
      <c r="G1478" s="127" t="n">
        <v>46878</v>
      </c>
      <c r="H1478" s="127" t="n">
        <v>46289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16</v>
      </c>
      <c r="O1478" s="2" t="str">
        <f aca="false">IF(OR(F1478="",G1478=""),"",IF(G1478&lt;='RETRATO 2027'!$K$5,"CONCLUÍDA",IF(F1478&lt;='RETRATO 2027'!$K$5,"EM ANDAMENTO","A INICIAR")))</f>
        <v>A INICIAR</v>
      </c>
    </row>
    <row r="1479" customFormat="false" ht="15" hidden="false" customHeight="false" outlineLevel="0" collapsed="false">
      <c r="B1479" s="4" t="n">
        <v>33898098</v>
      </c>
      <c r="C1479" s="4" t="s">
        <v>2545</v>
      </c>
      <c r="D1479" s="4" t="s">
        <v>463</v>
      </c>
      <c r="E1479" s="4" t="s">
        <v>2818</v>
      </c>
      <c r="F1479" s="127" t="n">
        <v>46867</v>
      </c>
      <c r="G1479" s="127" t="n">
        <v>46878</v>
      </c>
      <c r="H1479" s="127" t="n">
        <v>46289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25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17</v>
      </c>
      <c r="O1479" s="2" t="str">
        <f aca="false">IF(OR(F1479="",G1479=""),"",IF(G1479&lt;='RETRATO 2027'!$K$5,"CONCLUÍDA",IF(F1479&lt;='RETRATO 2027'!$K$5,"EM ANDAMENTO","A INICIAR")))</f>
        <v>A INICIAR</v>
      </c>
    </row>
    <row r="1480" customFormat="false" ht="15" hidden="false" customHeight="false" outlineLevel="0" collapsed="false">
      <c r="B1480" s="4" t="n">
        <v>30205798</v>
      </c>
      <c r="C1480" s="4" t="s">
        <v>2539</v>
      </c>
      <c r="D1480" s="4" t="s">
        <v>463</v>
      </c>
      <c r="E1480" s="4" t="s">
        <v>2835</v>
      </c>
      <c r="F1480" s="127" t="n">
        <v>46868</v>
      </c>
      <c r="G1480" s="127" t="n">
        <v>46889</v>
      </c>
      <c r="H1480" s="127" t="n">
        <v>46289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35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0</v>
      </c>
      <c r="O1480" s="2" t="str">
        <f aca="false">IF(OR(F1480="",G1480=""),"",IF(G1480&lt;='RETRATO 2027'!$K$5,"CONCLUÍDA",IF(F1480&lt;='RETRATO 2027'!$K$5,"EM ANDAMENTO","A INICIAR")))</f>
        <v>A INICIAR</v>
      </c>
    </row>
    <row r="1481" customFormat="false" ht="15" hidden="false" customHeight="false" outlineLevel="0" collapsed="false">
      <c r="B1481" s="4" t="n">
        <v>30205830</v>
      </c>
      <c r="C1481" s="4" t="s">
        <v>2508</v>
      </c>
      <c r="D1481" s="4" t="s">
        <v>463</v>
      </c>
      <c r="E1481" s="4" t="s">
        <v>2839</v>
      </c>
      <c r="F1481" s="127" t="n">
        <v>46868</v>
      </c>
      <c r="G1481" s="127" t="n">
        <v>46882</v>
      </c>
      <c r="H1481" s="127" t="n">
        <v>46289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20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0</v>
      </c>
      <c r="O1481" s="2" t="str">
        <f aca="false">IF(OR(F1481="",G1481=""),"",IF(G1481&lt;='RETRATO 2027'!$K$5,"CONCLUÍDA",IF(F1481&lt;='RETRATO 2027'!$K$5,"EM ANDAMENTO","A INICIAR")))</f>
        <v>A INICIAR</v>
      </c>
    </row>
    <row r="1482" customFormat="false" ht="15" hidden="false" customHeight="false" outlineLevel="0" collapsed="false">
      <c r="B1482" s="4" t="n">
        <v>30171649</v>
      </c>
      <c r="C1482" s="4" t="s">
        <v>2508</v>
      </c>
      <c r="D1482" s="4" t="s">
        <v>463</v>
      </c>
      <c r="E1482" s="4" t="s">
        <v>2816</v>
      </c>
      <c r="F1482" s="127" t="n">
        <v>46868</v>
      </c>
      <c r="G1482" s="127" t="n">
        <v>46974</v>
      </c>
      <c r="H1482" s="127" t="n">
        <v>46289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20</v>
      </c>
      <c r="N1482" s="2" t="str">
        <f aca="false"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 t="str">
        <f aca="false">IF(OR(F1482="",G1482=""),"",IF(G1482&lt;='RETRATO 2027'!$K$5,"CONCLUÍDA",IF(F1482&lt;='RETRATO 2027'!$K$5,"EM ANDAMENTO","A INICIAR")))</f>
        <v>A INICIAR</v>
      </c>
    </row>
    <row r="1483" customFormat="false" ht="15" hidden="false" customHeight="false" outlineLevel="0" collapsed="false">
      <c r="B1483" s="4" t="n">
        <v>29980996</v>
      </c>
      <c r="C1483" s="4" t="s">
        <v>216</v>
      </c>
      <c r="D1483" s="4" t="s">
        <v>463</v>
      </c>
      <c r="E1483" s="4" t="s">
        <v>2827</v>
      </c>
      <c r="F1483" s="127" t="n">
        <v>46868</v>
      </c>
      <c r="G1483" s="127" t="n">
        <v>46881</v>
      </c>
      <c r="H1483" s="127" t="n">
        <v>46289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33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22</v>
      </c>
      <c r="O1483" s="2" t="str">
        <f aca="false">IF(OR(F1483="",G1483=""),"",IF(G1483&lt;='RETRATO 2027'!$K$5,"CONCLUÍDA",IF(F1483&lt;='RETRATO 2027'!$K$5,"EM ANDAMENTO","A INICIAR")))</f>
        <v>A INICIAR</v>
      </c>
    </row>
    <row r="1484" customFormat="false" ht="15" hidden="false" customHeight="false" outlineLevel="0" collapsed="false">
      <c r="B1484" s="4" t="n">
        <v>29980957</v>
      </c>
      <c r="C1484" s="4" t="s">
        <v>2508</v>
      </c>
      <c r="D1484" s="4" t="s">
        <v>463</v>
      </c>
      <c r="E1484" s="4" t="s">
        <v>2829</v>
      </c>
      <c r="F1484" s="127" t="n">
        <v>46868</v>
      </c>
      <c r="G1484" s="127" t="n">
        <v>46881</v>
      </c>
      <c r="H1484" s="127" t="n">
        <v>46289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20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23</v>
      </c>
      <c r="O1484" s="2" t="str">
        <f aca="false">IF(OR(F1484="",G1484=""),"",IF(G1484&lt;='RETRATO 2027'!$K$5,"CONCLUÍDA",IF(F1484&lt;='RETRATO 2027'!$K$5,"EM ANDAMENTO","A INICIAR")))</f>
        <v>A INICIAR</v>
      </c>
    </row>
    <row r="1485" customFormat="false" ht="15" hidden="false" customHeight="false" outlineLevel="0" collapsed="false">
      <c r="B1485" s="4" t="n">
        <v>29980962</v>
      </c>
      <c r="C1485" s="4" t="s">
        <v>2511</v>
      </c>
      <c r="D1485" s="4" t="s">
        <v>463</v>
      </c>
      <c r="E1485" s="4" t="s">
        <v>2829</v>
      </c>
      <c r="F1485" s="127" t="n">
        <v>46868</v>
      </c>
      <c r="G1485" s="127" t="n">
        <v>46881</v>
      </c>
      <c r="H1485" s="127" t="n">
        <v>46289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20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23</v>
      </c>
      <c r="O1485" s="2" t="str">
        <f aca="false">IF(OR(F1485="",G1485=""),"",IF(G1485&lt;='RETRATO 2027'!$K$5,"CONCLUÍDA",IF(F1485&lt;='RETRATO 2027'!$K$5,"EM ANDAMENTO","A INICIAR")))</f>
        <v>A INICIAR</v>
      </c>
    </row>
    <row r="1486" customFormat="false" ht="15" hidden="false" customHeight="false" outlineLevel="0" collapsed="false">
      <c r="B1486" s="4" t="n">
        <v>30214085</v>
      </c>
      <c r="C1486" s="4" t="s">
        <v>2514</v>
      </c>
      <c r="D1486" s="4" t="s">
        <v>463</v>
      </c>
      <c r="E1486" s="4" t="s">
        <v>2829</v>
      </c>
      <c r="F1486" s="127" t="n">
        <v>46868</v>
      </c>
      <c r="G1486" s="127" t="n">
        <v>46882</v>
      </c>
      <c r="H1486" s="127" t="n">
        <v>46289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20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23</v>
      </c>
      <c r="O1486" s="2" t="str">
        <f aca="false">IF(OR(F1486="",G1486=""),"",IF(G1486&lt;='RETRATO 2027'!$K$5,"CONCLUÍDA",IF(F1486&lt;='RETRATO 2027'!$K$5,"EM ANDAMENTO","A INICIAR")))</f>
        <v>A INICIAR</v>
      </c>
    </row>
    <row r="1487" customFormat="false" ht="15" hidden="false" customHeight="false" outlineLevel="0" collapsed="false">
      <c r="B1487" s="4" t="n">
        <v>29980904</v>
      </c>
      <c r="C1487" s="4" t="s">
        <v>2501</v>
      </c>
      <c r="D1487" s="4" t="s">
        <v>463</v>
      </c>
      <c r="E1487" s="4" t="s">
        <v>2831</v>
      </c>
      <c r="F1487" s="127" t="n">
        <v>46868</v>
      </c>
      <c r="G1487" s="127" t="n">
        <v>46881</v>
      </c>
      <c r="H1487" s="127" t="n">
        <v>46289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30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24</v>
      </c>
      <c r="O1487" s="2" t="str">
        <f aca="false">IF(OR(F1487="",G1487=""),"",IF(G1487&lt;='RETRATO 2027'!$K$5,"CONCLUÍDA",IF(F1487&lt;='RETRATO 2027'!$K$5,"EM ANDAMENTO","A INICIAR")))</f>
        <v>A INICIAR</v>
      </c>
    </row>
    <row r="1488" customFormat="false" ht="15" hidden="false" customHeight="false" outlineLevel="0" collapsed="false">
      <c r="B1488" s="4" t="n">
        <v>29980866</v>
      </c>
      <c r="C1488" s="4" t="s">
        <v>2486</v>
      </c>
      <c r="D1488" s="4" t="s">
        <v>463</v>
      </c>
      <c r="E1488" s="4" t="s">
        <v>2833</v>
      </c>
      <c r="F1488" s="127" t="n">
        <v>46868</v>
      </c>
      <c r="G1488" s="127" t="n">
        <v>46881</v>
      </c>
      <c r="H1488" s="127" t="n">
        <v>46289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25</v>
      </c>
      <c r="O1488" s="2" t="str">
        <f aca="false">IF(OR(F1488="",G1488=""),"",IF(G1488&lt;='RETRATO 2027'!$K$5,"CONCLUÍDA",IF(F1488&lt;='RETRATO 2027'!$K$5,"EM ANDAMENTO","A INICIAR")))</f>
        <v>A INICIAR</v>
      </c>
    </row>
    <row r="1489" customFormat="false" ht="15" hidden="false" customHeight="false" outlineLevel="0" collapsed="false">
      <c r="B1489" s="4" t="n">
        <v>29980845</v>
      </c>
      <c r="C1489" s="4" t="s">
        <v>2480</v>
      </c>
      <c r="D1489" s="4" t="s">
        <v>463</v>
      </c>
      <c r="E1489" s="4" t="s">
        <v>2834</v>
      </c>
      <c r="F1489" s="127" t="n">
        <v>46868</v>
      </c>
      <c r="G1489" s="127" t="n">
        <v>46881</v>
      </c>
      <c r="H1489" s="127" t="n">
        <v>46289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30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26</v>
      </c>
      <c r="O1489" s="2" t="str">
        <f aca="false">IF(OR(F1489="",G1489=""),"",IF(G1489&lt;='RETRATO 2027'!$K$5,"CONCLUÍDA",IF(F1489&lt;='RETRATO 2027'!$K$5,"EM ANDAMENTO","A INICIAR")))</f>
        <v>A INICIAR</v>
      </c>
    </row>
    <row r="1490" customFormat="false" ht="15" hidden="false" customHeight="false" outlineLevel="0" collapsed="false">
      <c r="B1490" s="4" t="n">
        <v>29980806</v>
      </c>
      <c r="C1490" s="4" t="s">
        <v>171</v>
      </c>
      <c r="D1490" s="4" t="s">
        <v>463</v>
      </c>
      <c r="E1490" s="4" t="s">
        <v>2838</v>
      </c>
      <c r="F1490" s="127" t="n">
        <v>46868</v>
      </c>
      <c r="G1490" s="127" t="n">
        <v>46881</v>
      </c>
      <c r="H1490" s="127" t="n">
        <v>46289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19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27</v>
      </c>
      <c r="O1490" s="2" t="str">
        <f aca="false">IF(OR(F1490="",G1490=""),"",IF(G1490&lt;='RETRATO 2027'!$K$5,"CONCLUÍDA",IF(F1490&lt;='RETRATO 2027'!$K$5,"EM ANDAMENTO","A INICIAR")))</f>
        <v>A INICIAR</v>
      </c>
    </row>
    <row r="1491" customFormat="false" ht="15" hidden="false" customHeight="false" outlineLevel="0" collapsed="false">
      <c r="B1491" s="4" t="n">
        <v>32750454</v>
      </c>
      <c r="C1491" s="4" t="s">
        <v>2470</v>
      </c>
      <c r="D1491" s="4" t="s">
        <v>463</v>
      </c>
      <c r="E1491" s="4" t="s">
        <v>2840</v>
      </c>
      <c r="F1491" s="127" t="n">
        <v>46868</v>
      </c>
      <c r="G1491" s="127" t="n">
        <v>46881</v>
      </c>
      <c r="H1491" s="127" t="n">
        <v>46289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18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28</v>
      </c>
      <c r="O1491" s="2" t="str">
        <f aca="false">IF(OR(F1491="",G1491=""),"",IF(G1491&lt;='RETRATO 2027'!$K$5,"CONCLUÍDA",IF(F1491&lt;='RETRATO 2027'!$K$5,"EM ANDAMENTO","A INICIAR")))</f>
        <v>A INICIAR</v>
      </c>
    </row>
    <row r="1492" customFormat="false" ht="15" hidden="false" customHeight="false" outlineLevel="0" collapsed="false">
      <c r="B1492" s="4" t="n">
        <v>32750377</v>
      </c>
      <c r="C1492" s="4" t="s">
        <v>2458</v>
      </c>
      <c r="D1492" s="4" t="s">
        <v>463</v>
      </c>
      <c r="E1492" s="4" t="s">
        <v>2841</v>
      </c>
      <c r="F1492" s="127" t="n">
        <v>46868</v>
      </c>
      <c r="G1492" s="127" t="n">
        <v>46881</v>
      </c>
      <c r="H1492" s="127" t="n">
        <v>46289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21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29</v>
      </c>
      <c r="O1492" s="2" t="str">
        <f aca="false">IF(OR(F1492="",G1492=""),"",IF(G1492&lt;='RETRATO 2027'!$K$5,"CONCLUÍDA",IF(F1492&lt;='RETRATO 2027'!$K$5,"EM ANDAMENTO","A INICIAR")))</f>
        <v>A INICIAR</v>
      </c>
    </row>
    <row r="1493" customFormat="false" ht="15" hidden="false" customHeight="false" outlineLevel="0" collapsed="false">
      <c r="B1493" s="4" t="n">
        <v>32750403</v>
      </c>
      <c r="C1493" s="4" t="s">
        <v>2461</v>
      </c>
      <c r="D1493" s="4" t="s">
        <v>463</v>
      </c>
      <c r="E1493" s="4" t="s">
        <v>2841</v>
      </c>
      <c r="F1493" s="127" t="n">
        <v>46868</v>
      </c>
      <c r="G1493" s="127" t="n">
        <v>46881</v>
      </c>
      <c r="H1493" s="127" t="n">
        <v>46289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20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29</v>
      </c>
      <c r="O1493" s="2" t="str">
        <f aca="false">IF(OR(F1493="",G1493=""),"",IF(G1493&lt;='RETRATO 2027'!$K$5,"CONCLUÍDA",IF(F1493&lt;='RETRATO 2027'!$K$5,"EM ANDAMENTO","A INICIAR")))</f>
        <v>A INICIAR</v>
      </c>
    </row>
    <row r="1494" customFormat="false" ht="15" hidden="false" customHeight="false" outlineLevel="0" collapsed="false">
      <c r="B1494" s="4" t="n">
        <v>32750429</v>
      </c>
      <c r="C1494" s="4" t="s">
        <v>2464</v>
      </c>
      <c r="D1494" s="4" t="s">
        <v>463</v>
      </c>
      <c r="E1494" s="4" t="s">
        <v>2841</v>
      </c>
      <c r="F1494" s="127" t="n">
        <v>46868</v>
      </c>
      <c r="G1494" s="127" t="n">
        <v>46881</v>
      </c>
      <c r="H1494" s="127" t="n">
        <v>46289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21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29</v>
      </c>
      <c r="O1494" s="2" t="str">
        <f aca="false">IF(OR(F1494="",G1494=""),"",IF(G1494&lt;='RETRATO 2027'!$K$5,"CONCLUÍDA",IF(F1494&lt;='RETRATO 2027'!$K$5,"EM ANDAMENTO","A INICIAR")))</f>
        <v>A INICIAR</v>
      </c>
    </row>
    <row r="1495" customFormat="false" ht="15" hidden="false" customHeight="false" outlineLevel="0" collapsed="false">
      <c r="B1495" s="4" t="n">
        <v>33896847</v>
      </c>
      <c r="C1495" s="4" t="s">
        <v>2467</v>
      </c>
      <c r="D1495" s="4" t="s">
        <v>463</v>
      </c>
      <c r="E1495" s="4" t="s">
        <v>2841</v>
      </c>
      <c r="F1495" s="127" t="n">
        <v>46868</v>
      </c>
      <c r="G1495" s="127" t="n">
        <v>46881</v>
      </c>
      <c r="H1495" s="127" t="n">
        <v>46289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23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29</v>
      </c>
      <c r="O1495" s="2" t="str">
        <f aca="false">IF(OR(F1495="",G1495=""),"",IF(G1495&lt;='RETRATO 2027'!$K$5,"CONCLUÍDA",IF(F1495&lt;='RETRATO 2027'!$K$5,"EM ANDAMENTO","A INICIAR")))</f>
        <v>A INICIAR</v>
      </c>
    </row>
    <row r="1496" customFormat="false" ht="15" hidden="false" customHeight="false" outlineLevel="0" collapsed="false">
      <c r="B1496" s="4" t="n">
        <v>32749873</v>
      </c>
      <c r="C1496" s="4" t="s">
        <v>2455</v>
      </c>
      <c r="D1496" s="4" t="s">
        <v>463</v>
      </c>
      <c r="E1496" s="4" t="s">
        <v>2842</v>
      </c>
      <c r="F1496" s="127" t="n">
        <v>46868</v>
      </c>
      <c r="G1496" s="127" t="n">
        <v>46881</v>
      </c>
      <c r="H1496" s="127" t="n">
        <v>46289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18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30</v>
      </c>
      <c r="O1496" s="2" t="str">
        <f aca="false">IF(OR(F1496="",G1496=""),"",IF(G1496&lt;='RETRATO 2027'!$K$5,"CONCLUÍDA",IF(F1496&lt;='RETRATO 2027'!$K$5,"EM ANDAMENTO","A INICIAR")))</f>
        <v>A INICIAR</v>
      </c>
    </row>
    <row r="1497" customFormat="false" ht="15" hidden="false" customHeight="false" outlineLevel="0" collapsed="false">
      <c r="B1497" s="4" t="n">
        <v>29980659</v>
      </c>
      <c r="C1497" s="4" t="s">
        <v>2449</v>
      </c>
      <c r="D1497" s="4" t="s">
        <v>463</v>
      </c>
      <c r="E1497" s="4" t="s">
        <v>2843</v>
      </c>
      <c r="F1497" s="127" t="n">
        <v>46868</v>
      </c>
      <c r="G1497" s="127" t="n">
        <v>46881</v>
      </c>
      <c r="H1497" s="127" t="n">
        <v>46289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28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31</v>
      </c>
      <c r="O1497" s="2" t="str">
        <f aca="false">IF(OR(F1497="",G1497=""),"",IF(G1497&lt;='RETRATO 2027'!$K$5,"CONCLUÍDA",IF(F1497&lt;='RETRATO 2027'!$K$5,"EM ANDAMENTO","A INICIAR")))</f>
        <v>A INICIAR</v>
      </c>
    </row>
    <row r="1498" customFormat="false" ht="15" hidden="false" customHeight="false" outlineLevel="0" collapsed="false">
      <c r="B1498" s="4" t="n">
        <v>29980599</v>
      </c>
      <c r="C1498" s="4" t="s">
        <v>2440</v>
      </c>
      <c r="D1498" s="4" t="s">
        <v>463</v>
      </c>
      <c r="E1498" s="4" t="s">
        <v>2844</v>
      </c>
      <c r="F1498" s="127" t="n">
        <v>46868</v>
      </c>
      <c r="G1498" s="127" t="n">
        <v>46881</v>
      </c>
      <c r="H1498" s="127" t="n">
        <v>46289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32</v>
      </c>
      <c r="O1498" s="2" t="str">
        <f aca="false">IF(OR(F1498="",G1498=""),"",IF(G1498&lt;='RETRATO 2027'!$K$5,"CONCLUÍDA",IF(F1498&lt;='RETRATO 2027'!$K$5,"EM ANDAMENTO","A INICIAR")))</f>
        <v>A INICIAR</v>
      </c>
    </row>
    <row r="1499" customFormat="false" ht="15" hidden="false" customHeight="false" outlineLevel="0" collapsed="false">
      <c r="B1499" s="4" t="n">
        <v>29980632</v>
      </c>
      <c r="C1499" s="4" t="s">
        <v>2443</v>
      </c>
      <c r="D1499" s="4" t="s">
        <v>463</v>
      </c>
      <c r="E1499" s="4" t="s">
        <v>2844</v>
      </c>
      <c r="F1499" s="127" t="n">
        <v>46868</v>
      </c>
      <c r="G1499" s="127" t="n">
        <v>46881</v>
      </c>
      <c r="H1499" s="127" t="n">
        <v>46289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20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32</v>
      </c>
      <c r="O1499" s="2" t="str">
        <f aca="false">IF(OR(F1499="",G1499=""),"",IF(G1499&lt;='RETRATO 2027'!$K$5,"CONCLUÍDA",IF(F1499&lt;='RETRATO 2027'!$K$5,"EM ANDAMENTO","A INICIAR")))</f>
        <v>A INICIAR</v>
      </c>
    </row>
    <row r="1500" customFormat="false" ht="15" hidden="false" customHeight="false" outlineLevel="0" collapsed="false">
      <c r="B1500" s="4" t="n">
        <v>30205991</v>
      </c>
      <c r="C1500" s="4" t="s">
        <v>2434</v>
      </c>
      <c r="D1500" s="4" t="s">
        <v>463</v>
      </c>
      <c r="E1500" s="4" t="s">
        <v>2849</v>
      </c>
      <c r="F1500" s="127" t="n">
        <v>46869</v>
      </c>
      <c r="G1500" s="127" t="n">
        <v>46876</v>
      </c>
      <c r="H1500" s="127" t="n">
        <v>46289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25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6</v>
      </c>
      <c r="O1500" s="2" t="str">
        <f aca="false">IF(OR(F1500="",G1500=""),"",IF(G1500&lt;='RETRATO 2027'!$K$5,"CONCLUÍDA",IF(F1500&lt;='RETRATO 2027'!$K$5,"EM ANDAMENTO","A INICIAR")))</f>
        <v>A INICIAR</v>
      </c>
    </row>
    <row r="1501" customFormat="false" ht="15" hidden="false" customHeight="false" outlineLevel="0" collapsed="false">
      <c r="B1501" s="4" t="n">
        <v>30205982</v>
      </c>
      <c r="C1501" s="4" t="s">
        <v>2425</v>
      </c>
      <c r="D1501" s="4" t="s">
        <v>463</v>
      </c>
      <c r="E1501" s="4" t="s">
        <v>2850</v>
      </c>
      <c r="F1501" s="127" t="n">
        <v>46869</v>
      </c>
      <c r="G1501" s="127" t="n">
        <v>46883</v>
      </c>
      <c r="H1501" s="127" t="n">
        <v>46289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21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6</v>
      </c>
      <c r="O1501" s="2" t="str">
        <f aca="false">IF(OR(F1501="",G1501=""),"",IF(G1501&lt;='RETRATO 2027'!$K$5,"CONCLUÍDA",IF(F1501&lt;='RETRATO 2027'!$K$5,"EM ANDAMENTO","A INICIAR")))</f>
        <v>A INICIAR</v>
      </c>
    </row>
    <row r="1502" customFormat="false" ht="15" hidden="false" customHeight="false" outlineLevel="0" collapsed="false">
      <c r="B1502" s="4" t="n">
        <v>30205953</v>
      </c>
      <c r="C1502" s="4" t="s">
        <v>2428</v>
      </c>
      <c r="D1502" s="4" t="s">
        <v>463</v>
      </c>
      <c r="E1502" s="4" t="s">
        <v>2850</v>
      </c>
      <c r="F1502" s="127" t="n">
        <v>46869</v>
      </c>
      <c r="G1502" s="127" t="n">
        <v>46883</v>
      </c>
      <c r="H1502" s="127" t="n">
        <v>46289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20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6</v>
      </c>
      <c r="O1502" s="2" t="str">
        <f aca="false">IF(OR(F1502="",G1502=""),"",IF(G1502&lt;='RETRATO 2027'!$K$5,"CONCLUÍDA",IF(F1502&lt;='RETRATO 2027'!$K$5,"EM ANDAMENTO","A INICIAR")))</f>
        <v>A INICIAR</v>
      </c>
    </row>
    <row r="1503" customFormat="false" ht="15" hidden="false" customHeight="false" outlineLevel="0" collapsed="false">
      <c r="B1503" s="4" t="n">
        <v>30205983</v>
      </c>
      <c r="C1503" s="4" t="s">
        <v>2431</v>
      </c>
      <c r="D1503" s="4" t="s">
        <v>463</v>
      </c>
      <c r="E1503" s="4" t="s">
        <v>2850</v>
      </c>
      <c r="F1503" s="127" t="n">
        <v>46869</v>
      </c>
      <c r="G1503" s="127" t="n">
        <v>46883</v>
      </c>
      <c r="H1503" s="127" t="n">
        <v>46289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21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6</v>
      </c>
      <c r="O1503" s="2" t="str">
        <f aca="false">IF(OR(F1503="",G1503=""),"",IF(G1503&lt;='RETRATO 2027'!$K$5,"CONCLUÍDA",IF(F1503&lt;='RETRATO 2027'!$K$5,"EM ANDAMENTO","A INICIAR")))</f>
        <v>A INICIAR</v>
      </c>
    </row>
    <row r="1504" customFormat="false" ht="15" hidden="false" customHeight="false" outlineLevel="0" collapsed="false">
      <c r="B1504" s="4" t="n">
        <v>29981098</v>
      </c>
      <c r="C1504" s="4" t="s">
        <v>2422</v>
      </c>
      <c r="D1504" s="4" t="s">
        <v>463</v>
      </c>
      <c r="E1504" s="4" t="s">
        <v>2822</v>
      </c>
      <c r="F1504" s="127" t="n">
        <v>46869</v>
      </c>
      <c r="G1504" s="127" t="n">
        <v>46882</v>
      </c>
      <c r="H1504" s="127" t="n">
        <v>46289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29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19</v>
      </c>
      <c r="O1504" s="2" t="str">
        <f aca="false">IF(OR(F1504="",G1504=""),"",IF(G1504&lt;='RETRATO 2027'!$K$5,"CONCLUÍDA",IF(F1504&lt;='RETRATO 2027'!$K$5,"EM ANDAMENTO","A INICIAR")))</f>
        <v>A INICIAR</v>
      </c>
    </row>
    <row r="1505" customFormat="false" ht="15" hidden="false" customHeight="false" outlineLevel="0" collapsed="false">
      <c r="B1505" s="4" t="n">
        <v>31790597</v>
      </c>
      <c r="C1505" s="4" t="s">
        <v>2639</v>
      </c>
      <c r="D1505" s="4" t="s">
        <v>463</v>
      </c>
      <c r="E1505" s="4" t="s">
        <v>2678</v>
      </c>
      <c r="F1505" s="127" t="n">
        <v>46869</v>
      </c>
      <c r="G1505" s="127" t="n">
        <v>46911</v>
      </c>
      <c r="H1505" s="127" t="n">
        <v>46289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32</v>
      </c>
      <c r="N1505" s="2" t="str">
        <f aca="false"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 t="str">
        <f aca="false">IF(OR(F1505="",G1505=""),"",IF(G1505&lt;='RETRATO 2027'!$K$5,"CONCLUÍDA",IF(F1505&lt;='RETRATO 2027'!$K$5,"EM ANDAMENTO","A INICIAR")))</f>
        <v>A INICIAR</v>
      </c>
    </row>
    <row r="1506" customFormat="false" ht="15" hidden="false" customHeight="false" outlineLevel="0" collapsed="false">
      <c r="B1506" s="4" t="n">
        <v>30205661</v>
      </c>
      <c r="C1506" s="4" t="s">
        <v>2563</v>
      </c>
      <c r="D1506" s="4" t="s">
        <v>463</v>
      </c>
      <c r="E1506" s="4" t="s">
        <v>2821</v>
      </c>
      <c r="F1506" s="127" t="n">
        <v>46871</v>
      </c>
      <c r="G1506" s="127" t="n">
        <v>46878</v>
      </c>
      <c r="H1506" s="127" t="n">
        <v>46289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0</v>
      </c>
      <c r="O1506" s="2" t="str">
        <f aca="false">IF(OR(F1506="",G1506=""),"",IF(G1506&lt;='RETRATO 2027'!$K$5,"CONCLUÍDA",IF(F1506&lt;='RETRATO 2027'!$K$5,"EM ANDAMENTO","A INICIAR")))</f>
        <v>A INICIAR</v>
      </c>
    </row>
    <row r="1507" customFormat="false" ht="15" hidden="false" customHeight="false" outlineLevel="0" collapsed="false">
      <c r="B1507" s="4" t="n">
        <v>30205636</v>
      </c>
      <c r="C1507" s="4" t="s">
        <v>2578</v>
      </c>
      <c r="D1507" s="4" t="s">
        <v>463</v>
      </c>
      <c r="E1507" s="4" t="s">
        <v>2824</v>
      </c>
      <c r="F1507" s="127" t="n">
        <v>46871</v>
      </c>
      <c r="G1507" s="127" t="n">
        <v>46885</v>
      </c>
      <c r="H1507" s="127" t="n">
        <v>46289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25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0</v>
      </c>
      <c r="O1507" s="2" t="str">
        <f aca="false">IF(OR(F1507="",G1507=""),"",IF(G1507&lt;='RETRATO 2027'!$K$5,"CONCLUÍDA",IF(F1507&lt;='RETRATO 2027'!$K$5,"EM ANDAMENTO","A INICIAR")))</f>
        <v>A INICIAR</v>
      </c>
    </row>
    <row r="1508" customFormat="false" ht="15" hidden="false" customHeight="false" outlineLevel="0" collapsed="false">
      <c r="B1508" s="4" t="n">
        <v>30205635</v>
      </c>
      <c r="C1508" s="4" t="s">
        <v>2605</v>
      </c>
      <c r="D1508" s="4" t="s">
        <v>463</v>
      </c>
      <c r="E1508" s="4" t="s">
        <v>2824</v>
      </c>
      <c r="F1508" s="127" t="n">
        <v>46871</v>
      </c>
      <c r="G1508" s="127" t="n">
        <v>46885</v>
      </c>
      <c r="H1508" s="127" t="n">
        <v>46289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34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0</v>
      </c>
      <c r="O1508" s="2" t="str">
        <f aca="false">IF(OR(F1508="",G1508=""),"",IF(G1508&lt;='RETRATO 2027'!$K$5,"CONCLUÍDA",IF(F1508&lt;='RETRATO 2027'!$K$5,"EM ANDAMENTO","A INICIAR")))</f>
        <v>A INICIAR</v>
      </c>
    </row>
    <row r="1509" customFormat="false" ht="15" hidden="false" customHeight="false" outlineLevel="0" collapsed="false">
      <c r="B1509" s="4" t="n">
        <v>30205633</v>
      </c>
      <c r="C1509" s="4" t="s">
        <v>2607</v>
      </c>
      <c r="D1509" s="4" t="s">
        <v>463</v>
      </c>
      <c r="E1509" s="4" t="s">
        <v>2824</v>
      </c>
      <c r="F1509" s="127" t="n">
        <v>46871</v>
      </c>
      <c r="G1509" s="127" t="n">
        <v>46885</v>
      </c>
      <c r="H1509" s="127" t="n">
        <v>46289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34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0</v>
      </c>
      <c r="O1509" s="2" t="str">
        <f aca="false">IF(OR(F1509="",G1509=""),"",IF(G1509&lt;='RETRATO 2027'!$K$5,"CONCLUÍDA",IF(F1509&lt;='RETRATO 2027'!$K$5,"EM ANDAMENTO","A INICIAR")))</f>
        <v>A INICIAR</v>
      </c>
    </row>
    <row r="1510" customFormat="false" ht="15" hidden="false" customHeight="false" outlineLevel="0" collapsed="false">
      <c r="B1510" s="4" t="n">
        <v>30205618</v>
      </c>
      <c r="C1510" s="4" t="s">
        <v>2554</v>
      </c>
      <c r="D1510" s="4" t="s">
        <v>463</v>
      </c>
      <c r="E1510" s="4" t="s">
        <v>2826</v>
      </c>
      <c r="F1510" s="127" t="n">
        <v>46871</v>
      </c>
      <c r="G1510" s="127" t="n">
        <v>46885</v>
      </c>
      <c r="H1510" s="127" t="n">
        <v>46289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35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0</v>
      </c>
      <c r="O1510" s="2" t="str">
        <f aca="false">IF(OR(F1510="",G1510=""),"",IF(G1510&lt;='RETRATO 2027'!$K$5,"CONCLUÍDA",IF(F1510&lt;='RETRATO 2027'!$K$5,"EM ANDAMENTO","A INICIAR")))</f>
        <v>A INICIAR</v>
      </c>
    </row>
    <row r="1511" customFormat="false" ht="15" hidden="false" customHeight="false" outlineLevel="0" collapsed="false">
      <c r="B1511" s="4" t="n">
        <v>30205933</v>
      </c>
      <c r="C1511" s="4" t="s">
        <v>171</v>
      </c>
      <c r="D1511" s="4" t="s">
        <v>463</v>
      </c>
      <c r="E1511" s="4" t="s">
        <v>2801</v>
      </c>
      <c r="F1511" s="127" t="n">
        <v>46871</v>
      </c>
      <c r="G1511" s="127" t="n">
        <v>46885</v>
      </c>
      <c r="H1511" s="127" t="n">
        <v>46289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19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5</v>
      </c>
      <c r="O1511" s="2" t="str">
        <f aca="false">IF(OR(F1511="",G1511=""),"",IF(G1511&lt;='RETRATO 2027'!$K$5,"CONCLUÍDA",IF(F1511&lt;='RETRATO 2027'!$K$5,"EM ANDAMENTO","A INICIAR")))</f>
        <v>A INICIAR</v>
      </c>
    </row>
    <row r="1512" customFormat="false" ht="15" hidden="false" customHeight="false" outlineLevel="0" collapsed="false">
      <c r="B1512" s="4" t="n">
        <v>30171387</v>
      </c>
      <c r="C1512" s="4" t="s">
        <v>2413</v>
      </c>
      <c r="D1512" s="4" t="s">
        <v>463</v>
      </c>
      <c r="E1512" s="4" t="s">
        <v>2801</v>
      </c>
      <c r="F1512" s="127" t="n">
        <v>46871</v>
      </c>
      <c r="G1512" s="127" t="n">
        <v>46899</v>
      </c>
      <c r="H1512" s="127" t="n">
        <v>46289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21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5</v>
      </c>
      <c r="O1512" s="2" t="str">
        <f aca="false">IF(OR(F1512="",G1512=""),"",IF(G1512&lt;='RETRATO 2027'!$K$5,"CONCLUÍDA",IF(F1512&lt;='RETRATO 2027'!$K$5,"EM ANDAMENTO","A INICIAR")))</f>
        <v>A INICIAR</v>
      </c>
    </row>
    <row r="1513" customFormat="false" ht="15" hidden="false" customHeight="false" outlineLevel="0" collapsed="false">
      <c r="B1513" s="4" t="n">
        <v>30171388</v>
      </c>
      <c r="C1513" s="4" t="s">
        <v>2443</v>
      </c>
      <c r="D1513" s="4" t="s">
        <v>463</v>
      </c>
      <c r="E1513" s="4" t="s">
        <v>2801</v>
      </c>
      <c r="F1513" s="127" t="n">
        <v>46871</v>
      </c>
      <c r="G1513" s="127" t="n">
        <v>46899</v>
      </c>
      <c r="H1513" s="127" t="n">
        <v>46289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5</v>
      </c>
      <c r="O1513" s="2" t="str">
        <f aca="false">IF(OR(F1513="",G1513=""),"",IF(G1513&lt;='RETRATO 2027'!$K$5,"CONCLUÍDA",IF(F1513&lt;='RETRATO 2027'!$K$5,"EM ANDAMENTO","A INICIAR")))</f>
        <v>A INICIAR</v>
      </c>
    </row>
    <row r="1514" customFormat="false" ht="15" hidden="false" customHeight="false" outlineLevel="0" collapsed="false">
      <c r="B1514" s="4" t="n">
        <v>30171400</v>
      </c>
      <c r="C1514" s="4" t="s">
        <v>2517</v>
      </c>
      <c r="D1514" s="4" t="s">
        <v>463</v>
      </c>
      <c r="E1514" s="4" t="s">
        <v>2801</v>
      </c>
      <c r="F1514" s="127" t="n">
        <v>46871</v>
      </c>
      <c r="G1514" s="127" t="n">
        <v>46899</v>
      </c>
      <c r="H1514" s="127" t="n">
        <v>46289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22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5</v>
      </c>
      <c r="O1514" s="2" t="str">
        <f aca="false">IF(OR(F1514="",G1514=""),"",IF(G1514&lt;='RETRATO 2027'!$K$5,"CONCLUÍDA",IF(F1514&lt;='RETRATO 2027'!$K$5,"EM ANDAMENTO","A INICIAR")))</f>
        <v>A INICIAR</v>
      </c>
    </row>
    <row r="1515" customFormat="false" ht="15" hidden="false" customHeight="false" outlineLevel="0" collapsed="false">
      <c r="B1515" s="4" t="n">
        <v>30171519</v>
      </c>
      <c r="C1515" s="4" t="s">
        <v>2437</v>
      </c>
      <c r="D1515" s="4" t="s">
        <v>463</v>
      </c>
      <c r="E1515" s="4" t="s">
        <v>2857</v>
      </c>
      <c r="F1515" s="127" t="n">
        <v>46871</v>
      </c>
      <c r="G1515" s="127" t="n">
        <v>46903</v>
      </c>
      <c r="H1515" s="127" t="n">
        <v>46289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29</v>
      </c>
      <c r="N1515" s="2" t="str">
        <f aca="false"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 t="str">
        <f aca="false">IF(OR(F1515="",G1515=""),"",IF(G1515&lt;='RETRATO 2027'!$K$5,"CONCLUÍDA",IF(F1515&lt;='RETRATO 2027'!$K$5,"EM ANDAMENTO","A INICIAR")))</f>
        <v>A INICIAR</v>
      </c>
    </row>
    <row r="1516" customFormat="false" ht="15" hidden="false" customHeight="false" outlineLevel="0" collapsed="false">
      <c r="B1516" s="4" t="n">
        <v>29981540</v>
      </c>
      <c r="C1516" s="4" t="s">
        <v>2641</v>
      </c>
      <c r="D1516" s="4" t="s">
        <v>463</v>
      </c>
      <c r="E1516" s="4" t="s">
        <v>2803</v>
      </c>
      <c r="F1516" s="127" t="n">
        <v>46875</v>
      </c>
      <c r="G1516" s="127" t="n">
        <v>46885</v>
      </c>
      <c r="H1516" s="127" t="n">
        <v>46289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7</v>
      </c>
      <c r="O1516" s="2" t="str">
        <f aca="false">IF(OR(F1516="",G1516=""),"",IF(G1516&lt;='RETRATO 2027'!$K$5,"CONCLUÍDA",IF(F1516&lt;='RETRATO 2027'!$K$5,"EM ANDAMENTO","A INICIAR")))</f>
        <v>A INICIAR</v>
      </c>
    </row>
    <row r="1517" customFormat="false" ht="15" hidden="false" customHeight="false" outlineLevel="0" collapsed="false">
      <c r="B1517" s="4" t="n">
        <v>30205861</v>
      </c>
      <c r="C1517" s="4" t="s">
        <v>2508</v>
      </c>
      <c r="D1517" s="4" t="s">
        <v>463</v>
      </c>
      <c r="E1517" s="4" t="s">
        <v>2782</v>
      </c>
      <c r="F1517" s="127" t="n">
        <v>46876</v>
      </c>
      <c r="G1517" s="127" t="n">
        <v>46889</v>
      </c>
      <c r="H1517" s="127" t="n">
        <v>46289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1</v>
      </c>
      <c r="O1517" s="2" t="str">
        <f aca="false">IF(OR(F1517="",G1517=""),"",IF(G1517&lt;='RETRATO 2027'!$K$5,"CONCLUÍDA",IF(F1517&lt;='RETRATO 2027'!$K$5,"EM ANDAMENTO","A INICIAR")))</f>
        <v>A INICIAR</v>
      </c>
    </row>
    <row r="1518" customFormat="false" ht="15" hidden="false" customHeight="false" outlineLevel="0" collapsed="false">
      <c r="B1518" s="4" t="n">
        <v>30208602</v>
      </c>
      <c r="C1518" s="4" t="s">
        <v>2511</v>
      </c>
      <c r="D1518" s="4" t="s">
        <v>463</v>
      </c>
      <c r="E1518" s="4" t="s">
        <v>2782</v>
      </c>
      <c r="F1518" s="127" t="n">
        <v>46876</v>
      </c>
      <c r="G1518" s="127" t="n">
        <v>46889</v>
      </c>
      <c r="H1518" s="127" t="n">
        <v>46289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20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1</v>
      </c>
      <c r="O1518" s="2" t="str">
        <f aca="false">IF(OR(F1518="",G1518=""),"",IF(G1518&lt;='RETRATO 2027'!$K$5,"CONCLUÍDA",IF(F1518&lt;='RETRATO 2027'!$K$5,"EM ANDAMENTO","A INICIAR")))</f>
        <v>A INICIAR</v>
      </c>
    </row>
    <row r="1519" customFormat="false" ht="15" hidden="false" customHeight="false" outlineLevel="0" collapsed="false">
      <c r="B1519" s="4" t="n">
        <v>30214058</v>
      </c>
      <c r="C1519" s="4" t="s">
        <v>2514</v>
      </c>
      <c r="D1519" s="4" t="s">
        <v>463</v>
      </c>
      <c r="E1519" s="4" t="s">
        <v>2782</v>
      </c>
      <c r="F1519" s="127" t="n">
        <v>46876</v>
      </c>
      <c r="G1519" s="127" t="n">
        <v>46889</v>
      </c>
      <c r="H1519" s="127" t="n">
        <v>46289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20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1</v>
      </c>
      <c r="O1519" s="2" t="str">
        <f aca="false">IF(OR(F1519="",G1519=""),"",IF(G1519&lt;='RETRATO 2027'!$K$5,"CONCLUÍDA",IF(F1519&lt;='RETRATO 2027'!$K$5,"EM ANDAMENTO","A INICIAR")))</f>
        <v>A INICIAR</v>
      </c>
    </row>
    <row r="1520" customFormat="false" ht="15" hidden="false" customHeight="false" outlineLevel="0" collapsed="false">
      <c r="B1520" s="4" t="n">
        <v>30208599</v>
      </c>
      <c r="C1520" s="4" t="s">
        <v>2443</v>
      </c>
      <c r="D1520" s="4" t="s">
        <v>463</v>
      </c>
      <c r="E1520" s="4" t="s">
        <v>2802</v>
      </c>
      <c r="F1520" s="127" t="n">
        <v>46877</v>
      </c>
      <c r="G1520" s="127" t="n">
        <v>46890</v>
      </c>
      <c r="H1520" s="127" t="n">
        <v>46289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6</v>
      </c>
      <c r="O1520" s="2" t="str">
        <f aca="false">IF(OR(F1520="",G1520=""),"",IF(G1520&lt;='RETRATO 2027'!$K$5,"CONCLUÍDA",IF(F1520&lt;='RETRATO 2027'!$K$5,"EM ANDAMENTO","A INICIAR")))</f>
        <v>A INICIAR</v>
      </c>
    </row>
    <row r="1521" customFormat="false" ht="15" hidden="false" customHeight="false" outlineLevel="0" collapsed="false">
      <c r="B1521" s="4" t="n">
        <v>33897806</v>
      </c>
      <c r="C1521" s="4" t="s">
        <v>2467</v>
      </c>
      <c r="D1521" s="4" t="s">
        <v>463</v>
      </c>
      <c r="E1521" s="4" t="s">
        <v>2846</v>
      </c>
      <c r="F1521" s="127" t="n">
        <v>46877</v>
      </c>
      <c r="G1521" s="127" t="n">
        <v>46890</v>
      </c>
      <c r="H1521" s="127" t="n">
        <v>46289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23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6</v>
      </c>
      <c r="O1521" s="2" t="str">
        <f aca="false">IF(OR(F1521="",G1521=""),"",IF(G1521&lt;='RETRATO 2027'!$K$5,"CONCLUÍDA",IF(F1521&lt;='RETRATO 2027'!$K$5,"EM ANDAMENTO","A INICIAR")))</f>
        <v>A INICIAR</v>
      </c>
    </row>
    <row r="1522" customFormat="false" ht="15" hidden="false" customHeight="false" outlineLevel="0" collapsed="false">
      <c r="B1522" s="4" t="n">
        <v>30206085</v>
      </c>
      <c r="C1522" s="4" t="s">
        <v>171</v>
      </c>
      <c r="D1522" s="4" t="s">
        <v>463</v>
      </c>
      <c r="E1522" s="4" t="s">
        <v>2847</v>
      </c>
      <c r="F1522" s="127" t="n">
        <v>46877</v>
      </c>
      <c r="G1522" s="127" t="n">
        <v>46890</v>
      </c>
      <c r="H1522" s="127" t="n">
        <v>46289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19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6</v>
      </c>
      <c r="O1522" s="2" t="str">
        <f aca="false">IF(OR(F1522="",G1522=""),"",IF(G1522&lt;='RETRATO 2027'!$K$5,"CONCLUÍDA",IF(F1522&lt;='RETRATO 2027'!$K$5,"EM ANDAMENTO","A INICIAR")))</f>
        <v>A INICIAR</v>
      </c>
    </row>
    <row r="1523" customFormat="false" ht="15" hidden="false" customHeight="false" outlineLevel="0" collapsed="false">
      <c r="B1523" s="4" t="n">
        <v>30206026</v>
      </c>
      <c r="C1523" s="4" t="s">
        <v>2440</v>
      </c>
      <c r="D1523" s="4" t="s">
        <v>463</v>
      </c>
      <c r="E1523" s="4" t="s">
        <v>2848</v>
      </c>
      <c r="F1523" s="127" t="n">
        <v>46877</v>
      </c>
      <c r="G1523" s="127" t="n">
        <v>46890</v>
      </c>
      <c r="H1523" s="127" t="n">
        <v>46289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21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6</v>
      </c>
      <c r="O1523" s="2" t="str">
        <f aca="false">IF(OR(F1523="",G1523=""),"",IF(G1523&lt;='RETRATO 2027'!$K$5,"CONCLUÍDA",IF(F1523&lt;='RETRATO 2027'!$K$5,"EM ANDAMENTO","A INICIAR")))</f>
        <v>A INICIAR</v>
      </c>
    </row>
    <row r="1524" customFormat="false" ht="15" hidden="false" customHeight="false" outlineLevel="0" collapsed="false">
      <c r="B1524" s="4" t="n">
        <v>30205988</v>
      </c>
      <c r="C1524" s="4" t="s">
        <v>2437</v>
      </c>
      <c r="D1524" s="4" t="s">
        <v>463</v>
      </c>
      <c r="E1524" s="4" t="s">
        <v>2849</v>
      </c>
      <c r="F1524" s="127" t="n">
        <v>46877</v>
      </c>
      <c r="G1524" s="127" t="n">
        <v>46890</v>
      </c>
      <c r="H1524" s="127" t="n">
        <v>46289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29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6</v>
      </c>
      <c r="O1524" s="2" t="str">
        <f aca="false">IF(OR(F1524="",G1524=""),"",IF(G1524&lt;='RETRATO 2027'!$K$5,"CONCLUÍDA",IF(F1524&lt;='RETRATO 2027'!$K$5,"EM ANDAMENTO","A INICIAR")))</f>
        <v>A INICIAR</v>
      </c>
    </row>
    <row r="1525" customFormat="false" ht="15" hidden="false" customHeight="false" outlineLevel="0" collapsed="false">
      <c r="B1525" s="4" t="n">
        <v>30205880</v>
      </c>
      <c r="C1525" s="4" t="s">
        <v>171</v>
      </c>
      <c r="D1525" s="4" t="s">
        <v>463</v>
      </c>
      <c r="E1525" s="4" t="s">
        <v>2845</v>
      </c>
      <c r="F1525" s="127" t="n">
        <v>46878</v>
      </c>
      <c r="G1525" s="127" t="n">
        <v>46940</v>
      </c>
      <c r="H1525" s="127" t="n">
        <v>46289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19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6</v>
      </c>
      <c r="O1525" s="2" t="str">
        <f aca="false">IF(OR(F1525="",G1525=""),"",IF(G1525&lt;='RETRATO 2027'!$K$5,"CONCLUÍDA",IF(F1525&lt;='RETRATO 2027'!$K$5,"EM ANDAMENTO","A INICIAR")))</f>
        <v>A INICIAR</v>
      </c>
    </row>
    <row r="1526" customFormat="false" ht="15" hidden="false" customHeight="false" outlineLevel="0" collapsed="false">
      <c r="B1526" s="4" t="n">
        <v>30171661</v>
      </c>
      <c r="C1526" s="4" t="s">
        <v>2643</v>
      </c>
      <c r="D1526" s="4" t="s">
        <v>463</v>
      </c>
      <c r="E1526" s="4" t="s">
        <v>2816</v>
      </c>
      <c r="F1526" s="127" t="n">
        <v>46878</v>
      </c>
      <c r="G1526" s="127" t="n">
        <v>46905</v>
      </c>
      <c r="H1526" s="127" t="n">
        <v>46289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35</v>
      </c>
      <c r="N1526" s="2" t="str">
        <f aca="false"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 t="str">
        <f aca="false">IF(OR(F1526="",G1526=""),"",IF(G1526&lt;='RETRATO 2027'!$K$5,"CONCLUÍDA",IF(F1526&lt;='RETRATO 2027'!$K$5,"EM ANDAMENTO","A INICIAR")))</f>
        <v>A INICIAR</v>
      </c>
    </row>
    <row r="1527" customFormat="false" ht="15" hidden="false" customHeight="false" outlineLevel="0" collapsed="false">
      <c r="B1527" s="4" t="n">
        <v>30211206</v>
      </c>
      <c r="C1527" s="4" t="s">
        <v>2611</v>
      </c>
      <c r="D1527" s="4" t="s">
        <v>463</v>
      </c>
      <c r="E1527" s="4" t="s">
        <v>2853</v>
      </c>
      <c r="F1527" s="127" t="n">
        <v>46878</v>
      </c>
      <c r="G1527" s="127" t="n">
        <v>46898</v>
      </c>
      <c r="H1527" s="127" t="n">
        <v>46289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32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34</v>
      </c>
      <c r="O1527" s="2" t="str">
        <f aca="false">IF(OR(F1527="",G1527=""),"",IF(G1527&lt;='RETRATO 2027'!$K$5,"CONCLUÍDA",IF(F1527&lt;='RETRATO 2027'!$K$5,"EM ANDAMENTO","A INICIAR")))</f>
        <v>A INICIAR</v>
      </c>
    </row>
    <row r="1528" customFormat="false" ht="15" hidden="false" customHeight="false" outlineLevel="0" collapsed="false">
      <c r="B1528" s="4" t="n">
        <v>30205694</v>
      </c>
      <c r="C1528" s="4" t="s">
        <v>2623</v>
      </c>
      <c r="D1528" s="4" t="s">
        <v>463</v>
      </c>
      <c r="E1528" s="4" t="s">
        <v>2819</v>
      </c>
      <c r="F1528" s="127" t="n">
        <v>46881</v>
      </c>
      <c r="G1528" s="127" t="n">
        <v>46892</v>
      </c>
      <c r="H1528" s="127" t="n">
        <v>46289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0</v>
      </c>
      <c r="O1528" s="2" t="str">
        <f aca="false">IF(OR(F1528="",G1528=""),"",IF(G1528&lt;='RETRATO 2027'!$K$5,"CONCLUÍDA",IF(F1528&lt;='RETRATO 2027'!$K$5,"EM ANDAMENTO","A INICIAR")))</f>
        <v>A INICIAR</v>
      </c>
    </row>
    <row r="1529" customFormat="false" ht="15" hidden="false" customHeight="false" outlineLevel="0" collapsed="false">
      <c r="B1529" s="4" t="n">
        <v>30205680</v>
      </c>
      <c r="C1529" s="4" t="s">
        <v>2615</v>
      </c>
      <c r="D1529" s="4" t="s">
        <v>463</v>
      </c>
      <c r="E1529" s="4" t="s">
        <v>2821</v>
      </c>
      <c r="F1529" s="127" t="n">
        <v>46881</v>
      </c>
      <c r="G1529" s="127" t="n">
        <v>46892</v>
      </c>
      <c r="H1529" s="127" t="n">
        <v>46289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37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0</v>
      </c>
      <c r="O1529" s="2" t="str">
        <f aca="false">IF(OR(F1529="",G1529=""),"",IF(G1529&lt;='RETRATO 2027'!$K$5,"CONCLUÍDA",IF(F1529&lt;='RETRATO 2027'!$K$5,"EM ANDAMENTO","A INICIAR")))</f>
        <v>A INICIAR</v>
      </c>
    </row>
    <row r="1530" customFormat="false" ht="15" hidden="false" customHeight="false" outlineLevel="0" collapsed="false">
      <c r="B1530" s="4" t="n">
        <v>29981502</v>
      </c>
      <c r="C1530" s="4" t="s">
        <v>2637</v>
      </c>
      <c r="D1530" s="4" t="s">
        <v>463</v>
      </c>
      <c r="E1530" s="4" t="s">
        <v>2804</v>
      </c>
      <c r="F1530" s="127" t="n">
        <v>46881</v>
      </c>
      <c r="G1530" s="127" t="n">
        <v>46885</v>
      </c>
      <c r="H1530" s="127" t="n">
        <v>46289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/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8</v>
      </c>
      <c r="O1530" s="2" t="str">
        <f aca="false">IF(OR(F1530="",G1530=""),"",IF(G1530&lt;='RETRATO 2027'!$K$5,"CONCLUÍDA",IF(F1530&lt;='RETRATO 2027'!$K$5,"EM ANDAMENTO","A INICIAR")))</f>
        <v>A INICIAR</v>
      </c>
    </row>
    <row r="1531" customFormat="false" ht="15" hidden="false" customHeight="false" outlineLevel="0" collapsed="false">
      <c r="B1531" s="4" t="n">
        <v>29981467</v>
      </c>
      <c r="C1531" s="4" t="s">
        <v>2629</v>
      </c>
      <c r="D1531" s="4" t="s">
        <v>463</v>
      </c>
      <c r="E1531" s="4" t="s">
        <v>2805</v>
      </c>
      <c r="F1531" s="127" t="n">
        <v>46881</v>
      </c>
      <c r="G1531" s="127" t="n">
        <v>46891</v>
      </c>
      <c r="H1531" s="127" t="n">
        <v>46289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20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9</v>
      </c>
      <c r="O1531" s="2" t="str">
        <f aca="false">IF(OR(F1531="",G1531=""),"",IF(G1531&lt;='RETRATO 2027'!$K$5,"CONCLUÍDA",IF(F1531&lt;='RETRATO 2027'!$K$5,"EM ANDAMENTO","A INICIAR")))</f>
        <v>A INICIAR</v>
      </c>
    </row>
    <row r="1532" customFormat="false" ht="15" hidden="false" customHeight="false" outlineLevel="0" collapsed="false">
      <c r="B1532" s="4" t="n">
        <v>29981427</v>
      </c>
      <c r="C1532" s="4" t="s">
        <v>2623</v>
      </c>
      <c r="D1532" s="4" t="s">
        <v>463</v>
      </c>
      <c r="E1532" s="4" t="s">
        <v>2809</v>
      </c>
      <c r="F1532" s="127" t="n">
        <v>46881</v>
      </c>
      <c r="G1532" s="127" t="n">
        <v>46891</v>
      </c>
      <c r="H1532" s="127" t="n">
        <v>46289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35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10</v>
      </c>
      <c r="O1532" s="2" t="str">
        <f aca="false">IF(OR(F1532="",G1532=""),"",IF(G1532&lt;='RETRATO 2027'!$K$5,"CONCLUÍDA",IF(F1532&lt;='RETRATO 2027'!$K$5,"EM ANDAMENTO","A INICIAR")))</f>
        <v>A INICIAR</v>
      </c>
    </row>
    <row r="1533" customFormat="false" ht="15" hidden="false" customHeight="false" outlineLevel="0" collapsed="false">
      <c r="B1533" s="4" t="n">
        <v>33919788</v>
      </c>
      <c r="C1533" s="4" t="s">
        <v>2625</v>
      </c>
      <c r="D1533" s="4" t="s">
        <v>463</v>
      </c>
      <c r="E1533" s="4" t="s">
        <v>2809</v>
      </c>
      <c r="F1533" s="127" t="n">
        <v>46881</v>
      </c>
      <c r="G1533" s="127" t="n">
        <v>46891</v>
      </c>
      <c r="H1533" s="127" t="n">
        <v>46289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10</v>
      </c>
      <c r="O1533" s="2" t="str">
        <f aca="false">IF(OR(F1533="",G1533=""),"",IF(G1533&lt;='RETRATO 2027'!$K$5,"CONCLUÍDA",IF(F1533&lt;='RETRATO 2027'!$K$5,"EM ANDAMENTO","A INICIAR")))</f>
        <v>A INICIAR</v>
      </c>
    </row>
    <row r="1534" customFormat="false" ht="15" hidden="false" customHeight="false" outlineLevel="0" collapsed="false">
      <c r="B1534" s="4" t="n">
        <v>29981389</v>
      </c>
      <c r="C1534" s="4" t="s">
        <v>2615</v>
      </c>
      <c r="D1534" s="4" t="s">
        <v>463</v>
      </c>
      <c r="E1534" s="4" t="s">
        <v>2810</v>
      </c>
      <c r="F1534" s="127" t="n">
        <v>46881</v>
      </c>
      <c r="G1534" s="127" t="n">
        <v>46891</v>
      </c>
      <c r="H1534" s="127" t="n">
        <v>46289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37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11</v>
      </c>
      <c r="O1534" s="2" t="str">
        <f aca="false">IF(OR(F1534="",G1534=""),"",IF(G1534&lt;='RETRATO 2027'!$K$5,"CONCLUÍDA",IF(F1534&lt;='RETRATO 2027'!$K$5,"EM ANDAMENTO","A INICIAR")))</f>
        <v>A INICIAR</v>
      </c>
    </row>
    <row r="1535" customFormat="false" ht="15" hidden="false" customHeight="false" outlineLevel="0" collapsed="false">
      <c r="B1535" s="4" t="n">
        <v>29981346</v>
      </c>
      <c r="C1535" s="4" t="s">
        <v>2605</v>
      </c>
      <c r="D1535" s="4" t="s">
        <v>463</v>
      </c>
      <c r="E1535" s="4" t="s">
        <v>2811</v>
      </c>
      <c r="F1535" s="127" t="n">
        <v>46881</v>
      </c>
      <c r="G1535" s="127" t="n">
        <v>46891</v>
      </c>
      <c r="H1535" s="127" t="n">
        <v>46289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34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12</v>
      </c>
      <c r="O1535" s="2" t="str">
        <f aca="false">IF(OR(F1535="",G1535=""),"",IF(G1535&lt;='RETRATO 2027'!$K$5,"CONCLUÍDA",IF(F1535&lt;='RETRATO 2027'!$K$5,"EM ANDAMENTO","A INICIAR")))</f>
        <v>A INICIAR</v>
      </c>
    </row>
    <row r="1536" customFormat="false" ht="15" hidden="false" customHeight="false" outlineLevel="0" collapsed="false">
      <c r="B1536" s="4" t="n">
        <v>29981351</v>
      </c>
      <c r="C1536" s="4" t="s">
        <v>2607</v>
      </c>
      <c r="D1536" s="4" t="s">
        <v>463</v>
      </c>
      <c r="E1536" s="4" t="s">
        <v>2811</v>
      </c>
      <c r="F1536" s="127" t="n">
        <v>46881</v>
      </c>
      <c r="G1536" s="127" t="n">
        <v>46891</v>
      </c>
      <c r="H1536" s="127" t="n">
        <v>46289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34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12</v>
      </c>
      <c r="O1536" s="2" t="str">
        <f aca="false">IF(OR(F1536="",G1536=""),"",IF(G1536&lt;='RETRATO 2027'!$K$5,"CONCLUÍDA",IF(F1536&lt;='RETRATO 2027'!$K$5,"EM ANDAMENTO","A INICIAR")))</f>
        <v>A INICIAR</v>
      </c>
    </row>
    <row r="1537" customFormat="false" ht="15" hidden="false" customHeight="false" outlineLevel="0" collapsed="false">
      <c r="B1537" s="4" t="n">
        <v>29981350</v>
      </c>
      <c r="C1537" s="4" t="s">
        <v>2563</v>
      </c>
      <c r="D1537" s="4" t="s">
        <v>463</v>
      </c>
      <c r="E1537" s="4" t="s">
        <v>2811</v>
      </c>
      <c r="F1537" s="127" t="n">
        <v>46881</v>
      </c>
      <c r="G1537" s="127" t="n">
        <v>46891</v>
      </c>
      <c r="H1537" s="127" t="n">
        <v>46289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20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12</v>
      </c>
      <c r="O1537" s="2" t="str">
        <f aca="false">IF(OR(F1537="",G1537=""),"",IF(G1537&lt;='RETRATO 2027'!$K$5,"CONCLUÍDA",IF(F1537&lt;='RETRATO 2027'!$K$5,"EM ANDAMENTO","A INICIAR")))</f>
        <v>A INICIAR</v>
      </c>
    </row>
    <row r="1538" customFormat="false" ht="15" hidden="false" customHeight="false" outlineLevel="0" collapsed="false">
      <c r="B1538" s="4" t="n">
        <v>29981349</v>
      </c>
      <c r="C1538" s="4" t="s">
        <v>2609</v>
      </c>
      <c r="D1538" s="4" t="s">
        <v>463</v>
      </c>
      <c r="E1538" s="4" t="s">
        <v>2811</v>
      </c>
      <c r="F1538" s="127" t="n">
        <v>46881</v>
      </c>
      <c r="G1538" s="127" t="n">
        <v>46891</v>
      </c>
      <c r="H1538" s="127" t="n">
        <v>46289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23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12</v>
      </c>
      <c r="O1538" s="2" t="str">
        <f aca="false">IF(OR(F1538="",G1538=""),"",IF(G1538&lt;='RETRATO 2027'!$K$5,"CONCLUÍDA",IF(F1538&lt;='RETRATO 2027'!$K$5,"EM ANDAMENTO","A INICIAR")))</f>
        <v>A INICIAR</v>
      </c>
    </row>
    <row r="1539" customFormat="false" ht="15" hidden="false" customHeight="false" outlineLevel="0" collapsed="false">
      <c r="B1539" s="4" t="n">
        <v>29981308</v>
      </c>
      <c r="C1539" s="4" t="s">
        <v>2599</v>
      </c>
      <c r="D1539" s="4" t="s">
        <v>463</v>
      </c>
      <c r="E1539" s="4" t="s">
        <v>2812</v>
      </c>
      <c r="F1539" s="127" t="n">
        <v>46881</v>
      </c>
      <c r="G1539" s="127" t="n">
        <v>46891</v>
      </c>
      <c r="H1539" s="127" t="n">
        <v>46289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30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13</v>
      </c>
      <c r="O1539" s="2" t="str">
        <f aca="false">IF(OR(F1539="",G1539=""),"",IF(G1539&lt;='RETRATO 2027'!$K$5,"CONCLUÍDA",IF(F1539&lt;='RETRATO 2027'!$K$5,"EM ANDAMENTO","A INICIAR")))</f>
        <v>A INICIAR</v>
      </c>
    </row>
    <row r="1540" customFormat="false" ht="15" hidden="false" customHeight="false" outlineLevel="0" collapsed="false">
      <c r="B1540" s="4" t="n">
        <v>29981270</v>
      </c>
      <c r="C1540" s="4" t="s">
        <v>2578</v>
      </c>
      <c r="D1540" s="4" t="s">
        <v>463</v>
      </c>
      <c r="E1540" s="4" t="s">
        <v>2813</v>
      </c>
      <c r="F1540" s="127" t="n">
        <v>46881</v>
      </c>
      <c r="G1540" s="127" t="n">
        <v>46891</v>
      </c>
      <c r="H1540" s="127" t="n">
        <v>46289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25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14</v>
      </c>
      <c r="O1540" s="2" t="str">
        <f aca="false">IF(OR(F1540="",G1540=""),"",IF(G1540&lt;='RETRATO 2027'!$K$5,"CONCLUÍDA",IF(F1540&lt;='RETRATO 2027'!$K$5,"EM ANDAMENTO","A INICIAR")))</f>
        <v>A INICIAR</v>
      </c>
    </row>
    <row r="1541" customFormat="false" ht="15" hidden="false" customHeight="false" outlineLevel="0" collapsed="false">
      <c r="B1541" s="4" t="n">
        <v>29981232</v>
      </c>
      <c r="C1541" s="4" t="s">
        <v>2569</v>
      </c>
      <c r="D1541" s="4" t="s">
        <v>463</v>
      </c>
      <c r="E1541" s="4" t="s">
        <v>2814</v>
      </c>
      <c r="F1541" s="127" t="n">
        <v>46881</v>
      </c>
      <c r="G1541" s="127" t="n">
        <v>46891</v>
      </c>
      <c r="H1541" s="127" t="n">
        <v>46289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30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15</v>
      </c>
      <c r="O1541" s="2" t="str">
        <f aca="false">IF(OR(F1541="",G1541=""),"",IF(G1541&lt;='RETRATO 2027'!$K$5,"CONCLUÍDA",IF(F1541&lt;='RETRATO 2027'!$K$5,"EM ANDAMENTO","A INICIAR")))</f>
        <v>A INICIAR</v>
      </c>
    </row>
    <row r="1542" customFormat="false" ht="15" hidden="false" customHeight="false" outlineLevel="0" collapsed="false">
      <c r="B1542" s="4" t="n">
        <v>29981194</v>
      </c>
      <c r="C1542" s="4" t="s">
        <v>2554</v>
      </c>
      <c r="D1542" s="4" t="s">
        <v>463</v>
      </c>
      <c r="E1542" s="4" t="s">
        <v>2815</v>
      </c>
      <c r="F1542" s="127" t="n">
        <v>46881</v>
      </c>
      <c r="G1542" s="127" t="n">
        <v>46891</v>
      </c>
      <c r="H1542" s="127" t="n">
        <v>46289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35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16</v>
      </c>
      <c r="O1542" s="2" t="str">
        <f aca="false">IF(OR(F1542="",G1542=""),"",IF(G1542&lt;='RETRATO 2027'!$K$5,"CONCLUÍDA",IF(F1542&lt;='RETRATO 2027'!$K$5,"EM ANDAMENTO","A INICIAR")))</f>
        <v>A INICIAR</v>
      </c>
    </row>
    <row r="1543" customFormat="false" ht="15" hidden="false" customHeight="false" outlineLevel="0" collapsed="false">
      <c r="B1543" s="4" t="n">
        <v>29981183</v>
      </c>
      <c r="C1543" s="4" t="s">
        <v>2539</v>
      </c>
      <c r="D1543" s="4" t="s">
        <v>463</v>
      </c>
      <c r="E1543" s="4" t="s">
        <v>2818</v>
      </c>
      <c r="F1543" s="127" t="n">
        <v>46881</v>
      </c>
      <c r="G1543" s="127" t="n">
        <v>46891</v>
      </c>
      <c r="H1543" s="127" t="n">
        <v>46289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35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17</v>
      </c>
      <c r="O1543" s="2" t="str">
        <f aca="false">IF(OR(F1543="",G1543=""),"",IF(G1543&lt;='RETRATO 2027'!$K$5,"CONCLUÍDA",IF(F1543&lt;='RETRATO 2027'!$K$5,"EM ANDAMENTO","A INICIAR")))</f>
        <v>A INICIAR</v>
      </c>
    </row>
    <row r="1544" customFormat="false" ht="15" hidden="false" customHeight="false" outlineLevel="0" collapsed="false">
      <c r="B1544" s="4" t="n">
        <v>33898099</v>
      </c>
      <c r="C1544" s="4" t="s">
        <v>2545</v>
      </c>
      <c r="D1544" s="4" t="s">
        <v>463</v>
      </c>
      <c r="E1544" s="4" t="s">
        <v>2820</v>
      </c>
      <c r="F1544" s="127" t="n">
        <v>46881</v>
      </c>
      <c r="G1544" s="127" t="n">
        <v>46891</v>
      </c>
      <c r="H1544" s="127" t="n">
        <v>46289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25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18</v>
      </c>
      <c r="O1544" s="2" t="str">
        <f aca="false">IF(OR(F1544="",G1544=""),"",IF(G1544&lt;='RETRATO 2027'!$K$5,"CONCLUÍDA",IF(F1544&lt;='RETRATO 2027'!$K$5,"EM ANDAMENTO","A INICIAR")))</f>
        <v>A INICIAR</v>
      </c>
    </row>
    <row r="1545" customFormat="false" ht="15" hidden="false" customHeight="false" outlineLevel="0" collapsed="false">
      <c r="B1545" s="4" t="n">
        <v>29980959</v>
      </c>
      <c r="C1545" s="4" t="s">
        <v>216</v>
      </c>
      <c r="D1545" s="4" t="s">
        <v>463</v>
      </c>
      <c r="E1545" s="4" t="s">
        <v>2829</v>
      </c>
      <c r="F1545" s="127" t="n">
        <v>46882</v>
      </c>
      <c r="G1545" s="127" t="n">
        <v>46892</v>
      </c>
      <c r="H1545" s="127" t="n">
        <v>46289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33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23</v>
      </c>
      <c r="O1545" s="2" t="str">
        <f aca="false">IF(OR(F1545="",G1545=""),"",IF(G1545&lt;='RETRATO 2027'!$K$5,"CONCLUÍDA",IF(F1545&lt;='RETRATO 2027'!$K$5,"EM ANDAMENTO","A INICIAR")))</f>
        <v>A INICIAR</v>
      </c>
    </row>
    <row r="1546" customFormat="false" ht="15" hidden="false" customHeight="false" outlineLevel="0" collapsed="false">
      <c r="B1546" s="4" t="n">
        <v>29980920</v>
      </c>
      <c r="C1546" s="4" t="s">
        <v>2508</v>
      </c>
      <c r="D1546" s="4" t="s">
        <v>463</v>
      </c>
      <c r="E1546" s="4" t="s">
        <v>2831</v>
      </c>
      <c r="F1546" s="127" t="n">
        <v>46882</v>
      </c>
      <c r="G1546" s="127" t="n">
        <v>46892</v>
      </c>
      <c r="H1546" s="127" t="n">
        <v>46289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20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24</v>
      </c>
      <c r="O1546" s="2" t="str">
        <f aca="false">IF(OR(F1546="",G1546=""),"",IF(G1546&lt;='RETRATO 2027'!$K$5,"CONCLUÍDA",IF(F1546&lt;='RETRATO 2027'!$K$5,"EM ANDAMENTO","A INICIAR")))</f>
        <v>A INICIAR</v>
      </c>
    </row>
    <row r="1547" customFormat="false" ht="15" hidden="false" customHeight="false" outlineLevel="0" collapsed="false">
      <c r="B1547" s="4" t="n">
        <v>29980925</v>
      </c>
      <c r="C1547" s="4" t="s">
        <v>2511</v>
      </c>
      <c r="D1547" s="4" t="s">
        <v>463</v>
      </c>
      <c r="E1547" s="4" t="s">
        <v>2831</v>
      </c>
      <c r="F1547" s="127" t="n">
        <v>46882</v>
      </c>
      <c r="G1547" s="127" t="n">
        <v>46892</v>
      </c>
      <c r="H1547" s="127" t="n">
        <v>46289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20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24</v>
      </c>
      <c r="O1547" s="2" t="str">
        <f aca="false">IF(OR(F1547="",G1547=""),"",IF(G1547&lt;='RETRATO 2027'!$K$5,"CONCLUÍDA",IF(F1547&lt;='RETRATO 2027'!$K$5,"EM ANDAMENTO","A INICIAR")))</f>
        <v>A INICIAR</v>
      </c>
    </row>
    <row r="1548" customFormat="false" ht="15" hidden="false" customHeight="false" outlineLevel="0" collapsed="false">
      <c r="B1548" s="4" t="n">
        <v>30214086</v>
      </c>
      <c r="C1548" s="4" t="s">
        <v>2514</v>
      </c>
      <c r="D1548" s="4" t="s">
        <v>463</v>
      </c>
      <c r="E1548" s="4" t="s">
        <v>2831</v>
      </c>
      <c r="F1548" s="127" t="n">
        <v>46882</v>
      </c>
      <c r="G1548" s="127" t="n">
        <v>46895</v>
      </c>
      <c r="H1548" s="127" t="n">
        <v>46289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20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24</v>
      </c>
      <c r="O1548" s="2" t="str">
        <f aca="false">IF(OR(F1548="",G1548=""),"",IF(G1548&lt;='RETRATO 2027'!$K$5,"CONCLUÍDA",IF(F1548&lt;='RETRATO 2027'!$K$5,"EM ANDAMENTO","A INICIAR")))</f>
        <v>A INICIAR</v>
      </c>
    </row>
    <row r="1549" customFormat="false" ht="15" hidden="false" customHeight="false" outlineLevel="0" collapsed="false">
      <c r="B1549" s="4" t="n">
        <v>29980867</v>
      </c>
      <c r="C1549" s="4" t="s">
        <v>2501</v>
      </c>
      <c r="D1549" s="4" t="s">
        <v>463</v>
      </c>
      <c r="E1549" s="4" t="s">
        <v>2833</v>
      </c>
      <c r="F1549" s="127" t="n">
        <v>46882</v>
      </c>
      <c r="G1549" s="127" t="n">
        <v>46892</v>
      </c>
      <c r="H1549" s="127" t="n">
        <v>46289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30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25</v>
      </c>
      <c r="O1549" s="2" t="str">
        <f aca="false">IF(OR(F1549="",G1549=""),"",IF(G1549&lt;='RETRATO 2027'!$K$5,"CONCLUÍDA",IF(F1549&lt;='RETRATO 2027'!$K$5,"EM ANDAMENTO","A INICIAR")))</f>
        <v>A INICIAR</v>
      </c>
    </row>
    <row r="1550" customFormat="false" ht="15" hidden="false" customHeight="false" outlineLevel="0" collapsed="false">
      <c r="B1550" s="4" t="n">
        <v>29980829</v>
      </c>
      <c r="C1550" s="4" t="s">
        <v>2486</v>
      </c>
      <c r="D1550" s="4" t="s">
        <v>463</v>
      </c>
      <c r="E1550" s="4" t="s">
        <v>2834</v>
      </c>
      <c r="F1550" s="127" t="n">
        <v>46882</v>
      </c>
      <c r="G1550" s="127" t="n">
        <v>46892</v>
      </c>
      <c r="H1550" s="127" t="n">
        <v>46289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30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26</v>
      </c>
      <c r="O1550" s="2" t="str">
        <f aca="false">IF(OR(F1550="",G1550=""),"",IF(G1550&lt;='RETRATO 2027'!$K$5,"CONCLUÍDA",IF(F1550&lt;='RETRATO 2027'!$K$5,"EM ANDAMENTO","A INICIAR")))</f>
        <v>A INICIAR</v>
      </c>
    </row>
    <row r="1551" customFormat="false" ht="15" hidden="false" customHeight="false" outlineLevel="0" collapsed="false">
      <c r="B1551" s="4" t="n">
        <v>29980808</v>
      </c>
      <c r="C1551" s="4" t="s">
        <v>2480</v>
      </c>
      <c r="D1551" s="4" t="s">
        <v>463</v>
      </c>
      <c r="E1551" s="4" t="s">
        <v>2838</v>
      </c>
      <c r="F1551" s="127" t="n">
        <v>46882</v>
      </c>
      <c r="G1551" s="127" t="n">
        <v>46892</v>
      </c>
      <c r="H1551" s="127" t="n">
        <v>46289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30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27</v>
      </c>
      <c r="O1551" s="2" t="str">
        <f aca="false">IF(OR(F1551="",G1551=""),"",IF(G1551&lt;='RETRATO 2027'!$K$5,"CONCLUÍDA",IF(F1551&lt;='RETRATO 2027'!$K$5,"EM ANDAMENTO","A INICIAR")))</f>
        <v>A INICIAR</v>
      </c>
    </row>
    <row r="1552" customFormat="false" ht="15" hidden="false" customHeight="false" outlineLevel="0" collapsed="false">
      <c r="B1552" s="4" t="n">
        <v>29980769</v>
      </c>
      <c r="C1552" s="4" t="s">
        <v>171</v>
      </c>
      <c r="D1552" s="4" t="s">
        <v>463</v>
      </c>
      <c r="E1552" s="4" t="s">
        <v>2840</v>
      </c>
      <c r="F1552" s="127" t="n">
        <v>46882</v>
      </c>
      <c r="G1552" s="127" t="n">
        <v>46892</v>
      </c>
      <c r="H1552" s="127" t="n">
        <v>46289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19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28</v>
      </c>
      <c r="O1552" s="2" t="str">
        <f aca="false">IF(OR(F1552="",G1552=""),"",IF(G1552&lt;='RETRATO 2027'!$K$5,"CONCLUÍDA",IF(F1552&lt;='RETRATO 2027'!$K$5,"EM ANDAMENTO","A INICIAR")))</f>
        <v>A INICIAR</v>
      </c>
    </row>
    <row r="1553" customFormat="false" ht="15" hidden="false" customHeight="false" outlineLevel="0" collapsed="false">
      <c r="B1553" s="4" t="n">
        <v>32750455</v>
      </c>
      <c r="C1553" s="4" t="s">
        <v>2470</v>
      </c>
      <c r="D1553" s="4" t="s">
        <v>463</v>
      </c>
      <c r="E1553" s="4" t="s">
        <v>2841</v>
      </c>
      <c r="F1553" s="127" t="n">
        <v>46882</v>
      </c>
      <c r="G1553" s="127" t="n">
        <v>46892</v>
      </c>
      <c r="H1553" s="127" t="n">
        <v>46289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18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29</v>
      </c>
      <c r="O1553" s="2" t="str">
        <f aca="false">IF(OR(F1553="",G1553=""),"",IF(G1553&lt;='RETRATO 2027'!$K$5,"CONCLUÍDA",IF(F1553&lt;='RETRATO 2027'!$K$5,"EM ANDAMENTO","A INICIAR")))</f>
        <v>A INICIAR</v>
      </c>
    </row>
    <row r="1554" customFormat="false" ht="15" hidden="false" customHeight="false" outlineLevel="0" collapsed="false">
      <c r="B1554" s="4" t="n">
        <v>32750378</v>
      </c>
      <c r="C1554" s="4" t="s">
        <v>2458</v>
      </c>
      <c r="D1554" s="4" t="s">
        <v>463</v>
      </c>
      <c r="E1554" s="4" t="s">
        <v>2842</v>
      </c>
      <c r="F1554" s="127" t="n">
        <v>46882</v>
      </c>
      <c r="G1554" s="127" t="n">
        <v>46892</v>
      </c>
      <c r="H1554" s="127" t="n">
        <v>46289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21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30</v>
      </c>
      <c r="O1554" s="2" t="str">
        <f aca="false">IF(OR(F1554="",G1554=""),"",IF(G1554&lt;='RETRATO 2027'!$K$5,"CONCLUÍDA",IF(F1554&lt;='RETRATO 2027'!$K$5,"EM ANDAMENTO","A INICIAR")))</f>
        <v>A INICIAR</v>
      </c>
    </row>
    <row r="1555" customFormat="false" ht="15" hidden="false" customHeight="false" outlineLevel="0" collapsed="false">
      <c r="B1555" s="4" t="n">
        <v>32750404</v>
      </c>
      <c r="C1555" s="4" t="s">
        <v>2461</v>
      </c>
      <c r="D1555" s="4" t="s">
        <v>463</v>
      </c>
      <c r="E1555" s="4" t="s">
        <v>2842</v>
      </c>
      <c r="F1555" s="127" t="n">
        <v>46882</v>
      </c>
      <c r="G1555" s="127" t="n">
        <v>46892</v>
      </c>
      <c r="H1555" s="127" t="n">
        <v>46289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20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30</v>
      </c>
      <c r="O1555" s="2" t="str">
        <f aca="false">IF(OR(F1555="",G1555=""),"",IF(G1555&lt;='RETRATO 2027'!$K$5,"CONCLUÍDA",IF(F1555&lt;='RETRATO 2027'!$K$5,"EM ANDAMENTO","A INICIAR")))</f>
        <v>A INICIAR</v>
      </c>
    </row>
    <row r="1556" customFormat="false" ht="15" hidden="false" customHeight="false" outlineLevel="0" collapsed="false">
      <c r="B1556" s="4" t="n">
        <v>32750430</v>
      </c>
      <c r="C1556" s="4" t="s">
        <v>2464</v>
      </c>
      <c r="D1556" s="4" t="s">
        <v>463</v>
      </c>
      <c r="E1556" s="4" t="s">
        <v>2842</v>
      </c>
      <c r="F1556" s="127" t="n">
        <v>46882</v>
      </c>
      <c r="G1556" s="127" t="n">
        <v>46892</v>
      </c>
      <c r="H1556" s="127" t="n">
        <v>46289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21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30</v>
      </c>
      <c r="O1556" s="2" t="str">
        <f aca="false">IF(OR(F1556="",G1556=""),"",IF(G1556&lt;='RETRATO 2027'!$K$5,"CONCLUÍDA",IF(F1556&lt;='RETRATO 2027'!$K$5,"EM ANDAMENTO","A INICIAR")))</f>
        <v>A INICIAR</v>
      </c>
    </row>
    <row r="1557" customFormat="false" ht="15" hidden="false" customHeight="false" outlineLevel="0" collapsed="false">
      <c r="B1557" s="4" t="n">
        <v>33896848</v>
      </c>
      <c r="C1557" s="4" t="s">
        <v>2467</v>
      </c>
      <c r="D1557" s="4" t="s">
        <v>463</v>
      </c>
      <c r="E1557" s="4" t="s">
        <v>2842</v>
      </c>
      <c r="F1557" s="127" t="n">
        <v>46882</v>
      </c>
      <c r="G1557" s="127" t="n">
        <v>46892</v>
      </c>
      <c r="H1557" s="127" t="n">
        <v>46289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23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30</v>
      </c>
      <c r="O1557" s="2" t="str">
        <f aca="false">IF(OR(F1557="",G1557=""),"",IF(G1557&lt;='RETRATO 2027'!$K$5,"CONCLUÍDA",IF(F1557&lt;='RETRATO 2027'!$K$5,"EM ANDAMENTO","A INICIAR")))</f>
        <v>A INICIAR</v>
      </c>
    </row>
    <row r="1558" customFormat="false" ht="15" hidden="false" customHeight="false" outlineLevel="0" collapsed="false">
      <c r="B1558" s="4" t="n">
        <v>32749874</v>
      </c>
      <c r="C1558" s="4" t="s">
        <v>2455</v>
      </c>
      <c r="D1558" s="4" t="s">
        <v>463</v>
      </c>
      <c r="E1558" s="4" t="s">
        <v>2843</v>
      </c>
      <c r="F1558" s="127" t="n">
        <v>46882</v>
      </c>
      <c r="G1558" s="127" t="n">
        <v>46892</v>
      </c>
      <c r="H1558" s="127" t="n">
        <v>46289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18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31</v>
      </c>
      <c r="O1558" s="2" t="str">
        <f aca="false">IF(OR(F1558="",G1558=""),"",IF(G1558&lt;='RETRATO 2027'!$K$5,"CONCLUÍDA",IF(F1558&lt;='RETRATO 2027'!$K$5,"EM ANDAMENTO","A INICIAR")))</f>
        <v>A INICIAR</v>
      </c>
    </row>
    <row r="1559" customFormat="false" ht="15" hidden="false" customHeight="false" outlineLevel="0" collapsed="false">
      <c r="B1559" s="4" t="n">
        <v>29980622</v>
      </c>
      <c r="C1559" s="4" t="s">
        <v>2449</v>
      </c>
      <c r="D1559" s="4" t="s">
        <v>463</v>
      </c>
      <c r="E1559" s="4" t="s">
        <v>2844</v>
      </c>
      <c r="F1559" s="127" t="n">
        <v>46882</v>
      </c>
      <c r="G1559" s="127" t="n">
        <v>46892</v>
      </c>
      <c r="H1559" s="127" t="n">
        <v>46289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28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32</v>
      </c>
      <c r="O1559" s="2" t="str">
        <f aca="false">IF(OR(F1559="",G1559=""),"",IF(G1559&lt;='RETRATO 2027'!$K$5,"CONCLUÍDA",IF(F1559&lt;='RETRATO 2027'!$K$5,"EM ANDAMENTO","A INICIAR")))</f>
        <v>A INICIAR</v>
      </c>
    </row>
    <row r="1560" customFormat="false" ht="15" hidden="false" customHeight="false" outlineLevel="0" collapsed="false">
      <c r="B1560" s="4" t="n">
        <v>30205822</v>
      </c>
      <c r="C1560" s="4" t="s">
        <v>216</v>
      </c>
      <c r="D1560" s="4" t="s">
        <v>463</v>
      </c>
      <c r="E1560" s="4" t="s">
        <v>2839</v>
      </c>
      <c r="F1560" s="127" t="n">
        <v>46883</v>
      </c>
      <c r="G1560" s="127" t="n">
        <v>46896</v>
      </c>
      <c r="H1560" s="127" t="n">
        <v>46289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33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0</v>
      </c>
      <c r="O1560" s="2" t="str">
        <f aca="false">IF(OR(F1560="",G1560=""),"",IF(G1560&lt;='RETRATO 2027'!$K$5,"CONCLUÍDA",IF(F1560&lt;='RETRATO 2027'!$K$5,"EM ANDAMENTO","A INICIAR")))</f>
        <v>A INICIAR</v>
      </c>
    </row>
    <row r="1561" customFormat="false" ht="15" hidden="false" customHeight="false" outlineLevel="0" collapsed="false">
      <c r="B1561" s="4" t="n">
        <v>30208604</v>
      </c>
      <c r="C1561" s="4" t="s">
        <v>2511</v>
      </c>
      <c r="D1561" s="4" t="s">
        <v>463</v>
      </c>
      <c r="E1561" s="4" t="s">
        <v>2757</v>
      </c>
      <c r="F1561" s="127" t="n">
        <v>46883</v>
      </c>
      <c r="G1561" s="127" t="n">
        <v>46896</v>
      </c>
      <c r="H1561" s="127" t="n">
        <v>46289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0</v>
      </c>
      <c r="O1561" s="2" t="str">
        <f aca="false">IF(OR(F1561="",G1561=""),"",IF(G1561&lt;='RETRATO 2027'!$K$5,"CONCLUÍDA",IF(F1561&lt;='RETRATO 2027'!$K$5,"EM ANDAMENTO","A INICIAR")))</f>
        <v>A INICIAR</v>
      </c>
    </row>
    <row r="1562" customFormat="false" ht="15" hidden="false" customHeight="false" outlineLevel="0" collapsed="false">
      <c r="B1562" s="4" t="n">
        <v>30208610</v>
      </c>
      <c r="C1562" s="4" t="s">
        <v>2449</v>
      </c>
      <c r="D1562" s="4" t="s">
        <v>463</v>
      </c>
      <c r="E1562" s="4" t="s">
        <v>2851</v>
      </c>
      <c r="F1562" s="127" t="n">
        <v>46883</v>
      </c>
      <c r="G1562" s="127" t="n">
        <v>46903</v>
      </c>
      <c r="H1562" s="127" t="n">
        <v>46289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28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A INICIAR</v>
      </c>
    </row>
    <row r="1563" customFormat="false" ht="15" hidden="false" customHeight="false" outlineLevel="0" collapsed="false">
      <c r="B1563" s="4" t="n">
        <v>29981112</v>
      </c>
      <c r="C1563" s="4" t="s">
        <v>2425</v>
      </c>
      <c r="D1563" s="4" t="s">
        <v>463</v>
      </c>
      <c r="E1563" s="4" t="s">
        <v>2822</v>
      </c>
      <c r="F1563" s="127" t="n">
        <v>46883</v>
      </c>
      <c r="G1563" s="127" t="n">
        <v>46895</v>
      </c>
      <c r="H1563" s="127" t="n">
        <v>46289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21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19</v>
      </c>
      <c r="O1563" s="2" t="str">
        <f aca="false">IF(OR(F1563="",G1563=""),"",IF(G1563&lt;='RETRATO 2027'!$K$5,"CONCLUÍDA",IF(F1563&lt;='RETRATO 2027'!$K$5,"EM ANDAMENTO","A INICIAR")))</f>
        <v>A INICIAR</v>
      </c>
    </row>
    <row r="1564" customFormat="false" ht="15" hidden="false" customHeight="false" outlineLevel="0" collapsed="false">
      <c r="B1564" s="4" t="n">
        <v>29981081</v>
      </c>
      <c r="C1564" s="4" t="s">
        <v>2428</v>
      </c>
      <c r="D1564" s="4" t="s">
        <v>463</v>
      </c>
      <c r="E1564" s="4" t="s">
        <v>2822</v>
      </c>
      <c r="F1564" s="127" t="n">
        <v>46883</v>
      </c>
      <c r="G1564" s="127" t="n">
        <v>46895</v>
      </c>
      <c r="H1564" s="127" t="n">
        <v>46289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20</v>
      </c>
      <c r="N1564" s="2" t="n">
        <f aca="false">IF(E1564="","",IF(ISNUMBER(SEARCH("SUBSOLO",E1564)),IFERROR(-VALUE(LEFT(E1564,FIND("º",SUBSTITUTE(E1564,"°","º"))-1)),-1),IF(LEFT(E1564,6)="TÉRREO",0,IFERROR(VALUE(LEFT(E1564,FIND("º",SUBSTITUTE(E1564,"°","º"))-1)),""))))</f>
        <v>19</v>
      </c>
      <c r="O1564" s="2" t="str">
        <f aca="false">IF(OR(F1564="",G1564=""),"",IF(G1564&lt;='RETRATO 2027'!$K$5,"CONCLUÍDA",IF(F1564&lt;='RETRATO 2027'!$K$5,"EM ANDAMENTO","A INICIAR")))</f>
        <v>A INICIAR</v>
      </c>
    </row>
    <row r="1565" customFormat="false" ht="15" hidden="false" customHeight="false" outlineLevel="0" collapsed="false">
      <c r="B1565" s="4" t="n">
        <v>29981114</v>
      </c>
      <c r="C1565" s="4" t="s">
        <v>2431</v>
      </c>
      <c r="D1565" s="4" t="s">
        <v>463</v>
      </c>
      <c r="E1565" s="4" t="s">
        <v>2822</v>
      </c>
      <c r="F1565" s="127" t="n">
        <v>46883</v>
      </c>
      <c r="G1565" s="127" t="n">
        <v>46895</v>
      </c>
      <c r="H1565" s="127" t="n">
        <v>46289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21</v>
      </c>
      <c r="N1565" s="2" t="n">
        <f aca="false">IF(E1565="","",IF(ISNUMBER(SEARCH("SUBSOLO",E1565)),IFERROR(-VALUE(LEFT(E1565,FIND("º",SUBSTITUTE(E1565,"°","º"))-1)),-1),IF(LEFT(E1565,6)="TÉRREO",0,IFERROR(VALUE(LEFT(E1565,FIND("º",SUBSTITUTE(E1565,"°","º"))-1)),""))))</f>
        <v>19</v>
      </c>
      <c r="O1565" s="2" t="str">
        <f aca="false">IF(OR(F1565="",G1565=""),"",IF(G1565&lt;='RETRATO 2027'!$K$5,"CONCLUÍDA",IF(F1565&lt;='RETRATO 2027'!$K$5,"EM ANDAMENTO","A INICIAR")))</f>
        <v>A INICIAR</v>
      </c>
    </row>
    <row r="1566" customFormat="false" ht="15" hidden="false" customHeight="false" outlineLevel="0" collapsed="false">
      <c r="B1566" s="4" t="n">
        <v>31791087</v>
      </c>
      <c r="C1566" s="4" t="s">
        <v>2645</v>
      </c>
      <c r="D1566" s="4" t="s">
        <v>463</v>
      </c>
      <c r="E1566" s="4" t="s">
        <v>2678</v>
      </c>
      <c r="F1566" s="127" t="n">
        <v>46883</v>
      </c>
      <c r="G1566" s="127" t="n">
        <v>46910</v>
      </c>
      <c r="H1566" s="127" t="n">
        <v>46289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32</v>
      </c>
      <c r="N1566" s="2" t="str">
        <f aca="false"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 t="str">
        <f aca="false">IF(OR(F1566="",G1566=""),"",IF(G1566&lt;='RETRATO 2027'!$K$5,"CONCLUÍDA",IF(F1566&lt;='RETRATO 2027'!$K$5,"EM ANDAMENTO","A INICIAR")))</f>
        <v>A INICIAR</v>
      </c>
    </row>
    <row r="1567" customFormat="false" ht="15" hidden="false" customHeight="false" outlineLevel="0" collapsed="false">
      <c r="B1567" s="4" t="n">
        <v>31800444</v>
      </c>
      <c r="C1567" s="4" t="s">
        <v>2647</v>
      </c>
      <c r="D1567" s="4" t="s">
        <v>463</v>
      </c>
      <c r="E1567" s="4" t="s">
        <v>2678</v>
      </c>
      <c r="F1567" s="127" t="n">
        <v>46883</v>
      </c>
      <c r="G1567" s="127" t="n">
        <v>46925</v>
      </c>
      <c r="H1567" s="127" t="n">
        <v>46289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25</v>
      </c>
      <c r="N1567" s="2" t="str">
        <f aca="false"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 t="str">
        <f aca="false">IF(OR(F1567="",G1567=""),"",IF(G1567&lt;='RETRATO 2027'!$K$5,"CONCLUÍDA",IF(F1567&lt;='RETRATO 2027'!$K$5,"EM ANDAMENTO","A INICIAR")))</f>
        <v>A INICIAR</v>
      </c>
    </row>
    <row r="1568" customFormat="false" ht="15" hidden="false" customHeight="false" outlineLevel="0" collapsed="false">
      <c r="B1568" s="4" t="n">
        <v>30205954</v>
      </c>
      <c r="C1568" s="4" t="s">
        <v>2434</v>
      </c>
      <c r="D1568" s="4" t="s">
        <v>463</v>
      </c>
      <c r="E1568" s="4" t="s">
        <v>2850</v>
      </c>
      <c r="F1568" s="127" t="n">
        <v>46884</v>
      </c>
      <c r="G1568" s="127" t="n">
        <v>46890</v>
      </c>
      <c r="H1568" s="127" t="n">
        <v>46289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25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6</v>
      </c>
      <c r="O1568" s="2" t="str">
        <f aca="false">IF(OR(F1568="",G1568=""),"",IF(G1568&lt;='RETRATO 2027'!$K$5,"CONCLUÍDA",IF(F1568&lt;='RETRATO 2027'!$K$5,"EM ANDAMENTO","A INICIAR")))</f>
        <v>A INICIAR</v>
      </c>
    </row>
    <row r="1569" customFormat="false" ht="15" hidden="false" customHeight="false" outlineLevel="0" collapsed="false">
      <c r="B1569" s="4" t="n">
        <v>30205634</v>
      </c>
      <c r="C1569" s="4" t="s">
        <v>2563</v>
      </c>
      <c r="D1569" s="4" t="s">
        <v>463</v>
      </c>
      <c r="E1569" s="4" t="s">
        <v>2824</v>
      </c>
      <c r="F1569" s="127" t="n">
        <v>46888</v>
      </c>
      <c r="G1569" s="127" t="n">
        <v>46892</v>
      </c>
      <c r="H1569" s="127" t="n">
        <v>46289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20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0</v>
      </c>
      <c r="O1569" s="2" t="str">
        <f aca="false">IF(OR(F1569="",G1569=""),"",IF(G1569&lt;='RETRATO 2027'!$K$5,"CONCLUÍDA",IF(F1569&lt;='RETRATO 2027'!$K$5,"EM ANDAMENTO","A INICIAR")))</f>
        <v>A INICIAR</v>
      </c>
    </row>
    <row r="1570" customFormat="false" ht="15" hidden="false" customHeight="false" outlineLevel="0" collapsed="false">
      <c r="B1570" s="4" t="n">
        <v>30205609</v>
      </c>
      <c r="C1570" s="4" t="s">
        <v>2578</v>
      </c>
      <c r="D1570" s="4" t="s">
        <v>463</v>
      </c>
      <c r="E1570" s="4" t="s">
        <v>2826</v>
      </c>
      <c r="F1570" s="127" t="n">
        <v>46888</v>
      </c>
      <c r="G1570" s="127" t="n">
        <v>46899</v>
      </c>
      <c r="H1570" s="127" t="n">
        <v>46289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25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0</v>
      </c>
      <c r="O1570" s="2" t="str">
        <f aca="false">IF(OR(F1570="",G1570=""),"",IF(G1570&lt;='RETRATO 2027'!$K$5,"CONCLUÍDA",IF(F1570&lt;='RETRATO 2027'!$K$5,"EM ANDAMENTO","A INICIAR")))</f>
        <v>A INICIAR</v>
      </c>
    </row>
    <row r="1571" customFormat="false" ht="15" hidden="false" customHeight="false" outlineLevel="0" collapsed="false">
      <c r="B1571" s="4" t="n">
        <v>30205608</v>
      </c>
      <c r="C1571" s="4" t="s">
        <v>2605</v>
      </c>
      <c r="D1571" s="4" t="s">
        <v>463</v>
      </c>
      <c r="E1571" s="4" t="s">
        <v>2826</v>
      </c>
      <c r="F1571" s="127" t="n">
        <v>46888</v>
      </c>
      <c r="G1571" s="127" t="n">
        <v>46899</v>
      </c>
      <c r="H1571" s="127" t="n">
        <v>46289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34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0</v>
      </c>
      <c r="O1571" s="2" t="str">
        <f aca="false">IF(OR(F1571="",G1571=""),"",IF(G1571&lt;='RETRATO 2027'!$K$5,"CONCLUÍDA",IF(F1571&lt;='RETRATO 2027'!$K$5,"EM ANDAMENTO","A INICIAR")))</f>
        <v>A INICIAR</v>
      </c>
    </row>
    <row r="1572" customFormat="false" ht="15" hidden="false" customHeight="false" outlineLevel="0" collapsed="false">
      <c r="B1572" s="4" t="n">
        <v>30205606</v>
      </c>
      <c r="C1572" s="4" t="s">
        <v>2607</v>
      </c>
      <c r="D1572" s="4" t="s">
        <v>463</v>
      </c>
      <c r="E1572" s="4" t="s">
        <v>2826</v>
      </c>
      <c r="F1572" s="127" t="n">
        <v>46888</v>
      </c>
      <c r="G1572" s="127" t="n">
        <v>46899</v>
      </c>
      <c r="H1572" s="127" t="n">
        <v>46289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34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0</v>
      </c>
      <c r="O1572" s="2" t="str">
        <f aca="false">IF(OR(F1572="",G1572=""),"",IF(G1572&lt;='RETRATO 2027'!$K$5,"CONCLUÍDA",IF(F1572&lt;='RETRATO 2027'!$K$5,"EM ANDAMENTO","A INICIAR")))</f>
        <v>A INICIAR</v>
      </c>
    </row>
    <row r="1573" customFormat="false" ht="15" hidden="false" customHeight="false" outlineLevel="0" collapsed="false">
      <c r="B1573" s="4" t="n">
        <v>30205591</v>
      </c>
      <c r="C1573" s="4" t="s">
        <v>2554</v>
      </c>
      <c r="D1573" s="4" t="s">
        <v>463</v>
      </c>
      <c r="E1573" s="4" t="s">
        <v>2828</v>
      </c>
      <c r="F1573" s="127" t="n">
        <v>46888</v>
      </c>
      <c r="G1573" s="127" t="n">
        <v>46899</v>
      </c>
      <c r="H1573" s="127" t="n">
        <v>46289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35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0</v>
      </c>
      <c r="O1573" s="2" t="str">
        <f aca="false">IF(OR(F1573="",G1573=""),"",IF(G1573&lt;='RETRATO 2027'!$K$5,"CONCLUÍDA",IF(F1573&lt;='RETRATO 2027'!$K$5,"EM ANDAMENTO","A INICIAR")))</f>
        <v>A INICIAR</v>
      </c>
    </row>
    <row r="1574" customFormat="false" ht="15" hidden="false" customHeight="false" outlineLevel="0" collapsed="false">
      <c r="B1574" s="4" t="n">
        <v>29981550</v>
      </c>
      <c r="C1574" s="4" t="s">
        <v>2649</v>
      </c>
      <c r="D1574" s="4" t="s">
        <v>463</v>
      </c>
      <c r="E1574" s="4" t="s">
        <v>2803</v>
      </c>
      <c r="F1574" s="127" t="n">
        <v>46888</v>
      </c>
      <c r="G1574" s="127" t="n">
        <v>46898</v>
      </c>
      <c r="H1574" s="127" t="n">
        <v>46289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37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7</v>
      </c>
      <c r="O1574" s="2" t="str">
        <f aca="false">IF(OR(F1574="",G1574=""),"",IF(G1574&lt;='RETRATO 2027'!$K$5,"CONCLUÍDA",IF(F1574&lt;='RETRATO 2027'!$K$5,"EM ANDAMENTO","A INICIAR")))</f>
        <v>A INICIAR</v>
      </c>
    </row>
    <row r="1575" customFormat="false" ht="15" hidden="false" customHeight="false" outlineLevel="0" collapsed="false">
      <c r="B1575" s="4" t="n">
        <v>29981503</v>
      </c>
      <c r="C1575" s="4" t="s">
        <v>2641</v>
      </c>
      <c r="D1575" s="4" t="s">
        <v>463</v>
      </c>
      <c r="E1575" s="4" t="s">
        <v>2804</v>
      </c>
      <c r="F1575" s="127" t="n">
        <v>46888</v>
      </c>
      <c r="G1575" s="127" t="n">
        <v>46898</v>
      </c>
      <c r="H1575" s="127" t="n">
        <v>46289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35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8</v>
      </c>
      <c r="O1575" s="2" t="str">
        <f aca="false">IF(OR(F1575="",G1575=""),"",IF(G1575&lt;='RETRATO 2027'!$K$5,"CONCLUÍDA",IF(F1575&lt;='RETRATO 2027'!$K$5,"EM ANDAMENTO","A INICIAR")))</f>
        <v>A INICIAR</v>
      </c>
    </row>
    <row r="1576" customFormat="false" ht="15" hidden="false" customHeight="false" outlineLevel="0" collapsed="false">
      <c r="B1576" s="4" t="n">
        <v>30205790</v>
      </c>
      <c r="C1576" s="4" t="s">
        <v>2545</v>
      </c>
      <c r="D1576" s="4" t="s">
        <v>463</v>
      </c>
      <c r="E1576" s="4" t="s">
        <v>2835</v>
      </c>
      <c r="F1576" s="127" t="n">
        <v>46890</v>
      </c>
      <c r="G1576" s="127" t="n">
        <v>46910</v>
      </c>
      <c r="H1576" s="127" t="n">
        <v>46289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25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0</v>
      </c>
      <c r="O1576" s="2" t="str">
        <f aca="false">IF(OR(F1576="",G1576=""),"",IF(G1576&lt;='RETRATO 2027'!$K$5,"CONCLUÍDA",IF(F1576&lt;='RETRATO 2027'!$K$5,"EM ANDAMENTO","A INICIAR")))</f>
        <v>A INICIAR</v>
      </c>
    </row>
    <row r="1577" customFormat="false" ht="15" hidden="false" customHeight="false" outlineLevel="0" collapsed="false">
      <c r="B1577" s="4" t="n">
        <v>30205853</v>
      </c>
      <c r="C1577" s="4" t="s">
        <v>216</v>
      </c>
      <c r="D1577" s="4" t="s">
        <v>463</v>
      </c>
      <c r="E1577" s="4" t="s">
        <v>2782</v>
      </c>
      <c r="F1577" s="127" t="n">
        <v>46890</v>
      </c>
      <c r="G1577" s="127" t="n">
        <v>46903</v>
      </c>
      <c r="H1577" s="127" t="n">
        <v>46289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33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1</v>
      </c>
      <c r="O1577" s="2" t="str">
        <f aca="false">IF(OR(F1577="",G1577=""),"",IF(G1577&lt;='RETRATO 2027'!$K$5,"CONCLUÍDA",IF(F1577&lt;='RETRATO 2027'!$K$5,"EM ANDAMENTO","A INICIAR")))</f>
        <v>A INICIAR</v>
      </c>
    </row>
    <row r="1578" customFormat="false" ht="15" hidden="false" customHeight="false" outlineLevel="0" collapsed="false">
      <c r="B1578" s="4" t="n">
        <v>30208615</v>
      </c>
      <c r="C1578" s="4" t="s">
        <v>2651</v>
      </c>
      <c r="D1578" s="4" t="s">
        <v>463</v>
      </c>
      <c r="E1578" s="4" t="s">
        <v>2846</v>
      </c>
      <c r="F1578" s="127" t="n">
        <v>46891</v>
      </c>
      <c r="G1578" s="127" t="n">
        <v>46904</v>
      </c>
      <c r="H1578" s="127" t="n">
        <v>46289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6</v>
      </c>
      <c r="O1578" s="2" t="str">
        <f aca="false">IF(OR(F1578="",G1578=""),"",IF(G1578&lt;='RETRATO 2027'!$K$5,"CONCLUÍDA",IF(F1578&lt;='RETRATO 2027'!$K$5,"EM ANDAMENTO","A INICIAR")))</f>
        <v>A INICIAR</v>
      </c>
    </row>
    <row r="1579" customFormat="false" ht="15" hidden="false" customHeight="false" outlineLevel="0" collapsed="false">
      <c r="B1579" s="4" t="n">
        <v>30206086</v>
      </c>
      <c r="C1579" s="4" t="s">
        <v>2449</v>
      </c>
      <c r="D1579" s="4" t="s">
        <v>463</v>
      </c>
      <c r="E1579" s="4" t="s">
        <v>2847</v>
      </c>
      <c r="F1579" s="127" t="n">
        <v>46891</v>
      </c>
      <c r="G1579" s="127" t="n">
        <v>46904</v>
      </c>
      <c r="H1579" s="127" t="n">
        <v>46289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6</v>
      </c>
      <c r="O1579" s="2" t="str">
        <f aca="false">IF(OR(F1579="",G1579=""),"",IF(G1579&lt;='RETRATO 2027'!$K$5,"CONCLUÍDA",IF(F1579&lt;='RETRATO 2027'!$K$5,"EM ANDAMENTO","A INICIAR")))</f>
        <v>A INICIAR</v>
      </c>
    </row>
    <row r="1580" customFormat="false" ht="15" hidden="false" customHeight="false" outlineLevel="0" collapsed="false">
      <c r="B1580" s="4" t="n">
        <v>30206048</v>
      </c>
      <c r="C1580" s="4" t="s">
        <v>171</v>
      </c>
      <c r="D1580" s="4" t="s">
        <v>463</v>
      </c>
      <c r="E1580" s="4" t="s">
        <v>2848</v>
      </c>
      <c r="F1580" s="127" t="n">
        <v>46891</v>
      </c>
      <c r="G1580" s="127" t="n">
        <v>46904</v>
      </c>
      <c r="H1580" s="127" t="n">
        <v>46289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19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6</v>
      </c>
      <c r="O1580" s="2" t="str">
        <f aca="false">IF(OR(F1580="",G1580=""),"",IF(G1580&lt;='RETRATO 2027'!$K$5,"CONCLUÍDA",IF(F1580&lt;='RETRATO 2027'!$K$5,"EM ANDAMENTO","A INICIAR")))</f>
        <v>A INICIAR</v>
      </c>
    </row>
    <row r="1581" customFormat="false" ht="15" hidden="false" customHeight="false" outlineLevel="0" collapsed="false">
      <c r="B1581" s="4" t="n">
        <v>30205989</v>
      </c>
      <c r="C1581" s="4" t="s">
        <v>2440</v>
      </c>
      <c r="D1581" s="4" t="s">
        <v>463</v>
      </c>
      <c r="E1581" s="4" t="s">
        <v>2849</v>
      </c>
      <c r="F1581" s="127" t="n">
        <v>46891</v>
      </c>
      <c r="G1581" s="127" t="n">
        <v>46904</v>
      </c>
      <c r="H1581" s="127" t="n">
        <v>46289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21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6</v>
      </c>
      <c r="O1581" s="2" t="str">
        <f aca="false">IF(OR(F1581="",G1581=""),"",IF(G1581&lt;='RETRATO 2027'!$K$5,"CONCLUÍDA",IF(F1581&lt;='RETRATO 2027'!$K$5,"EM ANDAMENTO","A INICIAR")))</f>
        <v>A INICIAR</v>
      </c>
    </row>
    <row r="1582" customFormat="false" ht="15" hidden="false" customHeight="false" outlineLevel="0" collapsed="false">
      <c r="B1582" s="4" t="n">
        <v>30205951</v>
      </c>
      <c r="C1582" s="4" t="s">
        <v>2437</v>
      </c>
      <c r="D1582" s="4" t="s">
        <v>463</v>
      </c>
      <c r="E1582" s="4" t="s">
        <v>2850</v>
      </c>
      <c r="F1582" s="127" t="n">
        <v>46891</v>
      </c>
      <c r="G1582" s="127" t="n">
        <v>46904</v>
      </c>
      <c r="H1582" s="127" t="n">
        <v>46289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29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6</v>
      </c>
      <c r="O1582" s="2" t="str">
        <f aca="false">IF(OR(F1582="",G1582=""),"",IF(G1582&lt;='RETRATO 2027'!$K$5,"CONCLUÍDA",IF(F1582&lt;='RETRATO 2027'!$K$5,"EM ANDAMENTO","A INICIAR")))</f>
        <v>A INICIAR</v>
      </c>
    </row>
    <row r="1583" customFormat="false" ht="15" hidden="false" customHeight="false" outlineLevel="0" collapsed="false">
      <c r="B1583" s="4" t="n">
        <v>30205719</v>
      </c>
      <c r="C1583" s="4" t="s">
        <v>2629</v>
      </c>
      <c r="D1583" s="4" t="s">
        <v>463</v>
      </c>
      <c r="E1583" s="4" t="s">
        <v>2740</v>
      </c>
      <c r="F1583" s="127" t="n">
        <v>46892</v>
      </c>
      <c r="G1583" s="127" t="n">
        <v>46905</v>
      </c>
      <c r="H1583" s="127" t="n">
        <v>46289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20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-1</v>
      </c>
      <c r="O1583" s="2" t="str">
        <f aca="false">IF(OR(F1583="",G1583=""),"",IF(G1583&lt;='RETRATO 2027'!$K$5,"CONCLUÍDA",IF(F1583&lt;='RETRATO 2027'!$K$5,"EM ANDAMENTO","A INICIAR")))</f>
        <v>A INICIAR</v>
      </c>
    </row>
    <row r="1584" customFormat="false" ht="15" hidden="false" customHeight="false" outlineLevel="0" collapsed="false">
      <c r="B1584" s="4" t="n">
        <v>30205718</v>
      </c>
      <c r="C1584" s="4" t="s">
        <v>2653</v>
      </c>
      <c r="D1584" s="4" t="s">
        <v>463</v>
      </c>
      <c r="E1584" s="4" t="s">
        <v>2740</v>
      </c>
      <c r="F1584" s="127" t="n">
        <v>46892</v>
      </c>
      <c r="G1584" s="127" t="n">
        <v>46912</v>
      </c>
      <c r="H1584" s="127" t="n">
        <v>46289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31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-1</v>
      </c>
      <c r="O1584" s="2" t="str">
        <f aca="false">IF(OR(F1584="",G1584=""),"",IF(G1584&lt;='RETRATO 2027'!$K$5,"CONCLUÍDA",IF(F1584&lt;='RETRATO 2027'!$K$5,"EM ANDAMENTO","A INICIAR")))</f>
        <v>A INICIAR</v>
      </c>
    </row>
    <row r="1585" customFormat="false" ht="15" hidden="false" customHeight="false" outlineLevel="0" collapsed="false">
      <c r="B1585" s="4" t="n">
        <v>30205730</v>
      </c>
      <c r="C1585" s="4" t="s">
        <v>2655</v>
      </c>
      <c r="D1585" s="4" t="s">
        <v>463</v>
      </c>
      <c r="E1585" s="4" t="s">
        <v>2740</v>
      </c>
      <c r="F1585" s="127" t="n">
        <v>46892</v>
      </c>
      <c r="G1585" s="127" t="n">
        <v>46905</v>
      </c>
      <c r="H1585" s="127" t="n">
        <v>46289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34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-1</v>
      </c>
      <c r="O1585" s="2" t="str">
        <f aca="false">IF(OR(F1585="",G1585=""),"",IF(G1585&lt;='RETRATO 2027'!$K$5,"CONCLUÍDA",IF(F1585&lt;='RETRATO 2027'!$K$5,"EM ANDAMENTO","A INICIAR")))</f>
        <v>A INICIAR</v>
      </c>
    </row>
    <row r="1586" customFormat="false" ht="15" hidden="false" customHeight="false" outlineLevel="0" collapsed="false">
      <c r="B1586" s="4" t="n">
        <v>30205731</v>
      </c>
      <c r="C1586" s="4" t="s">
        <v>2656</v>
      </c>
      <c r="D1586" s="4" t="s">
        <v>463</v>
      </c>
      <c r="E1586" s="4" t="s">
        <v>2740</v>
      </c>
      <c r="F1586" s="127" t="n">
        <v>46892</v>
      </c>
      <c r="G1586" s="127" t="n">
        <v>46905</v>
      </c>
      <c r="H1586" s="127" t="n">
        <v>46289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20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-1</v>
      </c>
      <c r="O1586" s="2" t="str">
        <f aca="false">IF(OR(F1586="",G1586=""),"",IF(G1586&lt;='RETRATO 2027'!$K$5,"CONCLUÍDA",IF(F1586&lt;='RETRATO 2027'!$K$5,"EM ANDAMENTO","A INICIAR")))</f>
        <v>A INICIAR</v>
      </c>
    </row>
    <row r="1587" customFormat="false" ht="15" hidden="false" customHeight="false" outlineLevel="0" collapsed="false">
      <c r="B1587" s="4" t="n">
        <v>30205734</v>
      </c>
      <c r="C1587" s="4" t="s">
        <v>2581</v>
      </c>
      <c r="D1587" s="4" t="s">
        <v>463</v>
      </c>
      <c r="E1587" s="4" t="s">
        <v>2740</v>
      </c>
      <c r="F1587" s="127" t="n">
        <v>46892</v>
      </c>
      <c r="G1587" s="127" t="n">
        <v>46905</v>
      </c>
      <c r="H1587" s="127" t="n">
        <v>46289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/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-1</v>
      </c>
      <c r="O1587" s="2" t="str">
        <f aca="false">IF(OR(F1587="",G1587=""),"",IF(G1587&lt;='RETRATO 2027'!$K$5,"CONCLUÍDA",IF(F1587&lt;='RETRATO 2027'!$K$5,"EM ANDAMENTO","A INICIAR")))</f>
        <v>A INICIAR</v>
      </c>
    </row>
    <row r="1588" customFormat="false" ht="15" hidden="false" customHeight="false" outlineLevel="0" collapsed="false">
      <c r="B1588" s="4" t="n">
        <v>29981465</v>
      </c>
      <c r="C1588" s="4" t="s">
        <v>2637</v>
      </c>
      <c r="D1588" s="4" t="s">
        <v>463</v>
      </c>
      <c r="E1588" s="4" t="s">
        <v>2805</v>
      </c>
      <c r="F1588" s="127" t="n">
        <v>46892</v>
      </c>
      <c r="G1588" s="127" t="n">
        <v>46898</v>
      </c>
      <c r="H1588" s="127" t="n">
        <v>46289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/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9</v>
      </c>
      <c r="O1588" s="2" t="str">
        <f aca="false">IF(OR(F1588="",G1588=""),"",IF(G1588&lt;='RETRATO 2027'!$K$5,"CONCLUÍDA",IF(F1588&lt;='RETRATO 2027'!$K$5,"EM ANDAMENTO","A INICIAR")))</f>
        <v>A INICIAR</v>
      </c>
    </row>
    <row r="1589" customFormat="false" ht="15" hidden="false" customHeight="false" outlineLevel="0" collapsed="false">
      <c r="B1589" s="4" t="n">
        <v>29981430</v>
      </c>
      <c r="C1589" s="4" t="s">
        <v>2629</v>
      </c>
      <c r="D1589" s="4" t="s">
        <v>463</v>
      </c>
      <c r="E1589" s="4" t="s">
        <v>2809</v>
      </c>
      <c r="F1589" s="127" t="n">
        <v>46892</v>
      </c>
      <c r="G1589" s="127" t="n">
        <v>46904</v>
      </c>
      <c r="H1589" s="127" t="n">
        <v>46289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A INICIAR</v>
      </c>
    </row>
    <row r="1590" customFormat="false" ht="15" hidden="false" customHeight="false" outlineLevel="0" collapsed="false">
      <c r="B1590" s="4" t="n">
        <v>29981390</v>
      </c>
      <c r="C1590" s="4" t="s">
        <v>2623</v>
      </c>
      <c r="D1590" s="4" t="s">
        <v>463</v>
      </c>
      <c r="E1590" s="4" t="s">
        <v>2810</v>
      </c>
      <c r="F1590" s="127" t="n">
        <v>46892</v>
      </c>
      <c r="G1590" s="127" t="n">
        <v>46904</v>
      </c>
      <c r="H1590" s="127" t="n">
        <v>46289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35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11</v>
      </c>
      <c r="O1590" s="2" t="str">
        <f aca="false">IF(OR(F1590="",G1590=""),"",IF(G1590&lt;='RETRATO 2027'!$K$5,"CONCLUÍDA",IF(F1590&lt;='RETRATO 2027'!$K$5,"EM ANDAMENTO","A INICIAR")))</f>
        <v>A INICIAR</v>
      </c>
    </row>
    <row r="1591" customFormat="false" ht="15" hidden="false" customHeight="false" outlineLevel="0" collapsed="false">
      <c r="B1591" s="4" t="n">
        <v>33919789</v>
      </c>
      <c r="C1591" s="4" t="s">
        <v>2625</v>
      </c>
      <c r="D1591" s="4" t="s">
        <v>463</v>
      </c>
      <c r="E1591" s="4" t="s">
        <v>2810</v>
      </c>
      <c r="F1591" s="127" t="n">
        <v>46892</v>
      </c>
      <c r="G1591" s="127" t="n">
        <v>46904</v>
      </c>
      <c r="H1591" s="127" t="n">
        <v>46289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32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A INICIAR</v>
      </c>
    </row>
    <row r="1592" customFormat="false" ht="15" hidden="false" customHeight="false" outlineLevel="0" collapsed="false">
      <c r="B1592" s="4" t="n">
        <v>29981352</v>
      </c>
      <c r="C1592" s="4" t="s">
        <v>2615</v>
      </c>
      <c r="D1592" s="4" t="s">
        <v>463</v>
      </c>
      <c r="E1592" s="4" t="s">
        <v>2811</v>
      </c>
      <c r="F1592" s="127" t="n">
        <v>46892</v>
      </c>
      <c r="G1592" s="127" t="n">
        <v>46904</v>
      </c>
      <c r="H1592" s="127" t="n">
        <v>46289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37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12</v>
      </c>
      <c r="O1592" s="2" t="str">
        <f aca="false">IF(OR(F1592="",G1592=""),"",IF(G1592&lt;='RETRATO 2027'!$K$5,"CONCLUÍDA",IF(F1592&lt;='RETRATO 2027'!$K$5,"EM ANDAMENTO","A INICIAR")))</f>
        <v>A INICIAR</v>
      </c>
    </row>
    <row r="1593" customFormat="false" ht="15" hidden="false" customHeight="false" outlineLevel="0" collapsed="false">
      <c r="B1593" s="4" t="n">
        <v>29981309</v>
      </c>
      <c r="C1593" s="4" t="s">
        <v>2605</v>
      </c>
      <c r="D1593" s="4" t="s">
        <v>463</v>
      </c>
      <c r="E1593" s="4" t="s">
        <v>2812</v>
      </c>
      <c r="F1593" s="127" t="n">
        <v>46892</v>
      </c>
      <c r="G1593" s="127" t="n">
        <v>46904</v>
      </c>
      <c r="H1593" s="127" t="n">
        <v>46289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34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A INICIAR</v>
      </c>
    </row>
    <row r="1594" customFormat="false" ht="15" hidden="false" customHeight="false" outlineLevel="0" collapsed="false">
      <c r="B1594" s="4" t="n">
        <v>29981314</v>
      </c>
      <c r="C1594" s="4" t="s">
        <v>2607</v>
      </c>
      <c r="D1594" s="4" t="s">
        <v>463</v>
      </c>
      <c r="E1594" s="4" t="s">
        <v>2812</v>
      </c>
      <c r="F1594" s="127" t="n">
        <v>46892</v>
      </c>
      <c r="G1594" s="127" t="n">
        <v>46904</v>
      </c>
      <c r="H1594" s="127" t="n">
        <v>46289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34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A INICIAR</v>
      </c>
    </row>
    <row r="1595" customFormat="false" ht="15" hidden="false" customHeight="false" outlineLevel="0" collapsed="false">
      <c r="B1595" s="4" t="n">
        <v>29981313</v>
      </c>
      <c r="C1595" s="4" t="s">
        <v>2563</v>
      </c>
      <c r="D1595" s="4" t="s">
        <v>463</v>
      </c>
      <c r="E1595" s="4" t="s">
        <v>2812</v>
      </c>
      <c r="F1595" s="127" t="n">
        <v>46892</v>
      </c>
      <c r="G1595" s="127" t="n">
        <v>46904</v>
      </c>
      <c r="H1595" s="127" t="n">
        <v>46289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20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13</v>
      </c>
      <c r="O1595" s="2" t="str">
        <f aca="false">IF(OR(F1595="",G1595=""),"",IF(G1595&lt;='RETRATO 2027'!$K$5,"CONCLUÍDA",IF(F1595&lt;='RETRATO 2027'!$K$5,"EM ANDAMENTO","A INICIAR")))</f>
        <v>A INICIAR</v>
      </c>
    </row>
    <row r="1596" customFormat="false" ht="15" hidden="false" customHeight="false" outlineLevel="0" collapsed="false">
      <c r="B1596" s="4" t="n">
        <v>29981312</v>
      </c>
      <c r="C1596" s="4" t="s">
        <v>2609</v>
      </c>
      <c r="D1596" s="4" t="s">
        <v>463</v>
      </c>
      <c r="E1596" s="4" t="s">
        <v>2812</v>
      </c>
      <c r="F1596" s="127" t="n">
        <v>46892</v>
      </c>
      <c r="G1596" s="127" t="n">
        <v>46904</v>
      </c>
      <c r="H1596" s="127" t="n">
        <v>46289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23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13</v>
      </c>
      <c r="O1596" s="2" t="str">
        <f aca="false">IF(OR(F1596="",G1596=""),"",IF(G1596&lt;='RETRATO 2027'!$K$5,"CONCLUÍDA",IF(F1596&lt;='RETRATO 2027'!$K$5,"EM ANDAMENTO","A INICIAR")))</f>
        <v>A INICIAR</v>
      </c>
    </row>
    <row r="1597" customFormat="false" ht="15" hidden="false" customHeight="false" outlineLevel="0" collapsed="false">
      <c r="B1597" s="4" t="n">
        <v>29981271</v>
      </c>
      <c r="C1597" s="4" t="s">
        <v>2599</v>
      </c>
      <c r="D1597" s="4" t="s">
        <v>463</v>
      </c>
      <c r="E1597" s="4" t="s">
        <v>2813</v>
      </c>
      <c r="F1597" s="127" t="n">
        <v>46892</v>
      </c>
      <c r="G1597" s="127" t="n">
        <v>46904</v>
      </c>
      <c r="H1597" s="127" t="n">
        <v>46289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30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14</v>
      </c>
      <c r="O1597" s="2" t="str">
        <f aca="false">IF(OR(F1597="",G1597=""),"",IF(G1597&lt;='RETRATO 2027'!$K$5,"CONCLUÍDA",IF(F1597&lt;='RETRATO 2027'!$K$5,"EM ANDAMENTO","A INICIAR")))</f>
        <v>A INICIAR</v>
      </c>
    </row>
    <row r="1598" customFormat="false" ht="15" hidden="false" customHeight="false" outlineLevel="0" collapsed="false">
      <c r="B1598" s="4" t="n">
        <v>29981233</v>
      </c>
      <c r="C1598" s="4" t="s">
        <v>2578</v>
      </c>
      <c r="D1598" s="4" t="s">
        <v>463</v>
      </c>
      <c r="E1598" s="4" t="s">
        <v>2814</v>
      </c>
      <c r="F1598" s="127" t="n">
        <v>46892</v>
      </c>
      <c r="G1598" s="127" t="n">
        <v>46904</v>
      </c>
      <c r="H1598" s="127" t="n">
        <v>46289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25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15</v>
      </c>
      <c r="O1598" s="2" t="str">
        <f aca="false">IF(OR(F1598="",G1598=""),"",IF(G1598&lt;='RETRATO 2027'!$K$5,"CONCLUÍDA",IF(F1598&lt;='RETRATO 2027'!$K$5,"EM ANDAMENTO","A INICIAR")))</f>
        <v>A INICIAR</v>
      </c>
    </row>
    <row r="1599" customFormat="false" ht="15" hidden="false" customHeight="false" outlineLevel="0" collapsed="false">
      <c r="B1599" s="4" t="n">
        <v>29981195</v>
      </c>
      <c r="C1599" s="4" t="s">
        <v>2569</v>
      </c>
      <c r="D1599" s="4" t="s">
        <v>463</v>
      </c>
      <c r="E1599" s="4" t="s">
        <v>2815</v>
      </c>
      <c r="F1599" s="127" t="n">
        <v>46892</v>
      </c>
      <c r="G1599" s="127" t="n">
        <v>46904</v>
      </c>
      <c r="H1599" s="127" t="n">
        <v>46289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30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16</v>
      </c>
      <c r="O1599" s="2" t="str">
        <f aca="false">IF(OR(F1599="",G1599=""),"",IF(G1599&lt;='RETRATO 2027'!$K$5,"CONCLUÍDA",IF(F1599&lt;='RETRATO 2027'!$K$5,"EM ANDAMENTO","A INICIAR")))</f>
        <v>A INICIAR</v>
      </c>
    </row>
    <row r="1600" customFormat="false" ht="15" hidden="false" customHeight="false" outlineLevel="0" collapsed="false">
      <c r="B1600" s="4" t="n">
        <v>29981157</v>
      </c>
      <c r="C1600" s="4" t="s">
        <v>2554</v>
      </c>
      <c r="D1600" s="4" t="s">
        <v>463</v>
      </c>
      <c r="E1600" s="4" t="s">
        <v>2818</v>
      </c>
      <c r="F1600" s="127" t="n">
        <v>46892</v>
      </c>
      <c r="G1600" s="127" t="n">
        <v>46904</v>
      </c>
      <c r="H1600" s="127" t="n">
        <v>46289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17</v>
      </c>
      <c r="O1600" s="2" t="str">
        <f aca="false">IF(OR(F1600="",G1600=""),"",IF(G1600&lt;='RETRATO 2027'!$K$5,"CONCLUÍDA",IF(F1600&lt;='RETRATO 2027'!$K$5,"EM ANDAMENTO","A INICIAR")))</f>
        <v>A INICIAR</v>
      </c>
    </row>
    <row r="1601" customFormat="false" ht="15" hidden="false" customHeight="false" outlineLevel="0" collapsed="false">
      <c r="B1601" s="4" t="n">
        <v>29981146</v>
      </c>
      <c r="C1601" s="4" t="s">
        <v>2539</v>
      </c>
      <c r="D1601" s="4" t="s">
        <v>463</v>
      </c>
      <c r="E1601" s="4" t="s">
        <v>2820</v>
      </c>
      <c r="F1601" s="127" t="n">
        <v>46892</v>
      </c>
      <c r="G1601" s="127" t="n">
        <v>46904</v>
      </c>
      <c r="H1601" s="127" t="n">
        <v>46289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35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18</v>
      </c>
      <c r="O1601" s="2" t="str">
        <f aca="false">IF(OR(F1601="",G1601=""),"",IF(G1601&lt;='RETRATO 2027'!$K$5,"CONCLUÍDA",IF(F1601&lt;='RETRATO 2027'!$K$5,"EM ANDAMENTO","A INICIAR")))</f>
        <v>A INICIAR</v>
      </c>
    </row>
    <row r="1602" customFormat="false" ht="15" hidden="false" customHeight="false" outlineLevel="0" collapsed="false">
      <c r="B1602" s="4" t="n">
        <v>33898103</v>
      </c>
      <c r="C1602" s="4" t="s">
        <v>2545</v>
      </c>
      <c r="D1602" s="4" t="s">
        <v>463</v>
      </c>
      <c r="E1602" s="4" t="s">
        <v>2823</v>
      </c>
      <c r="F1602" s="127" t="n">
        <v>46892</v>
      </c>
      <c r="G1602" s="127" t="n">
        <v>46904</v>
      </c>
      <c r="H1602" s="127" t="n">
        <v>46289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25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20</v>
      </c>
      <c r="O1602" s="2" t="str">
        <f aca="false">IF(OR(F1602="",G1602=""),"",IF(G1602&lt;='RETRATO 2027'!$K$5,"CONCLUÍDA",IF(F1602&lt;='RETRATO 2027'!$K$5,"EM ANDAMENTO","A INICIAR")))</f>
        <v>A INICIAR</v>
      </c>
    </row>
    <row r="1603" customFormat="false" ht="15" hidden="false" customHeight="false" outlineLevel="0" collapsed="false">
      <c r="B1603" s="4" t="n">
        <v>30210366</v>
      </c>
      <c r="C1603" s="4" t="s">
        <v>2658</v>
      </c>
      <c r="D1603" s="4" t="s">
        <v>463</v>
      </c>
      <c r="E1603" s="4" t="s">
        <v>186</v>
      </c>
      <c r="F1603" s="127" t="n">
        <v>46892</v>
      </c>
      <c r="G1603" s="127" t="n">
        <v>46939</v>
      </c>
      <c r="H1603" s="127" t="n">
        <v>46289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24</v>
      </c>
      <c r="N1603" s="2" t="str">
        <f aca="false"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 t="str">
        <f aca="false">IF(OR(F1603="",G1603=""),"",IF(G1603&lt;='RETRATO 2027'!$K$5,"CONCLUÍDA",IF(F1603&lt;='RETRATO 2027'!$K$5,"EM ANDAMENTO","A INICIAR")))</f>
        <v>A INICIAR</v>
      </c>
    </row>
    <row r="1604" customFormat="false" ht="15" hidden="false" customHeight="false" outlineLevel="0" collapsed="false">
      <c r="B1604" s="4" t="n">
        <v>30205695</v>
      </c>
      <c r="C1604" s="4" t="s">
        <v>2629</v>
      </c>
      <c r="D1604" s="4" t="s">
        <v>463</v>
      </c>
      <c r="E1604" s="4" t="s">
        <v>2819</v>
      </c>
      <c r="F1604" s="127" t="n">
        <v>46895</v>
      </c>
      <c r="G1604" s="127" t="n">
        <v>46906</v>
      </c>
      <c r="H1604" s="127" t="n">
        <v>46289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20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0</v>
      </c>
      <c r="O1604" s="2" t="str">
        <f aca="false">IF(OR(F1604="",G1604=""),"",IF(G1604&lt;='RETRATO 2027'!$K$5,"CONCLUÍDA",IF(F1604&lt;='RETRATO 2027'!$K$5,"EM ANDAMENTO","A INICIAR")))</f>
        <v>A INICIAR</v>
      </c>
    </row>
    <row r="1605" customFormat="false" ht="15" hidden="false" customHeight="false" outlineLevel="0" collapsed="false">
      <c r="B1605" s="4" t="n">
        <v>30205667</v>
      </c>
      <c r="C1605" s="4" t="s">
        <v>2623</v>
      </c>
      <c r="D1605" s="4" t="s">
        <v>463</v>
      </c>
      <c r="E1605" s="4" t="s">
        <v>2821</v>
      </c>
      <c r="F1605" s="127" t="n">
        <v>46895</v>
      </c>
      <c r="G1605" s="127" t="n">
        <v>46906</v>
      </c>
      <c r="H1605" s="127" t="n">
        <v>46289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35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0</v>
      </c>
      <c r="O1605" s="2" t="str">
        <f aca="false">IF(OR(F1605="",G1605=""),"",IF(G1605&lt;='RETRATO 2027'!$K$5,"CONCLUÍDA",IF(F1605&lt;='RETRATO 2027'!$K$5,"EM ANDAMENTO","A INICIAR")))</f>
        <v>A INICIAR</v>
      </c>
    </row>
    <row r="1606" customFormat="false" ht="15" hidden="false" customHeight="false" outlineLevel="0" collapsed="false">
      <c r="B1606" s="4" t="n">
        <v>30205653</v>
      </c>
      <c r="C1606" s="4" t="s">
        <v>2615</v>
      </c>
      <c r="D1606" s="4" t="s">
        <v>463</v>
      </c>
      <c r="E1606" s="4" t="s">
        <v>2824</v>
      </c>
      <c r="F1606" s="127" t="n">
        <v>46895</v>
      </c>
      <c r="G1606" s="127" t="n">
        <v>46906</v>
      </c>
      <c r="H1606" s="127" t="n">
        <v>46289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37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0</v>
      </c>
      <c r="O1606" s="2" t="str">
        <f aca="false">IF(OR(F1606="",G1606=""),"",IF(G1606&lt;='RETRATO 2027'!$K$5,"CONCLUÍDA",IF(F1606&lt;='RETRATO 2027'!$K$5,"EM ANDAMENTO","A INICIAR")))</f>
        <v>A INICIAR</v>
      </c>
    </row>
    <row r="1607" customFormat="false" ht="15" hidden="false" customHeight="false" outlineLevel="0" collapsed="false">
      <c r="B1607" s="4" t="n">
        <v>30171510</v>
      </c>
      <c r="C1607" s="4" t="s">
        <v>2629</v>
      </c>
      <c r="D1607" s="4" t="s">
        <v>463</v>
      </c>
      <c r="E1607" s="4" t="s">
        <v>2817</v>
      </c>
      <c r="F1607" s="127" t="n">
        <v>46895</v>
      </c>
      <c r="G1607" s="127" t="n">
        <v>47176</v>
      </c>
      <c r="H1607" s="127" t="n">
        <v>46289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20</v>
      </c>
      <c r="N1607" s="2" t="str">
        <f aca="false"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 t="str">
        <f aca="false">IF(OR(F1607="",G1607=""),"",IF(G1607&lt;='RETRATO 2027'!$K$5,"CONCLUÍDA",IF(F1607&lt;='RETRATO 2027'!$K$5,"EM ANDAMENTO","A INICIAR")))</f>
        <v>A INICIAR</v>
      </c>
    </row>
    <row r="1608" customFormat="false" ht="15" hidden="false" customHeight="false" outlineLevel="0" collapsed="false">
      <c r="B1608" s="4" t="n">
        <v>29980922</v>
      </c>
      <c r="C1608" s="4" t="s">
        <v>216</v>
      </c>
      <c r="D1608" s="4" t="s">
        <v>463</v>
      </c>
      <c r="E1608" s="4" t="s">
        <v>2831</v>
      </c>
      <c r="F1608" s="127" t="n">
        <v>46895</v>
      </c>
      <c r="G1608" s="127" t="n">
        <v>46905</v>
      </c>
      <c r="H1608" s="127" t="n">
        <v>46289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33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24</v>
      </c>
      <c r="O1608" s="2" t="str">
        <f aca="false">IF(OR(F1608="",G1608=""),"",IF(G1608&lt;='RETRATO 2027'!$K$5,"CONCLUÍDA",IF(F1608&lt;='RETRATO 2027'!$K$5,"EM ANDAMENTO","A INICIAR")))</f>
        <v>A INICIAR</v>
      </c>
    </row>
    <row r="1609" customFormat="false" ht="15" hidden="false" customHeight="false" outlineLevel="0" collapsed="false">
      <c r="B1609" s="4" t="n">
        <v>29980883</v>
      </c>
      <c r="C1609" s="4" t="s">
        <v>2508</v>
      </c>
      <c r="D1609" s="4" t="s">
        <v>463</v>
      </c>
      <c r="E1609" s="4" t="s">
        <v>2833</v>
      </c>
      <c r="F1609" s="127" t="n">
        <v>46895</v>
      </c>
      <c r="G1609" s="127" t="n">
        <v>46905</v>
      </c>
      <c r="H1609" s="127" t="n">
        <v>46289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20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25</v>
      </c>
      <c r="O1609" s="2" t="str">
        <f aca="false">IF(OR(F1609="",G1609=""),"",IF(G1609&lt;='RETRATO 2027'!$K$5,"CONCLUÍDA",IF(F1609&lt;='RETRATO 2027'!$K$5,"EM ANDAMENTO","A INICIAR")))</f>
        <v>A INICIAR</v>
      </c>
    </row>
    <row r="1610" customFormat="false" ht="15" hidden="false" customHeight="false" outlineLevel="0" collapsed="false">
      <c r="B1610" s="4" t="n">
        <v>29980888</v>
      </c>
      <c r="C1610" s="4" t="s">
        <v>2511</v>
      </c>
      <c r="D1610" s="4" t="s">
        <v>463</v>
      </c>
      <c r="E1610" s="4" t="s">
        <v>2833</v>
      </c>
      <c r="F1610" s="127" t="n">
        <v>46895</v>
      </c>
      <c r="G1610" s="127" t="n">
        <v>46905</v>
      </c>
      <c r="H1610" s="127" t="n">
        <v>46289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20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25</v>
      </c>
      <c r="O1610" s="2" t="str">
        <f aca="false">IF(OR(F1610="",G1610=""),"",IF(G1610&lt;='RETRATO 2027'!$K$5,"CONCLUÍDA",IF(F1610&lt;='RETRATO 2027'!$K$5,"EM ANDAMENTO","A INICIAR")))</f>
        <v>A INICIAR</v>
      </c>
    </row>
    <row r="1611" customFormat="false" ht="15" hidden="false" customHeight="false" outlineLevel="0" collapsed="false">
      <c r="B1611" s="4" t="n">
        <v>30214087</v>
      </c>
      <c r="C1611" s="4" t="s">
        <v>2514</v>
      </c>
      <c r="D1611" s="4" t="s">
        <v>463</v>
      </c>
      <c r="E1611" s="4" t="s">
        <v>2833</v>
      </c>
      <c r="F1611" s="127" t="n">
        <v>46895</v>
      </c>
      <c r="G1611" s="127" t="n">
        <v>46906</v>
      </c>
      <c r="H1611" s="127" t="n">
        <v>46289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20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25</v>
      </c>
      <c r="O1611" s="2" t="str">
        <f aca="false">IF(OR(F1611="",G1611=""),"",IF(G1611&lt;='RETRATO 2027'!$K$5,"CONCLUÍDA",IF(F1611&lt;='RETRATO 2027'!$K$5,"EM ANDAMENTO","A INICIAR")))</f>
        <v>A INICIAR</v>
      </c>
    </row>
    <row r="1612" customFormat="false" ht="15" hidden="false" customHeight="false" outlineLevel="0" collapsed="false">
      <c r="B1612" s="4" t="n">
        <v>29980830</v>
      </c>
      <c r="C1612" s="4" t="s">
        <v>2501</v>
      </c>
      <c r="D1612" s="4" t="s">
        <v>463</v>
      </c>
      <c r="E1612" s="4" t="s">
        <v>2834</v>
      </c>
      <c r="F1612" s="127" t="n">
        <v>46895</v>
      </c>
      <c r="G1612" s="127" t="n">
        <v>46905</v>
      </c>
      <c r="H1612" s="127" t="n">
        <v>46289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30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26</v>
      </c>
      <c r="O1612" s="2" t="str">
        <f aca="false">IF(OR(F1612="",G1612=""),"",IF(G1612&lt;='RETRATO 2027'!$K$5,"CONCLUÍDA",IF(F1612&lt;='RETRATO 2027'!$K$5,"EM ANDAMENTO","A INICIAR")))</f>
        <v>A INICIAR</v>
      </c>
    </row>
    <row r="1613" customFormat="false" ht="15" hidden="false" customHeight="false" outlineLevel="0" collapsed="false">
      <c r="B1613" s="4" t="n">
        <v>29980792</v>
      </c>
      <c r="C1613" s="4" t="s">
        <v>2486</v>
      </c>
      <c r="D1613" s="4" t="s">
        <v>463</v>
      </c>
      <c r="E1613" s="4" t="s">
        <v>2838</v>
      </c>
      <c r="F1613" s="127" t="n">
        <v>46895</v>
      </c>
      <c r="G1613" s="127" t="n">
        <v>46905</v>
      </c>
      <c r="H1613" s="127" t="n">
        <v>46289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27</v>
      </c>
      <c r="O1613" s="2" t="str">
        <f aca="false">IF(OR(F1613="",G1613=""),"",IF(G1613&lt;='RETRATO 2027'!$K$5,"CONCLUÍDA",IF(F1613&lt;='RETRATO 2027'!$K$5,"EM ANDAMENTO","A INICIAR")))</f>
        <v>A INICIAR</v>
      </c>
    </row>
    <row r="1614" customFormat="false" ht="15" hidden="false" customHeight="false" outlineLevel="0" collapsed="false">
      <c r="B1614" s="4" t="n">
        <v>29980771</v>
      </c>
      <c r="C1614" s="4" t="s">
        <v>2480</v>
      </c>
      <c r="D1614" s="4" t="s">
        <v>463</v>
      </c>
      <c r="E1614" s="4" t="s">
        <v>2840</v>
      </c>
      <c r="F1614" s="127" t="n">
        <v>46895</v>
      </c>
      <c r="G1614" s="127" t="n">
        <v>46905</v>
      </c>
      <c r="H1614" s="127" t="n">
        <v>46289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30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28</v>
      </c>
      <c r="O1614" s="2" t="str">
        <f aca="false">IF(OR(F1614="",G1614=""),"",IF(G1614&lt;='RETRATO 2027'!$K$5,"CONCLUÍDA",IF(F1614&lt;='RETRATO 2027'!$K$5,"EM ANDAMENTO","A INICIAR")))</f>
        <v>A INICIAR</v>
      </c>
    </row>
    <row r="1615" customFormat="false" ht="15" hidden="false" customHeight="false" outlineLevel="0" collapsed="false">
      <c r="B1615" s="4" t="n">
        <v>29980732</v>
      </c>
      <c r="C1615" s="4" t="s">
        <v>171</v>
      </c>
      <c r="D1615" s="4" t="s">
        <v>463</v>
      </c>
      <c r="E1615" s="4" t="s">
        <v>2841</v>
      </c>
      <c r="F1615" s="127" t="n">
        <v>46895</v>
      </c>
      <c r="G1615" s="127" t="n">
        <v>46905</v>
      </c>
      <c r="H1615" s="127" t="n">
        <v>46289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19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29</v>
      </c>
      <c r="O1615" s="2" t="str">
        <f aca="false">IF(OR(F1615="",G1615=""),"",IF(G1615&lt;='RETRATO 2027'!$K$5,"CONCLUÍDA",IF(F1615&lt;='RETRATO 2027'!$K$5,"EM ANDAMENTO","A INICIAR")))</f>
        <v>A INICIAR</v>
      </c>
    </row>
    <row r="1616" customFormat="false" ht="15" hidden="false" customHeight="false" outlineLevel="0" collapsed="false">
      <c r="B1616" s="4" t="n">
        <v>32750456</v>
      </c>
      <c r="C1616" s="4" t="s">
        <v>2470</v>
      </c>
      <c r="D1616" s="4" t="s">
        <v>463</v>
      </c>
      <c r="E1616" s="4" t="s">
        <v>2842</v>
      </c>
      <c r="F1616" s="127" t="n">
        <v>46895</v>
      </c>
      <c r="G1616" s="127" t="n">
        <v>46905</v>
      </c>
      <c r="H1616" s="127" t="n">
        <v>46289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18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30</v>
      </c>
      <c r="O1616" s="2" t="str">
        <f aca="false">IF(OR(F1616="",G1616=""),"",IF(G1616&lt;='RETRATO 2027'!$K$5,"CONCLUÍDA",IF(F1616&lt;='RETRATO 2027'!$K$5,"EM ANDAMENTO","A INICIAR")))</f>
        <v>A INICIAR</v>
      </c>
    </row>
    <row r="1617" customFormat="false" ht="15" hidden="false" customHeight="false" outlineLevel="0" collapsed="false">
      <c r="B1617" s="4" t="n">
        <v>32750379</v>
      </c>
      <c r="C1617" s="4" t="s">
        <v>2458</v>
      </c>
      <c r="D1617" s="4" t="s">
        <v>463</v>
      </c>
      <c r="E1617" s="4" t="s">
        <v>2843</v>
      </c>
      <c r="F1617" s="127" t="n">
        <v>46895</v>
      </c>
      <c r="G1617" s="127" t="n">
        <v>46905</v>
      </c>
      <c r="H1617" s="127" t="n">
        <v>46289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21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31</v>
      </c>
      <c r="O1617" s="2" t="str">
        <f aca="false">IF(OR(F1617="",G1617=""),"",IF(G1617&lt;='RETRATO 2027'!$K$5,"CONCLUÍDA",IF(F1617&lt;='RETRATO 2027'!$K$5,"EM ANDAMENTO","A INICIAR")))</f>
        <v>A INICIAR</v>
      </c>
    </row>
    <row r="1618" customFormat="false" ht="15" hidden="false" customHeight="false" outlineLevel="0" collapsed="false">
      <c r="B1618" s="4" t="n">
        <v>32750405</v>
      </c>
      <c r="C1618" s="4" t="s">
        <v>2461</v>
      </c>
      <c r="D1618" s="4" t="s">
        <v>463</v>
      </c>
      <c r="E1618" s="4" t="s">
        <v>2843</v>
      </c>
      <c r="F1618" s="127" t="n">
        <v>46895</v>
      </c>
      <c r="G1618" s="127" t="n">
        <v>46905</v>
      </c>
      <c r="H1618" s="127" t="n">
        <v>46289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20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31</v>
      </c>
      <c r="O1618" s="2" t="str">
        <f aca="false">IF(OR(F1618="",G1618=""),"",IF(G1618&lt;='RETRATO 2027'!$K$5,"CONCLUÍDA",IF(F1618&lt;='RETRATO 2027'!$K$5,"EM ANDAMENTO","A INICIAR")))</f>
        <v>A INICIAR</v>
      </c>
    </row>
    <row r="1619" customFormat="false" ht="15" hidden="false" customHeight="false" outlineLevel="0" collapsed="false">
      <c r="B1619" s="4" t="n">
        <v>32750431</v>
      </c>
      <c r="C1619" s="4" t="s">
        <v>2464</v>
      </c>
      <c r="D1619" s="4" t="s">
        <v>463</v>
      </c>
      <c r="E1619" s="4" t="s">
        <v>2843</v>
      </c>
      <c r="F1619" s="127" t="n">
        <v>46895</v>
      </c>
      <c r="G1619" s="127" t="n">
        <v>46905</v>
      </c>
      <c r="H1619" s="127" t="n">
        <v>46289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21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31</v>
      </c>
      <c r="O1619" s="2" t="str">
        <f aca="false">IF(OR(F1619="",G1619=""),"",IF(G1619&lt;='RETRATO 2027'!$K$5,"CONCLUÍDA",IF(F1619&lt;='RETRATO 2027'!$K$5,"EM ANDAMENTO","A INICIAR")))</f>
        <v>A INICIAR</v>
      </c>
    </row>
    <row r="1620" customFormat="false" ht="15" hidden="false" customHeight="false" outlineLevel="0" collapsed="false">
      <c r="B1620" s="4" t="n">
        <v>33896849</v>
      </c>
      <c r="C1620" s="4" t="s">
        <v>2467</v>
      </c>
      <c r="D1620" s="4" t="s">
        <v>463</v>
      </c>
      <c r="E1620" s="4" t="s">
        <v>2843</v>
      </c>
      <c r="F1620" s="127" t="n">
        <v>46895</v>
      </c>
      <c r="G1620" s="127" t="n">
        <v>46905</v>
      </c>
      <c r="H1620" s="127" t="n">
        <v>46289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23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31</v>
      </c>
      <c r="O1620" s="2" t="str">
        <f aca="false">IF(OR(F1620="",G1620=""),"",IF(G1620&lt;='RETRATO 2027'!$K$5,"CONCLUÍDA",IF(F1620&lt;='RETRATO 2027'!$K$5,"EM ANDAMENTO","A INICIAR")))</f>
        <v>A INICIAR</v>
      </c>
    </row>
    <row r="1621" customFormat="false" ht="15" hidden="false" customHeight="false" outlineLevel="0" collapsed="false">
      <c r="B1621" s="4" t="n">
        <v>29981082</v>
      </c>
      <c r="C1621" s="4" t="s">
        <v>2434</v>
      </c>
      <c r="D1621" s="4" t="s">
        <v>463</v>
      </c>
      <c r="E1621" s="4" t="s">
        <v>2822</v>
      </c>
      <c r="F1621" s="127" t="n">
        <v>46896</v>
      </c>
      <c r="G1621" s="127" t="n">
        <v>46906</v>
      </c>
      <c r="H1621" s="127" t="n">
        <v>46289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25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19</v>
      </c>
      <c r="O1621" s="2" t="str">
        <f aca="false">IF(OR(F1621="",G1621=""),"",IF(G1621&lt;='RETRATO 2027'!$K$5,"CONCLUÍDA",IF(F1621&lt;='RETRATO 2027'!$K$5,"EM ANDAMENTO","A INICIAR")))</f>
        <v>A INICIAR</v>
      </c>
    </row>
    <row r="1622" customFormat="false" ht="15" hidden="false" customHeight="false" outlineLevel="0" collapsed="false">
      <c r="B1622" s="4" t="n">
        <v>30205825</v>
      </c>
      <c r="C1622" s="4" t="s">
        <v>2539</v>
      </c>
      <c r="D1622" s="4" t="s">
        <v>463</v>
      </c>
      <c r="E1622" s="4" t="s">
        <v>2839</v>
      </c>
      <c r="F1622" s="127" t="n">
        <v>46897</v>
      </c>
      <c r="G1622" s="127" t="n">
        <v>46910</v>
      </c>
      <c r="H1622" s="127" t="n">
        <v>46289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35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0</v>
      </c>
      <c r="O1622" s="2" t="str">
        <f aca="false">IF(OR(F1622="",G1622=""),"",IF(G1622&lt;='RETRATO 2027'!$K$5,"CONCLUÍDA",IF(F1622&lt;='RETRATO 2027'!$K$5,"EM ANDAMENTO","A INICIAR")))</f>
        <v>A INICIAR</v>
      </c>
    </row>
    <row r="1623" customFormat="false" ht="15" hidden="false" customHeight="false" outlineLevel="0" collapsed="false">
      <c r="B1623" s="4" t="n">
        <v>29981513</v>
      </c>
      <c r="C1623" s="4" t="s">
        <v>2649</v>
      </c>
      <c r="D1623" s="4" t="s">
        <v>463</v>
      </c>
      <c r="E1623" s="4" t="s">
        <v>2804</v>
      </c>
      <c r="F1623" s="127" t="n">
        <v>46899</v>
      </c>
      <c r="G1623" s="127" t="n">
        <v>46911</v>
      </c>
      <c r="H1623" s="127" t="n">
        <v>46289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37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A INICIAR</v>
      </c>
    </row>
    <row r="1624" customFormat="false" ht="15" hidden="false" customHeight="false" outlineLevel="0" collapsed="false">
      <c r="B1624" s="4" t="n">
        <v>29981466</v>
      </c>
      <c r="C1624" s="4" t="s">
        <v>2641</v>
      </c>
      <c r="D1624" s="4" t="s">
        <v>463</v>
      </c>
      <c r="E1624" s="4" t="s">
        <v>2805</v>
      </c>
      <c r="F1624" s="127" t="n">
        <v>46899</v>
      </c>
      <c r="G1624" s="127" t="n">
        <v>46911</v>
      </c>
      <c r="H1624" s="127" t="n">
        <v>46289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35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9</v>
      </c>
      <c r="O1624" s="2" t="str">
        <f aca="false">IF(OR(F1624="",G1624=""),"",IF(G1624&lt;='RETRATO 2027'!$K$5,"CONCLUÍDA",IF(F1624&lt;='RETRATO 2027'!$K$5,"EM ANDAMENTO","A INICIAR")))</f>
        <v>A INICIAR</v>
      </c>
    </row>
    <row r="1625" customFormat="false" ht="15" hidden="false" customHeight="false" outlineLevel="0" collapsed="false">
      <c r="B1625" s="4" t="n">
        <v>30211209</v>
      </c>
      <c r="C1625" s="4" t="s">
        <v>194</v>
      </c>
      <c r="D1625" s="4" t="s">
        <v>463</v>
      </c>
      <c r="E1625" s="4" t="s">
        <v>2853</v>
      </c>
      <c r="F1625" s="127" t="n">
        <v>46899</v>
      </c>
      <c r="G1625" s="127" t="n">
        <v>46920</v>
      </c>
      <c r="H1625" s="127" t="n">
        <v>46289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26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34</v>
      </c>
      <c r="O1625" s="2" t="str">
        <f aca="false">IF(OR(F1625="",G1625=""),"",IF(G1625&lt;='RETRATO 2027'!$K$5,"CONCLUÍDA",IF(F1625&lt;='RETRATO 2027'!$K$5,"EM ANDAMENTO","A INICIAR")))</f>
        <v>A INICIAR</v>
      </c>
    </row>
    <row r="1626" customFormat="false" ht="15" hidden="false" customHeight="false" outlineLevel="0" collapsed="false">
      <c r="B1626" s="4" t="n">
        <v>30205607</v>
      </c>
      <c r="C1626" s="4" t="s">
        <v>2563</v>
      </c>
      <c r="D1626" s="4" t="s">
        <v>463</v>
      </c>
      <c r="E1626" s="4" t="s">
        <v>2826</v>
      </c>
      <c r="F1626" s="127" t="n">
        <v>46902</v>
      </c>
      <c r="G1626" s="127" t="n">
        <v>46906</v>
      </c>
      <c r="H1626" s="127" t="n">
        <v>46289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20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0</v>
      </c>
      <c r="O1626" s="2" t="str">
        <f aca="false">IF(OR(F1626="",G1626=""),"",IF(G1626&lt;='RETRATO 2027'!$K$5,"CONCLUÍDA",IF(F1626&lt;='RETRATO 2027'!$K$5,"EM ANDAMENTO","A INICIAR")))</f>
        <v>A INICIAR</v>
      </c>
    </row>
    <row r="1627" customFormat="false" ht="15" hidden="false" customHeight="false" outlineLevel="0" collapsed="false">
      <c r="B1627" s="4" t="n">
        <v>30205582</v>
      </c>
      <c r="C1627" s="4" t="s">
        <v>2578</v>
      </c>
      <c r="D1627" s="4" t="s">
        <v>463</v>
      </c>
      <c r="E1627" s="4" t="s">
        <v>2828</v>
      </c>
      <c r="F1627" s="127" t="n">
        <v>46902</v>
      </c>
      <c r="G1627" s="127" t="n">
        <v>46913</v>
      </c>
      <c r="H1627" s="127" t="n">
        <v>46289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25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0</v>
      </c>
      <c r="O1627" s="2" t="str">
        <f aca="false">IF(OR(F1627="",G1627=""),"",IF(G1627&lt;='RETRATO 2027'!$K$5,"CONCLUÍDA",IF(F1627&lt;='RETRATO 2027'!$K$5,"EM ANDAMENTO","A INICIAR")))</f>
        <v>A INICIAR</v>
      </c>
    </row>
    <row r="1628" customFormat="false" ht="15" hidden="false" customHeight="false" outlineLevel="0" collapsed="false">
      <c r="B1628" s="4" t="n">
        <v>30205581</v>
      </c>
      <c r="C1628" s="4" t="s">
        <v>2605</v>
      </c>
      <c r="D1628" s="4" t="s">
        <v>463</v>
      </c>
      <c r="E1628" s="4" t="s">
        <v>2828</v>
      </c>
      <c r="F1628" s="127" t="n">
        <v>46902</v>
      </c>
      <c r="G1628" s="127" t="n">
        <v>46913</v>
      </c>
      <c r="H1628" s="127" t="n">
        <v>46289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34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0</v>
      </c>
      <c r="O1628" s="2" t="str">
        <f aca="false">IF(OR(F1628="",G1628=""),"",IF(G1628&lt;='RETRATO 2027'!$K$5,"CONCLUÍDA",IF(F1628&lt;='RETRATO 2027'!$K$5,"EM ANDAMENTO","A INICIAR")))</f>
        <v>A INICIAR</v>
      </c>
    </row>
    <row r="1629" customFormat="false" ht="15" hidden="false" customHeight="false" outlineLevel="0" collapsed="false">
      <c r="B1629" s="4" t="n">
        <v>30205579</v>
      </c>
      <c r="C1629" s="4" t="s">
        <v>2607</v>
      </c>
      <c r="D1629" s="4" t="s">
        <v>463</v>
      </c>
      <c r="E1629" s="4" t="s">
        <v>2828</v>
      </c>
      <c r="F1629" s="127" t="n">
        <v>46902</v>
      </c>
      <c r="G1629" s="127" t="n">
        <v>46913</v>
      </c>
      <c r="H1629" s="127" t="n">
        <v>46289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34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0</v>
      </c>
      <c r="O1629" s="2" t="str">
        <f aca="false">IF(OR(F1629="",G1629=""),"",IF(G1629&lt;='RETRATO 2027'!$K$5,"CONCLUÍDA",IF(F1629&lt;='RETRATO 2027'!$K$5,"EM ANDAMENTO","A INICIAR")))</f>
        <v>A INICIAR</v>
      </c>
    </row>
    <row r="1630" customFormat="false" ht="15" hidden="false" customHeight="false" outlineLevel="0" collapsed="false">
      <c r="B1630" s="4" t="n">
        <v>30205564</v>
      </c>
      <c r="C1630" s="4" t="s">
        <v>2554</v>
      </c>
      <c r="D1630" s="4" t="s">
        <v>463</v>
      </c>
      <c r="E1630" s="4" t="s">
        <v>2830</v>
      </c>
      <c r="F1630" s="127" t="n">
        <v>46902</v>
      </c>
      <c r="G1630" s="127" t="n">
        <v>46913</v>
      </c>
      <c r="H1630" s="127" t="n">
        <v>46289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35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0</v>
      </c>
      <c r="O1630" s="2" t="str">
        <f aca="false">IF(OR(F1630="",G1630=""),"",IF(G1630&lt;='RETRATO 2027'!$K$5,"CONCLUÍDA",IF(F1630&lt;='RETRATO 2027'!$K$5,"EM ANDAMENTO","A INICIAR")))</f>
        <v>A INICIAR</v>
      </c>
    </row>
    <row r="1631" customFormat="false" ht="15" hidden="false" customHeight="false" outlineLevel="0" collapsed="false">
      <c r="B1631" s="4" t="n">
        <v>30171414</v>
      </c>
      <c r="C1631" s="4" t="s">
        <v>2563</v>
      </c>
      <c r="D1631" s="4" t="s">
        <v>463</v>
      </c>
      <c r="E1631" s="4" t="s">
        <v>2800</v>
      </c>
      <c r="F1631" s="127" t="n">
        <v>46902</v>
      </c>
      <c r="G1631" s="127" t="n">
        <v>46930</v>
      </c>
      <c r="H1631" s="127" t="n">
        <v>46289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4</v>
      </c>
      <c r="O1631" s="2" t="str">
        <f aca="false">IF(OR(F1631="",G1631=""),"",IF(G1631&lt;='RETRATO 2027'!$K$5,"CONCLUÍDA",IF(F1631&lt;='RETRATO 2027'!$K$5,"EM ANDAMENTO","A INICIAR")))</f>
        <v>A INICIAR</v>
      </c>
    </row>
    <row r="1632" customFormat="false" ht="15" hidden="false" customHeight="false" outlineLevel="0" collapsed="false">
      <c r="B1632" s="4" t="n">
        <v>30171411</v>
      </c>
      <c r="C1632" s="4" t="s">
        <v>2566</v>
      </c>
      <c r="D1632" s="4" t="s">
        <v>463</v>
      </c>
      <c r="E1632" s="4" t="s">
        <v>2800</v>
      </c>
      <c r="F1632" s="127" t="n">
        <v>46902</v>
      </c>
      <c r="G1632" s="127" t="n">
        <v>46930</v>
      </c>
      <c r="H1632" s="127" t="n">
        <v>46289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20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4</v>
      </c>
      <c r="O1632" s="2" t="str">
        <f aca="false">IF(OR(F1632="",G1632=""),"",IF(G1632&lt;='RETRATO 2027'!$K$5,"CONCLUÍDA",IF(F1632&lt;='RETRATO 2027'!$K$5,"EM ANDAMENTO","A INICIAR")))</f>
        <v>A INICIAR</v>
      </c>
    </row>
    <row r="1633" customFormat="false" ht="15" hidden="false" customHeight="false" outlineLevel="0" collapsed="false">
      <c r="B1633" s="4" t="n">
        <v>30171382</v>
      </c>
      <c r="C1633" s="4" t="s">
        <v>2508</v>
      </c>
      <c r="D1633" s="4" t="s">
        <v>463</v>
      </c>
      <c r="E1633" s="4" t="s">
        <v>2801</v>
      </c>
      <c r="F1633" s="127" t="n">
        <v>46902</v>
      </c>
      <c r="G1633" s="127" t="n">
        <v>46962</v>
      </c>
      <c r="H1633" s="127" t="n">
        <v>46289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20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5</v>
      </c>
      <c r="O1633" s="2" t="str">
        <f aca="false">IF(OR(F1633="",G1633=""),"",IF(G1633&lt;='RETRATO 2027'!$K$5,"CONCLUÍDA",IF(F1633&lt;='RETRATO 2027'!$K$5,"EM ANDAMENTO","A INICIAR")))</f>
        <v>A INICIAR</v>
      </c>
    </row>
    <row r="1634" customFormat="false" ht="15" hidden="false" customHeight="false" outlineLevel="0" collapsed="false">
      <c r="B1634" s="4" t="n">
        <v>30171401</v>
      </c>
      <c r="C1634" s="4" t="s">
        <v>2511</v>
      </c>
      <c r="D1634" s="4" t="s">
        <v>463</v>
      </c>
      <c r="E1634" s="4" t="s">
        <v>2801</v>
      </c>
      <c r="F1634" s="127" t="n">
        <v>46902</v>
      </c>
      <c r="G1634" s="127" t="n">
        <v>46962</v>
      </c>
      <c r="H1634" s="127" t="n">
        <v>46289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20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5</v>
      </c>
      <c r="O1634" s="2" t="str">
        <f aca="false">IF(OR(F1634="",G1634=""),"",IF(G1634&lt;='RETRATO 2027'!$K$5,"CONCLUÍDA",IF(F1634&lt;='RETRATO 2027'!$K$5,"EM ANDAMENTO","A INICIAR")))</f>
        <v>A INICIAR</v>
      </c>
    </row>
    <row r="1635" customFormat="false" ht="15" hidden="false" customHeight="false" outlineLevel="0" collapsed="false">
      <c r="B1635" s="4" t="n">
        <v>30171384</v>
      </c>
      <c r="C1635" s="4" t="s">
        <v>2525</v>
      </c>
      <c r="D1635" s="4" t="s">
        <v>463</v>
      </c>
      <c r="E1635" s="4" t="s">
        <v>2801</v>
      </c>
      <c r="F1635" s="127" t="n">
        <v>46902</v>
      </c>
      <c r="G1635" s="127" t="n">
        <v>46930</v>
      </c>
      <c r="H1635" s="127" t="n">
        <v>46289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18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5</v>
      </c>
      <c r="O1635" s="2" t="str">
        <f aca="false">IF(OR(F1635="",G1635=""),"",IF(G1635&lt;='RETRATO 2027'!$K$5,"CONCLUÍDA",IF(F1635&lt;='RETRATO 2027'!$K$5,"EM ANDAMENTO","A INICIAR")))</f>
        <v>A INICIAR</v>
      </c>
    </row>
    <row r="1636" customFormat="false" ht="15" hidden="false" customHeight="false" outlineLevel="0" collapsed="false">
      <c r="B1636" s="4" t="n">
        <v>30214062</v>
      </c>
      <c r="C1636" s="4" t="s">
        <v>2514</v>
      </c>
      <c r="D1636" s="4" t="s">
        <v>463</v>
      </c>
      <c r="E1636" s="4" t="s">
        <v>2801</v>
      </c>
      <c r="F1636" s="127" t="n">
        <v>46902</v>
      </c>
      <c r="G1636" s="127" t="n">
        <v>46913</v>
      </c>
      <c r="H1636" s="127" t="n">
        <v>46289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20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5</v>
      </c>
      <c r="O1636" s="2" t="str">
        <f aca="false">IF(OR(F1636="",G1636=""),"",IF(G1636&lt;='RETRATO 2027'!$K$5,"CONCLUÍDA",IF(F1636&lt;='RETRATO 2027'!$K$5,"EM ANDAMENTO","A INICIAR")))</f>
        <v>A INICIAR</v>
      </c>
    </row>
    <row r="1637" customFormat="false" ht="15" hidden="false" customHeight="false" outlineLevel="0" collapsed="false">
      <c r="B1637" s="4" t="n">
        <v>30205856</v>
      </c>
      <c r="C1637" s="4" t="s">
        <v>2539</v>
      </c>
      <c r="D1637" s="4" t="s">
        <v>463</v>
      </c>
      <c r="E1637" s="4" t="s">
        <v>2782</v>
      </c>
      <c r="F1637" s="127" t="n">
        <v>46904</v>
      </c>
      <c r="G1637" s="127" t="n">
        <v>46925</v>
      </c>
      <c r="H1637" s="127" t="n">
        <v>46289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35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</v>
      </c>
      <c r="O1637" s="2" t="str">
        <f aca="false">IF(OR(F1637="",G1637=""),"",IF(G1637&lt;='RETRATO 2027'!$K$5,"CONCLUÍDA",IF(F1637&lt;='RETRATO 2027'!$K$5,"EM ANDAMENTO","A INICIAR")))</f>
        <v>A INICIAR</v>
      </c>
    </row>
    <row r="1638" customFormat="false" ht="15" hidden="false" customHeight="false" outlineLevel="0" collapsed="false">
      <c r="B1638" s="4" t="n">
        <v>30171525</v>
      </c>
      <c r="C1638" s="4" t="s">
        <v>2449</v>
      </c>
      <c r="D1638" s="4" t="s">
        <v>463</v>
      </c>
      <c r="E1638" s="4" t="s">
        <v>2857</v>
      </c>
      <c r="F1638" s="127" t="n">
        <v>46904</v>
      </c>
      <c r="G1638" s="127" t="n">
        <v>46917</v>
      </c>
      <c r="H1638" s="127" t="n">
        <v>46289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28</v>
      </c>
      <c r="N1638" s="2" t="str">
        <f aca="false"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 t="str">
        <f aca="false">IF(OR(F1638="",G1638=""),"",IF(G1638&lt;='RETRATO 2027'!$K$5,"CONCLUÍDA",IF(F1638&lt;='RETRATO 2027'!$K$5,"EM ANDAMENTO","A INICIAR")))</f>
        <v>A INICIAR</v>
      </c>
    </row>
    <row r="1639" customFormat="false" ht="15" hidden="false" customHeight="false" outlineLevel="0" collapsed="false">
      <c r="B1639" s="4" t="n">
        <v>30171528</v>
      </c>
      <c r="C1639" s="4" t="s">
        <v>2443</v>
      </c>
      <c r="D1639" s="4" t="s">
        <v>463</v>
      </c>
      <c r="E1639" s="4" t="s">
        <v>2857</v>
      </c>
      <c r="F1639" s="127" t="n">
        <v>46904</v>
      </c>
      <c r="G1639" s="127" t="n">
        <v>46934</v>
      </c>
      <c r="H1639" s="127" t="n">
        <v>46289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20</v>
      </c>
      <c r="N1639" s="2" t="str">
        <f aca="false"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 t="str">
        <f aca="false">IF(OR(F1639="",G1639=""),"",IF(G1639&lt;='RETRATO 2027'!$K$5,"CONCLUÍDA",IF(F1639&lt;='RETRATO 2027'!$K$5,"EM ANDAMENTO","A INICIAR")))</f>
        <v>A INICIAR</v>
      </c>
    </row>
    <row r="1640" customFormat="false" ht="15" hidden="false" customHeight="false" outlineLevel="0" collapsed="false">
      <c r="B1640" s="4" t="n">
        <v>30208611</v>
      </c>
      <c r="C1640" s="4" t="s">
        <v>2661</v>
      </c>
      <c r="D1640" s="4" t="s">
        <v>463</v>
      </c>
      <c r="E1640" s="4" t="s">
        <v>2851</v>
      </c>
      <c r="F1640" s="127" t="n">
        <v>46904</v>
      </c>
      <c r="G1640" s="127" t="n">
        <v>46966</v>
      </c>
      <c r="H1640" s="127" t="n">
        <v>46289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30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6</v>
      </c>
      <c r="O1640" s="2" t="str">
        <f aca="false">IF(OR(F1640="",G1640=""),"",IF(G1640&lt;='RETRATO 2027'!$K$5,"CONCLUÍDA",IF(F1640&lt;='RETRATO 2027'!$K$5,"EM ANDAMENTO","A INICIAR")))</f>
        <v>A INICIAR</v>
      </c>
    </row>
    <row r="1641" customFormat="false" ht="15" hidden="false" customHeight="false" outlineLevel="0" collapsed="false">
      <c r="B1641" s="4" t="n">
        <v>30210375</v>
      </c>
      <c r="C1641" s="4" t="s">
        <v>2437</v>
      </c>
      <c r="D1641" s="4" t="s">
        <v>463</v>
      </c>
      <c r="E1641" s="4" t="s">
        <v>2852</v>
      </c>
      <c r="F1641" s="127" t="n">
        <v>46904</v>
      </c>
      <c r="G1641" s="127" t="n">
        <v>46925</v>
      </c>
      <c r="H1641" s="127" t="n">
        <v>46289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29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33</v>
      </c>
      <c r="O1641" s="2" t="str">
        <f aca="false">IF(OR(F1641="",G1641=""),"",IF(G1641&lt;='RETRATO 2027'!$K$5,"CONCLUÍDA",IF(F1641&lt;='RETRATO 2027'!$K$5,"EM ANDAMENTO","A INICIAR")))</f>
        <v>A INICIAR</v>
      </c>
    </row>
    <row r="1642" customFormat="false" ht="15" hidden="false" customHeight="false" outlineLevel="0" collapsed="false">
      <c r="B1642" s="4" t="n">
        <v>31791439</v>
      </c>
      <c r="C1642" s="4" t="s">
        <v>2664</v>
      </c>
      <c r="D1642" s="4" t="s">
        <v>463</v>
      </c>
      <c r="E1642" s="4" t="s">
        <v>2678</v>
      </c>
      <c r="F1642" s="127" t="n">
        <v>46904</v>
      </c>
      <c r="G1642" s="127" t="n">
        <v>46925</v>
      </c>
      <c r="H1642" s="127" t="n">
        <v>46289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>32</v>
      </c>
      <c r="N1642" s="2" t="str">
        <f aca="false"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 t="str">
        <f aca="false">IF(OR(F1642="",G1642=""),"",IF(G1642&lt;='RETRATO 2027'!$K$5,"CONCLUÍDA",IF(F1642&lt;='RETRATO 2027'!$K$5,"EM ANDAMENTO","A INICIAR")))</f>
        <v>A INICIAR</v>
      </c>
    </row>
    <row r="1643" customFormat="false" ht="15" hidden="false" customHeight="false" outlineLevel="0" collapsed="false">
      <c r="B1643" s="4" t="n">
        <v>30206125</v>
      </c>
      <c r="C1643" s="4" t="s">
        <v>2508</v>
      </c>
      <c r="D1643" s="4" t="s">
        <v>463</v>
      </c>
      <c r="E1643" s="4" t="s">
        <v>2846</v>
      </c>
      <c r="F1643" s="127" t="n">
        <v>46905</v>
      </c>
      <c r="G1643" s="127" t="n">
        <v>46918</v>
      </c>
      <c r="H1643" s="127" t="n">
        <v>46289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20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6</v>
      </c>
      <c r="O1643" s="2" t="str">
        <f aca="false">IF(OR(F1643="",G1643=""),"",IF(G1643&lt;='RETRATO 2027'!$K$5,"CONCLUÍDA",IF(F1643&lt;='RETRATO 2027'!$K$5,"EM ANDAMENTO","A INICIAR")))</f>
        <v>A INICIAR</v>
      </c>
    </row>
    <row r="1644" customFormat="false" ht="15" hidden="false" customHeight="false" outlineLevel="0" collapsed="false">
      <c r="B1644" s="4" t="n">
        <v>30214065</v>
      </c>
      <c r="C1644" s="4" t="s">
        <v>2514</v>
      </c>
      <c r="D1644" s="4" t="s">
        <v>463</v>
      </c>
      <c r="E1644" s="4" t="s">
        <v>2846</v>
      </c>
      <c r="F1644" s="127" t="n">
        <v>46905</v>
      </c>
      <c r="G1644" s="127" t="n">
        <v>46918</v>
      </c>
      <c r="H1644" s="127" t="n">
        <v>46289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20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6</v>
      </c>
      <c r="O1644" s="2" t="str">
        <f aca="false">IF(OR(F1644="",G1644=""),"",IF(G1644&lt;='RETRATO 2027'!$K$5,"CONCLUÍDA",IF(F1644&lt;='RETRATO 2027'!$K$5,"EM ANDAMENTO","A INICIAR")))</f>
        <v>A INICIAR</v>
      </c>
    </row>
    <row r="1645" customFormat="false" ht="15" hidden="false" customHeight="false" outlineLevel="0" collapsed="false">
      <c r="B1645" s="4" t="n">
        <v>30206087</v>
      </c>
      <c r="C1645" s="4" t="s">
        <v>2480</v>
      </c>
      <c r="D1645" s="4" t="s">
        <v>463</v>
      </c>
      <c r="E1645" s="4" t="s">
        <v>2847</v>
      </c>
      <c r="F1645" s="127" t="n">
        <v>46905</v>
      </c>
      <c r="G1645" s="127" t="n">
        <v>46918</v>
      </c>
      <c r="H1645" s="127" t="n">
        <v>46289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6</v>
      </c>
      <c r="O1645" s="2" t="str">
        <f aca="false">IF(OR(F1645="",G1645=""),"",IF(G1645&lt;='RETRATO 2027'!$K$5,"CONCLUÍDA",IF(F1645&lt;='RETRATO 2027'!$K$5,"EM ANDAMENTO","A INICIAR")))</f>
        <v>A INICIAR</v>
      </c>
    </row>
    <row r="1646" customFormat="false" ht="15" hidden="false" customHeight="false" outlineLevel="0" collapsed="false">
      <c r="B1646" s="4" t="n">
        <v>30208616</v>
      </c>
      <c r="C1646" s="4" t="s">
        <v>2667</v>
      </c>
      <c r="D1646" s="4" t="s">
        <v>463</v>
      </c>
      <c r="E1646" s="4" t="s">
        <v>2847</v>
      </c>
      <c r="F1646" s="127" t="n">
        <v>46905</v>
      </c>
      <c r="G1646" s="127" t="n">
        <v>46918</v>
      </c>
      <c r="H1646" s="127" t="n">
        <v>46289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23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6</v>
      </c>
      <c r="O1646" s="2" t="str">
        <f aca="false">IF(OR(F1646="",G1646=""),"",IF(G1646&lt;='RETRATO 2027'!$K$5,"CONCLUÍDA",IF(F1646&lt;='RETRATO 2027'!$K$5,"EM ANDAMENTO","A INICIAR")))</f>
        <v>A INICIAR</v>
      </c>
    </row>
    <row r="1647" customFormat="false" ht="15" hidden="false" customHeight="false" outlineLevel="0" collapsed="false">
      <c r="B1647" s="4" t="n">
        <v>30206049</v>
      </c>
      <c r="C1647" s="4" t="s">
        <v>2449</v>
      </c>
      <c r="D1647" s="4" t="s">
        <v>463</v>
      </c>
      <c r="E1647" s="4" t="s">
        <v>2848</v>
      </c>
      <c r="F1647" s="127" t="n">
        <v>46905</v>
      </c>
      <c r="G1647" s="127" t="n">
        <v>46918</v>
      </c>
      <c r="H1647" s="127" t="n">
        <v>46289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6</v>
      </c>
      <c r="O1647" s="2" t="str">
        <f aca="false">IF(OR(F1647="",G1647=""),"",IF(G1647&lt;='RETRATO 2027'!$K$5,"CONCLUÍDA",IF(F1647&lt;='RETRATO 2027'!$K$5,"EM ANDAMENTO","A INICIAR")))</f>
        <v>A INICIAR</v>
      </c>
    </row>
    <row r="1648" customFormat="false" ht="15" hidden="false" customHeight="false" outlineLevel="0" collapsed="false">
      <c r="B1648" s="4" t="n">
        <v>30206011</v>
      </c>
      <c r="C1648" s="4" t="s">
        <v>171</v>
      </c>
      <c r="D1648" s="4" t="s">
        <v>463</v>
      </c>
      <c r="E1648" s="4" t="s">
        <v>2849</v>
      </c>
      <c r="F1648" s="127" t="n">
        <v>46905</v>
      </c>
      <c r="G1648" s="127" t="n">
        <v>46918</v>
      </c>
      <c r="H1648" s="127" t="n">
        <v>46289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6</v>
      </c>
      <c r="O1648" s="2" t="str">
        <f aca="false">IF(OR(F1648="",G1648=""),"",IF(G1648&lt;='RETRATO 2027'!$K$5,"CONCLUÍDA",IF(F1648&lt;='RETRATO 2027'!$K$5,"EM ANDAMENTO","A INICIAR")))</f>
        <v>A INICIAR</v>
      </c>
    </row>
    <row r="1649" customFormat="false" ht="15" hidden="false" customHeight="false" outlineLevel="0" collapsed="false">
      <c r="B1649" s="4" t="n">
        <v>30205952</v>
      </c>
      <c r="C1649" s="4" t="s">
        <v>2440</v>
      </c>
      <c r="D1649" s="4" t="s">
        <v>463</v>
      </c>
      <c r="E1649" s="4" t="s">
        <v>2850</v>
      </c>
      <c r="F1649" s="127" t="n">
        <v>46905</v>
      </c>
      <c r="G1649" s="127" t="n">
        <v>46918</v>
      </c>
      <c r="H1649" s="127" t="n">
        <v>46289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21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6</v>
      </c>
      <c r="O1649" s="2" t="str">
        <f aca="false">IF(OR(F1649="",G1649=""),"",IF(G1649&lt;='RETRATO 2027'!$K$5,"CONCLUÍDA",IF(F1649&lt;='RETRATO 2027'!$K$5,"EM ANDAMENTO","A INICIAR")))</f>
        <v>A INICIAR</v>
      </c>
    </row>
    <row r="1650" customFormat="false" ht="15" hidden="false" customHeight="false" outlineLevel="0" collapsed="false">
      <c r="B1650" s="4" t="n">
        <v>29981428</v>
      </c>
      <c r="C1650" s="4" t="s">
        <v>2637</v>
      </c>
      <c r="D1650" s="4" t="s">
        <v>463</v>
      </c>
      <c r="E1650" s="4" t="s">
        <v>2809</v>
      </c>
      <c r="F1650" s="127" t="n">
        <v>46905</v>
      </c>
      <c r="G1650" s="127" t="n">
        <v>46911</v>
      </c>
      <c r="H1650" s="127" t="n">
        <v>46289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/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10</v>
      </c>
      <c r="O1650" s="2" t="str">
        <f aca="false">IF(OR(F1650="",G1650=""),"",IF(G1650&lt;='RETRATO 2027'!$K$5,"CONCLUÍDA",IF(F1650&lt;='RETRATO 2027'!$K$5,"EM ANDAMENTO","A INICIAR")))</f>
        <v>A INICIAR</v>
      </c>
    </row>
    <row r="1651" customFormat="false" ht="15" hidden="false" customHeight="false" outlineLevel="0" collapsed="false">
      <c r="B1651" s="4" t="n">
        <v>29981393</v>
      </c>
      <c r="C1651" s="4" t="s">
        <v>2629</v>
      </c>
      <c r="D1651" s="4" t="s">
        <v>463</v>
      </c>
      <c r="E1651" s="4" t="s">
        <v>2810</v>
      </c>
      <c r="F1651" s="127" t="n">
        <v>46905</v>
      </c>
      <c r="G1651" s="127" t="n">
        <v>46917</v>
      </c>
      <c r="H1651" s="127" t="n">
        <v>46289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A INICIAR</v>
      </c>
    </row>
    <row r="1652" customFormat="false" ht="15" hidden="false" customHeight="false" outlineLevel="0" collapsed="false">
      <c r="B1652" s="4" t="n">
        <v>29981353</v>
      </c>
      <c r="C1652" s="4" t="s">
        <v>2623</v>
      </c>
      <c r="D1652" s="4" t="s">
        <v>463</v>
      </c>
      <c r="E1652" s="4" t="s">
        <v>2811</v>
      </c>
      <c r="F1652" s="127" t="n">
        <v>46905</v>
      </c>
      <c r="G1652" s="127" t="n">
        <v>46917</v>
      </c>
      <c r="H1652" s="127" t="n">
        <v>46289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35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12</v>
      </c>
      <c r="O1652" s="2" t="str">
        <f aca="false">IF(OR(F1652="",G1652=""),"",IF(G1652&lt;='RETRATO 2027'!$K$5,"CONCLUÍDA",IF(F1652&lt;='RETRATO 2027'!$K$5,"EM ANDAMENTO","A INICIAR")))</f>
        <v>A INICIAR</v>
      </c>
    </row>
    <row r="1653" customFormat="false" ht="15" hidden="false" customHeight="false" outlineLevel="0" collapsed="false">
      <c r="B1653" s="4" t="n">
        <v>33919790</v>
      </c>
      <c r="C1653" s="4" t="s">
        <v>2625</v>
      </c>
      <c r="D1653" s="4" t="s">
        <v>463</v>
      </c>
      <c r="E1653" s="4" t="s">
        <v>2811</v>
      </c>
      <c r="F1653" s="127" t="n">
        <v>46905</v>
      </c>
      <c r="G1653" s="127" t="n">
        <v>46917</v>
      </c>
      <c r="H1653" s="127" t="n">
        <v>46289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32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12</v>
      </c>
      <c r="O1653" s="2" t="str">
        <f aca="false">IF(OR(F1653="",G1653=""),"",IF(G1653&lt;='RETRATO 2027'!$K$5,"CONCLUÍDA",IF(F1653&lt;='RETRATO 2027'!$K$5,"EM ANDAMENTO","A INICIAR")))</f>
        <v>A INICIAR</v>
      </c>
    </row>
    <row r="1654" customFormat="false" ht="15" hidden="false" customHeight="false" outlineLevel="0" collapsed="false">
      <c r="B1654" s="4" t="n">
        <v>29981315</v>
      </c>
      <c r="C1654" s="4" t="s">
        <v>2615</v>
      </c>
      <c r="D1654" s="4" t="s">
        <v>463</v>
      </c>
      <c r="E1654" s="4" t="s">
        <v>2812</v>
      </c>
      <c r="F1654" s="127" t="n">
        <v>46905</v>
      </c>
      <c r="G1654" s="127" t="n">
        <v>46917</v>
      </c>
      <c r="H1654" s="127" t="n">
        <v>46289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37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13</v>
      </c>
      <c r="O1654" s="2" t="str">
        <f aca="false">IF(OR(F1654="",G1654=""),"",IF(G1654&lt;='RETRATO 2027'!$K$5,"CONCLUÍDA",IF(F1654&lt;='RETRATO 2027'!$K$5,"EM ANDAMENTO","A INICIAR")))</f>
        <v>A INICIAR</v>
      </c>
    </row>
    <row r="1655" customFormat="false" ht="15" hidden="false" customHeight="false" outlineLevel="0" collapsed="false">
      <c r="B1655" s="4" t="n">
        <v>29981272</v>
      </c>
      <c r="C1655" s="4" t="s">
        <v>2605</v>
      </c>
      <c r="D1655" s="4" t="s">
        <v>463</v>
      </c>
      <c r="E1655" s="4" t="s">
        <v>2813</v>
      </c>
      <c r="F1655" s="127" t="n">
        <v>46905</v>
      </c>
      <c r="G1655" s="127" t="n">
        <v>46917</v>
      </c>
      <c r="H1655" s="127" t="n">
        <v>46289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34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14</v>
      </c>
      <c r="O1655" s="2" t="str">
        <f aca="false">IF(OR(F1655="",G1655=""),"",IF(G1655&lt;='RETRATO 2027'!$K$5,"CONCLUÍDA",IF(F1655&lt;='RETRATO 2027'!$K$5,"EM ANDAMENTO","A INICIAR")))</f>
        <v>A INICIAR</v>
      </c>
    </row>
    <row r="1656" customFormat="false" ht="15" hidden="false" customHeight="false" outlineLevel="0" collapsed="false">
      <c r="B1656" s="4" t="n">
        <v>29981277</v>
      </c>
      <c r="C1656" s="4" t="s">
        <v>2607</v>
      </c>
      <c r="D1656" s="4" t="s">
        <v>463</v>
      </c>
      <c r="E1656" s="4" t="s">
        <v>2813</v>
      </c>
      <c r="F1656" s="127" t="n">
        <v>46905</v>
      </c>
      <c r="G1656" s="127" t="n">
        <v>46917</v>
      </c>
      <c r="H1656" s="127" t="n">
        <v>46289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>34</v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14</v>
      </c>
      <c r="O1656" s="2" t="str">
        <f aca="false">IF(OR(F1656="",G1656=""),"",IF(G1656&lt;='RETRATO 2027'!$K$5,"CONCLUÍDA",IF(F1656&lt;='RETRATO 2027'!$K$5,"EM ANDAMENTO","A INICIAR")))</f>
        <v>A INICIAR</v>
      </c>
    </row>
    <row r="1657" customFormat="false" ht="15" hidden="false" customHeight="false" outlineLevel="0" collapsed="false">
      <c r="B1657" s="4" t="n">
        <v>29981276</v>
      </c>
      <c r="C1657" s="4" t="s">
        <v>2563</v>
      </c>
      <c r="D1657" s="4" t="s">
        <v>463</v>
      </c>
      <c r="E1657" s="4" t="s">
        <v>2813</v>
      </c>
      <c r="F1657" s="127" t="n">
        <v>46905</v>
      </c>
      <c r="G1657" s="127" t="n">
        <v>46917</v>
      </c>
      <c r="H1657" s="127" t="n">
        <v>46289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20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14</v>
      </c>
      <c r="O1657" s="2" t="str">
        <f aca="false">IF(OR(F1657="",G1657=""),"",IF(G1657&lt;='RETRATO 2027'!$K$5,"CONCLUÍDA",IF(F1657&lt;='RETRATO 2027'!$K$5,"EM ANDAMENTO","A INICIAR")))</f>
        <v>A INICIAR</v>
      </c>
    </row>
    <row r="1658" customFormat="false" ht="15" hidden="false" customHeight="false" outlineLevel="0" collapsed="false">
      <c r="B1658" s="4" t="n">
        <v>29981275</v>
      </c>
      <c r="C1658" s="4" t="s">
        <v>2609</v>
      </c>
      <c r="D1658" s="4" t="s">
        <v>463</v>
      </c>
      <c r="E1658" s="4" t="s">
        <v>2813</v>
      </c>
      <c r="F1658" s="127" t="n">
        <v>46905</v>
      </c>
      <c r="G1658" s="127" t="n">
        <v>46917</v>
      </c>
      <c r="H1658" s="127" t="n">
        <v>46289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23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14</v>
      </c>
      <c r="O1658" s="2" t="str">
        <f aca="false">IF(OR(F1658="",G1658=""),"",IF(G1658&lt;='RETRATO 2027'!$K$5,"CONCLUÍDA",IF(F1658&lt;='RETRATO 2027'!$K$5,"EM ANDAMENTO","A INICIAR")))</f>
        <v>A INICIAR</v>
      </c>
    </row>
    <row r="1659" customFormat="false" ht="15" hidden="false" customHeight="false" outlineLevel="0" collapsed="false">
      <c r="B1659" s="4" t="n">
        <v>29981234</v>
      </c>
      <c r="C1659" s="4" t="s">
        <v>2599</v>
      </c>
      <c r="D1659" s="4" t="s">
        <v>463</v>
      </c>
      <c r="E1659" s="4" t="s">
        <v>2814</v>
      </c>
      <c r="F1659" s="127" t="n">
        <v>46905</v>
      </c>
      <c r="G1659" s="127" t="n">
        <v>46917</v>
      </c>
      <c r="H1659" s="127" t="n">
        <v>46289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30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15</v>
      </c>
      <c r="O1659" s="2" t="str">
        <f aca="false">IF(OR(F1659="",G1659=""),"",IF(G1659&lt;='RETRATO 2027'!$K$5,"CONCLUÍDA",IF(F1659&lt;='RETRATO 2027'!$K$5,"EM ANDAMENTO","A INICIAR")))</f>
        <v>A INICIAR</v>
      </c>
    </row>
    <row r="1660" customFormat="false" ht="15" hidden="false" customHeight="false" outlineLevel="0" collapsed="false">
      <c r="B1660" s="4" t="n">
        <v>29981196</v>
      </c>
      <c r="C1660" s="4" t="s">
        <v>2578</v>
      </c>
      <c r="D1660" s="4" t="s">
        <v>463</v>
      </c>
      <c r="E1660" s="4" t="s">
        <v>2815</v>
      </c>
      <c r="F1660" s="127" t="n">
        <v>46905</v>
      </c>
      <c r="G1660" s="127" t="n">
        <v>46917</v>
      </c>
      <c r="H1660" s="127" t="n">
        <v>46289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25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16</v>
      </c>
      <c r="O1660" s="2" t="str">
        <f aca="false">IF(OR(F1660="",G1660=""),"",IF(G1660&lt;='RETRATO 2027'!$K$5,"CONCLUÍDA",IF(F1660&lt;='RETRATO 2027'!$K$5,"EM ANDAMENTO","A INICIAR")))</f>
        <v>A INICIAR</v>
      </c>
    </row>
    <row r="1661" customFormat="false" ht="15" hidden="false" customHeight="false" outlineLevel="0" collapsed="false">
      <c r="B1661" s="4" t="n">
        <v>29981158</v>
      </c>
      <c r="C1661" s="4" t="s">
        <v>2569</v>
      </c>
      <c r="D1661" s="4" t="s">
        <v>463</v>
      </c>
      <c r="E1661" s="4" t="s">
        <v>2818</v>
      </c>
      <c r="F1661" s="127" t="n">
        <v>46905</v>
      </c>
      <c r="G1661" s="127" t="n">
        <v>46917</v>
      </c>
      <c r="H1661" s="127" t="n">
        <v>46289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30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17</v>
      </c>
      <c r="O1661" s="2" t="str">
        <f aca="false">IF(OR(F1661="",G1661=""),"",IF(G1661&lt;='RETRATO 2027'!$K$5,"CONCLUÍDA",IF(F1661&lt;='RETRATO 2027'!$K$5,"EM ANDAMENTO","A INICIAR")))</f>
        <v>A INICIAR</v>
      </c>
    </row>
    <row r="1662" customFormat="false" ht="15" hidden="false" customHeight="false" outlineLevel="0" collapsed="false">
      <c r="B1662" s="4" t="n">
        <v>29981120</v>
      </c>
      <c r="C1662" s="4" t="s">
        <v>2554</v>
      </c>
      <c r="D1662" s="4" t="s">
        <v>463</v>
      </c>
      <c r="E1662" s="4" t="s">
        <v>2820</v>
      </c>
      <c r="F1662" s="127" t="n">
        <v>46905</v>
      </c>
      <c r="G1662" s="127" t="n">
        <v>46917</v>
      </c>
      <c r="H1662" s="127" t="n">
        <v>46289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35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18</v>
      </c>
      <c r="O1662" s="2" t="str">
        <f aca="false">IF(OR(F1662="",G1662=""),"",IF(G1662&lt;='RETRATO 2027'!$K$5,"CONCLUÍDA",IF(F1662&lt;='RETRATO 2027'!$K$5,"EM ANDAMENTO","A INICIAR")))</f>
        <v>A INICIAR</v>
      </c>
    </row>
    <row r="1663" customFormat="false" ht="15" hidden="false" customHeight="false" outlineLevel="0" collapsed="false">
      <c r="B1663" s="4" t="n">
        <v>29981072</v>
      </c>
      <c r="C1663" s="4" t="s">
        <v>2539</v>
      </c>
      <c r="D1663" s="4" t="s">
        <v>463</v>
      </c>
      <c r="E1663" s="4" t="s">
        <v>2823</v>
      </c>
      <c r="F1663" s="127" t="n">
        <v>46905</v>
      </c>
      <c r="G1663" s="127" t="n">
        <v>46917</v>
      </c>
      <c r="H1663" s="127" t="n">
        <v>46289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35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20</v>
      </c>
      <c r="O1663" s="2" t="str">
        <f aca="false">IF(OR(F1663="",G1663=""),"",IF(G1663&lt;='RETRATO 2027'!$K$5,"CONCLUÍDA",IF(F1663&lt;='RETRATO 2027'!$K$5,"EM ANDAMENTO","A INICIAR")))</f>
        <v>A INICIAR</v>
      </c>
    </row>
    <row r="1664" customFormat="false" ht="15" hidden="false" customHeight="false" outlineLevel="0" collapsed="false">
      <c r="B1664" s="4" t="n">
        <v>33898105</v>
      </c>
      <c r="C1664" s="4" t="s">
        <v>2545</v>
      </c>
      <c r="D1664" s="4" t="s">
        <v>463</v>
      </c>
      <c r="E1664" s="4" t="s">
        <v>2825</v>
      </c>
      <c r="F1664" s="127" t="n">
        <v>46905</v>
      </c>
      <c r="G1664" s="127" t="n">
        <v>46917</v>
      </c>
      <c r="H1664" s="127" t="n">
        <v>46289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25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21</v>
      </c>
      <c r="O1664" s="2" t="str">
        <f aca="false">IF(OR(F1664="",G1664=""),"",IF(G1664&lt;='RETRATO 2027'!$K$5,"CONCLUÍDA",IF(F1664&lt;='RETRATO 2027'!$K$5,"EM ANDAMENTO","A INICIAR")))</f>
        <v>A INICIAR</v>
      </c>
    </row>
    <row r="1665" customFormat="false" ht="15" hidden="false" customHeight="false" outlineLevel="0" collapsed="false">
      <c r="B1665" s="4" t="n">
        <v>30171511</v>
      </c>
      <c r="C1665" s="4" t="s">
        <v>2641</v>
      </c>
      <c r="D1665" s="4" t="s">
        <v>463</v>
      </c>
      <c r="E1665" s="4" t="s">
        <v>2817</v>
      </c>
      <c r="F1665" s="127" t="n">
        <v>46906</v>
      </c>
      <c r="G1665" s="127" t="n">
        <v>47177</v>
      </c>
      <c r="H1665" s="127" t="n">
        <v>46289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35</v>
      </c>
      <c r="N1665" s="2" t="str">
        <f aca="false"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 t="str">
        <f aca="false">IF(OR(F1665="",G1665=""),"",IF(G1665&lt;='RETRATO 2027'!$K$5,"CONCLUÍDA",IF(F1665&lt;='RETRATO 2027'!$K$5,"EM ANDAMENTO","A INICIAR")))</f>
        <v>A INICIAR</v>
      </c>
    </row>
    <row r="1666" customFormat="false" ht="15" hidden="false" customHeight="false" outlineLevel="0" collapsed="false">
      <c r="B1666" s="4" t="n">
        <v>29980885</v>
      </c>
      <c r="C1666" s="4" t="s">
        <v>216</v>
      </c>
      <c r="D1666" s="4" t="s">
        <v>463</v>
      </c>
      <c r="E1666" s="4" t="s">
        <v>2833</v>
      </c>
      <c r="F1666" s="127" t="n">
        <v>46906</v>
      </c>
      <c r="G1666" s="127" t="n">
        <v>46918</v>
      </c>
      <c r="H1666" s="127" t="n">
        <v>46289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33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25</v>
      </c>
      <c r="O1666" s="2" t="str">
        <f aca="false">IF(OR(F1666="",G1666=""),"",IF(G1666&lt;='RETRATO 2027'!$K$5,"CONCLUÍDA",IF(F1666&lt;='RETRATO 2027'!$K$5,"EM ANDAMENTO","A INICIAR")))</f>
        <v>A INICIAR</v>
      </c>
    </row>
    <row r="1667" customFormat="false" ht="15" hidden="false" customHeight="false" outlineLevel="0" collapsed="false">
      <c r="B1667" s="4" t="n">
        <v>29980846</v>
      </c>
      <c r="C1667" s="4" t="s">
        <v>2508</v>
      </c>
      <c r="D1667" s="4" t="s">
        <v>463</v>
      </c>
      <c r="E1667" s="4" t="s">
        <v>2834</v>
      </c>
      <c r="F1667" s="127" t="n">
        <v>46906</v>
      </c>
      <c r="G1667" s="127" t="n">
        <v>46918</v>
      </c>
      <c r="H1667" s="127" t="n">
        <v>46289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20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26</v>
      </c>
      <c r="O1667" s="2" t="str">
        <f aca="false">IF(OR(F1667="",G1667=""),"",IF(G1667&lt;='RETRATO 2027'!$K$5,"CONCLUÍDA",IF(F1667&lt;='RETRATO 2027'!$K$5,"EM ANDAMENTO","A INICIAR")))</f>
        <v>A INICIAR</v>
      </c>
    </row>
    <row r="1668" customFormat="false" ht="15" hidden="false" customHeight="false" outlineLevel="0" collapsed="false">
      <c r="B1668" s="4" t="n">
        <v>29980851</v>
      </c>
      <c r="C1668" s="4" t="s">
        <v>2511</v>
      </c>
      <c r="D1668" s="4" t="s">
        <v>463</v>
      </c>
      <c r="E1668" s="4" t="s">
        <v>2834</v>
      </c>
      <c r="F1668" s="127" t="n">
        <v>46906</v>
      </c>
      <c r="G1668" s="127" t="n">
        <v>46918</v>
      </c>
      <c r="H1668" s="127" t="n">
        <v>46289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20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26</v>
      </c>
      <c r="O1668" s="2" t="str">
        <f aca="false">IF(OR(F1668="",G1668=""),"",IF(G1668&lt;='RETRATO 2027'!$K$5,"CONCLUÍDA",IF(F1668&lt;='RETRATO 2027'!$K$5,"EM ANDAMENTO","A INICIAR")))</f>
        <v>A INICIAR</v>
      </c>
    </row>
    <row r="1669" customFormat="false" ht="15" hidden="false" customHeight="false" outlineLevel="0" collapsed="false">
      <c r="B1669" s="4" t="n">
        <v>30214088</v>
      </c>
      <c r="C1669" s="4" t="s">
        <v>2514</v>
      </c>
      <c r="D1669" s="4" t="s">
        <v>463</v>
      </c>
      <c r="E1669" s="4" t="s">
        <v>2834</v>
      </c>
      <c r="F1669" s="127" t="n">
        <v>46906</v>
      </c>
      <c r="G1669" s="127" t="n">
        <v>46920</v>
      </c>
      <c r="H1669" s="127" t="n">
        <v>46289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20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26</v>
      </c>
      <c r="O1669" s="2" t="str">
        <f aca="false">IF(OR(F1669="",G1669=""),"",IF(G1669&lt;='RETRATO 2027'!$K$5,"CONCLUÍDA",IF(F1669&lt;='RETRATO 2027'!$K$5,"EM ANDAMENTO","A INICIAR")))</f>
        <v>A INICIAR</v>
      </c>
    </row>
    <row r="1670" customFormat="false" ht="15" hidden="false" customHeight="false" outlineLevel="0" collapsed="false">
      <c r="B1670" s="4" t="n">
        <v>29980793</v>
      </c>
      <c r="C1670" s="4" t="s">
        <v>2501</v>
      </c>
      <c r="D1670" s="4" t="s">
        <v>463</v>
      </c>
      <c r="E1670" s="4" t="s">
        <v>2838</v>
      </c>
      <c r="F1670" s="127" t="n">
        <v>46906</v>
      </c>
      <c r="G1670" s="127" t="n">
        <v>46918</v>
      </c>
      <c r="H1670" s="127" t="n">
        <v>46289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30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27</v>
      </c>
      <c r="O1670" s="2" t="str">
        <f aca="false">IF(OR(F1670="",G1670=""),"",IF(G1670&lt;='RETRATO 2027'!$K$5,"CONCLUÍDA",IF(F1670&lt;='RETRATO 2027'!$K$5,"EM ANDAMENTO","A INICIAR")))</f>
        <v>A INICIAR</v>
      </c>
    </row>
    <row r="1671" customFormat="false" ht="15" hidden="false" customHeight="false" outlineLevel="0" collapsed="false">
      <c r="B1671" s="4" t="n">
        <v>29980755</v>
      </c>
      <c r="C1671" s="4" t="s">
        <v>2486</v>
      </c>
      <c r="D1671" s="4" t="s">
        <v>463</v>
      </c>
      <c r="E1671" s="4" t="s">
        <v>2840</v>
      </c>
      <c r="F1671" s="127" t="n">
        <v>46906</v>
      </c>
      <c r="G1671" s="127" t="n">
        <v>46918</v>
      </c>
      <c r="H1671" s="127" t="n">
        <v>46289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28</v>
      </c>
      <c r="O1671" s="2" t="str">
        <f aca="false">IF(OR(F1671="",G1671=""),"",IF(G1671&lt;='RETRATO 2027'!$K$5,"CONCLUÍDA",IF(F1671&lt;='RETRATO 2027'!$K$5,"EM ANDAMENTO","A INICIAR")))</f>
        <v>A INICIAR</v>
      </c>
    </row>
    <row r="1672" customFormat="false" ht="15" hidden="false" customHeight="false" outlineLevel="0" collapsed="false">
      <c r="B1672" s="4" t="n">
        <v>29980734</v>
      </c>
      <c r="C1672" s="4" t="s">
        <v>2480</v>
      </c>
      <c r="D1672" s="4" t="s">
        <v>463</v>
      </c>
      <c r="E1672" s="4" t="s">
        <v>2841</v>
      </c>
      <c r="F1672" s="127" t="n">
        <v>46906</v>
      </c>
      <c r="G1672" s="127" t="n">
        <v>46918</v>
      </c>
      <c r="H1672" s="127" t="n">
        <v>46289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30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29</v>
      </c>
      <c r="O1672" s="2" t="str">
        <f aca="false">IF(OR(F1672="",G1672=""),"",IF(G1672&lt;='RETRATO 2027'!$K$5,"CONCLUÍDA",IF(F1672&lt;='RETRATO 2027'!$K$5,"EM ANDAMENTO","A INICIAR")))</f>
        <v>A INICIAR</v>
      </c>
    </row>
    <row r="1673" customFormat="false" ht="15" hidden="false" customHeight="false" outlineLevel="0" collapsed="false">
      <c r="B1673" s="4" t="n">
        <v>29980695</v>
      </c>
      <c r="C1673" s="4" t="s">
        <v>171</v>
      </c>
      <c r="D1673" s="4" t="s">
        <v>463</v>
      </c>
      <c r="E1673" s="4" t="s">
        <v>2842</v>
      </c>
      <c r="F1673" s="127" t="n">
        <v>46906</v>
      </c>
      <c r="G1673" s="127" t="n">
        <v>46918</v>
      </c>
      <c r="H1673" s="127" t="n">
        <v>46289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>19</v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30</v>
      </c>
      <c r="O1673" s="2" t="str">
        <f aca="false">IF(OR(F1673="",G1673=""),"",IF(G1673&lt;='RETRATO 2027'!$K$5,"CONCLUÍDA",IF(F1673&lt;='RETRATO 2027'!$K$5,"EM ANDAMENTO","A INICIAR")))</f>
        <v>A INICIAR</v>
      </c>
    </row>
    <row r="1674" customFormat="false" ht="15" hidden="false" customHeight="false" outlineLevel="0" collapsed="false">
      <c r="B1674" s="4" t="n">
        <v>32750457</v>
      </c>
      <c r="C1674" s="4" t="s">
        <v>2470</v>
      </c>
      <c r="D1674" s="4" t="s">
        <v>463</v>
      </c>
      <c r="E1674" s="4" t="s">
        <v>2843</v>
      </c>
      <c r="F1674" s="127" t="n">
        <v>46906</v>
      </c>
      <c r="G1674" s="127" t="n">
        <v>46918</v>
      </c>
      <c r="H1674" s="127" t="n">
        <v>46289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18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31</v>
      </c>
      <c r="O1674" s="2" t="str">
        <f aca="false">IF(OR(F1674="",G1674=""),"",IF(G1674&lt;='RETRATO 2027'!$K$5,"CONCLUÍDA",IF(F1674&lt;='RETRATO 2027'!$K$5,"EM ANDAMENTO","A INICIAR")))</f>
        <v>A INICIAR</v>
      </c>
    </row>
    <row r="1675" customFormat="false" ht="15" hidden="false" customHeight="false" outlineLevel="0" collapsed="false">
      <c r="B1675" s="4" t="n">
        <v>32750380</v>
      </c>
      <c r="C1675" s="4" t="s">
        <v>2458</v>
      </c>
      <c r="D1675" s="4" t="s">
        <v>463</v>
      </c>
      <c r="E1675" s="4" t="s">
        <v>2844</v>
      </c>
      <c r="F1675" s="127" t="n">
        <v>46906</v>
      </c>
      <c r="G1675" s="127" t="n">
        <v>46918</v>
      </c>
      <c r="H1675" s="127" t="n">
        <v>46289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21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32</v>
      </c>
      <c r="O1675" s="2" t="str">
        <f aca="false">IF(OR(F1675="",G1675=""),"",IF(G1675&lt;='RETRATO 2027'!$K$5,"CONCLUÍDA",IF(F1675&lt;='RETRATO 2027'!$K$5,"EM ANDAMENTO","A INICIAR")))</f>
        <v>A INICIAR</v>
      </c>
    </row>
    <row r="1676" customFormat="false" ht="15" hidden="false" customHeight="false" outlineLevel="0" collapsed="false">
      <c r="B1676" s="4" t="n">
        <v>32750406</v>
      </c>
      <c r="C1676" s="4" t="s">
        <v>2461</v>
      </c>
      <c r="D1676" s="4" t="s">
        <v>463</v>
      </c>
      <c r="E1676" s="4" t="s">
        <v>2844</v>
      </c>
      <c r="F1676" s="127" t="n">
        <v>46906</v>
      </c>
      <c r="G1676" s="127" t="n">
        <v>46918</v>
      </c>
      <c r="H1676" s="127" t="n">
        <v>46289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20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32</v>
      </c>
      <c r="O1676" s="2" t="str">
        <f aca="false">IF(OR(F1676="",G1676=""),"",IF(G1676&lt;='RETRATO 2027'!$K$5,"CONCLUÍDA",IF(F1676&lt;='RETRATO 2027'!$K$5,"EM ANDAMENTO","A INICIAR")))</f>
        <v>A INICIAR</v>
      </c>
    </row>
    <row r="1677" customFormat="false" ht="15" hidden="false" customHeight="false" outlineLevel="0" collapsed="false">
      <c r="B1677" s="4" t="n">
        <v>32750432</v>
      </c>
      <c r="C1677" s="4" t="s">
        <v>2464</v>
      </c>
      <c r="D1677" s="4" t="s">
        <v>463</v>
      </c>
      <c r="E1677" s="4" t="s">
        <v>2844</v>
      </c>
      <c r="F1677" s="127" t="n">
        <v>46906</v>
      </c>
      <c r="G1677" s="127" t="n">
        <v>46918</v>
      </c>
      <c r="H1677" s="127" t="n">
        <v>46289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21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32</v>
      </c>
      <c r="O1677" s="2" t="str">
        <f aca="false">IF(OR(F1677="",G1677=""),"",IF(G1677&lt;='RETRATO 2027'!$K$5,"CONCLUÍDA",IF(F1677&lt;='RETRATO 2027'!$K$5,"EM ANDAMENTO","A INICIAR")))</f>
        <v>A INICIAR</v>
      </c>
    </row>
    <row r="1678" customFormat="false" ht="15" hidden="false" customHeight="false" outlineLevel="0" collapsed="false">
      <c r="B1678" s="4" t="n">
        <v>33896850</v>
      </c>
      <c r="C1678" s="4" t="s">
        <v>2467</v>
      </c>
      <c r="D1678" s="4" t="s">
        <v>463</v>
      </c>
      <c r="E1678" s="4" t="s">
        <v>2844</v>
      </c>
      <c r="F1678" s="127" t="n">
        <v>46906</v>
      </c>
      <c r="G1678" s="127" t="n">
        <v>46918</v>
      </c>
      <c r="H1678" s="127" t="n">
        <v>46289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23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32</v>
      </c>
      <c r="O1678" s="2" t="str">
        <f aca="false">IF(OR(F1678="",G1678=""),"",IF(G1678&lt;='RETRATO 2027'!$K$5,"CONCLUÍDA",IF(F1678&lt;='RETRATO 2027'!$K$5,"EM ANDAMENTO","A INICIAR")))</f>
        <v>A INICIAR</v>
      </c>
    </row>
    <row r="1679" customFormat="false" ht="15" hidden="false" customHeight="false" outlineLevel="0" collapsed="false">
      <c r="B1679" s="4" t="n">
        <v>30205705</v>
      </c>
      <c r="C1679" s="4" t="s">
        <v>2649</v>
      </c>
      <c r="D1679" s="4" t="s">
        <v>463</v>
      </c>
      <c r="E1679" s="4" t="s">
        <v>2819</v>
      </c>
      <c r="F1679" s="127" t="n">
        <v>46909</v>
      </c>
      <c r="G1679" s="127" t="n">
        <v>46923</v>
      </c>
      <c r="H1679" s="127" t="n">
        <v>46289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37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A INICIAR</v>
      </c>
    </row>
    <row r="1680" customFormat="false" ht="15" hidden="false" customHeight="false" outlineLevel="0" collapsed="false">
      <c r="B1680" s="4" t="n">
        <v>30205668</v>
      </c>
      <c r="C1680" s="4" t="s">
        <v>2629</v>
      </c>
      <c r="D1680" s="4" t="s">
        <v>463</v>
      </c>
      <c r="E1680" s="4" t="s">
        <v>2821</v>
      </c>
      <c r="F1680" s="127" t="n">
        <v>46909</v>
      </c>
      <c r="G1680" s="127" t="n">
        <v>46923</v>
      </c>
      <c r="H1680" s="127" t="n">
        <v>46289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>20</v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0</v>
      </c>
      <c r="O1680" s="2" t="str">
        <f aca="false">IF(OR(F1680="",G1680=""),"",IF(G1680&lt;='RETRATO 2027'!$K$5,"CONCLUÍDA",IF(F1680&lt;='RETRATO 2027'!$K$5,"EM ANDAMENTO","A INICIAR")))</f>
        <v>A INICIAR</v>
      </c>
    </row>
    <row r="1681" customFormat="false" ht="15" hidden="false" customHeight="false" outlineLevel="0" collapsed="false">
      <c r="B1681" s="4" t="n">
        <v>30205640</v>
      </c>
      <c r="C1681" s="4" t="s">
        <v>2623</v>
      </c>
      <c r="D1681" s="4" t="s">
        <v>463</v>
      </c>
      <c r="E1681" s="4" t="s">
        <v>2824</v>
      </c>
      <c r="F1681" s="127" t="n">
        <v>46909</v>
      </c>
      <c r="G1681" s="127" t="n">
        <v>46923</v>
      </c>
      <c r="H1681" s="127" t="n">
        <v>46289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0</v>
      </c>
      <c r="O1681" s="2" t="str">
        <f aca="false">IF(OR(F1681="",G1681=""),"",IF(G1681&lt;='RETRATO 2027'!$K$5,"CONCLUÍDA",IF(F1681&lt;='RETRATO 2027'!$K$5,"EM ANDAMENTO","A INICIAR")))</f>
        <v>A INICIAR</v>
      </c>
    </row>
    <row r="1682" customFormat="false" ht="15" hidden="false" customHeight="false" outlineLevel="0" collapsed="false">
      <c r="B1682" s="4" t="n">
        <v>30205626</v>
      </c>
      <c r="C1682" s="4" t="s">
        <v>2615</v>
      </c>
      <c r="D1682" s="4" t="s">
        <v>463</v>
      </c>
      <c r="E1682" s="4" t="s">
        <v>2826</v>
      </c>
      <c r="F1682" s="127" t="n">
        <v>46909</v>
      </c>
      <c r="G1682" s="127" t="n">
        <v>46923</v>
      </c>
      <c r="H1682" s="127" t="n">
        <v>46289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37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0</v>
      </c>
      <c r="O1682" s="2" t="str">
        <f aca="false">IF(OR(F1682="",G1682=""),"",IF(G1682&lt;='RETRATO 2027'!$K$5,"CONCLUÍDA",IF(F1682&lt;='RETRATO 2027'!$K$5,"EM ANDAMENTO","A INICIAR")))</f>
        <v>A INICIAR</v>
      </c>
    </row>
    <row r="1683" customFormat="false" ht="15" hidden="false" customHeight="false" outlineLevel="0" collapsed="false">
      <c r="B1683" s="4" t="n">
        <v>29981079</v>
      </c>
      <c r="C1683" s="4" t="s">
        <v>2437</v>
      </c>
      <c r="D1683" s="4" t="s">
        <v>463</v>
      </c>
      <c r="E1683" s="4" t="s">
        <v>2822</v>
      </c>
      <c r="F1683" s="127" t="n">
        <v>46909</v>
      </c>
      <c r="G1683" s="127" t="n">
        <v>46920</v>
      </c>
      <c r="H1683" s="127" t="n">
        <v>46289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29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19</v>
      </c>
      <c r="O1683" s="2" t="str">
        <f aca="false">IF(OR(F1683="",G1683=""),"",IF(G1683&lt;='RETRATO 2027'!$K$5,"CONCLUÍDA",IF(F1683&lt;='RETRATO 2027'!$K$5,"EM ANDAMENTO","A INICIAR")))</f>
        <v>A INICIAR</v>
      </c>
    </row>
    <row r="1684" customFormat="false" ht="15" hidden="false" customHeight="false" outlineLevel="0" collapsed="false">
      <c r="B1684" s="4" t="n">
        <v>30205791</v>
      </c>
      <c r="C1684" s="4" t="s">
        <v>2554</v>
      </c>
      <c r="D1684" s="4" t="s">
        <v>463</v>
      </c>
      <c r="E1684" s="4" t="s">
        <v>2835</v>
      </c>
      <c r="F1684" s="127" t="n">
        <v>46911</v>
      </c>
      <c r="G1684" s="127" t="n">
        <v>46932</v>
      </c>
      <c r="H1684" s="127" t="n">
        <v>46289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>35</v>
      </c>
      <c r="N1684" s="2" t="n">
        <f aca="false">IF(E1684="","",IF(ISNUMBER(SEARCH("SUBSOLO",E1684)),IFERROR(-VALUE(LEFT(E1684,FIND("º",SUBSTITUTE(E1684,"°","º"))-1)),-1),IF(LEFT(E1684,6)="TÉRREO",0,IFERROR(VALUE(LEFT(E1684,FIND("º",SUBSTITUTE(E1684,"°","º"))-1)),""))))</f>
        <v>0</v>
      </c>
      <c r="O1684" s="2" t="str">
        <f aca="false">IF(OR(F1684="",G1684=""),"",IF(G1684&lt;='RETRATO 2027'!$K$5,"CONCLUÍDA",IF(F1684&lt;='RETRATO 2027'!$K$5,"EM ANDAMENTO","A INICIAR")))</f>
        <v>A INICIAR</v>
      </c>
    </row>
    <row r="1685" customFormat="false" ht="15" hidden="false" customHeight="false" outlineLevel="0" collapsed="false">
      <c r="B1685" s="4" t="n">
        <v>30205817</v>
      </c>
      <c r="C1685" s="4" t="s">
        <v>2545</v>
      </c>
      <c r="D1685" s="4" t="s">
        <v>463</v>
      </c>
      <c r="E1685" s="4" t="s">
        <v>2839</v>
      </c>
      <c r="F1685" s="127" t="n">
        <v>46911</v>
      </c>
      <c r="G1685" s="127" t="n">
        <v>46925</v>
      </c>
      <c r="H1685" s="127" t="n">
        <v>46289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25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0</v>
      </c>
      <c r="O1685" s="2" t="str">
        <f aca="false">IF(OR(F1685="",G1685=""),"",IF(G1685&lt;='RETRATO 2027'!$K$5,"CONCLUÍDA",IF(F1685&lt;='RETRATO 2027'!$K$5,"EM ANDAMENTO","A INICIAR")))</f>
        <v>A INICIAR</v>
      </c>
    </row>
    <row r="1686" customFormat="false" ht="15" hidden="false" customHeight="false" outlineLevel="0" collapsed="false">
      <c r="B1686" s="4" t="n">
        <v>34179698</v>
      </c>
      <c r="C1686" s="4" t="s">
        <v>2670</v>
      </c>
      <c r="D1686" s="4" t="s">
        <v>463</v>
      </c>
      <c r="E1686" s="4" t="s">
        <v>2836</v>
      </c>
      <c r="F1686" s="127" t="n">
        <v>46912</v>
      </c>
      <c r="G1686" s="127" t="n">
        <v>46944</v>
      </c>
      <c r="H1686" s="127" t="n">
        <v>46289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36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0</v>
      </c>
      <c r="O1686" s="2" t="str">
        <f aca="false">IF(OR(F1686="",G1686=""),"",IF(G1686&lt;='RETRATO 2027'!$K$5,"CONCLUÍDA",IF(F1686&lt;='RETRATO 2027'!$K$5,"EM ANDAMENTO","A INICIAR")))</f>
        <v>A INICIAR</v>
      </c>
    </row>
    <row r="1687" customFormat="false" ht="15" hidden="false" customHeight="false" outlineLevel="0" collapsed="false">
      <c r="B1687" s="4" t="n">
        <v>29981476</v>
      </c>
      <c r="C1687" s="4" t="s">
        <v>2649</v>
      </c>
      <c r="D1687" s="4" t="s">
        <v>463</v>
      </c>
      <c r="E1687" s="4" t="s">
        <v>2805</v>
      </c>
      <c r="F1687" s="127" t="n">
        <v>46912</v>
      </c>
      <c r="G1687" s="127" t="n">
        <v>46925</v>
      </c>
      <c r="H1687" s="127" t="n">
        <v>46289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37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A INICIAR</v>
      </c>
    </row>
    <row r="1688" customFormat="false" ht="15" hidden="false" customHeight="false" outlineLevel="0" collapsed="false">
      <c r="B1688" s="4" t="n">
        <v>29981429</v>
      </c>
      <c r="C1688" s="4" t="s">
        <v>2641</v>
      </c>
      <c r="D1688" s="4" t="s">
        <v>463</v>
      </c>
      <c r="E1688" s="4" t="s">
        <v>2809</v>
      </c>
      <c r="F1688" s="127" t="n">
        <v>46912</v>
      </c>
      <c r="G1688" s="127" t="n">
        <v>46925</v>
      </c>
      <c r="H1688" s="127" t="n">
        <v>46289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35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10</v>
      </c>
      <c r="O1688" s="2" t="str">
        <f aca="false">IF(OR(F1688="",G1688=""),"",IF(G1688&lt;='RETRATO 2027'!$K$5,"CONCLUÍDA",IF(F1688&lt;='RETRATO 2027'!$K$5,"EM ANDAMENTO","A INICIAR")))</f>
        <v>A INICIAR</v>
      </c>
    </row>
    <row r="1689" customFormat="false" ht="15" hidden="false" customHeight="false" outlineLevel="0" collapsed="false">
      <c r="B1689" s="4" t="n">
        <v>31791086</v>
      </c>
      <c r="C1689" s="4" t="s">
        <v>2672</v>
      </c>
      <c r="D1689" s="4" t="s">
        <v>463</v>
      </c>
      <c r="E1689" s="4" t="s">
        <v>2678</v>
      </c>
      <c r="F1689" s="127" t="n">
        <v>46912</v>
      </c>
      <c r="G1689" s="127" t="n">
        <v>46961</v>
      </c>
      <c r="H1689" s="127" t="n">
        <v>46289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32</v>
      </c>
      <c r="N1689" s="2" t="str">
        <f aca="false"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 t="str">
        <f aca="false">IF(OR(F1689="",G1689=""),"",IF(G1689&lt;='RETRATO 2027'!$K$5,"CONCLUÍDA",IF(F1689&lt;='RETRATO 2027'!$K$5,"EM ANDAMENTO","A INICIAR")))</f>
        <v>A INICIAR</v>
      </c>
    </row>
    <row r="1690" customFormat="false" ht="15" hidden="false" customHeight="false" outlineLevel="0" collapsed="false">
      <c r="B1690" s="4" t="n">
        <v>30205723</v>
      </c>
      <c r="C1690" s="4" t="s">
        <v>2674</v>
      </c>
      <c r="D1690" s="4" t="s">
        <v>463</v>
      </c>
      <c r="E1690" s="4" t="s">
        <v>2740</v>
      </c>
      <c r="F1690" s="127" t="n">
        <v>46913</v>
      </c>
      <c r="G1690" s="127" t="n">
        <v>46927</v>
      </c>
      <c r="H1690" s="127" t="n">
        <v>46289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35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-1</v>
      </c>
      <c r="O1690" s="2" t="str">
        <f aca="false">IF(OR(F1690="",G1690=""),"",IF(G1690&lt;='RETRATO 2027'!$K$5,"CONCLUÍDA",IF(F1690&lt;='RETRATO 2027'!$K$5,"EM ANDAMENTO","A INICIAR")))</f>
        <v>A INICIAR</v>
      </c>
    </row>
    <row r="1691" customFormat="false" ht="15" hidden="false" customHeight="false" outlineLevel="0" collapsed="false">
      <c r="B1691" s="4" t="n">
        <v>30205580</v>
      </c>
      <c r="C1691" s="4" t="s">
        <v>2563</v>
      </c>
      <c r="D1691" s="4" t="s">
        <v>463</v>
      </c>
      <c r="E1691" s="4" t="s">
        <v>2828</v>
      </c>
      <c r="F1691" s="127" t="n">
        <v>46916</v>
      </c>
      <c r="G1691" s="127" t="n">
        <v>46923</v>
      </c>
      <c r="H1691" s="127" t="n">
        <v>46289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0</v>
      </c>
      <c r="O1691" s="2" t="str">
        <f aca="false">IF(OR(F1691="",G1691=""),"",IF(G1691&lt;='RETRATO 2027'!$K$5,"CONCLUÍDA",IF(F1691&lt;='RETRATO 2027'!$K$5,"EM ANDAMENTO","A INICIAR")))</f>
        <v>A INICIAR</v>
      </c>
    </row>
    <row r="1692" customFormat="false" ht="15" hidden="false" customHeight="false" outlineLevel="0" collapsed="false">
      <c r="B1692" s="4" t="n">
        <v>30205555</v>
      </c>
      <c r="C1692" s="4" t="s">
        <v>2578</v>
      </c>
      <c r="D1692" s="4" t="s">
        <v>463</v>
      </c>
      <c r="E1692" s="4" t="s">
        <v>2830</v>
      </c>
      <c r="F1692" s="127" t="n">
        <v>46916</v>
      </c>
      <c r="G1692" s="127" t="n">
        <v>46930</v>
      </c>
      <c r="H1692" s="127" t="n">
        <v>46289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25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0</v>
      </c>
      <c r="O1692" s="2" t="str">
        <f aca="false">IF(OR(F1692="",G1692=""),"",IF(G1692&lt;='RETRATO 2027'!$K$5,"CONCLUÍDA",IF(F1692&lt;='RETRATO 2027'!$K$5,"EM ANDAMENTO","A INICIAR")))</f>
        <v>A INICIAR</v>
      </c>
    </row>
    <row r="1693" customFormat="false" ht="15" hidden="false" customHeight="false" outlineLevel="0" collapsed="false">
      <c r="B1693" s="4" t="n">
        <v>30205554</v>
      </c>
      <c r="C1693" s="4" t="s">
        <v>2605</v>
      </c>
      <c r="D1693" s="4" t="s">
        <v>463</v>
      </c>
      <c r="E1693" s="4" t="s">
        <v>2830</v>
      </c>
      <c r="F1693" s="127" t="n">
        <v>46916</v>
      </c>
      <c r="G1693" s="127" t="n">
        <v>46930</v>
      </c>
      <c r="H1693" s="127" t="n">
        <v>46289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34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0</v>
      </c>
      <c r="O1693" s="2" t="str">
        <f aca="false">IF(OR(F1693="",G1693=""),"",IF(G1693&lt;='RETRATO 2027'!$K$5,"CONCLUÍDA",IF(F1693&lt;='RETRATO 2027'!$K$5,"EM ANDAMENTO","A INICIAR")))</f>
        <v>A INICIAR</v>
      </c>
    </row>
    <row r="1694" customFormat="false" ht="15" hidden="false" customHeight="false" outlineLevel="0" collapsed="false">
      <c r="B1694" s="4" t="n">
        <v>30205552</v>
      </c>
      <c r="C1694" s="4" t="s">
        <v>2607</v>
      </c>
      <c r="D1694" s="4" t="s">
        <v>463</v>
      </c>
      <c r="E1694" s="4" t="s">
        <v>2830</v>
      </c>
      <c r="F1694" s="127" t="n">
        <v>46916</v>
      </c>
      <c r="G1694" s="127" t="n">
        <v>46930</v>
      </c>
      <c r="H1694" s="127" t="n">
        <v>46289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34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0</v>
      </c>
      <c r="O1694" s="2" t="str">
        <f aca="false">IF(OR(F1694="",G1694=""),"",IF(G1694&lt;='RETRATO 2027'!$K$5,"CONCLUÍDA",IF(F1694&lt;='RETRATO 2027'!$K$5,"EM ANDAMENTO","A INICIAR")))</f>
        <v>A INICIAR</v>
      </c>
    </row>
    <row r="1695" customFormat="false" ht="15" hidden="false" customHeight="false" outlineLevel="0" collapsed="false">
      <c r="B1695" s="4" t="n">
        <v>30205537</v>
      </c>
      <c r="C1695" s="4" t="s">
        <v>2554</v>
      </c>
      <c r="D1695" s="4" t="s">
        <v>463</v>
      </c>
      <c r="E1695" s="4" t="s">
        <v>2832</v>
      </c>
      <c r="F1695" s="127" t="n">
        <v>46916</v>
      </c>
      <c r="G1695" s="127" t="n">
        <v>46930</v>
      </c>
      <c r="H1695" s="127" t="n">
        <v>46289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35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0</v>
      </c>
      <c r="O1695" s="2" t="str">
        <f aca="false">IF(OR(F1695="",G1695=""),"",IF(G1695&lt;='RETRATO 2027'!$K$5,"CONCLUÍDA",IF(F1695&lt;='RETRATO 2027'!$K$5,"EM ANDAMENTO","A INICIAR")))</f>
        <v>A INICIAR</v>
      </c>
    </row>
    <row r="1696" customFormat="false" ht="15" hidden="false" customHeight="false" outlineLevel="0" collapsed="false">
      <c r="B1696" s="4" t="n">
        <v>30171522</v>
      </c>
      <c r="C1696" s="4" t="s">
        <v>2495</v>
      </c>
      <c r="D1696" s="4" t="s">
        <v>463</v>
      </c>
      <c r="E1696" s="4" t="s">
        <v>2857</v>
      </c>
      <c r="F1696" s="127" t="n">
        <v>46918</v>
      </c>
      <c r="G1696" s="127" t="n">
        <v>46946</v>
      </c>
      <c r="H1696" s="127" t="n">
        <v>46289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24</v>
      </c>
      <c r="N1696" s="2" t="str">
        <f aca="false"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 t="str">
        <f aca="false">IF(OR(F1696="",G1696=""),"",IF(G1696&lt;='RETRATO 2027'!$K$5,"CONCLUÍDA",IF(F1696&lt;='RETRATO 2027'!$K$5,"EM ANDAMENTO","A INICIAR")))</f>
        <v>A INICIAR</v>
      </c>
    </row>
    <row r="1697" customFormat="false" ht="15" hidden="false" customHeight="false" outlineLevel="0" collapsed="false">
      <c r="B1697" s="4" t="n">
        <v>29981391</v>
      </c>
      <c r="C1697" s="4" t="s">
        <v>2637</v>
      </c>
      <c r="D1697" s="4" t="s">
        <v>463</v>
      </c>
      <c r="E1697" s="4" t="s">
        <v>2810</v>
      </c>
      <c r="F1697" s="127" t="n">
        <v>46918</v>
      </c>
      <c r="G1697" s="127" t="n">
        <v>46925</v>
      </c>
      <c r="H1697" s="127" t="n">
        <v>46289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/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11</v>
      </c>
      <c r="O1697" s="2" t="str">
        <f aca="false">IF(OR(F1697="",G1697=""),"",IF(G1697&lt;='RETRATO 2027'!$K$5,"CONCLUÍDA",IF(F1697&lt;='RETRATO 2027'!$K$5,"EM ANDAMENTO","A INICIAR")))</f>
        <v>A INICIAR</v>
      </c>
    </row>
    <row r="1698" customFormat="false" ht="15" hidden="false" customHeight="false" outlineLevel="0" collapsed="false">
      <c r="B1698" s="4" t="n">
        <v>29981356</v>
      </c>
      <c r="C1698" s="4" t="s">
        <v>2629</v>
      </c>
      <c r="D1698" s="4" t="s">
        <v>463</v>
      </c>
      <c r="E1698" s="4" t="s">
        <v>2811</v>
      </c>
      <c r="F1698" s="127" t="n">
        <v>46918</v>
      </c>
      <c r="G1698" s="127" t="n">
        <v>46931</v>
      </c>
      <c r="H1698" s="127" t="n">
        <v>46289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20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12</v>
      </c>
      <c r="O1698" s="2" t="str">
        <f aca="false">IF(OR(F1698="",G1698=""),"",IF(G1698&lt;='RETRATO 2027'!$K$5,"CONCLUÍDA",IF(F1698&lt;='RETRATO 2027'!$K$5,"EM ANDAMENTO","A INICIAR")))</f>
        <v>A INICIAR</v>
      </c>
    </row>
    <row r="1699" customFormat="false" ht="15" hidden="false" customHeight="false" outlineLevel="0" collapsed="false">
      <c r="B1699" s="4" t="n">
        <v>29981316</v>
      </c>
      <c r="C1699" s="4" t="s">
        <v>2623</v>
      </c>
      <c r="D1699" s="4" t="s">
        <v>463</v>
      </c>
      <c r="E1699" s="4" t="s">
        <v>2812</v>
      </c>
      <c r="F1699" s="127" t="n">
        <v>46918</v>
      </c>
      <c r="G1699" s="127" t="n">
        <v>46931</v>
      </c>
      <c r="H1699" s="127" t="n">
        <v>46289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13</v>
      </c>
      <c r="O1699" s="2" t="str">
        <f aca="false">IF(OR(F1699="",G1699=""),"",IF(G1699&lt;='RETRATO 2027'!$K$5,"CONCLUÍDA",IF(F1699&lt;='RETRATO 2027'!$K$5,"EM ANDAMENTO","A INICIAR")))</f>
        <v>A INICIAR</v>
      </c>
    </row>
    <row r="1700" customFormat="false" ht="15" hidden="false" customHeight="false" outlineLevel="0" collapsed="false">
      <c r="B1700" s="4" t="n">
        <v>33919791</v>
      </c>
      <c r="C1700" s="4" t="s">
        <v>2625</v>
      </c>
      <c r="D1700" s="4" t="s">
        <v>463</v>
      </c>
      <c r="E1700" s="4" t="s">
        <v>2812</v>
      </c>
      <c r="F1700" s="127" t="n">
        <v>46918</v>
      </c>
      <c r="G1700" s="127" t="n">
        <v>46931</v>
      </c>
      <c r="H1700" s="127" t="n">
        <v>46289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32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13</v>
      </c>
      <c r="O1700" s="2" t="str">
        <f aca="false">IF(OR(F1700="",G1700=""),"",IF(G1700&lt;='RETRATO 2027'!$K$5,"CONCLUÍDA",IF(F1700&lt;='RETRATO 2027'!$K$5,"EM ANDAMENTO","A INICIAR")))</f>
        <v>A INICIAR</v>
      </c>
    </row>
    <row r="1701" customFormat="false" ht="15" hidden="false" customHeight="false" outlineLevel="0" collapsed="false">
      <c r="B1701" s="4" t="n">
        <v>29981278</v>
      </c>
      <c r="C1701" s="4" t="s">
        <v>2615</v>
      </c>
      <c r="D1701" s="4" t="s">
        <v>463</v>
      </c>
      <c r="E1701" s="4" t="s">
        <v>2813</v>
      </c>
      <c r="F1701" s="127" t="n">
        <v>46918</v>
      </c>
      <c r="G1701" s="127" t="n">
        <v>46931</v>
      </c>
      <c r="H1701" s="127" t="n">
        <v>46289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37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14</v>
      </c>
      <c r="O1701" s="2" t="str">
        <f aca="false">IF(OR(F1701="",G1701=""),"",IF(G1701&lt;='RETRATO 2027'!$K$5,"CONCLUÍDA",IF(F1701&lt;='RETRATO 2027'!$K$5,"EM ANDAMENTO","A INICIAR")))</f>
        <v>A INICIAR</v>
      </c>
    </row>
    <row r="1702" customFormat="false" ht="15" hidden="false" customHeight="false" outlineLevel="0" collapsed="false">
      <c r="B1702" s="4" t="n">
        <v>29981235</v>
      </c>
      <c r="C1702" s="4" t="s">
        <v>2605</v>
      </c>
      <c r="D1702" s="4" t="s">
        <v>463</v>
      </c>
      <c r="E1702" s="4" t="s">
        <v>2814</v>
      </c>
      <c r="F1702" s="127" t="n">
        <v>46918</v>
      </c>
      <c r="G1702" s="127" t="n">
        <v>46931</v>
      </c>
      <c r="H1702" s="127" t="n">
        <v>46289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15</v>
      </c>
      <c r="O1702" s="2" t="str">
        <f aca="false">IF(OR(F1702="",G1702=""),"",IF(G1702&lt;='RETRATO 2027'!$K$5,"CONCLUÍDA",IF(F1702&lt;='RETRATO 2027'!$K$5,"EM ANDAMENTO","A INICIAR")))</f>
        <v>A INICIAR</v>
      </c>
    </row>
    <row r="1703" customFormat="false" ht="15" hidden="false" customHeight="false" outlineLevel="0" collapsed="false">
      <c r="B1703" s="4" t="n">
        <v>29981240</v>
      </c>
      <c r="C1703" s="4" t="s">
        <v>2607</v>
      </c>
      <c r="D1703" s="4" t="s">
        <v>463</v>
      </c>
      <c r="E1703" s="4" t="s">
        <v>2814</v>
      </c>
      <c r="F1703" s="127" t="n">
        <v>46918</v>
      </c>
      <c r="G1703" s="127" t="n">
        <v>46931</v>
      </c>
      <c r="H1703" s="127" t="n">
        <v>46289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>34</v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15</v>
      </c>
      <c r="O1703" s="2" t="str">
        <f aca="false">IF(OR(F1703="",G1703=""),"",IF(G1703&lt;='RETRATO 2027'!$K$5,"CONCLUÍDA",IF(F1703&lt;='RETRATO 2027'!$K$5,"EM ANDAMENTO","A INICIAR")))</f>
        <v>A INICIAR</v>
      </c>
    </row>
    <row r="1704" customFormat="false" ht="15" hidden="false" customHeight="false" outlineLevel="0" collapsed="false">
      <c r="B1704" s="4" t="n">
        <v>29981239</v>
      </c>
      <c r="C1704" s="4" t="s">
        <v>2563</v>
      </c>
      <c r="D1704" s="4" t="s">
        <v>463</v>
      </c>
      <c r="E1704" s="4" t="s">
        <v>2814</v>
      </c>
      <c r="F1704" s="127" t="n">
        <v>46918</v>
      </c>
      <c r="G1704" s="127" t="n">
        <v>46931</v>
      </c>
      <c r="H1704" s="127" t="n">
        <v>46289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20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15</v>
      </c>
      <c r="O1704" s="2" t="str">
        <f aca="false">IF(OR(F1704="",G1704=""),"",IF(G1704&lt;='RETRATO 2027'!$K$5,"CONCLUÍDA",IF(F1704&lt;='RETRATO 2027'!$K$5,"EM ANDAMENTO","A INICIAR")))</f>
        <v>A INICIAR</v>
      </c>
    </row>
    <row r="1705" customFormat="false" ht="15" hidden="false" customHeight="false" outlineLevel="0" collapsed="false">
      <c r="B1705" s="4" t="n">
        <v>29981238</v>
      </c>
      <c r="C1705" s="4" t="s">
        <v>2609</v>
      </c>
      <c r="D1705" s="4" t="s">
        <v>463</v>
      </c>
      <c r="E1705" s="4" t="s">
        <v>2814</v>
      </c>
      <c r="F1705" s="127" t="n">
        <v>46918</v>
      </c>
      <c r="G1705" s="127" t="n">
        <v>46931</v>
      </c>
      <c r="H1705" s="127" t="n">
        <v>46289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15</v>
      </c>
      <c r="O1705" s="2" t="str">
        <f aca="false">IF(OR(F1705="",G1705=""),"",IF(G1705&lt;='RETRATO 2027'!$K$5,"CONCLUÍDA",IF(F1705&lt;='RETRATO 2027'!$K$5,"EM ANDAMENTO","A INICIAR")))</f>
        <v>A INICIAR</v>
      </c>
    </row>
    <row r="1706" customFormat="false" ht="15" hidden="false" customHeight="false" outlineLevel="0" collapsed="false">
      <c r="B1706" s="4" t="n">
        <v>29981197</v>
      </c>
      <c r="C1706" s="4" t="s">
        <v>2599</v>
      </c>
      <c r="D1706" s="4" t="s">
        <v>463</v>
      </c>
      <c r="E1706" s="4" t="s">
        <v>2815</v>
      </c>
      <c r="F1706" s="127" t="n">
        <v>46918</v>
      </c>
      <c r="G1706" s="127" t="n">
        <v>46931</v>
      </c>
      <c r="H1706" s="127" t="n">
        <v>46289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30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16</v>
      </c>
      <c r="O1706" s="2" t="str">
        <f aca="false">IF(OR(F1706="",G1706=""),"",IF(G1706&lt;='RETRATO 2027'!$K$5,"CONCLUÍDA",IF(F1706&lt;='RETRATO 2027'!$K$5,"EM ANDAMENTO","A INICIAR")))</f>
        <v>A INICIAR</v>
      </c>
    </row>
    <row r="1707" customFormat="false" ht="15" hidden="false" customHeight="false" outlineLevel="0" collapsed="false">
      <c r="B1707" s="4" t="n">
        <v>29981159</v>
      </c>
      <c r="C1707" s="4" t="s">
        <v>2578</v>
      </c>
      <c r="D1707" s="4" t="s">
        <v>463</v>
      </c>
      <c r="E1707" s="4" t="s">
        <v>2818</v>
      </c>
      <c r="F1707" s="127" t="n">
        <v>46918</v>
      </c>
      <c r="G1707" s="127" t="n">
        <v>46931</v>
      </c>
      <c r="H1707" s="127" t="n">
        <v>46289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25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17</v>
      </c>
      <c r="O1707" s="2" t="str">
        <f aca="false">IF(OR(F1707="",G1707=""),"",IF(G1707&lt;='RETRATO 2027'!$K$5,"CONCLUÍDA",IF(F1707&lt;='RETRATO 2027'!$K$5,"EM ANDAMENTO","A INICIAR")))</f>
        <v>A INICIAR</v>
      </c>
    </row>
    <row r="1708" customFormat="false" ht="15" hidden="false" customHeight="false" outlineLevel="0" collapsed="false">
      <c r="B1708" s="4" t="n">
        <v>29981121</v>
      </c>
      <c r="C1708" s="4" t="s">
        <v>2569</v>
      </c>
      <c r="D1708" s="4" t="s">
        <v>463</v>
      </c>
      <c r="E1708" s="4" t="s">
        <v>2820</v>
      </c>
      <c r="F1708" s="127" t="n">
        <v>46918</v>
      </c>
      <c r="G1708" s="127" t="n">
        <v>46931</v>
      </c>
      <c r="H1708" s="127" t="n">
        <v>46289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18</v>
      </c>
      <c r="O1708" s="2" t="str">
        <f aca="false">IF(OR(F1708="",G1708=""),"",IF(G1708&lt;='RETRATO 2027'!$K$5,"CONCLUÍDA",IF(F1708&lt;='RETRATO 2027'!$K$5,"EM ANDAMENTO","A INICIAR")))</f>
        <v>A INICIAR</v>
      </c>
    </row>
    <row r="1709" customFormat="false" ht="15" hidden="false" customHeight="false" outlineLevel="0" collapsed="false">
      <c r="B1709" s="4" t="n">
        <v>29981046</v>
      </c>
      <c r="C1709" s="4" t="s">
        <v>2554</v>
      </c>
      <c r="D1709" s="4" t="s">
        <v>463</v>
      </c>
      <c r="E1709" s="4" t="s">
        <v>2823</v>
      </c>
      <c r="F1709" s="127" t="n">
        <v>46918</v>
      </c>
      <c r="G1709" s="127" t="n">
        <v>46931</v>
      </c>
      <c r="H1709" s="127" t="n">
        <v>46289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35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20</v>
      </c>
      <c r="O1709" s="2" t="str">
        <f aca="false">IF(OR(F1709="",G1709=""),"",IF(G1709&lt;='RETRATO 2027'!$K$5,"CONCLUÍDA",IF(F1709&lt;='RETRATO 2027'!$K$5,"EM ANDAMENTO","A INICIAR")))</f>
        <v>A INICIAR</v>
      </c>
    </row>
    <row r="1710" customFormat="false" ht="15" hidden="false" customHeight="false" outlineLevel="0" collapsed="false">
      <c r="B1710" s="4" t="n">
        <v>29981035</v>
      </c>
      <c r="C1710" s="4" t="s">
        <v>2539</v>
      </c>
      <c r="D1710" s="4" t="s">
        <v>463</v>
      </c>
      <c r="E1710" s="4" t="s">
        <v>2825</v>
      </c>
      <c r="F1710" s="127" t="n">
        <v>46918</v>
      </c>
      <c r="G1710" s="127" t="n">
        <v>46931</v>
      </c>
      <c r="H1710" s="127" t="n">
        <v>46289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35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21</v>
      </c>
      <c r="O1710" s="2" t="str">
        <f aca="false">IF(OR(F1710="",G1710=""),"",IF(G1710&lt;='RETRATO 2027'!$K$5,"CONCLUÍDA",IF(F1710&lt;='RETRATO 2027'!$K$5,"EM ANDAMENTO","A INICIAR")))</f>
        <v>A INICIAR</v>
      </c>
    </row>
    <row r="1711" customFormat="false" ht="15" hidden="false" customHeight="false" outlineLevel="0" collapsed="false">
      <c r="B1711" s="4" t="n">
        <v>33898106</v>
      </c>
      <c r="C1711" s="4" t="s">
        <v>2545</v>
      </c>
      <c r="D1711" s="4" t="s">
        <v>463</v>
      </c>
      <c r="E1711" s="4" t="s">
        <v>2827</v>
      </c>
      <c r="F1711" s="127" t="n">
        <v>46918</v>
      </c>
      <c r="G1711" s="127" t="n">
        <v>46931</v>
      </c>
      <c r="H1711" s="127" t="n">
        <v>46289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25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22</v>
      </c>
      <c r="O1711" s="2" t="str">
        <f aca="false">IF(OR(F1711="",G1711=""),"",IF(G1711&lt;='RETRATO 2027'!$K$5,"CONCLUÍDA",IF(F1711&lt;='RETRATO 2027'!$K$5,"EM ANDAMENTO","A INICIAR")))</f>
        <v>A INICIAR</v>
      </c>
    </row>
    <row r="1712" customFormat="false" ht="15" hidden="false" customHeight="false" outlineLevel="0" collapsed="false">
      <c r="B1712" s="4" t="n">
        <v>34179691</v>
      </c>
      <c r="C1712" s="4" t="s">
        <v>194</v>
      </c>
      <c r="D1712" s="4" t="s">
        <v>463</v>
      </c>
      <c r="E1712" s="4" t="s">
        <v>2836</v>
      </c>
      <c r="F1712" s="127" t="n">
        <v>46920</v>
      </c>
      <c r="G1712" s="127" t="n">
        <v>46933</v>
      </c>
      <c r="H1712" s="127" t="n">
        <v>46289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26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0</v>
      </c>
      <c r="O1712" s="2" t="str">
        <f aca="false">IF(OR(F1712="",G1712=""),"",IF(G1712&lt;='RETRATO 2027'!$K$5,"CONCLUÍDA",IF(F1712&lt;='RETRATO 2027'!$K$5,"EM ANDAMENTO","A INICIAR")))</f>
        <v>A INICIAR</v>
      </c>
    </row>
    <row r="1713" customFormat="false" ht="15" hidden="false" customHeight="false" outlineLevel="0" collapsed="false">
      <c r="B1713" s="4" t="n">
        <v>34179696</v>
      </c>
      <c r="C1713" s="4" t="s">
        <v>228</v>
      </c>
      <c r="D1713" s="4" t="s">
        <v>463</v>
      </c>
      <c r="E1713" s="4" t="s">
        <v>2836</v>
      </c>
      <c r="F1713" s="127" t="n">
        <v>46920</v>
      </c>
      <c r="G1713" s="127" t="n">
        <v>46982</v>
      </c>
      <c r="H1713" s="127" t="n">
        <v>46289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36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0</v>
      </c>
      <c r="O1713" s="2" t="str">
        <f aca="false">IF(OR(F1713="",G1713=""),"",IF(G1713&lt;='RETRATO 2027'!$K$5,"CONCLUÍDA",IF(F1713&lt;='RETRATO 2027'!$K$5,"EM ANDAMENTO","A INICIAR")))</f>
        <v>A INICIAR</v>
      </c>
    </row>
    <row r="1714" customFormat="false" ht="15" hidden="false" customHeight="false" outlineLevel="0" collapsed="false">
      <c r="B1714" s="4" t="n">
        <v>30205768</v>
      </c>
      <c r="C1714" s="4" t="s">
        <v>194</v>
      </c>
      <c r="D1714" s="4" t="s">
        <v>463</v>
      </c>
      <c r="E1714" s="4" t="s">
        <v>2837</v>
      </c>
      <c r="F1714" s="127" t="n">
        <v>46920</v>
      </c>
      <c r="G1714" s="127" t="n">
        <v>46933</v>
      </c>
      <c r="H1714" s="127" t="n">
        <v>46289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26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0</v>
      </c>
      <c r="O1714" s="2" t="str">
        <f aca="false">IF(OR(F1714="",G1714=""),"",IF(G1714&lt;='RETRATO 2027'!$K$5,"CONCLUÍDA",IF(F1714&lt;='RETRATO 2027'!$K$5,"EM ANDAMENTO","A INICIAR")))</f>
        <v>A INICIAR</v>
      </c>
    </row>
    <row r="1715" customFormat="false" ht="15" hidden="false" customHeight="false" outlineLevel="0" collapsed="false">
      <c r="B1715" s="4" t="n">
        <v>30205766</v>
      </c>
      <c r="C1715" s="4" t="s">
        <v>2678</v>
      </c>
      <c r="D1715" s="4" t="s">
        <v>463</v>
      </c>
      <c r="E1715" s="4" t="s">
        <v>2837</v>
      </c>
      <c r="F1715" s="127" t="n">
        <v>46920</v>
      </c>
      <c r="G1715" s="127" t="n">
        <v>47015</v>
      </c>
      <c r="H1715" s="127" t="n">
        <v>46289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32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0</v>
      </c>
      <c r="O1715" s="2" t="str">
        <f aca="false">IF(OR(F1715="",G1715=""),"",IF(G1715&lt;='RETRATO 2027'!$K$5,"CONCLUÍDA",IF(F1715&lt;='RETRATO 2027'!$K$5,"EM ANDAMENTO","A INICIAR")))</f>
        <v>A INICIAR</v>
      </c>
    </row>
    <row r="1716" customFormat="false" ht="15" hidden="false" customHeight="false" outlineLevel="0" collapsed="false">
      <c r="B1716" s="4" t="n">
        <v>30206127</v>
      </c>
      <c r="C1716" s="4" t="s">
        <v>216</v>
      </c>
      <c r="D1716" s="4" t="s">
        <v>463</v>
      </c>
      <c r="E1716" s="4" t="s">
        <v>2846</v>
      </c>
      <c r="F1716" s="127" t="n">
        <v>46920</v>
      </c>
      <c r="G1716" s="127" t="n">
        <v>46933</v>
      </c>
      <c r="H1716" s="127" t="n">
        <v>46289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>33</v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6</v>
      </c>
      <c r="O1716" s="2" t="str">
        <f aca="false">IF(OR(F1716="",G1716=""),"",IF(G1716&lt;='RETRATO 2027'!$K$5,"CONCLUÍDA",IF(F1716&lt;='RETRATO 2027'!$K$5,"EM ANDAMENTO","A INICIAR")))</f>
        <v>A INICIAR</v>
      </c>
    </row>
    <row r="1717" customFormat="false" ht="15" hidden="false" customHeight="false" outlineLevel="0" collapsed="false">
      <c r="B1717" s="4" t="n">
        <v>30206071</v>
      </c>
      <c r="C1717" s="4" t="s">
        <v>2486</v>
      </c>
      <c r="D1717" s="4" t="s">
        <v>463</v>
      </c>
      <c r="E1717" s="4" t="s">
        <v>2847</v>
      </c>
      <c r="F1717" s="127" t="n">
        <v>46920</v>
      </c>
      <c r="G1717" s="127" t="n">
        <v>46933</v>
      </c>
      <c r="H1717" s="127" t="n">
        <v>46289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30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6</v>
      </c>
      <c r="O1717" s="2" t="str">
        <f aca="false">IF(OR(F1717="",G1717=""),"",IF(G1717&lt;='RETRATO 2027'!$K$5,"CONCLUÍDA",IF(F1717&lt;='RETRATO 2027'!$K$5,"EM ANDAMENTO","A INICIAR")))</f>
        <v>A INICIAR</v>
      </c>
    </row>
    <row r="1718" customFormat="false" ht="15" hidden="false" customHeight="false" outlineLevel="0" collapsed="false">
      <c r="B1718" s="4" t="n">
        <v>30206050</v>
      </c>
      <c r="C1718" s="4" t="s">
        <v>2480</v>
      </c>
      <c r="D1718" s="4" t="s">
        <v>463</v>
      </c>
      <c r="E1718" s="4" t="s">
        <v>2848</v>
      </c>
      <c r="F1718" s="127" t="n">
        <v>46920</v>
      </c>
      <c r="G1718" s="127" t="n">
        <v>46933</v>
      </c>
      <c r="H1718" s="127" t="n">
        <v>46289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30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6</v>
      </c>
      <c r="O1718" s="2" t="str">
        <f aca="false">IF(OR(F1718="",G1718=""),"",IF(G1718&lt;='RETRATO 2027'!$K$5,"CONCLUÍDA",IF(F1718&lt;='RETRATO 2027'!$K$5,"EM ANDAMENTO","A INICIAR")))</f>
        <v>A INICIAR</v>
      </c>
    </row>
    <row r="1719" customFormat="false" ht="15" hidden="false" customHeight="false" outlineLevel="0" collapsed="false">
      <c r="B1719" s="4" t="n">
        <v>30206012</v>
      </c>
      <c r="C1719" s="4" t="s">
        <v>2449</v>
      </c>
      <c r="D1719" s="4" t="s">
        <v>463</v>
      </c>
      <c r="E1719" s="4" t="s">
        <v>2849</v>
      </c>
      <c r="F1719" s="127" t="n">
        <v>46920</v>
      </c>
      <c r="G1719" s="127" t="n">
        <v>46933</v>
      </c>
      <c r="H1719" s="127" t="n">
        <v>46289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28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6</v>
      </c>
      <c r="O1719" s="2" t="str">
        <f aca="false">IF(OR(F1719="",G1719=""),"",IF(G1719&lt;='RETRATO 2027'!$K$5,"CONCLUÍDA",IF(F1719&lt;='RETRATO 2027'!$K$5,"EM ANDAMENTO","A INICIAR")))</f>
        <v>A INICIAR</v>
      </c>
    </row>
    <row r="1720" customFormat="false" ht="15" hidden="false" customHeight="false" outlineLevel="0" collapsed="false">
      <c r="B1720" s="4" t="n">
        <v>30205974</v>
      </c>
      <c r="C1720" s="4" t="s">
        <v>171</v>
      </c>
      <c r="D1720" s="4" t="s">
        <v>463</v>
      </c>
      <c r="E1720" s="4" t="s">
        <v>2850</v>
      </c>
      <c r="F1720" s="127" t="n">
        <v>46920</v>
      </c>
      <c r="G1720" s="127" t="n">
        <v>46933</v>
      </c>
      <c r="H1720" s="127" t="n">
        <v>46289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>19</v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6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29980848</v>
      </c>
      <c r="C1721" s="4" t="s">
        <v>216</v>
      </c>
      <c r="D1721" s="4" t="s">
        <v>463</v>
      </c>
      <c r="E1721" s="4" t="s">
        <v>2834</v>
      </c>
      <c r="F1721" s="127" t="n">
        <v>46920</v>
      </c>
      <c r="G1721" s="127" t="n">
        <v>46932</v>
      </c>
      <c r="H1721" s="127" t="n">
        <v>46289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33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26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29980809</v>
      </c>
      <c r="C1722" s="4" t="s">
        <v>2508</v>
      </c>
      <c r="D1722" s="4" t="s">
        <v>463</v>
      </c>
      <c r="E1722" s="4" t="s">
        <v>2838</v>
      </c>
      <c r="F1722" s="127" t="n">
        <v>46920</v>
      </c>
      <c r="G1722" s="127" t="n">
        <v>46932</v>
      </c>
      <c r="H1722" s="127" t="n">
        <v>46289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20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27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29980814</v>
      </c>
      <c r="C1723" s="4" t="s">
        <v>2511</v>
      </c>
      <c r="D1723" s="4" t="s">
        <v>463</v>
      </c>
      <c r="E1723" s="4" t="s">
        <v>2838</v>
      </c>
      <c r="F1723" s="127" t="n">
        <v>46920</v>
      </c>
      <c r="G1723" s="127" t="n">
        <v>46932</v>
      </c>
      <c r="H1723" s="127" t="n">
        <v>46289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20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27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30214089</v>
      </c>
      <c r="C1724" s="4" t="s">
        <v>2514</v>
      </c>
      <c r="D1724" s="4" t="s">
        <v>463</v>
      </c>
      <c r="E1724" s="4" t="s">
        <v>2838</v>
      </c>
      <c r="F1724" s="127" t="n">
        <v>46920</v>
      </c>
      <c r="G1724" s="127" t="n">
        <v>46933</v>
      </c>
      <c r="H1724" s="127" t="n">
        <v>46289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>20</v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27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29980756</v>
      </c>
      <c r="C1725" s="4" t="s">
        <v>2501</v>
      </c>
      <c r="D1725" s="4" t="s">
        <v>463</v>
      </c>
      <c r="E1725" s="4" t="s">
        <v>2840</v>
      </c>
      <c r="F1725" s="127" t="n">
        <v>46920</v>
      </c>
      <c r="G1725" s="127" t="n">
        <v>46932</v>
      </c>
      <c r="H1725" s="127" t="n">
        <v>46289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30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28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29980718</v>
      </c>
      <c r="C1726" s="4" t="s">
        <v>2486</v>
      </c>
      <c r="D1726" s="4" t="s">
        <v>463</v>
      </c>
      <c r="E1726" s="4" t="s">
        <v>2841</v>
      </c>
      <c r="F1726" s="127" t="n">
        <v>46920</v>
      </c>
      <c r="G1726" s="127" t="n">
        <v>46932</v>
      </c>
      <c r="H1726" s="127" t="n">
        <v>46289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30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29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29980697</v>
      </c>
      <c r="C1727" s="4" t="s">
        <v>2480</v>
      </c>
      <c r="D1727" s="4" t="s">
        <v>463</v>
      </c>
      <c r="E1727" s="4" t="s">
        <v>2842</v>
      </c>
      <c r="F1727" s="127" t="n">
        <v>46920</v>
      </c>
      <c r="G1727" s="127" t="n">
        <v>46932</v>
      </c>
      <c r="H1727" s="127" t="n">
        <v>46289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30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30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29980658</v>
      </c>
      <c r="C1728" s="4" t="s">
        <v>171</v>
      </c>
      <c r="D1728" s="4" t="s">
        <v>463</v>
      </c>
      <c r="E1728" s="4" t="s">
        <v>2843</v>
      </c>
      <c r="F1728" s="127" t="n">
        <v>46920</v>
      </c>
      <c r="G1728" s="127" t="n">
        <v>46932</v>
      </c>
      <c r="H1728" s="127" t="n">
        <v>46289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19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31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32750458</v>
      </c>
      <c r="C1729" s="4" t="s">
        <v>2470</v>
      </c>
      <c r="D1729" s="4" t="s">
        <v>463</v>
      </c>
      <c r="E1729" s="4" t="s">
        <v>2844</v>
      </c>
      <c r="F1729" s="127" t="n">
        <v>46920</v>
      </c>
      <c r="G1729" s="127" t="n">
        <v>46932</v>
      </c>
      <c r="H1729" s="127" t="n">
        <v>46289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18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32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29981080</v>
      </c>
      <c r="C1730" s="4" t="s">
        <v>2440</v>
      </c>
      <c r="D1730" s="4" t="s">
        <v>463</v>
      </c>
      <c r="E1730" s="4" t="s">
        <v>2822</v>
      </c>
      <c r="F1730" s="127" t="n">
        <v>46923</v>
      </c>
      <c r="G1730" s="127" t="n">
        <v>46933</v>
      </c>
      <c r="H1730" s="127" t="n">
        <v>46289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21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19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29981113</v>
      </c>
      <c r="C1731" s="4" t="s">
        <v>2443</v>
      </c>
      <c r="D1731" s="4" t="s">
        <v>463</v>
      </c>
      <c r="E1731" s="4" t="s">
        <v>2822</v>
      </c>
      <c r="F1731" s="127" t="n">
        <v>46923</v>
      </c>
      <c r="G1731" s="127" t="n">
        <v>46933</v>
      </c>
      <c r="H1731" s="127" t="n">
        <v>46289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20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19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30211207</v>
      </c>
      <c r="C1732" s="4" t="s">
        <v>171</v>
      </c>
      <c r="D1732" s="4" t="s">
        <v>463</v>
      </c>
      <c r="E1732" s="4" t="s">
        <v>2853</v>
      </c>
      <c r="F1732" s="127" t="n">
        <v>46923</v>
      </c>
      <c r="G1732" s="127" t="n">
        <v>46941</v>
      </c>
      <c r="H1732" s="127" t="n">
        <v>46289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>19</v>
      </c>
      <c r="N1732" s="2" t="n">
        <f aca="false">IF(E1732="","",IF(ISNUMBER(SEARCH("SUBSOLO",E1732)),IFERROR(-VALUE(LEFT(E1732,FIND("º",SUBSTITUTE(E1732,"°","º"))-1)),-1),IF(LEFT(E1732,6)="TÉRREO",0,IFERROR(VALUE(LEFT(E1732,FIND("º",SUBSTITUTE(E1732,"°","º"))-1)),""))))</f>
        <v>34</v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30205709</v>
      </c>
      <c r="C1733" s="4" t="s">
        <v>2637</v>
      </c>
      <c r="D1733" s="4" t="s">
        <v>463</v>
      </c>
      <c r="E1733" s="4" t="s">
        <v>2819</v>
      </c>
      <c r="F1733" s="127" t="n">
        <v>46924</v>
      </c>
      <c r="G1733" s="127" t="n">
        <v>46930</v>
      </c>
      <c r="H1733" s="127" t="n">
        <v>46289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/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30205678</v>
      </c>
      <c r="C1734" s="4" t="s">
        <v>2649</v>
      </c>
      <c r="D1734" s="4" t="s">
        <v>463</v>
      </c>
      <c r="E1734" s="4" t="s">
        <v>2821</v>
      </c>
      <c r="F1734" s="127" t="n">
        <v>46924</v>
      </c>
      <c r="G1734" s="127" t="n">
        <v>46937</v>
      </c>
      <c r="H1734" s="127" t="n">
        <v>46289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37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0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30205641</v>
      </c>
      <c r="C1735" s="4" t="s">
        <v>2629</v>
      </c>
      <c r="D1735" s="4" t="s">
        <v>463</v>
      </c>
      <c r="E1735" s="4" t="s">
        <v>2824</v>
      </c>
      <c r="F1735" s="127" t="n">
        <v>46924</v>
      </c>
      <c r="G1735" s="127" t="n">
        <v>46937</v>
      </c>
      <c r="H1735" s="127" t="n">
        <v>46289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20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0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30205613</v>
      </c>
      <c r="C1736" s="4" t="s">
        <v>2623</v>
      </c>
      <c r="D1736" s="4" t="s">
        <v>463</v>
      </c>
      <c r="E1736" s="4" t="s">
        <v>2826</v>
      </c>
      <c r="F1736" s="127" t="n">
        <v>46924</v>
      </c>
      <c r="G1736" s="127" t="n">
        <v>46937</v>
      </c>
      <c r="H1736" s="127" t="n">
        <v>46289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35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30205599</v>
      </c>
      <c r="C1737" s="4" t="s">
        <v>2615</v>
      </c>
      <c r="D1737" s="4" t="s">
        <v>463</v>
      </c>
      <c r="E1737" s="4" t="s">
        <v>2828</v>
      </c>
      <c r="F1737" s="127" t="n">
        <v>46924</v>
      </c>
      <c r="G1737" s="127" t="n">
        <v>46937</v>
      </c>
      <c r="H1737" s="127" t="n">
        <v>46289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37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0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30205848</v>
      </c>
      <c r="C1738" s="4" t="s">
        <v>2545</v>
      </c>
      <c r="D1738" s="4" t="s">
        <v>463</v>
      </c>
      <c r="E1738" s="4" t="s">
        <v>2782</v>
      </c>
      <c r="F1738" s="127" t="n">
        <v>46926</v>
      </c>
      <c r="G1738" s="127" t="n">
        <v>46939</v>
      </c>
      <c r="H1738" s="127" t="n">
        <v>46289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25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1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29981439</v>
      </c>
      <c r="C1739" s="4" t="s">
        <v>2649</v>
      </c>
      <c r="D1739" s="4" t="s">
        <v>463</v>
      </c>
      <c r="E1739" s="4" t="s">
        <v>2809</v>
      </c>
      <c r="F1739" s="127" t="n">
        <v>46926</v>
      </c>
      <c r="G1739" s="127" t="n">
        <v>46938</v>
      </c>
      <c r="H1739" s="127" t="n">
        <v>46289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37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10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29981392</v>
      </c>
      <c r="C1740" s="4" t="s">
        <v>2641</v>
      </c>
      <c r="D1740" s="4" t="s">
        <v>463</v>
      </c>
      <c r="E1740" s="4" t="s">
        <v>2810</v>
      </c>
      <c r="F1740" s="127" t="n">
        <v>46926</v>
      </c>
      <c r="G1740" s="127" t="n">
        <v>46938</v>
      </c>
      <c r="H1740" s="127" t="n">
        <v>46289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35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11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30210374</v>
      </c>
      <c r="C1741" s="4" t="s">
        <v>2531</v>
      </c>
      <c r="D1741" s="4" t="s">
        <v>463</v>
      </c>
      <c r="E1741" s="4" t="s">
        <v>2852</v>
      </c>
      <c r="F1741" s="127" t="n">
        <v>46926</v>
      </c>
      <c r="G1741" s="127" t="n">
        <v>46955</v>
      </c>
      <c r="H1741" s="127" t="n">
        <v>46289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21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30210376</v>
      </c>
      <c r="C1742" s="4" t="s">
        <v>2681</v>
      </c>
      <c r="D1742" s="4" t="s">
        <v>463</v>
      </c>
      <c r="E1742" s="4" t="s">
        <v>2852</v>
      </c>
      <c r="F1742" s="127" t="n">
        <v>46926</v>
      </c>
      <c r="G1742" s="127" t="n">
        <v>46946</v>
      </c>
      <c r="H1742" s="127" t="n">
        <v>46289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21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31800456</v>
      </c>
      <c r="C1743" s="4" t="s">
        <v>2684</v>
      </c>
      <c r="D1743" s="4" t="s">
        <v>463</v>
      </c>
      <c r="E1743" s="4" t="s">
        <v>2678</v>
      </c>
      <c r="F1743" s="127" t="n">
        <v>46926</v>
      </c>
      <c r="G1743" s="127" t="n">
        <v>46967</v>
      </c>
      <c r="H1743" s="127" t="n">
        <v>46289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25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31800968</v>
      </c>
      <c r="C1744" s="4" t="s">
        <v>2687</v>
      </c>
      <c r="D1744" s="4" t="s">
        <v>463</v>
      </c>
      <c r="E1744" s="4" t="s">
        <v>2678</v>
      </c>
      <c r="F1744" s="127" t="n">
        <v>46926</v>
      </c>
      <c r="G1744" s="127" t="n">
        <v>46953</v>
      </c>
      <c r="H1744" s="127" t="n">
        <v>46289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35</v>
      </c>
      <c r="N1744" s="2" t="str">
        <f aca="false"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30205724</v>
      </c>
      <c r="C1745" s="4" t="s">
        <v>2690</v>
      </c>
      <c r="D1745" s="4" t="s">
        <v>463</v>
      </c>
      <c r="E1745" s="4" t="s">
        <v>2740</v>
      </c>
      <c r="F1745" s="127" t="n">
        <v>46930</v>
      </c>
      <c r="G1745" s="127" t="n">
        <v>46934</v>
      </c>
      <c r="H1745" s="127" t="n">
        <v>46289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37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-1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30205553</v>
      </c>
      <c r="C1746" s="4" t="s">
        <v>2563</v>
      </c>
      <c r="D1746" s="4" t="s">
        <v>463</v>
      </c>
      <c r="E1746" s="4" t="s">
        <v>2830</v>
      </c>
      <c r="F1746" s="127" t="n">
        <v>46931</v>
      </c>
      <c r="G1746" s="127" t="n">
        <v>46937</v>
      </c>
      <c r="H1746" s="127" t="n">
        <v>46289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20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0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30205528</v>
      </c>
      <c r="C1747" s="4" t="s">
        <v>2578</v>
      </c>
      <c r="D1747" s="4" t="s">
        <v>463</v>
      </c>
      <c r="E1747" s="4" t="s">
        <v>2832</v>
      </c>
      <c r="F1747" s="127" t="n">
        <v>46931</v>
      </c>
      <c r="G1747" s="127" t="n">
        <v>46944</v>
      </c>
      <c r="H1747" s="127" t="n">
        <v>46289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25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0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30205527</v>
      </c>
      <c r="C1748" s="4" t="s">
        <v>2605</v>
      </c>
      <c r="D1748" s="4" t="s">
        <v>463</v>
      </c>
      <c r="E1748" s="4" t="s">
        <v>2832</v>
      </c>
      <c r="F1748" s="127" t="n">
        <v>46931</v>
      </c>
      <c r="G1748" s="127" t="n">
        <v>46944</v>
      </c>
      <c r="H1748" s="127" t="n">
        <v>46289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34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30205525</v>
      </c>
      <c r="C1749" s="4" t="s">
        <v>2607</v>
      </c>
      <c r="D1749" s="4" t="s">
        <v>463</v>
      </c>
      <c r="E1749" s="4" t="s">
        <v>2832</v>
      </c>
      <c r="F1749" s="127" t="n">
        <v>46931</v>
      </c>
      <c r="G1749" s="127" t="n">
        <v>46944</v>
      </c>
      <c r="H1749" s="127" t="n">
        <v>46289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34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0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29981354</v>
      </c>
      <c r="C1750" s="4" t="s">
        <v>2637</v>
      </c>
      <c r="D1750" s="4" t="s">
        <v>463</v>
      </c>
      <c r="E1750" s="4" t="s">
        <v>2811</v>
      </c>
      <c r="F1750" s="127" t="n">
        <v>46932</v>
      </c>
      <c r="G1750" s="127" t="n">
        <v>46938</v>
      </c>
      <c r="H1750" s="127" t="n">
        <v>46289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/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12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29981319</v>
      </c>
      <c r="C1751" s="4" t="s">
        <v>2629</v>
      </c>
      <c r="D1751" s="4" t="s">
        <v>463</v>
      </c>
      <c r="E1751" s="4" t="s">
        <v>2812</v>
      </c>
      <c r="F1751" s="127" t="n">
        <v>46932</v>
      </c>
      <c r="G1751" s="127" t="n">
        <v>46944</v>
      </c>
      <c r="H1751" s="127" t="n">
        <v>46289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29981279</v>
      </c>
      <c r="C1752" s="4" t="s">
        <v>2623</v>
      </c>
      <c r="D1752" s="4" t="s">
        <v>463</v>
      </c>
      <c r="E1752" s="4" t="s">
        <v>2813</v>
      </c>
      <c r="F1752" s="127" t="n">
        <v>46932</v>
      </c>
      <c r="G1752" s="127" t="n">
        <v>46944</v>
      </c>
      <c r="H1752" s="127" t="n">
        <v>46289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35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14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33919792</v>
      </c>
      <c r="C1753" s="4" t="s">
        <v>2625</v>
      </c>
      <c r="D1753" s="4" t="s">
        <v>463</v>
      </c>
      <c r="E1753" s="4" t="s">
        <v>2813</v>
      </c>
      <c r="F1753" s="127" t="n">
        <v>46932</v>
      </c>
      <c r="G1753" s="127" t="n">
        <v>46944</v>
      </c>
      <c r="H1753" s="127" t="n">
        <v>46289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32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29981241</v>
      </c>
      <c r="C1754" s="4" t="s">
        <v>2615</v>
      </c>
      <c r="D1754" s="4" t="s">
        <v>463</v>
      </c>
      <c r="E1754" s="4" t="s">
        <v>2814</v>
      </c>
      <c r="F1754" s="127" t="n">
        <v>46932</v>
      </c>
      <c r="G1754" s="127" t="n">
        <v>46944</v>
      </c>
      <c r="H1754" s="127" t="n">
        <v>46289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37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29981198</v>
      </c>
      <c r="C1755" s="4" t="s">
        <v>2605</v>
      </c>
      <c r="D1755" s="4" t="s">
        <v>463</v>
      </c>
      <c r="E1755" s="4" t="s">
        <v>2815</v>
      </c>
      <c r="F1755" s="127" t="n">
        <v>46932</v>
      </c>
      <c r="G1755" s="127" t="n">
        <v>46944</v>
      </c>
      <c r="H1755" s="127" t="n">
        <v>46289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34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16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29981203</v>
      </c>
      <c r="C1756" s="4" t="s">
        <v>2607</v>
      </c>
      <c r="D1756" s="4" t="s">
        <v>463</v>
      </c>
      <c r="E1756" s="4" t="s">
        <v>2815</v>
      </c>
      <c r="F1756" s="127" t="n">
        <v>46932</v>
      </c>
      <c r="G1756" s="127" t="n">
        <v>46944</v>
      </c>
      <c r="H1756" s="127" t="n">
        <v>46289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34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16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29981202</v>
      </c>
      <c r="C1757" s="4" t="s">
        <v>2563</v>
      </c>
      <c r="D1757" s="4" t="s">
        <v>463</v>
      </c>
      <c r="E1757" s="4" t="s">
        <v>2815</v>
      </c>
      <c r="F1757" s="127" t="n">
        <v>46932</v>
      </c>
      <c r="G1757" s="127" t="n">
        <v>46944</v>
      </c>
      <c r="H1757" s="127" t="n">
        <v>46289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20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16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29981201</v>
      </c>
      <c r="C1758" s="4" t="s">
        <v>2609</v>
      </c>
      <c r="D1758" s="4" t="s">
        <v>463</v>
      </c>
      <c r="E1758" s="4" t="s">
        <v>2815</v>
      </c>
      <c r="F1758" s="127" t="n">
        <v>46932</v>
      </c>
      <c r="G1758" s="127" t="n">
        <v>46944</v>
      </c>
      <c r="H1758" s="127" t="n">
        <v>46289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>23</v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16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29981160</v>
      </c>
      <c r="C1759" s="4" t="s">
        <v>2599</v>
      </c>
      <c r="D1759" s="4" t="s">
        <v>463</v>
      </c>
      <c r="E1759" s="4" t="s">
        <v>2818</v>
      </c>
      <c r="F1759" s="127" t="n">
        <v>46932</v>
      </c>
      <c r="G1759" s="127" t="n">
        <v>46944</v>
      </c>
      <c r="H1759" s="127" t="n">
        <v>46289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30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17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29981122</v>
      </c>
      <c r="C1760" s="4" t="s">
        <v>2578</v>
      </c>
      <c r="D1760" s="4" t="s">
        <v>463</v>
      </c>
      <c r="E1760" s="4" t="s">
        <v>2820</v>
      </c>
      <c r="F1760" s="127" t="n">
        <v>46932</v>
      </c>
      <c r="G1760" s="127" t="n">
        <v>46944</v>
      </c>
      <c r="H1760" s="127" t="n">
        <v>46289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25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18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29981047</v>
      </c>
      <c r="C1761" s="4" t="s">
        <v>2569</v>
      </c>
      <c r="D1761" s="4" t="s">
        <v>463</v>
      </c>
      <c r="E1761" s="4" t="s">
        <v>2823</v>
      </c>
      <c r="F1761" s="127" t="n">
        <v>46932</v>
      </c>
      <c r="G1761" s="127" t="n">
        <v>46944</v>
      </c>
      <c r="H1761" s="127" t="n">
        <v>46289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>30</v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20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29981009</v>
      </c>
      <c r="C1762" s="4" t="s">
        <v>2554</v>
      </c>
      <c r="D1762" s="4" t="s">
        <v>463</v>
      </c>
      <c r="E1762" s="4" t="s">
        <v>2825</v>
      </c>
      <c r="F1762" s="127" t="n">
        <v>46932</v>
      </c>
      <c r="G1762" s="127" t="n">
        <v>46944</v>
      </c>
      <c r="H1762" s="127" t="n">
        <v>46289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35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21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29980998</v>
      </c>
      <c r="C1763" s="4" t="s">
        <v>2539</v>
      </c>
      <c r="D1763" s="4" t="s">
        <v>463</v>
      </c>
      <c r="E1763" s="4" t="s">
        <v>2827</v>
      </c>
      <c r="F1763" s="127" t="n">
        <v>46932</v>
      </c>
      <c r="G1763" s="127" t="n">
        <v>46944</v>
      </c>
      <c r="H1763" s="127" t="n">
        <v>46289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35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33898107</v>
      </c>
      <c r="C1764" s="4" t="s">
        <v>2545</v>
      </c>
      <c r="D1764" s="4" t="s">
        <v>463</v>
      </c>
      <c r="E1764" s="4" t="s">
        <v>2829</v>
      </c>
      <c r="F1764" s="127" t="n">
        <v>46932</v>
      </c>
      <c r="G1764" s="127" t="n">
        <v>46944</v>
      </c>
      <c r="H1764" s="127" t="n">
        <v>46289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25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30205782</v>
      </c>
      <c r="C1765" s="4" t="s">
        <v>2578</v>
      </c>
      <c r="D1765" s="4" t="s">
        <v>463</v>
      </c>
      <c r="E1765" s="4" t="s">
        <v>2835</v>
      </c>
      <c r="F1765" s="127" t="n">
        <v>46933</v>
      </c>
      <c r="G1765" s="127" t="n">
        <v>46946</v>
      </c>
      <c r="H1765" s="127" t="n">
        <v>46289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>25</v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0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30205781</v>
      </c>
      <c r="C1766" s="4" t="s">
        <v>2605</v>
      </c>
      <c r="D1766" s="4" t="s">
        <v>463</v>
      </c>
      <c r="E1766" s="4" t="s">
        <v>2835</v>
      </c>
      <c r="F1766" s="127" t="n">
        <v>46933</v>
      </c>
      <c r="G1766" s="127" t="n">
        <v>46946</v>
      </c>
      <c r="H1766" s="127" t="n">
        <v>46289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34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0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30205779</v>
      </c>
      <c r="C1767" s="4" t="s">
        <v>2607</v>
      </c>
      <c r="D1767" s="4" t="s">
        <v>463</v>
      </c>
      <c r="E1767" s="4" t="s">
        <v>2835</v>
      </c>
      <c r="F1767" s="127" t="n">
        <v>46933</v>
      </c>
      <c r="G1767" s="127" t="n">
        <v>46946</v>
      </c>
      <c r="H1767" s="127" t="n">
        <v>46289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34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0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30205818</v>
      </c>
      <c r="C1768" s="4" t="s">
        <v>2554</v>
      </c>
      <c r="D1768" s="4" t="s">
        <v>463</v>
      </c>
      <c r="E1768" s="4" t="s">
        <v>2839</v>
      </c>
      <c r="F1768" s="127" t="n">
        <v>46933</v>
      </c>
      <c r="G1768" s="127" t="n">
        <v>46946</v>
      </c>
      <c r="H1768" s="127" t="n">
        <v>46289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35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0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29980811</v>
      </c>
      <c r="C1769" s="4" t="s">
        <v>216</v>
      </c>
      <c r="D1769" s="4" t="s">
        <v>463</v>
      </c>
      <c r="E1769" s="4" t="s">
        <v>2838</v>
      </c>
      <c r="F1769" s="127" t="n">
        <v>46933</v>
      </c>
      <c r="G1769" s="127" t="n">
        <v>46945</v>
      </c>
      <c r="H1769" s="127" t="n">
        <v>46289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33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27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29980772</v>
      </c>
      <c r="C1770" s="4" t="s">
        <v>2508</v>
      </c>
      <c r="D1770" s="4" t="s">
        <v>463</v>
      </c>
      <c r="E1770" s="4" t="s">
        <v>2840</v>
      </c>
      <c r="F1770" s="127" t="n">
        <v>46933</v>
      </c>
      <c r="G1770" s="127" t="n">
        <v>46945</v>
      </c>
      <c r="H1770" s="127" t="n">
        <v>46289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20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28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29980777</v>
      </c>
      <c r="C1771" s="4" t="s">
        <v>2511</v>
      </c>
      <c r="D1771" s="4" t="s">
        <v>463</v>
      </c>
      <c r="E1771" s="4" t="s">
        <v>2840</v>
      </c>
      <c r="F1771" s="127" t="n">
        <v>46933</v>
      </c>
      <c r="G1771" s="127" t="n">
        <v>46945</v>
      </c>
      <c r="H1771" s="127" t="n">
        <v>46289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20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28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30214090</v>
      </c>
      <c r="C1772" s="4" t="s">
        <v>2514</v>
      </c>
      <c r="D1772" s="4" t="s">
        <v>463</v>
      </c>
      <c r="E1772" s="4" t="s">
        <v>2840</v>
      </c>
      <c r="F1772" s="127" t="n">
        <v>46933</v>
      </c>
      <c r="G1772" s="127" t="n">
        <v>46946</v>
      </c>
      <c r="H1772" s="127" t="n">
        <v>46289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20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28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29980719</v>
      </c>
      <c r="C1773" s="4" t="s">
        <v>2501</v>
      </c>
      <c r="D1773" s="4" t="s">
        <v>463</v>
      </c>
      <c r="E1773" s="4" t="s">
        <v>2841</v>
      </c>
      <c r="F1773" s="127" t="n">
        <v>46933</v>
      </c>
      <c r="G1773" s="127" t="n">
        <v>46945</v>
      </c>
      <c r="H1773" s="127" t="n">
        <v>46289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30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29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29980681</v>
      </c>
      <c r="C1774" s="4" t="s">
        <v>2486</v>
      </c>
      <c r="D1774" s="4" t="s">
        <v>463</v>
      </c>
      <c r="E1774" s="4" t="s">
        <v>2842</v>
      </c>
      <c r="F1774" s="127" t="n">
        <v>46933</v>
      </c>
      <c r="G1774" s="127" t="n">
        <v>46945</v>
      </c>
      <c r="H1774" s="127" t="n">
        <v>46289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30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30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29980660</v>
      </c>
      <c r="C1775" s="4" t="s">
        <v>2480</v>
      </c>
      <c r="D1775" s="4" t="s">
        <v>463</v>
      </c>
      <c r="E1775" s="4" t="s">
        <v>2843</v>
      </c>
      <c r="F1775" s="127" t="n">
        <v>46933</v>
      </c>
      <c r="G1775" s="127" t="n">
        <v>46945</v>
      </c>
      <c r="H1775" s="127" t="n">
        <v>46289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30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31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29980621</v>
      </c>
      <c r="C1776" s="4" t="s">
        <v>171</v>
      </c>
      <c r="D1776" s="4" t="s">
        <v>463</v>
      </c>
      <c r="E1776" s="4" t="s">
        <v>2844</v>
      </c>
      <c r="F1776" s="127" t="n">
        <v>46933</v>
      </c>
      <c r="G1776" s="127" t="n">
        <v>46945</v>
      </c>
      <c r="H1776" s="127" t="n">
        <v>46289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19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32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33904058</v>
      </c>
      <c r="C1777" s="4" t="s">
        <v>2545</v>
      </c>
      <c r="D1777" s="4" t="s">
        <v>463</v>
      </c>
      <c r="E1777" s="4" t="s">
        <v>2846</v>
      </c>
      <c r="F1777" s="127" t="n">
        <v>46934</v>
      </c>
      <c r="G1777" s="127" t="n">
        <v>46947</v>
      </c>
      <c r="H1777" s="127" t="n">
        <v>46289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25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6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30206088</v>
      </c>
      <c r="C1778" s="4" t="s">
        <v>2508</v>
      </c>
      <c r="D1778" s="4" t="s">
        <v>463</v>
      </c>
      <c r="E1778" s="4" t="s">
        <v>2847</v>
      </c>
      <c r="F1778" s="127" t="n">
        <v>46934</v>
      </c>
      <c r="G1778" s="127" t="n">
        <v>46947</v>
      </c>
      <c r="H1778" s="127" t="n">
        <v>46289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20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6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30206034</v>
      </c>
      <c r="C1779" s="4" t="s">
        <v>2486</v>
      </c>
      <c r="D1779" s="4" t="s">
        <v>463</v>
      </c>
      <c r="E1779" s="4" t="s">
        <v>2848</v>
      </c>
      <c r="F1779" s="127" t="n">
        <v>46934</v>
      </c>
      <c r="G1779" s="127" t="n">
        <v>46947</v>
      </c>
      <c r="H1779" s="127" t="n">
        <v>46289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30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6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30206013</v>
      </c>
      <c r="C1780" s="4" t="s">
        <v>2480</v>
      </c>
      <c r="D1780" s="4" t="s">
        <v>463</v>
      </c>
      <c r="E1780" s="4" t="s">
        <v>2849</v>
      </c>
      <c r="F1780" s="127" t="n">
        <v>46934</v>
      </c>
      <c r="G1780" s="127" t="n">
        <v>46947</v>
      </c>
      <c r="H1780" s="127" t="n">
        <v>46289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30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6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30205975</v>
      </c>
      <c r="C1781" s="4" t="s">
        <v>2449</v>
      </c>
      <c r="D1781" s="4" t="s">
        <v>463</v>
      </c>
      <c r="E1781" s="4" t="s">
        <v>2850</v>
      </c>
      <c r="F1781" s="127" t="n">
        <v>46934</v>
      </c>
      <c r="G1781" s="127" t="n">
        <v>46947</v>
      </c>
      <c r="H1781" s="127" t="n">
        <v>46289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28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6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29981103</v>
      </c>
      <c r="C1782" s="4" t="s">
        <v>2449</v>
      </c>
      <c r="D1782" s="4" t="s">
        <v>463</v>
      </c>
      <c r="E1782" s="4" t="s">
        <v>2822</v>
      </c>
      <c r="F1782" s="127" t="n">
        <v>46934</v>
      </c>
      <c r="G1782" s="127" t="n">
        <v>46946</v>
      </c>
      <c r="H1782" s="127" t="n">
        <v>46289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28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19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30171526</v>
      </c>
      <c r="C1783" s="4" t="s">
        <v>2508</v>
      </c>
      <c r="D1783" s="4" t="s">
        <v>463</v>
      </c>
      <c r="E1783" s="4" t="s">
        <v>2857</v>
      </c>
      <c r="F1783" s="127" t="n">
        <v>46937</v>
      </c>
      <c r="G1783" s="127" t="n">
        <v>46966</v>
      </c>
      <c r="H1783" s="127" t="n">
        <v>46289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20</v>
      </c>
      <c r="N1783" s="2" t="str">
        <f aca="false"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30171532</v>
      </c>
      <c r="C1784" s="4" t="s">
        <v>2511</v>
      </c>
      <c r="D1784" s="4" t="s">
        <v>463</v>
      </c>
      <c r="E1784" s="4" t="s">
        <v>2857</v>
      </c>
      <c r="F1784" s="127" t="n">
        <v>46937</v>
      </c>
      <c r="G1784" s="127" t="n">
        <v>46966</v>
      </c>
      <c r="H1784" s="127" t="n">
        <v>46289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20</v>
      </c>
      <c r="N1784" s="2" t="str">
        <f aca="false"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30205682</v>
      </c>
      <c r="C1785" s="4" t="s">
        <v>2637</v>
      </c>
      <c r="D1785" s="4" t="s">
        <v>463</v>
      </c>
      <c r="E1785" s="4" t="s">
        <v>2821</v>
      </c>
      <c r="F1785" s="127" t="n">
        <v>46938</v>
      </c>
      <c r="G1785" s="127" t="n">
        <v>46944</v>
      </c>
      <c r="H1785" s="127" t="n">
        <v>46289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/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0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30205651</v>
      </c>
      <c r="C1786" s="4" t="s">
        <v>2649</v>
      </c>
      <c r="D1786" s="4" t="s">
        <v>463</v>
      </c>
      <c r="E1786" s="4" t="s">
        <v>2824</v>
      </c>
      <c r="F1786" s="127" t="n">
        <v>46938</v>
      </c>
      <c r="G1786" s="127" t="n">
        <v>46951</v>
      </c>
      <c r="H1786" s="127" t="n">
        <v>46289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0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30205614</v>
      </c>
      <c r="C1787" s="4" t="s">
        <v>2629</v>
      </c>
      <c r="D1787" s="4" t="s">
        <v>463</v>
      </c>
      <c r="E1787" s="4" t="s">
        <v>2826</v>
      </c>
      <c r="F1787" s="127" t="n">
        <v>46938</v>
      </c>
      <c r="G1787" s="127" t="n">
        <v>46951</v>
      </c>
      <c r="H1787" s="127" t="n">
        <v>46289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20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0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30205586</v>
      </c>
      <c r="C1788" s="4" t="s">
        <v>2623</v>
      </c>
      <c r="D1788" s="4" t="s">
        <v>463</v>
      </c>
      <c r="E1788" s="4" t="s">
        <v>2828</v>
      </c>
      <c r="F1788" s="127" t="n">
        <v>46938</v>
      </c>
      <c r="G1788" s="127" t="n">
        <v>46951</v>
      </c>
      <c r="H1788" s="127" t="n">
        <v>46289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35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0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30205572</v>
      </c>
      <c r="C1789" s="4" t="s">
        <v>2615</v>
      </c>
      <c r="D1789" s="4" t="s">
        <v>463</v>
      </c>
      <c r="E1789" s="4" t="s">
        <v>2830</v>
      </c>
      <c r="F1789" s="127" t="n">
        <v>46938</v>
      </c>
      <c r="G1789" s="127" t="n">
        <v>46951</v>
      </c>
      <c r="H1789" s="127" t="n">
        <v>46289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29981402</v>
      </c>
      <c r="C1790" s="4" t="s">
        <v>2649</v>
      </c>
      <c r="D1790" s="4" t="s">
        <v>463</v>
      </c>
      <c r="E1790" s="4" t="s">
        <v>2810</v>
      </c>
      <c r="F1790" s="127" t="n">
        <v>46939</v>
      </c>
      <c r="G1790" s="127" t="n">
        <v>46951</v>
      </c>
      <c r="H1790" s="127" t="n">
        <v>46289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37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11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29981355</v>
      </c>
      <c r="C1791" s="4" t="s">
        <v>2641</v>
      </c>
      <c r="D1791" s="4" t="s">
        <v>463</v>
      </c>
      <c r="E1791" s="4" t="s">
        <v>2811</v>
      </c>
      <c r="F1791" s="127" t="n">
        <v>46939</v>
      </c>
      <c r="G1791" s="127" t="n">
        <v>46951</v>
      </c>
      <c r="H1791" s="127" t="n">
        <v>46289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35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12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30205849</v>
      </c>
      <c r="C1792" s="4" t="s">
        <v>2554</v>
      </c>
      <c r="D1792" s="4" t="s">
        <v>463</v>
      </c>
      <c r="E1792" s="4" t="s">
        <v>2782</v>
      </c>
      <c r="F1792" s="127" t="n">
        <v>46940</v>
      </c>
      <c r="G1792" s="127" t="n">
        <v>46960</v>
      </c>
      <c r="H1792" s="127" t="n">
        <v>46289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1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30210367</v>
      </c>
      <c r="C1793" s="4" t="s">
        <v>2693</v>
      </c>
      <c r="D1793" s="4" t="s">
        <v>463</v>
      </c>
      <c r="E1793" s="4" t="s">
        <v>186</v>
      </c>
      <c r="F1793" s="127" t="n">
        <v>46940</v>
      </c>
      <c r="G1793" s="127" t="n">
        <v>46987</v>
      </c>
      <c r="H1793" s="127" t="n">
        <v>46289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24</v>
      </c>
      <c r="N1793" s="2" t="str">
        <f aca="false"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30205881</v>
      </c>
      <c r="C1794" s="4" t="s">
        <v>2449</v>
      </c>
      <c r="D1794" s="4" t="s">
        <v>463</v>
      </c>
      <c r="E1794" s="4" t="s">
        <v>2845</v>
      </c>
      <c r="F1794" s="127" t="n">
        <v>46941</v>
      </c>
      <c r="G1794" s="127" t="n">
        <v>46972</v>
      </c>
      <c r="H1794" s="127" t="n">
        <v>46289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28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6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30211210</v>
      </c>
      <c r="C1795" s="4" t="s">
        <v>2449</v>
      </c>
      <c r="D1795" s="4" t="s">
        <v>463</v>
      </c>
      <c r="E1795" s="4" t="s">
        <v>2853</v>
      </c>
      <c r="F1795" s="127" t="n">
        <v>46944</v>
      </c>
      <c r="G1795" s="127" t="n">
        <v>46948</v>
      </c>
      <c r="H1795" s="127" t="n">
        <v>46289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28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34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30205526</v>
      </c>
      <c r="C1796" s="4" t="s">
        <v>2563</v>
      </c>
      <c r="D1796" s="4" t="s">
        <v>463</v>
      </c>
      <c r="E1796" s="4" t="s">
        <v>2832</v>
      </c>
      <c r="F1796" s="127" t="n">
        <v>46945</v>
      </c>
      <c r="G1796" s="127" t="n">
        <v>46951</v>
      </c>
      <c r="H1796" s="127" t="n">
        <v>46289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20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0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29981317</v>
      </c>
      <c r="C1797" s="4" t="s">
        <v>2637</v>
      </c>
      <c r="D1797" s="4" t="s">
        <v>463</v>
      </c>
      <c r="E1797" s="4" t="s">
        <v>2812</v>
      </c>
      <c r="F1797" s="127" t="n">
        <v>46945</v>
      </c>
      <c r="G1797" s="127" t="n">
        <v>46951</v>
      </c>
      <c r="H1797" s="127" t="n">
        <v>46289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/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13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29981282</v>
      </c>
      <c r="C1798" s="4" t="s">
        <v>2629</v>
      </c>
      <c r="D1798" s="4" t="s">
        <v>463</v>
      </c>
      <c r="E1798" s="4" t="s">
        <v>2813</v>
      </c>
      <c r="F1798" s="127" t="n">
        <v>46945</v>
      </c>
      <c r="G1798" s="127" t="n">
        <v>46955</v>
      </c>
      <c r="H1798" s="127" t="n">
        <v>46289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20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29981242</v>
      </c>
      <c r="C1799" s="4" t="s">
        <v>2623</v>
      </c>
      <c r="D1799" s="4" t="s">
        <v>463</v>
      </c>
      <c r="E1799" s="4" t="s">
        <v>2814</v>
      </c>
      <c r="F1799" s="127" t="n">
        <v>46945</v>
      </c>
      <c r="G1799" s="127" t="n">
        <v>46955</v>
      </c>
      <c r="H1799" s="127" t="n">
        <v>46289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35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15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33919793</v>
      </c>
      <c r="C1800" s="4" t="s">
        <v>2625</v>
      </c>
      <c r="D1800" s="4" t="s">
        <v>463</v>
      </c>
      <c r="E1800" s="4" t="s">
        <v>2814</v>
      </c>
      <c r="F1800" s="127" t="n">
        <v>46945</v>
      </c>
      <c r="G1800" s="127" t="n">
        <v>46955</v>
      </c>
      <c r="H1800" s="127" t="n">
        <v>46289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32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29981204</v>
      </c>
      <c r="C1801" s="4" t="s">
        <v>2615</v>
      </c>
      <c r="D1801" s="4" t="s">
        <v>463</v>
      </c>
      <c r="E1801" s="4" t="s">
        <v>2815</v>
      </c>
      <c r="F1801" s="127" t="n">
        <v>46945</v>
      </c>
      <c r="G1801" s="127" t="n">
        <v>46955</v>
      </c>
      <c r="H1801" s="127" t="n">
        <v>46289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37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16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29981161</v>
      </c>
      <c r="C1802" s="4" t="s">
        <v>2605</v>
      </c>
      <c r="D1802" s="4" t="s">
        <v>463</v>
      </c>
      <c r="E1802" s="4" t="s">
        <v>2818</v>
      </c>
      <c r="F1802" s="127" t="n">
        <v>46945</v>
      </c>
      <c r="G1802" s="127" t="n">
        <v>46955</v>
      </c>
      <c r="H1802" s="127" t="n">
        <v>46289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34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17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29981166</v>
      </c>
      <c r="C1803" s="4" t="s">
        <v>2607</v>
      </c>
      <c r="D1803" s="4" t="s">
        <v>463</v>
      </c>
      <c r="E1803" s="4" t="s">
        <v>2818</v>
      </c>
      <c r="F1803" s="127" t="n">
        <v>46945</v>
      </c>
      <c r="G1803" s="127" t="n">
        <v>46955</v>
      </c>
      <c r="H1803" s="127" t="n">
        <v>46289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>34</v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17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29981165</v>
      </c>
      <c r="C1804" s="4" t="s">
        <v>2563</v>
      </c>
      <c r="D1804" s="4" t="s">
        <v>463</v>
      </c>
      <c r="E1804" s="4" t="s">
        <v>2818</v>
      </c>
      <c r="F1804" s="127" t="n">
        <v>46945</v>
      </c>
      <c r="G1804" s="127" t="n">
        <v>46955</v>
      </c>
      <c r="H1804" s="127" t="n">
        <v>46289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20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17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29981164</v>
      </c>
      <c r="C1805" s="4" t="s">
        <v>2609</v>
      </c>
      <c r="D1805" s="4" t="s">
        <v>463</v>
      </c>
      <c r="E1805" s="4" t="s">
        <v>2818</v>
      </c>
      <c r="F1805" s="127" t="n">
        <v>46945</v>
      </c>
      <c r="G1805" s="127" t="n">
        <v>46955</v>
      </c>
      <c r="H1805" s="127" t="n">
        <v>46289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23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17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29981123</v>
      </c>
      <c r="C1806" s="4" t="s">
        <v>2599</v>
      </c>
      <c r="D1806" s="4" t="s">
        <v>463</v>
      </c>
      <c r="E1806" s="4" t="s">
        <v>2820</v>
      </c>
      <c r="F1806" s="127" t="n">
        <v>46945</v>
      </c>
      <c r="G1806" s="127" t="n">
        <v>46955</v>
      </c>
      <c r="H1806" s="127" t="n">
        <v>46289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30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18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29981048</v>
      </c>
      <c r="C1807" s="4" t="s">
        <v>2578</v>
      </c>
      <c r="D1807" s="4" t="s">
        <v>463</v>
      </c>
      <c r="E1807" s="4" t="s">
        <v>2823</v>
      </c>
      <c r="F1807" s="127" t="n">
        <v>46945</v>
      </c>
      <c r="G1807" s="127" t="n">
        <v>46955</v>
      </c>
      <c r="H1807" s="127" t="n">
        <v>46289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25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20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29981010</v>
      </c>
      <c r="C1808" s="4" t="s">
        <v>2569</v>
      </c>
      <c r="D1808" s="4" t="s">
        <v>463</v>
      </c>
      <c r="E1808" s="4" t="s">
        <v>2825</v>
      </c>
      <c r="F1808" s="127" t="n">
        <v>46945</v>
      </c>
      <c r="G1808" s="127" t="n">
        <v>46955</v>
      </c>
      <c r="H1808" s="127" t="n">
        <v>46289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30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21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29980972</v>
      </c>
      <c r="C1809" s="4" t="s">
        <v>2554</v>
      </c>
      <c r="D1809" s="4" t="s">
        <v>463</v>
      </c>
      <c r="E1809" s="4" t="s">
        <v>2827</v>
      </c>
      <c r="F1809" s="127" t="n">
        <v>46945</v>
      </c>
      <c r="G1809" s="127" t="n">
        <v>46955</v>
      </c>
      <c r="H1809" s="127" t="n">
        <v>46289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35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22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29980961</v>
      </c>
      <c r="C1810" s="4" t="s">
        <v>2539</v>
      </c>
      <c r="D1810" s="4" t="s">
        <v>463</v>
      </c>
      <c r="E1810" s="4" t="s">
        <v>2829</v>
      </c>
      <c r="F1810" s="127" t="n">
        <v>46945</v>
      </c>
      <c r="G1810" s="127" t="n">
        <v>46955</v>
      </c>
      <c r="H1810" s="127" t="n">
        <v>46289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35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23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33898108</v>
      </c>
      <c r="C1811" s="4" t="s">
        <v>2545</v>
      </c>
      <c r="D1811" s="4" t="s">
        <v>463</v>
      </c>
      <c r="E1811" s="4" t="s">
        <v>2831</v>
      </c>
      <c r="F1811" s="127" t="n">
        <v>46945</v>
      </c>
      <c r="G1811" s="127" t="n">
        <v>46955</v>
      </c>
      <c r="H1811" s="127" t="n">
        <v>46289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25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24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30205934</v>
      </c>
      <c r="C1812" s="4" t="s">
        <v>228</v>
      </c>
      <c r="D1812" s="4" t="s">
        <v>463</v>
      </c>
      <c r="E1812" s="4" t="s">
        <v>2784</v>
      </c>
      <c r="F1812" s="127" t="n">
        <v>46946</v>
      </c>
      <c r="G1812" s="127" t="n">
        <v>46959</v>
      </c>
      <c r="H1812" s="127" t="n">
        <v>46289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36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2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29980774</v>
      </c>
      <c r="C1813" s="4" t="s">
        <v>216</v>
      </c>
      <c r="D1813" s="4" t="s">
        <v>463</v>
      </c>
      <c r="E1813" s="4" t="s">
        <v>2840</v>
      </c>
      <c r="F1813" s="127" t="n">
        <v>46946</v>
      </c>
      <c r="G1813" s="127" t="n">
        <v>46958</v>
      </c>
      <c r="H1813" s="127" t="n">
        <v>46289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33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28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29980735</v>
      </c>
      <c r="C1814" s="4" t="s">
        <v>2508</v>
      </c>
      <c r="D1814" s="4" t="s">
        <v>463</v>
      </c>
      <c r="E1814" s="4" t="s">
        <v>2841</v>
      </c>
      <c r="F1814" s="127" t="n">
        <v>46946</v>
      </c>
      <c r="G1814" s="127" t="n">
        <v>46958</v>
      </c>
      <c r="H1814" s="127" t="n">
        <v>46289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20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29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29980740</v>
      </c>
      <c r="C1815" s="4" t="s">
        <v>2511</v>
      </c>
      <c r="D1815" s="4" t="s">
        <v>463</v>
      </c>
      <c r="E1815" s="4" t="s">
        <v>2841</v>
      </c>
      <c r="F1815" s="127" t="n">
        <v>46946</v>
      </c>
      <c r="G1815" s="127" t="n">
        <v>46958</v>
      </c>
      <c r="H1815" s="127" t="n">
        <v>46289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20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29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30214091</v>
      </c>
      <c r="C1816" s="4" t="s">
        <v>2514</v>
      </c>
      <c r="D1816" s="4" t="s">
        <v>463</v>
      </c>
      <c r="E1816" s="4" t="s">
        <v>2841</v>
      </c>
      <c r="F1816" s="127" t="n">
        <v>46946</v>
      </c>
      <c r="G1816" s="127" t="n">
        <v>46959</v>
      </c>
      <c r="H1816" s="127" t="n">
        <v>46289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20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29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29980682</v>
      </c>
      <c r="C1817" s="4" t="s">
        <v>2501</v>
      </c>
      <c r="D1817" s="4" t="s">
        <v>463</v>
      </c>
      <c r="E1817" s="4" t="s">
        <v>2842</v>
      </c>
      <c r="F1817" s="127" t="n">
        <v>46946</v>
      </c>
      <c r="G1817" s="127" t="n">
        <v>46958</v>
      </c>
      <c r="H1817" s="127" t="n">
        <v>46289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>30</v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30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29980644</v>
      </c>
      <c r="C1818" s="4" t="s">
        <v>2486</v>
      </c>
      <c r="D1818" s="4" t="s">
        <v>463</v>
      </c>
      <c r="E1818" s="4" t="s">
        <v>2843</v>
      </c>
      <c r="F1818" s="127" t="n">
        <v>46946</v>
      </c>
      <c r="G1818" s="127" t="n">
        <v>46958</v>
      </c>
      <c r="H1818" s="127" t="n">
        <v>46289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30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31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29980623</v>
      </c>
      <c r="C1819" s="4" t="s">
        <v>2480</v>
      </c>
      <c r="D1819" s="4" t="s">
        <v>463</v>
      </c>
      <c r="E1819" s="4" t="s">
        <v>2844</v>
      </c>
      <c r="F1819" s="127" t="n">
        <v>46946</v>
      </c>
      <c r="G1819" s="127" t="n">
        <v>46958</v>
      </c>
      <c r="H1819" s="127" t="n">
        <v>46289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32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30205780</v>
      </c>
      <c r="C1820" s="4" t="s">
        <v>2563</v>
      </c>
      <c r="D1820" s="4" t="s">
        <v>463</v>
      </c>
      <c r="E1820" s="4" t="s">
        <v>2835</v>
      </c>
      <c r="F1820" s="127" t="n">
        <v>46947</v>
      </c>
      <c r="G1820" s="127" t="n">
        <v>46953</v>
      </c>
      <c r="H1820" s="127" t="n">
        <v>46289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20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0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30205809</v>
      </c>
      <c r="C1821" s="4" t="s">
        <v>2578</v>
      </c>
      <c r="D1821" s="4" t="s">
        <v>463</v>
      </c>
      <c r="E1821" s="4" t="s">
        <v>2839</v>
      </c>
      <c r="F1821" s="127" t="n">
        <v>46947</v>
      </c>
      <c r="G1821" s="127" t="n">
        <v>46960</v>
      </c>
      <c r="H1821" s="127" t="n">
        <v>46289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25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0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30205808</v>
      </c>
      <c r="C1822" s="4" t="s">
        <v>2605</v>
      </c>
      <c r="D1822" s="4" t="s">
        <v>463</v>
      </c>
      <c r="E1822" s="4" t="s">
        <v>2839</v>
      </c>
      <c r="F1822" s="127" t="n">
        <v>46947</v>
      </c>
      <c r="G1822" s="127" t="n">
        <v>46960</v>
      </c>
      <c r="H1822" s="127" t="n">
        <v>46289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34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0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30205806</v>
      </c>
      <c r="C1823" s="4" t="s">
        <v>2607</v>
      </c>
      <c r="D1823" s="4" t="s">
        <v>463</v>
      </c>
      <c r="E1823" s="4" t="s">
        <v>2839</v>
      </c>
      <c r="F1823" s="127" t="n">
        <v>46947</v>
      </c>
      <c r="G1823" s="127" t="n">
        <v>46960</v>
      </c>
      <c r="H1823" s="127" t="n">
        <v>46289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34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0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30171523</v>
      </c>
      <c r="C1824" s="4" t="s">
        <v>2486</v>
      </c>
      <c r="D1824" s="4" t="s">
        <v>463</v>
      </c>
      <c r="E1824" s="4" t="s">
        <v>2857</v>
      </c>
      <c r="F1824" s="127" t="n">
        <v>46947</v>
      </c>
      <c r="G1824" s="127" t="n">
        <v>46960</v>
      </c>
      <c r="H1824" s="127" t="n">
        <v>46289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str">
        <f aca="false"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32749862</v>
      </c>
      <c r="C1825" s="4" t="s">
        <v>2455</v>
      </c>
      <c r="D1825" s="4" t="s">
        <v>463</v>
      </c>
      <c r="E1825" s="4" t="s">
        <v>2822</v>
      </c>
      <c r="F1825" s="127" t="n">
        <v>46947</v>
      </c>
      <c r="G1825" s="127" t="n">
        <v>46959</v>
      </c>
      <c r="H1825" s="127" t="n">
        <v>46289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18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19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30214095</v>
      </c>
      <c r="C1826" s="4" t="s">
        <v>2514</v>
      </c>
      <c r="D1826" s="4" t="s">
        <v>463</v>
      </c>
      <c r="E1826" s="4" t="s">
        <v>2852</v>
      </c>
      <c r="F1826" s="127" t="n">
        <v>46947</v>
      </c>
      <c r="G1826" s="127" t="n">
        <v>46967</v>
      </c>
      <c r="H1826" s="127" t="n">
        <v>46289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20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33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30206129</v>
      </c>
      <c r="C1827" s="4" t="s">
        <v>2539</v>
      </c>
      <c r="D1827" s="4" t="s">
        <v>463</v>
      </c>
      <c r="E1827" s="4" t="s">
        <v>2846</v>
      </c>
      <c r="F1827" s="127" t="n">
        <v>46948</v>
      </c>
      <c r="G1827" s="127" t="n">
        <v>46961</v>
      </c>
      <c r="H1827" s="127" t="n">
        <v>46289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35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6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30206090</v>
      </c>
      <c r="C1828" s="4" t="s">
        <v>216</v>
      </c>
      <c r="D1828" s="4" t="s">
        <v>463</v>
      </c>
      <c r="E1828" s="4" t="s">
        <v>2847</v>
      </c>
      <c r="F1828" s="127" t="n">
        <v>46948</v>
      </c>
      <c r="G1828" s="127" t="n">
        <v>46961</v>
      </c>
      <c r="H1828" s="127" t="n">
        <v>46289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33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6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30206035</v>
      </c>
      <c r="C1829" s="4" t="s">
        <v>2501</v>
      </c>
      <c r="D1829" s="4" t="s">
        <v>463</v>
      </c>
      <c r="E1829" s="4" t="s">
        <v>2848</v>
      </c>
      <c r="F1829" s="127" t="n">
        <v>46948</v>
      </c>
      <c r="G1829" s="127" t="n">
        <v>46961</v>
      </c>
      <c r="H1829" s="127" t="n">
        <v>46289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30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6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30205997</v>
      </c>
      <c r="C1830" s="4" t="s">
        <v>2486</v>
      </c>
      <c r="D1830" s="4" t="s">
        <v>463</v>
      </c>
      <c r="E1830" s="4" t="s">
        <v>2849</v>
      </c>
      <c r="F1830" s="127" t="n">
        <v>46948</v>
      </c>
      <c r="G1830" s="127" t="n">
        <v>46961</v>
      </c>
      <c r="H1830" s="127" t="n">
        <v>46289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30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6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30205976</v>
      </c>
      <c r="C1831" s="4" t="s">
        <v>2480</v>
      </c>
      <c r="D1831" s="4" t="s">
        <v>463</v>
      </c>
      <c r="E1831" s="4" t="s">
        <v>2850</v>
      </c>
      <c r="F1831" s="127" t="n">
        <v>46948</v>
      </c>
      <c r="G1831" s="127" t="n">
        <v>46961</v>
      </c>
      <c r="H1831" s="127" t="n">
        <v>46289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30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6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33896917</v>
      </c>
      <c r="C1832" s="4" t="s">
        <v>2467</v>
      </c>
      <c r="D1832" s="4" t="s">
        <v>463</v>
      </c>
      <c r="E1832" s="4" t="s">
        <v>2850</v>
      </c>
      <c r="F1832" s="127" t="n">
        <v>46948</v>
      </c>
      <c r="G1832" s="127" t="n">
        <v>46961</v>
      </c>
      <c r="H1832" s="127" t="n">
        <v>46289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23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6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30211211</v>
      </c>
      <c r="C1833" s="4" t="s">
        <v>2661</v>
      </c>
      <c r="D1833" s="4" t="s">
        <v>463</v>
      </c>
      <c r="E1833" s="4" t="s">
        <v>2853</v>
      </c>
      <c r="F1833" s="127" t="n">
        <v>46951</v>
      </c>
      <c r="G1833" s="127" t="n">
        <v>46969</v>
      </c>
      <c r="H1833" s="127" t="n">
        <v>46289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30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34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30205655</v>
      </c>
      <c r="C1834" s="4" t="s">
        <v>2637</v>
      </c>
      <c r="D1834" s="4" t="s">
        <v>463</v>
      </c>
      <c r="E1834" s="4" t="s">
        <v>2824</v>
      </c>
      <c r="F1834" s="127" t="n">
        <v>46952</v>
      </c>
      <c r="G1834" s="127" t="n">
        <v>46958</v>
      </c>
      <c r="H1834" s="127" t="n">
        <v>46289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/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0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30205624</v>
      </c>
      <c r="C1835" s="4" t="s">
        <v>2649</v>
      </c>
      <c r="D1835" s="4" t="s">
        <v>463</v>
      </c>
      <c r="E1835" s="4" t="s">
        <v>2826</v>
      </c>
      <c r="F1835" s="127" t="n">
        <v>46952</v>
      </c>
      <c r="G1835" s="127" t="n">
        <v>46965</v>
      </c>
      <c r="H1835" s="127" t="n">
        <v>46289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37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0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30205587</v>
      </c>
      <c r="C1836" s="4" t="s">
        <v>2629</v>
      </c>
      <c r="D1836" s="4" t="s">
        <v>463</v>
      </c>
      <c r="E1836" s="4" t="s">
        <v>2828</v>
      </c>
      <c r="F1836" s="127" t="n">
        <v>46952</v>
      </c>
      <c r="G1836" s="127" t="n">
        <v>46965</v>
      </c>
      <c r="H1836" s="127" t="n">
        <v>46289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20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0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30205559</v>
      </c>
      <c r="C1837" s="4" t="s">
        <v>2623</v>
      </c>
      <c r="D1837" s="4" t="s">
        <v>463</v>
      </c>
      <c r="E1837" s="4" t="s">
        <v>2830</v>
      </c>
      <c r="F1837" s="127" t="n">
        <v>46952</v>
      </c>
      <c r="G1837" s="127" t="n">
        <v>46965</v>
      </c>
      <c r="H1837" s="127" t="n">
        <v>46289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35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0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30205545</v>
      </c>
      <c r="C1838" s="4" t="s">
        <v>2615</v>
      </c>
      <c r="D1838" s="4" t="s">
        <v>463</v>
      </c>
      <c r="E1838" s="4" t="s">
        <v>2832</v>
      </c>
      <c r="F1838" s="127" t="n">
        <v>46952</v>
      </c>
      <c r="G1838" s="127" t="n">
        <v>46965</v>
      </c>
      <c r="H1838" s="127" t="n">
        <v>46289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37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0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29981365</v>
      </c>
      <c r="C1839" s="4" t="s">
        <v>2649</v>
      </c>
      <c r="D1839" s="4" t="s">
        <v>463</v>
      </c>
      <c r="E1839" s="4" t="s">
        <v>2811</v>
      </c>
      <c r="F1839" s="127" t="n">
        <v>46952</v>
      </c>
      <c r="G1839" s="127" t="n">
        <v>46962</v>
      </c>
      <c r="H1839" s="127" t="n">
        <v>46289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37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12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29981318</v>
      </c>
      <c r="C1840" s="4" t="s">
        <v>2641</v>
      </c>
      <c r="D1840" s="4" t="s">
        <v>463</v>
      </c>
      <c r="E1840" s="4" t="s">
        <v>2812</v>
      </c>
      <c r="F1840" s="127" t="n">
        <v>46952</v>
      </c>
      <c r="G1840" s="127" t="n">
        <v>46962</v>
      </c>
      <c r="H1840" s="127" t="n">
        <v>46289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35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13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30205799</v>
      </c>
      <c r="C1841" s="4" t="s">
        <v>2615</v>
      </c>
      <c r="D1841" s="4" t="s">
        <v>463</v>
      </c>
      <c r="E1841" s="4" t="s">
        <v>2835</v>
      </c>
      <c r="F1841" s="127" t="n">
        <v>46954</v>
      </c>
      <c r="G1841" s="127" t="n">
        <v>46967</v>
      </c>
      <c r="H1841" s="127" t="n">
        <v>46289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37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0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31791440</v>
      </c>
      <c r="C1842" s="4" t="s">
        <v>2696</v>
      </c>
      <c r="D1842" s="4" t="s">
        <v>463</v>
      </c>
      <c r="E1842" s="4" t="s">
        <v>2678</v>
      </c>
      <c r="F1842" s="127" t="n">
        <v>46954</v>
      </c>
      <c r="G1842" s="127" t="n">
        <v>46982</v>
      </c>
      <c r="H1842" s="127" t="n">
        <v>46289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32</v>
      </c>
      <c r="N1842" s="2" t="str">
        <f aca="false"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29981280</v>
      </c>
      <c r="C1843" s="4" t="s">
        <v>2637</v>
      </c>
      <c r="D1843" s="4" t="s">
        <v>463</v>
      </c>
      <c r="E1843" s="4" t="s">
        <v>2813</v>
      </c>
      <c r="F1843" s="127" t="n">
        <v>46958</v>
      </c>
      <c r="G1843" s="127" t="n">
        <v>46962</v>
      </c>
      <c r="H1843" s="127" t="n">
        <v>46289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/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14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29981245</v>
      </c>
      <c r="C1844" s="4" t="s">
        <v>2629</v>
      </c>
      <c r="D1844" s="4" t="s">
        <v>463</v>
      </c>
      <c r="E1844" s="4" t="s">
        <v>2814</v>
      </c>
      <c r="F1844" s="127" t="n">
        <v>46958</v>
      </c>
      <c r="G1844" s="127" t="n">
        <v>46968</v>
      </c>
      <c r="H1844" s="127" t="n">
        <v>46289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20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15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29981205</v>
      </c>
      <c r="C1845" s="4" t="s">
        <v>2623</v>
      </c>
      <c r="D1845" s="4" t="s">
        <v>463</v>
      </c>
      <c r="E1845" s="4" t="s">
        <v>2815</v>
      </c>
      <c r="F1845" s="127" t="n">
        <v>46958</v>
      </c>
      <c r="G1845" s="127" t="n">
        <v>46968</v>
      </c>
      <c r="H1845" s="127" t="n">
        <v>46289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35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16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33919794</v>
      </c>
      <c r="C1846" s="4" t="s">
        <v>2625</v>
      </c>
      <c r="D1846" s="4" t="s">
        <v>463</v>
      </c>
      <c r="E1846" s="4" t="s">
        <v>2815</v>
      </c>
      <c r="F1846" s="127" t="n">
        <v>46958</v>
      </c>
      <c r="G1846" s="127" t="n">
        <v>46968</v>
      </c>
      <c r="H1846" s="127" t="n">
        <v>46289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32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16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29981167</v>
      </c>
      <c r="C1847" s="4" t="s">
        <v>2615</v>
      </c>
      <c r="D1847" s="4" t="s">
        <v>463</v>
      </c>
      <c r="E1847" s="4" t="s">
        <v>2818</v>
      </c>
      <c r="F1847" s="127" t="n">
        <v>46958</v>
      </c>
      <c r="G1847" s="127" t="n">
        <v>46968</v>
      </c>
      <c r="H1847" s="127" t="n">
        <v>46289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37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17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29981124</v>
      </c>
      <c r="C1848" s="4" t="s">
        <v>2605</v>
      </c>
      <c r="D1848" s="4" t="s">
        <v>463</v>
      </c>
      <c r="E1848" s="4" t="s">
        <v>2820</v>
      </c>
      <c r="F1848" s="127" t="n">
        <v>46958</v>
      </c>
      <c r="G1848" s="127" t="n">
        <v>46968</v>
      </c>
      <c r="H1848" s="127" t="n">
        <v>46289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>34</v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18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29981129</v>
      </c>
      <c r="C1849" s="4" t="s">
        <v>2607</v>
      </c>
      <c r="D1849" s="4" t="s">
        <v>463</v>
      </c>
      <c r="E1849" s="4" t="s">
        <v>2820</v>
      </c>
      <c r="F1849" s="127" t="n">
        <v>46958</v>
      </c>
      <c r="G1849" s="127" t="n">
        <v>46968</v>
      </c>
      <c r="H1849" s="127" t="n">
        <v>46289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>34</v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18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29981128</v>
      </c>
      <c r="C1850" s="4" t="s">
        <v>2563</v>
      </c>
      <c r="D1850" s="4" t="s">
        <v>463</v>
      </c>
      <c r="E1850" s="4" t="s">
        <v>2820</v>
      </c>
      <c r="F1850" s="127" t="n">
        <v>46958</v>
      </c>
      <c r="G1850" s="127" t="n">
        <v>46968</v>
      </c>
      <c r="H1850" s="127" t="n">
        <v>46289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20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18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29981127</v>
      </c>
      <c r="C1851" s="4" t="s">
        <v>2609</v>
      </c>
      <c r="D1851" s="4" t="s">
        <v>463</v>
      </c>
      <c r="E1851" s="4" t="s">
        <v>2820</v>
      </c>
      <c r="F1851" s="127" t="n">
        <v>46958</v>
      </c>
      <c r="G1851" s="127" t="n">
        <v>46968</v>
      </c>
      <c r="H1851" s="127" t="n">
        <v>46289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23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18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29981049</v>
      </c>
      <c r="C1852" s="4" t="s">
        <v>2599</v>
      </c>
      <c r="D1852" s="4" t="s">
        <v>463</v>
      </c>
      <c r="E1852" s="4" t="s">
        <v>2823</v>
      </c>
      <c r="F1852" s="127" t="n">
        <v>46958</v>
      </c>
      <c r="G1852" s="127" t="n">
        <v>46968</v>
      </c>
      <c r="H1852" s="127" t="n">
        <v>46289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30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20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29981011</v>
      </c>
      <c r="C1853" s="4" t="s">
        <v>2578</v>
      </c>
      <c r="D1853" s="4" t="s">
        <v>463</v>
      </c>
      <c r="E1853" s="4" t="s">
        <v>2825</v>
      </c>
      <c r="F1853" s="127" t="n">
        <v>46958</v>
      </c>
      <c r="G1853" s="127" t="n">
        <v>46968</v>
      </c>
      <c r="H1853" s="127" t="n">
        <v>46289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25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21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29980973</v>
      </c>
      <c r="C1854" s="4" t="s">
        <v>2569</v>
      </c>
      <c r="D1854" s="4" t="s">
        <v>463</v>
      </c>
      <c r="E1854" s="4" t="s">
        <v>2827</v>
      </c>
      <c r="F1854" s="127" t="n">
        <v>46958</v>
      </c>
      <c r="G1854" s="127" t="n">
        <v>46968</v>
      </c>
      <c r="H1854" s="127" t="n">
        <v>46289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22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29980935</v>
      </c>
      <c r="C1855" s="4" t="s">
        <v>2554</v>
      </c>
      <c r="D1855" s="4" t="s">
        <v>463</v>
      </c>
      <c r="E1855" s="4" t="s">
        <v>2829</v>
      </c>
      <c r="F1855" s="127" t="n">
        <v>46958</v>
      </c>
      <c r="G1855" s="127" t="n">
        <v>46968</v>
      </c>
      <c r="H1855" s="127" t="n">
        <v>46289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35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23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29980924</v>
      </c>
      <c r="C1856" s="4" t="s">
        <v>2539</v>
      </c>
      <c r="D1856" s="4" t="s">
        <v>463</v>
      </c>
      <c r="E1856" s="4" t="s">
        <v>2831</v>
      </c>
      <c r="F1856" s="127" t="n">
        <v>46958</v>
      </c>
      <c r="G1856" s="127" t="n">
        <v>46968</v>
      </c>
      <c r="H1856" s="127" t="n">
        <v>46289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35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24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33898109</v>
      </c>
      <c r="C1857" s="4" t="s">
        <v>2545</v>
      </c>
      <c r="D1857" s="4" t="s">
        <v>463</v>
      </c>
      <c r="E1857" s="4" t="s">
        <v>2833</v>
      </c>
      <c r="F1857" s="127" t="n">
        <v>46958</v>
      </c>
      <c r="G1857" s="127" t="n">
        <v>46968</v>
      </c>
      <c r="H1857" s="127" t="n">
        <v>46289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25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25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30210377</v>
      </c>
      <c r="C1858" s="4" t="s">
        <v>2699</v>
      </c>
      <c r="D1858" s="4" t="s">
        <v>463</v>
      </c>
      <c r="E1858" s="4" t="s">
        <v>2852</v>
      </c>
      <c r="F1858" s="127" t="n">
        <v>46958</v>
      </c>
      <c r="G1858" s="127" t="n">
        <v>46988</v>
      </c>
      <c r="H1858" s="127" t="n">
        <v>46289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21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33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29980737</v>
      </c>
      <c r="C1859" s="4" t="s">
        <v>216</v>
      </c>
      <c r="D1859" s="4" t="s">
        <v>463</v>
      </c>
      <c r="E1859" s="4" t="s">
        <v>2841</v>
      </c>
      <c r="F1859" s="127" t="n">
        <v>46959</v>
      </c>
      <c r="G1859" s="127" t="n">
        <v>46969</v>
      </c>
      <c r="H1859" s="127" t="n">
        <v>46289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>33</v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29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29980698</v>
      </c>
      <c r="C1860" s="4" t="s">
        <v>2508</v>
      </c>
      <c r="D1860" s="4" t="s">
        <v>463</v>
      </c>
      <c r="E1860" s="4" t="s">
        <v>2842</v>
      </c>
      <c r="F1860" s="127" t="n">
        <v>46959</v>
      </c>
      <c r="G1860" s="127" t="n">
        <v>46969</v>
      </c>
      <c r="H1860" s="127" t="n">
        <v>46289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20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30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29980703</v>
      </c>
      <c r="C1861" s="4" t="s">
        <v>2511</v>
      </c>
      <c r="D1861" s="4" t="s">
        <v>463</v>
      </c>
      <c r="E1861" s="4" t="s">
        <v>2842</v>
      </c>
      <c r="F1861" s="127" t="n">
        <v>46959</v>
      </c>
      <c r="G1861" s="127" t="n">
        <v>46969</v>
      </c>
      <c r="H1861" s="127" t="n">
        <v>46289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20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30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30214092</v>
      </c>
      <c r="C1862" s="4" t="s">
        <v>2514</v>
      </c>
      <c r="D1862" s="4" t="s">
        <v>463</v>
      </c>
      <c r="E1862" s="4" t="s">
        <v>2842</v>
      </c>
      <c r="F1862" s="127" t="n">
        <v>46959</v>
      </c>
      <c r="G1862" s="127" t="n">
        <v>46972</v>
      </c>
      <c r="H1862" s="127" t="n">
        <v>46289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20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30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29980645</v>
      </c>
      <c r="C1863" s="4" t="s">
        <v>2501</v>
      </c>
      <c r="D1863" s="4" t="s">
        <v>463</v>
      </c>
      <c r="E1863" s="4" t="s">
        <v>2843</v>
      </c>
      <c r="F1863" s="127" t="n">
        <v>46959</v>
      </c>
      <c r="G1863" s="127" t="n">
        <v>46969</v>
      </c>
      <c r="H1863" s="127" t="n">
        <v>46289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30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31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29980607</v>
      </c>
      <c r="C1864" s="4" t="s">
        <v>2486</v>
      </c>
      <c r="D1864" s="4" t="s">
        <v>463</v>
      </c>
      <c r="E1864" s="4" t="s">
        <v>2844</v>
      </c>
      <c r="F1864" s="127" t="n">
        <v>46959</v>
      </c>
      <c r="G1864" s="127" t="n">
        <v>46969</v>
      </c>
      <c r="H1864" s="127" t="n">
        <v>46289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30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32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30205938</v>
      </c>
      <c r="C1865" s="4" t="s">
        <v>2702</v>
      </c>
      <c r="D1865" s="4" t="s">
        <v>463</v>
      </c>
      <c r="E1865" s="4" t="s">
        <v>2784</v>
      </c>
      <c r="F1865" s="127" t="n">
        <v>46960</v>
      </c>
      <c r="G1865" s="127" t="n">
        <v>46973</v>
      </c>
      <c r="H1865" s="127" t="n">
        <v>46289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2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30205935</v>
      </c>
      <c r="C1866" s="4" t="s">
        <v>228</v>
      </c>
      <c r="D1866" s="4" t="s">
        <v>463</v>
      </c>
      <c r="E1866" s="4" t="s">
        <v>2790</v>
      </c>
      <c r="F1866" s="127" t="n">
        <v>46960</v>
      </c>
      <c r="G1866" s="127" t="n">
        <v>46973</v>
      </c>
      <c r="H1866" s="127" t="n">
        <v>46289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36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3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32750367</v>
      </c>
      <c r="C1867" s="4" t="s">
        <v>2458</v>
      </c>
      <c r="D1867" s="4" t="s">
        <v>463</v>
      </c>
      <c r="E1867" s="4" t="s">
        <v>2822</v>
      </c>
      <c r="F1867" s="127" t="n">
        <v>46960</v>
      </c>
      <c r="G1867" s="127" t="n">
        <v>46972</v>
      </c>
      <c r="H1867" s="127" t="n">
        <v>46289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21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19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32750393</v>
      </c>
      <c r="C1868" s="4" t="s">
        <v>2461</v>
      </c>
      <c r="D1868" s="4" t="s">
        <v>463</v>
      </c>
      <c r="E1868" s="4" t="s">
        <v>2822</v>
      </c>
      <c r="F1868" s="127" t="n">
        <v>46960</v>
      </c>
      <c r="G1868" s="127" t="n">
        <v>46972</v>
      </c>
      <c r="H1868" s="127" t="n">
        <v>46289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20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19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32750419</v>
      </c>
      <c r="C1869" s="4" t="s">
        <v>2464</v>
      </c>
      <c r="D1869" s="4" t="s">
        <v>463</v>
      </c>
      <c r="E1869" s="4" t="s">
        <v>2822</v>
      </c>
      <c r="F1869" s="127" t="n">
        <v>46960</v>
      </c>
      <c r="G1869" s="127" t="n">
        <v>46972</v>
      </c>
      <c r="H1869" s="127" t="n">
        <v>46289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21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19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33896837</v>
      </c>
      <c r="C1870" s="4" t="s">
        <v>2467</v>
      </c>
      <c r="D1870" s="4" t="s">
        <v>463</v>
      </c>
      <c r="E1870" s="4" t="s">
        <v>2822</v>
      </c>
      <c r="F1870" s="127" t="n">
        <v>46960</v>
      </c>
      <c r="G1870" s="127" t="n">
        <v>46972</v>
      </c>
      <c r="H1870" s="127" t="n">
        <v>46289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23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19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30205807</v>
      </c>
      <c r="C1871" s="4" t="s">
        <v>2563</v>
      </c>
      <c r="D1871" s="4" t="s">
        <v>463</v>
      </c>
      <c r="E1871" s="4" t="s">
        <v>2839</v>
      </c>
      <c r="F1871" s="127" t="n">
        <v>46961</v>
      </c>
      <c r="G1871" s="127" t="n">
        <v>46967</v>
      </c>
      <c r="H1871" s="127" t="n">
        <v>46289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20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0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30205840</v>
      </c>
      <c r="C1872" s="4" t="s">
        <v>2578</v>
      </c>
      <c r="D1872" s="4" t="s">
        <v>463</v>
      </c>
      <c r="E1872" s="4" t="s">
        <v>2782</v>
      </c>
      <c r="F1872" s="127" t="n">
        <v>46961</v>
      </c>
      <c r="G1872" s="127" t="n">
        <v>46974</v>
      </c>
      <c r="H1872" s="127" t="n">
        <v>46289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25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1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30205839</v>
      </c>
      <c r="C1873" s="4" t="s">
        <v>2605</v>
      </c>
      <c r="D1873" s="4" t="s">
        <v>463</v>
      </c>
      <c r="E1873" s="4" t="s">
        <v>2782</v>
      </c>
      <c r="F1873" s="127" t="n">
        <v>46961</v>
      </c>
      <c r="G1873" s="127" t="n">
        <v>46974</v>
      </c>
      <c r="H1873" s="127" t="n">
        <v>46289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34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1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30205837</v>
      </c>
      <c r="C1874" s="4" t="s">
        <v>2607</v>
      </c>
      <c r="D1874" s="4" t="s">
        <v>463</v>
      </c>
      <c r="E1874" s="4" t="s">
        <v>2782</v>
      </c>
      <c r="F1874" s="127" t="n">
        <v>46961</v>
      </c>
      <c r="G1874" s="127" t="n">
        <v>46974</v>
      </c>
      <c r="H1874" s="127" t="n">
        <v>46289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34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1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30206103</v>
      </c>
      <c r="C1875" s="4" t="s">
        <v>2554</v>
      </c>
      <c r="D1875" s="4" t="s">
        <v>463</v>
      </c>
      <c r="E1875" s="4" t="s">
        <v>2846</v>
      </c>
      <c r="F1875" s="127" t="n">
        <v>46962</v>
      </c>
      <c r="G1875" s="127" t="n">
        <v>46975</v>
      </c>
      <c r="H1875" s="127" t="n">
        <v>46289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35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6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33904059</v>
      </c>
      <c r="C1876" s="4" t="s">
        <v>2545</v>
      </c>
      <c r="D1876" s="4" t="s">
        <v>463</v>
      </c>
      <c r="E1876" s="4" t="s">
        <v>2847</v>
      </c>
      <c r="F1876" s="127" t="n">
        <v>46962</v>
      </c>
      <c r="G1876" s="127" t="n">
        <v>46975</v>
      </c>
      <c r="H1876" s="127" t="n">
        <v>46289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25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6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30206051</v>
      </c>
      <c r="C1877" s="4" t="s">
        <v>2508</v>
      </c>
      <c r="D1877" s="4" t="s">
        <v>463</v>
      </c>
      <c r="E1877" s="4" t="s">
        <v>2848</v>
      </c>
      <c r="F1877" s="127" t="n">
        <v>46962</v>
      </c>
      <c r="G1877" s="127" t="n">
        <v>46975</v>
      </c>
      <c r="H1877" s="127" t="n">
        <v>46289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20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6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30214066</v>
      </c>
      <c r="C1878" s="4" t="s">
        <v>2514</v>
      </c>
      <c r="D1878" s="4" t="s">
        <v>463</v>
      </c>
      <c r="E1878" s="4" t="s">
        <v>2848</v>
      </c>
      <c r="F1878" s="127" t="n">
        <v>46962</v>
      </c>
      <c r="G1878" s="127" t="n">
        <v>46975</v>
      </c>
      <c r="H1878" s="127" t="n">
        <v>46289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20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6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30205998</v>
      </c>
      <c r="C1879" s="4" t="s">
        <v>2501</v>
      </c>
      <c r="D1879" s="4" t="s">
        <v>463</v>
      </c>
      <c r="E1879" s="4" t="s">
        <v>2849</v>
      </c>
      <c r="F1879" s="127" t="n">
        <v>46962</v>
      </c>
      <c r="G1879" s="127" t="n">
        <v>46975</v>
      </c>
      <c r="H1879" s="127" t="n">
        <v>46289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6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30205960</v>
      </c>
      <c r="C1880" s="4" t="s">
        <v>2486</v>
      </c>
      <c r="D1880" s="4" t="s">
        <v>463</v>
      </c>
      <c r="E1880" s="4" t="s">
        <v>2850</v>
      </c>
      <c r="F1880" s="127" t="n">
        <v>46962</v>
      </c>
      <c r="G1880" s="127" t="n">
        <v>46975</v>
      </c>
      <c r="H1880" s="127" t="n">
        <v>46289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6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30171386</v>
      </c>
      <c r="C1881" s="4" t="s">
        <v>2563</v>
      </c>
      <c r="D1881" s="4" t="s">
        <v>463</v>
      </c>
      <c r="E1881" s="4" t="s">
        <v>2801</v>
      </c>
      <c r="F1881" s="127" t="n">
        <v>46965</v>
      </c>
      <c r="G1881" s="127" t="n">
        <v>46993</v>
      </c>
      <c r="H1881" s="127" t="n">
        <v>46289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20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5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30171383</v>
      </c>
      <c r="C1882" s="4" t="s">
        <v>2566</v>
      </c>
      <c r="D1882" s="4" t="s">
        <v>463</v>
      </c>
      <c r="E1882" s="4" t="s">
        <v>2801</v>
      </c>
      <c r="F1882" s="127" t="n">
        <v>46965</v>
      </c>
      <c r="G1882" s="127" t="n">
        <v>46993</v>
      </c>
      <c r="H1882" s="127" t="n">
        <v>46289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>20</v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5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29981328</v>
      </c>
      <c r="C1883" s="4" t="s">
        <v>2649</v>
      </c>
      <c r="D1883" s="4" t="s">
        <v>463</v>
      </c>
      <c r="E1883" s="4" t="s">
        <v>2812</v>
      </c>
      <c r="F1883" s="127" t="n">
        <v>46965</v>
      </c>
      <c r="G1883" s="127" t="n">
        <v>46975</v>
      </c>
      <c r="H1883" s="127" t="n">
        <v>46289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37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29981281</v>
      </c>
      <c r="C1884" s="4" t="s">
        <v>2641</v>
      </c>
      <c r="D1884" s="4" t="s">
        <v>463</v>
      </c>
      <c r="E1884" s="4" t="s">
        <v>2813</v>
      </c>
      <c r="F1884" s="127" t="n">
        <v>46965</v>
      </c>
      <c r="G1884" s="127" t="n">
        <v>46975</v>
      </c>
      <c r="H1884" s="127" t="n">
        <v>46289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35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14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30205628</v>
      </c>
      <c r="C1885" s="4" t="s">
        <v>2637</v>
      </c>
      <c r="D1885" s="4" t="s">
        <v>463</v>
      </c>
      <c r="E1885" s="4" t="s">
        <v>2826</v>
      </c>
      <c r="F1885" s="127" t="n">
        <v>46966</v>
      </c>
      <c r="G1885" s="127" t="n">
        <v>46972</v>
      </c>
      <c r="H1885" s="127" t="n">
        <v>46289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/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30205597</v>
      </c>
      <c r="C1886" s="4" t="s">
        <v>2649</v>
      </c>
      <c r="D1886" s="4" t="s">
        <v>463</v>
      </c>
      <c r="E1886" s="4" t="s">
        <v>2828</v>
      </c>
      <c r="F1886" s="127" t="n">
        <v>46966</v>
      </c>
      <c r="G1886" s="127" t="n">
        <v>46979</v>
      </c>
      <c r="H1886" s="127" t="n">
        <v>46289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37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30205560</v>
      </c>
      <c r="C1887" s="4" t="s">
        <v>2629</v>
      </c>
      <c r="D1887" s="4" t="s">
        <v>463</v>
      </c>
      <c r="E1887" s="4" t="s">
        <v>2830</v>
      </c>
      <c r="F1887" s="127" t="n">
        <v>46966</v>
      </c>
      <c r="G1887" s="127" t="n">
        <v>46979</v>
      </c>
      <c r="H1887" s="127" t="n">
        <v>46289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20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30205532</v>
      </c>
      <c r="C1888" s="4" t="s">
        <v>2623</v>
      </c>
      <c r="D1888" s="4" t="s">
        <v>463</v>
      </c>
      <c r="E1888" s="4" t="s">
        <v>2832</v>
      </c>
      <c r="F1888" s="127" t="n">
        <v>46966</v>
      </c>
      <c r="G1888" s="127" t="n">
        <v>46979</v>
      </c>
      <c r="H1888" s="127" t="n">
        <v>46289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35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30171527</v>
      </c>
      <c r="C1889" s="4" t="s">
        <v>216</v>
      </c>
      <c r="D1889" s="4" t="s">
        <v>463</v>
      </c>
      <c r="E1889" s="4" t="s">
        <v>2857</v>
      </c>
      <c r="F1889" s="127" t="n">
        <v>46967</v>
      </c>
      <c r="G1889" s="127" t="n">
        <v>46981</v>
      </c>
      <c r="H1889" s="127" t="n">
        <v>46289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33</v>
      </c>
      <c r="N1889" s="2" t="str">
        <f aca="false"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30208612</v>
      </c>
      <c r="C1890" s="4" t="s">
        <v>2584</v>
      </c>
      <c r="D1890" s="4" t="s">
        <v>463</v>
      </c>
      <c r="E1890" s="4" t="s">
        <v>2851</v>
      </c>
      <c r="F1890" s="127" t="n">
        <v>46967</v>
      </c>
      <c r="G1890" s="127" t="n">
        <v>46973</v>
      </c>
      <c r="H1890" s="127" t="n">
        <v>46289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20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6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30209538</v>
      </c>
      <c r="C1891" s="4" t="s">
        <v>2705</v>
      </c>
      <c r="D1891" s="4" t="s">
        <v>463</v>
      </c>
      <c r="E1891" s="4" t="s">
        <v>2851</v>
      </c>
      <c r="F1891" s="127" t="n">
        <v>46967</v>
      </c>
      <c r="G1891" s="127" t="n">
        <v>46997</v>
      </c>
      <c r="H1891" s="127" t="n">
        <v>46289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23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6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30205786</v>
      </c>
      <c r="C1892" s="4" t="s">
        <v>2623</v>
      </c>
      <c r="D1892" s="4" t="s">
        <v>463</v>
      </c>
      <c r="E1892" s="4" t="s">
        <v>2835</v>
      </c>
      <c r="F1892" s="127" t="n">
        <v>46968</v>
      </c>
      <c r="G1892" s="127" t="n">
        <v>46989</v>
      </c>
      <c r="H1892" s="127" t="n">
        <v>46289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35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0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30205826</v>
      </c>
      <c r="C1893" s="4" t="s">
        <v>2615</v>
      </c>
      <c r="D1893" s="4" t="s">
        <v>463</v>
      </c>
      <c r="E1893" s="4" t="s">
        <v>2839</v>
      </c>
      <c r="F1893" s="127" t="n">
        <v>46968</v>
      </c>
      <c r="G1893" s="127" t="n">
        <v>46982</v>
      </c>
      <c r="H1893" s="127" t="n">
        <v>46289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37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0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30214417</v>
      </c>
      <c r="C1894" s="4" t="s">
        <v>1367</v>
      </c>
      <c r="D1894" s="4" t="s">
        <v>463</v>
      </c>
      <c r="E1894" s="4" t="s">
        <v>2852</v>
      </c>
      <c r="F1894" s="127" t="n">
        <v>46968</v>
      </c>
      <c r="G1894" s="127" t="n">
        <v>46982</v>
      </c>
      <c r="H1894" s="127" t="n">
        <v>46289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33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31800969</v>
      </c>
      <c r="C1895" s="4" t="s">
        <v>2708</v>
      </c>
      <c r="D1895" s="4" t="s">
        <v>463</v>
      </c>
      <c r="E1895" s="4" t="s">
        <v>2678</v>
      </c>
      <c r="F1895" s="127" t="n">
        <v>46968</v>
      </c>
      <c r="G1895" s="127" t="n">
        <v>46996</v>
      </c>
      <c r="H1895" s="127" t="n">
        <v>46289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>35</v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29981243</v>
      </c>
      <c r="C1896" s="4" t="s">
        <v>2637</v>
      </c>
      <c r="D1896" s="4" t="s">
        <v>463</v>
      </c>
      <c r="E1896" s="4" t="s">
        <v>2814</v>
      </c>
      <c r="F1896" s="127" t="n">
        <v>46969</v>
      </c>
      <c r="G1896" s="127" t="n">
        <v>46975</v>
      </c>
      <c r="H1896" s="127" t="n">
        <v>46289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/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15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29981208</v>
      </c>
      <c r="C1897" s="4" t="s">
        <v>2629</v>
      </c>
      <c r="D1897" s="4" t="s">
        <v>463</v>
      </c>
      <c r="E1897" s="4" t="s">
        <v>2815</v>
      </c>
      <c r="F1897" s="127" t="n">
        <v>46969</v>
      </c>
      <c r="G1897" s="127" t="n">
        <v>46982</v>
      </c>
      <c r="H1897" s="127" t="n">
        <v>46289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20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16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29981168</v>
      </c>
      <c r="C1898" s="4" t="s">
        <v>2623</v>
      </c>
      <c r="D1898" s="4" t="s">
        <v>463</v>
      </c>
      <c r="E1898" s="4" t="s">
        <v>2818</v>
      </c>
      <c r="F1898" s="127" t="n">
        <v>46969</v>
      </c>
      <c r="G1898" s="127" t="n">
        <v>46982</v>
      </c>
      <c r="H1898" s="127" t="n">
        <v>46289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35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17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33919795</v>
      </c>
      <c r="C1899" s="4" t="s">
        <v>2625</v>
      </c>
      <c r="D1899" s="4" t="s">
        <v>463</v>
      </c>
      <c r="E1899" s="4" t="s">
        <v>2818</v>
      </c>
      <c r="F1899" s="127" t="n">
        <v>46969</v>
      </c>
      <c r="G1899" s="127" t="n">
        <v>46982</v>
      </c>
      <c r="H1899" s="127" t="n">
        <v>46289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32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17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29981130</v>
      </c>
      <c r="C1900" s="4" t="s">
        <v>2615</v>
      </c>
      <c r="D1900" s="4" t="s">
        <v>463</v>
      </c>
      <c r="E1900" s="4" t="s">
        <v>2820</v>
      </c>
      <c r="F1900" s="127" t="n">
        <v>46969</v>
      </c>
      <c r="G1900" s="127" t="n">
        <v>46982</v>
      </c>
      <c r="H1900" s="127" t="n">
        <v>46289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37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18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29981050</v>
      </c>
      <c r="C1901" s="4" t="s">
        <v>2605</v>
      </c>
      <c r="D1901" s="4" t="s">
        <v>463</v>
      </c>
      <c r="E1901" s="4" t="s">
        <v>2823</v>
      </c>
      <c r="F1901" s="127" t="n">
        <v>46969</v>
      </c>
      <c r="G1901" s="127" t="n">
        <v>46982</v>
      </c>
      <c r="H1901" s="127" t="n">
        <v>46289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34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20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29981055</v>
      </c>
      <c r="C1902" s="4" t="s">
        <v>2607</v>
      </c>
      <c r="D1902" s="4" t="s">
        <v>463</v>
      </c>
      <c r="E1902" s="4" t="s">
        <v>2823</v>
      </c>
      <c r="F1902" s="127" t="n">
        <v>46969</v>
      </c>
      <c r="G1902" s="127" t="n">
        <v>46982</v>
      </c>
      <c r="H1902" s="127" t="n">
        <v>46289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34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20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29981054</v>
      </c>
      <c r="C1903" s="4" t="s">
        <v>2563</v>
      </c>
      <c r="D1903" s="4" t="s">
        <v>463</v>
      </c>
      <c r="E1903" s="4" t="s">
        <v>2823</v>
      </c>
      <c r="F1903" s="127" t="n">
        <v>46969</v>
      </c>
      <c r="G1903" s="127" t="n">
        <v>46982</v>
      </c>
      <c r="H1903" s="127" t="n">
        <v>46289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20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20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29981053</v>
      </c>
      <c r="C1904" s="4" t="s">
        <v>2609</v>
      </c>
      <c r="D1904" s="4" t="s">
        <v>463</v>
      </c>
      <c r="E1904" s="4" t="s">
        <v>2823</v>
      </c>
      <c r="F1904" s="127" t="n">
        <v>46969</v>
      </c>
      <c r="G1904" s="127" t="n">
        <v>46982</v>
      </c>
      <c r="H1904" s="127" t="n">
        <v>46289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23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20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29981012</v>
      </c>
      <c r="C1905" s="4" t="s">
        <v>2599</v>
      </c>
      <c r="D1905" s="4" t="s">
        <v>463</v>
      </c>
      <c r="E1905" s="4" t="s">
        <v>2825</v>
      </c>
      <c r="F1905" s="127" t="n">
        <v>46969</v>
      </c>
      <c r="G1905" s="127" t="n">
        <v>46982</v>
      </c>
      <c r="H1905" s="127" t="n">
        <v>46289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21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29980974</v>
      </c>
      <c r="C1906" s="4" t="s">
        <v>2578</v>
      </c>
      <c r="D1906" s="4" t="s">
        <v>463</v>
      </c>
      <c r="E1906" s="4" t="s">
        <v>2827</v>
      </c>
      <c r="F1906" s="127" t="n">
        <v>46969</v>
      </c>
      <c r="G1906" s="127" t="n">
        <v>46982</v>
      </c>
      <c r="H1906" s="127" t="n">
        <v>46289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25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22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29980936</v>
      </c>
      <c r="C1907" s="4" t="s">
        <v>2569</v>
      </c>
      <c r="D1907" s="4" t="s">
        <v>463</v>
      </c>
      <c r="E1907" s="4" t="s">
        <v>2829</v>
      </c>
      <c r="F1907" s="127" t="n">
        <v>46969</v>
      </c>
      <c r="G1907" s="127" t="n">
        <v>46982</v>
      </c>
      <c r="H1907" s="127" t="n">
        <v>46289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30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23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29980898</v>
      </c>
      <c r="C1908" s="4" t="s">
        <v>2554</v>
      </c>
      <c r="D1908" s="4" t="s">
        <v>463</v>
      </c>
      <c r="E1908" s="4" t="s">
        <v>2831</v>
      </c>
      <c r="F1908" s="127" t="n">
        <v>46969</v>
      </c>
      <c r="G1908" s="127" t="n">
        <v>46982</v>
      </c>
      <c r="H1908" s="127" t="n">
        <v>46289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35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24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29980887</v>
      </c>
      <c r="C1909" s="4" t="s">
        <v>2539</v>
      </c>
      <c r="D1909" s="4" t="s">
        <v>463</v>
      </c>
      <c r="E1909" s="4" t="s">
        <v>2833</v>
      </c>
      <c r="F1909" s="127" t="n">
        <v>46969</v>
      </c>
      <c r="G1909" s="127" t="n">
        <v>46982</v>
      </c>
      <c r="H1909" s="127" t="n">
        <v>46289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35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25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33898110</v>
      </c>
      <c r="C1910" s="4" t="s">
        <v>2545</v>
      </c>
      <c r="D1910" s="4" t="s">
        <v>463</v>
      </c>
      <c r="E1910" s="4" t="s">
        <v>2834</v>
      </c>
      <c r="F1910" s="127" t="n">
        <v>46969</v>
      </c>
      <c r="G1910" s="127" t="n">
        <v>46982</v>
      </c>
      <c r="H1910" s="127" t="n">
        <v>46289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25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26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29980700</v>
      </c>
      <c r="C1911" s="4" t="s">
        <v>216</v>
      </c>
      <c r="D1911" s="4" t="s">
        <v>463</v>
      </c>
      <c r="E1911" s="4" t="s">
        <v>2842</v>
      </c>
      <c r="F1911" s="127" t="n">
        <v>46972</v>
      </c>
      <c r="G1911" s="127" t="n">
        <v>46983</v>
      </c>
      <c r="H1911" s="127" t="n">
        <v>46289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33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30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29980661</v>
      </c>
      <c r="C1912" s="4" t="s">
        <v>2508</v>
      </c>
      <c r="D1912" s="4" t="s">
        <v>463</v>
      </c>
      <c r="E1912" s="4" t="s">
        <v>2843</v>
      </c>
      <c r="F1912" s="127" t="n">
        <v>46972</v>
      </c>
      <c r="G1912" s="127" t="n">
        <v>46983</v>
      </c>
      <c r="H1912" s="127" t="n">
        <v>46289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20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31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29980666</v>
      </c>
      <c r="C1913" s="4" t="s">
        <v>2511</v>
      </c>
      <c r="D1913" s="4" t="s">
        <v>463</v>
      </c>
      <c r="E1913" s="4" t="s">
        <v>2843</v>
      </c>
      <c r="F1913" s="127" t="n">
        <v>46972</v>
      </c>
      <c r="G1913" s="127" t="n">
        <v>46983</v>
      </c>
      <c r="H1913" s="127" t="n">
        <v>46289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20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31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30214093</v>
      </c>
      <c r="C1914" s="4" t="s">
        <v>2514</v>
      </c>
      <c r="D1914" s="4" t="s">
        <v>463</v>
      </c>
      <c r="E1914" s="4" t="s">
        <v>2843</v>
      </c>
      <c r="F1914" s="127" t="n">
        <v>46972</v>
      </c>
      <c r="G1914" s="127" t="n">
        <v>46986</v>
      </c>
      <c r="H1914" s="127" t="n">
        <v>46289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20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31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29980608</v>
      </c>
      <c r="C1915" s="4" t="s">
        <v>2501</v>
      </c>
      <c r="D1915" s="4" t="s">
        <v>463</v>
      </c>
      <c r="E1915" s="4" t="s">
        <v>2844</v>
      </c>
      <c r="F1915" s="127" t="n">
        <v>46972</v>
      </c>
      <c r="G1915" s="127" t="n">
        <v>46983</v>
      </c>
      <c r="H1915" s="127" t="n">
        <v>46289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30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32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30214415</v>
      </c>
      <c r="C1916" s="4" t="s">
        <v>1367</v>
      </c>
      <c r="D1916" s="4" t="s">
        <v>463</v>
      </c>
      <c r="E1916" s="4" t="s">
        <v>2853</v>
      </c>
      <c r="F1916" s="127" t="n">
        <v>46972</v>
      </c>
      <c r="G1916" s="127" t="n">
        <v>46986</v>
      </c>
      <c r="H1916" s="127" t="n">
        <v>46289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20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34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30205906</v>
      </c>
      <c r="C1917" s="4" t="s">
        <v>228</v>
      </c>
      <c r="D1917" s="4" t="s">
        <v>463</v>
      </c>
      <c r="E1917" s="4" t="s">
        <v>2845</v>
      </c>
      <c r="F1917" s="127" t="n">
        <v>46973</v>
      </c>
      <c r="G1917" s="127" t="n">
        <v>47004</v>
      </c>
      <c r="H1917" s="127" t="n">
        <v>46289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>36</v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6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30205882</v>
      </c>
      <c r="C1918" s="4" t="s">
        <v>2711</v>
      </c>
      <c r="D1918" s="4" t="s">
        <v>463</v>
      </c>
      <c r="E1918" s="4" t="s">
        <v>2845</v>
      </c>
      <c r="F1918" s="127" t="n">
        <v>46973</v>
      </c>
      <c r="G1918" s="127" t="n">
        <v>47036</v>
      </c>
      <c r="H1918" s="127" t="n">
        <v>46289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>31</v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6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32750445</v>
      </c>
      <c r="C1919" s="4" t="s">
        <v>2470</v>
      </c>
      <c r="D1919" s="4" t="s">
        <v>463</v>
      </c>
      <c r="E1919" s="4" t="s">
        <v>2822</v>
      </c>
      <c r="F1919" s="127" t="n">
        <v>46973</v>
      </c>
      <c r="G1919" s="127" t="n">
        <v>46986</v>
      </c>
      <c r="H1919" s="127" t="n">
        <v>46289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18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19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30171469</v>
      </c>
      <c r="C1920" s="4" t="s">
        <v>2619</v>
      </c>
      <c r="D1920" s="4" t="s">
        <v>463</v>
      </c>
      <c r="E1920" s="4" t="s">
        <v>2784</v>
      </c>
      <c r="F1920" s="127" t="n">
        <v>46974</v>
      </c>
      <c r="G1920" s="127" t="n">
        <v>47002</v>
      </c>
      <c r="H1920" s="127" t="n">
        <v>46289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30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2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30205939</v>
      </c>
      <c r="C1921" s="4" t="s">
        <v>2702</v>
      </c>
      <c r="D1921" s="4" t="s">
        <v>463</v>
      </c>
      <c r="E1921" s="4" t="s">
        <v>2790</v>
      </c>
      <c r="F1921" s="127" t="n">
        <v>46974</v>
      </c>
      <c r="G1921" s="127" t="n">
        <v>46988</v>
      </c>
      <c r="H1921" s="127" t="n">
        <v>46289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25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3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30205936</v>
      </c>
      <c r="C1922" s="4" t="s">
        <v>228</v>
      </c>
      <c r="D1922" s="4" t="s">
        <v>463</v>
      </c>
      <c r="E1922" s="4" t="s">
        <v>2800</v>
      </c>
      <c r="F1922" s="127" t="n">
        <v>46974</v>
      </c>
      <c r="G1922" s="127" t="n">
        <v>46988</v>
      </c>
      <c r="H1922" s="127" t="n">
        <v>46289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>36</v>
      </c>
      <c r="N1922" s="2" t="n">
        <f aca="false">IF(E1922="","",IF(ISNUMBER(SEARCH("SUBSOLO",E1922)),IFERROR(-VALUE(LEFT(E1922,FIND("º",SUBSTITUTE(E1922,"°","º"))-1)),-1),IF(LEFT(E1922,6)="TÉRREO",0,IFERROR(VALUE(LEFT(E1922,FIND("º",SUBSTITUTE(E1922,"°","º"))-1)),""))))</f>
        <v>4</v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30205838</v>
      </c>
      <c r="C1923" s="4" t="s">
        <v>2563</v>
      </c>
      <c r="D1923" s="4" t="s">
        <v>463</v>
      </c>
      <c r="E1923" s="4" t="s">
        <v>2782</v>
      </c>
      <c r="F1923" s="127" t="n">
        <v>46975</v>
      </c>
      <c r="G1923" s="127" t="n">
        <v>46982</v>
      </c>
      <c r="H1923" s="127" t="n">
        <v>46289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20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1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33919462</v>
      </c>
      <c r="C1924" s="4" t="s">
        <v>2554</v>
      </c>
      <c r="D1924" s="4" t="s">
        <v>463</v>
      </c>
      <c r="E1924" s="4" t="s">
        <v>2816</v>
      </c>
      <c r="F1924" s="127" t="n">
        <v>46975</v>
      </c>
      <c r="G1924" s="127" t="n">
        <v>47064</v>
      </c>
      <c r="H1924" s="127" t="n">
        <v>46289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35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30206111</v>
      </c>
      <c r="C1925" s="4" t="s">
        <v>2563</v>
      </c>
      <c r="D1925" s="4" t="s">
        <v>463</v>
      </c>
      <c r="E1925" s="4" t="s">
        <v>2846</v>
      </c>
      <c r="F1925" s="127" t="n">
        <v>46976</v>
      </c>
      <c r="G1925" s="127" t="n">
        <v>46990</v>
      </c>
      <c r="H1925" s="127" t="n">
        <v>46289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20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6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30208617</v>
      </c>
      <c r="C1926" s="4" t="s">
        <v>2584</v>
      </c>
      <c r="D1926" s="4" t="s">
        <v>463</v>
      </c>
      <c r="E1926" s="4" t="s">
        <v>2846</v>
      </c>
      <c r="F1926" s="127" t="n">
        <v>46976</v>
      </c>
      <c r="G1926" s="127" t="n">
        <v>46983</v>
      </c>
      <c r="H1926" s="127" t="n">
        <v>46289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20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6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30206092</v>
      </c>
      <c r="C1927" s="4" t="s">
        <v>2539</v>
      </c>
      <c r="D1927" s="4" t="s">
        <v>463</v>
      </c>
      <c r="E1927" s="4" t="s">
        <v>2847</v>
      </c>
      <c r="F1927" s="127" t="n">
        <v>46976</v>
      </c>
      <c r="G1927" s="127" t="n">
        <v>46990</v>
      </c>
      <c r="H1927" s="127" t="n">
        <v>46289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35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6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30206053</v>
      </c>
      <c r="C1928" s="4" t="s">
        <v>216</v>
      </c>
      <c r="D1928" s="4" t="s">
        <v>463</v>
      </c>
      <c r="E1928" s="4" t="s">
        <v>2848</v>
      </c>
      <c r="F1928" s="127" t="n">
        <v>46976</v>
      </c>
      <c r="G1928" s="127" t="n">
        <v>46990</v>
      </c>
      <c r="H1928" s="127" t="n">
        <v>46289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33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6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30206014</v>
      </c>
      <c r="C1929" s="4" t="s">
        <v>2508</v>
      </c>
      <c r="D1929" s="4" t="s">
        <v>463</v>
      </c>
      <c r="E1929" s="4" t="s">
        <v>2849</v>
      </c>
      <c r="F1929" s="127" t="n">
        <v>46976</v>
      </c>
      <c r="G1929" s="127" t="n">
        <v>46990</v>
      </c>
      <c r="H1929" s="127" t="n">
        <v>46289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30214067</v>
      </c>
      <c r="C1930" s="4" t="s">
        <v>2514</v>
      </c>
      <c r="D1930" s="4" t="s">
        <v>463</v>
      </c>
      <c r="E1930" s="4" t="s">
        <v>2849</v>
      </c>
      <c r="F1930" s="127" t="n">
        <v>46976</v>
      </c>
      <c r="G1930" s="127" t="n">
        <v>46990</v>
      </c>
      <c r="H1930" s="127" t="n">
        <v>46289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20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30205961</v>
      </c>
      <c r="C1931" s="4" t="s">
        <v>2501</v>
      </c>
      <c r="D1931" s="4" t="s">
        <v>463</v>
      </c>
      <c r="E1931" s="4" t="s">
        <v>2850</v>
      </c>
      <c r="F1931" s="127" t="n">
        <v>46976</v>
      </c>
      <c r="G1931" s="127" t="n">
        <v>46990</v>
      </c>
      <c r="H1931" s="127" t="n">
        <v>46289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6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29981291</v>
      </c>
      <c r="C1932" s="4" t="s">
        <v>2649</v>
      </c>
      <c r="D1932" s="4" t="s">
        <v>463</v>
      </c>
      <c r="E1932" s="4" t="s">
        <v>2813</v>
      </c>
      <c r="F1932" s="127" t="n">
        <v>46976</v>
      </c>
      <c r="G1932" s="127" t="n">
        <v>46989</v>
      </c>
      <c r="H1932" s="127" t="n">
        <v>46289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37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14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29981244</v>
      </c>
      <c r="C1933" s="4" t="s">
        <v>2641</v>
      </c>
      <c r="D1933" s="4" t="s">
        <v>463</v>
      </c>
      <c r="E1933" s="4" t="s">
        <v>2814</v>
      </c>
      <c r="F1933" s="127" t="n">
        <v>46976</v>
      </c>
      <c r="G1933" s="127" t="n">
        <v>46989</v>
      </c>
      <c r="H1933" s="127" t="n">
        <v>46289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35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15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30205601</v>
      </c>
      <c r="C1934" s="4" t="s">
        <v>2637</v>
      </c>
      <c r="D1934" s="4" t="s">
        <v>463</v>
      </c>
      <c r="E1934" s="4" t="s">
        <v>2828</v>
      </c>
      <c r="F1934" s="127" t="n">
        <v>46981</v>
      </c>
      <c r="G1934" s="127" t="n">
        <v>46987</v>
      </c>
      <c r="H1934" s="127" t="n">
        <v>46289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/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0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30205570</v>
      </c>
      <c r="C1935" s="4" t="s">
        <v>2649</v>
      </c>
      <c r="D1935" s="4" t="s">
        <v>463</v>
      </c>
      <c r="E1935" s="4" t="s">
        <v>2830</v>
      </c>
      <c r="F1935" s="127" t="n">
        <v>46981</v>
      </c>
      <c r="G1935" s="127" t="n">
        <v>46994</v>
      </c>
      <c r="H1935" s="127" t="n">
        <v>46289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>37</v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0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30205533</v>
      </c>
      <c r="C1936" s="4" t="s">
        <v>2629</v>
      </c>
      <c r="D1936" s="4" t="s">
        <v>463</v>
      </c>
      <c r="E1936" s="4" t="s">
        <v>2832</v>
      </c>
      <c r="F1936" s="127" t="n">
        <v>46981</v>
      </c>
      <c r="G1936" s="127" t="n">
        <v>46994</v>
      </c>
      <c r="H1936" s="127" t="n">
        <v>46289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20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0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30171535</v>
      </c>
      <c r="C1937" s="4" t="s">
        <v>2539</v>
      </c>
      <c r="D1937" s="4" t="s">
        <v>463</v>
      </c>
      <c r="E1937" s="4" t="s">
        <v>2857</v>
      </c>
      <c r="F1937" s="127" t="n">
        <v>46982</v>
      </c>
      <c r="G1937" s="127" t="n">
        <v>47024</v>
      </c>
      <c r="H1937" s="127" t="n">
        <v>46289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str">
        <f aca="false"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30205813</v>
      </c>
      <c r="C1938" s="4" t="s">
        <v>2623</v>
      </c>
      <c r="D1938" s="4" t="s">
        <v>463</v>
      </c>
      <c r="E1938" s="4" t="s">
        <v>2839</v>
      </c>
      <c r="F1938" s="127" t="n">
        <v>46983</v>
      </c>
      <c r="G1938" s="127" t="n">
        <v>46996</v>
      </c>
      <c r="H1938" s="127" t="n">
        <v>46289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35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0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34179701</v>
      </c>
      <c r="C1939" s="4" t="s">
        <v>2661</v>
      </c>
      <c r="D1939" s="4" t="s">
        <v>463</v>
      </c>
      <c r="E1939" s="4" t="s">
        <v>2836</v>
      </c>
      <c r="F1939" s="127" t="n">
        <v>46983</v>
      </c>
      <c r="G1939" s="127" t="n">
        <v>47046</v>
      </c>
      <c r="H1939" s="127" t="n">
        <v>46289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30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0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34179699</v>
      </c>
      <c r="C1940" s="4" t="s">
        <v>2584</v>
      </c>
      <c r="D1940" s="4" t="s">
        <v>463</v>
      </c>
      <c r="E1940" s="4" t="s">
        <v>2836</v>
      </c>
      <c r="F1940" s="127" t="n">
        <v>46983</v>
      </c>
      <c r="G1940" s="127" t="n">
        <v>47004</v>
      </c>
      <c r="H1940" s="127" t="n">
        <v>46289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20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0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30205857</v>
      </c>
      <c r="C1941" s="4" t="s">
        <v>2615</v>
      </c>
      <c r="D1941" s="4" t="s">
        <v>463</v>
      </c>
      <c r="E1941" s="4" t="s">
        <v>2782</v>
      </c>
      <c r="F1941" s="127" t="n">
        <v>46983</v>
      </c>
      <c r="G1941" s="127" t="n">
        <v>46996</v>
      </c>
      <c r="H1941" s="127" t="n">
        <v>46289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>37</v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1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29981206</v>
      </c>
      <c r="C1942" s="4" t="s">
        <v>2637</v>
      </c>
      <c r="D1942" s="4" t="s">
        <v>463</v>
      </c>
      <c r="E1942" s="4" t="s">
        <v>2815</v>
      </c>
      <c r="F1942" s="127" t="n">
        <v>46983</v>
      </c>
      <c r="G1942" s="127" t="n">
        <v>46989</v>
      </c>
      <c r="H1942" s="127" t="n">
        <v>46289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/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16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29981171</v>
      </c>
      <c r="C1943" s="4" t="s">
        <v>2629</v>
      </c>
      <c r="D1943" s="4" t="s">
        <v>463</v>
      </c>
      <c r="E1943" s="4" t="s">
        <v>2818</v>
      </c>
      <c r="F1943" s="127" t="n">
        <v>46983</v>
      </c>
      <c r="G1943" s="127" t="n">
        <v>46995</v>
      </c>
      <c r="H1943" s="127" t="n">
        <v>46289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20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17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29981131</v>
      </c>
      <c r="C1944" s="4" t="s">
        <v>2623</v>
      </c>
      <c r="D1944" s="4" t="s">
        <v>463</v>
      </c>
      <c r="E1944" s="4" t="s">
        <v>2820</v>
      </c>
      <c r="F1944" s="127" t="n">
        <v>46983</v>
      </c>
      <c r="G1944" s="127" t="n">
        <v>46995</v>
      </c>
      <c r="H1944" s="127" t="n">
        <v>46289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35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18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33919796</v>
      </c>
      <c r="C1945" s="4" t="s">
        <v>2625</v>
      </c>
      <c r="D1945" s="4" t="s">
        <v>463</v>
      </c>
      <c r="E1945" s="4" t="s">
        <v>2820</v>
      </c>
      <c r="F1945" s="127" t="n">
        <v>46983</v>
      </c>
      <c r="G1945" s="127" t="n">
        <v>46995</v>
      </c>
      <c r="H1945" s="127" t="n">
        <v>46289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32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18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29981056</v>
      </c>
      <c r="C1946" s="4" t="s">
        <v>2615</v>
      </c>
      <c r="D1946" s="4" t="s">
        <v>463</v>
      </c>
      <c r="E1946" s="4" t="s">
        <v>2823</v>
      </c>
      <c r="F1946" s="127" t="n">
        <v>46983</v>
      </c>
      <c r="G1946" s="127" t="n">
        <v>46995</v>
      </c>
      <c r="H1946" s="127" t="n">
        <v>46289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37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20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29981013</v>
      </c>
      <c r="C1947" s="4" t="s">
        <v>2605</v>
      </c>
      <c r="D1947" s="4" t="s">
        <v>463</v>
      </c>
      <c r="E1947" s="4" t="s">
        <v>2825</v>
      </c>
      <c r="F1947" s="127" t="n">
        <v>46983</v>
      </c>
      <c r="G1947" s="127" t="n">
        <v>46995</v>
      </c>
      <c r="H1947" s="127" t="n">
        <v>46289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34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21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29981018</v>
      </c>
      <c r="C1948" s="4" t="s">
        <v>2607</v>
      </c>
      <c r="D1948" s="4" t="s">
        <v>463</v>
      </c>
      <c r="E1948" s="4" t="s">
        <v>2825</v>
      </c>
      <c r="F1948" s="127" t="n">
        <v>46983</v>
      </c>
      <c r="G1948" s="127" t="n">
        <v>46995</v>
      </c>
      <c r="H1948" s="127" t="n">
        <v>46289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34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21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29981017</v>
      </c>
      <c r="C1949" s="4" t="s">
        <v>2563</v>
      </c>
      <c r="D1949" s="4" t="s">
        <v>463</v>
      </c>
      <c r="E1949" s="4" t="s">
        <v>2825</v>
      </c>
      <c r="F1949" s="127" t="n">
        <v>46983</v>
      </c>
      <c r="G1949" s="127" t="n">
        <v>46995</v>
      </c>
      <c r="H1949" s="127" t="n">
        <v>46289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20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21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29981016</v>
      </c>
      <c r="C1950" s="4" t="s">
        <v>2609</v>
      </c>
      <c r="D1950" s="4" t="s">
        <v>463</v>
      </c>
      <c r="E1950" s="4" t="s">
        <v>2825</v>
      </c>
      <c r="F1950" s="127" t="n">
        <v>46983</v>
      </c>
      <c r="G1950" s="127" t="n">
        <v>46995</v>
      </c>
      <c r="H1950" s="127" t="n">
        <v>46289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23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21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29980975</v>
      </c>
      <c r="C1951" s="4" t="s">
        <v>2599</v>
      </c>
      <c r="D1951" s="4" t="s">
        <v>463</v>
      </c>
      <c r="E1951" s="4" t="s">
        <v>2827</v>
      </c>
      <c r="F1951" s="127" t="n">
        <v>46983</v>
      </c>
      <c r="G1951" s="127" t="n">
        <v>46995</v>
      </c>
      <c r="H1951" s="127" t="n">
        <v>46289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30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22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29980937</v>
      </c>
      <c r="C1952" s="4" t="s">
        <v>2578</v>
      </c>
      <c r="D1952" s="4" t="s">
        <v>463</v>
      </c>
      <c r="E1952" s="4" t="s">
        <v>2829</v>
      </c>
      <c r="F1952" s="127" t="n">
        <v>46983</v>
      </c>
      <c r="G1952" s="127" t="n">
        <v>46995</v>
      </c>
      <c r="H1952" s="127" t="n">
        <v>46289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>25</v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23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29980899</v>
      </c>
      <c r="C1953" s="4" t="s">
        <v>2569</v>
      </c>
      <c r="D1953" s="4" t="s">
        <v>463</v>
      </c>
      <c r="E1953" s="4" t="s">
        <v>2831</v>
      </c>
      <c r="F1953" s="127" t="n">
        <v>46983</v>
      </c>
      <c r="G1953" s="127" t="n">
        <v>46995</v>
      </c>
      <c r="H1953" s="127" t="n">
        <v>46289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30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24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29980861</v>
      </c>
      <c r="C1954" s="4" t="s">
        <v>2554</v>
      </c>
      <c r="D1954" s="4" t="s">
        <v>463</v>
      </c>
      <c r="E1954" s="4" t="s">
        <v>2833</v>
      </c>
      <c r="F1954" s="127" t="n">
        <v>46983</v>
      </c>
      <c r="G1954" s="127" t="n">
        <v>46995</v>
      </c>
      <c r="H1954" s="127" t="n">
        <v>46289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25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29980850</v>
      </c>
      <c r="C1955" s="4" t="s">
        <v>2539</v>
      </c>
      <c r="D1955" s="4" t="s">
        <v>463</v>
      </c>
      <c r="E1955" s="4" t="s">
        <v>2834</v>
      </c>
      <c r="F1955" s="127" t="n">
        <v>46983</v>
      </c>
      <c r="G1955" s="127" t="n">
        <v>46995</v>
      </c>
      <c r="H1955" s="127" t="n">
        <v>46289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35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26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33898111</v>
      </c>
      <c r="C1956" s="4" t="s">
        <v>2545</v>
      </c>
      <c r="D1956" s="4" t="s">
        <v>463</v>
      </c>
      <c r="E1956" s="4" t="s">
        <v>2838</v>
      </c>
      <c r="F1956" s="127" t="n">
        <v>46983</v>
      </c>
      <c r="G1956" s="127" t="n">
        <v>46995</v>
      </c>
      <c r="H1956" s="127" t="n">
        <v>46289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25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27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31800478</v>
      </c>
      <c r="C1957" s="4" t="s">
        <v>2714</v>
      </c>
      <c r="D1957" s="4" t="s">
        <v>463</v>
      </c>
      <c r="E1957" s="4" t="s">
        <v>2678</v>
      </c>
      <c r="F1957" s="127" t="n">
        <v>46983</v>
      </c>
      <c r="G1957" s="127" t="n">
        <v>47032</v>
      </c>
      <c r="H1957" s="127" t="n">
        <v>46289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25</v>
      </c>
      <c r="N1957" s="2" t="str">
        <f aca="false"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31801078</v>
      </c>
      <c r="C1958" s="4" t="s">
        <v>2717</v>
      </c>
      <c r="D1958" s="4" t="s">
        <v>463</v>
      </c>
      <c r="E1958" s="4" t="s">
        <v>2678</v>
      </c>
      <c r="F1958" s="127" t="n">
        <v>46983</v>
      </c>
      <c r="G1958" s="127" t="n">
        <v>47122</v>
      </c>
      <c r="H1958" s="127" t="n">
        <v>46289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>32</v>
      </c>
      <c r="N1958" s="2" t="str">
        <f aca="false"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30206113</v>
      </c>
      <c r="C1959" s="4" t="s">
        <v>2615</v>
      </c>
      <c r="D1959" s="4" t="s">
        <v>463</v>
      </c>
      <c r="E1959" s="4" t="s">
        <v>2846</v>
      </c>
      <c r="F1959" s="127" t="n">
        <v>46986</v>
      </c>
      <c r="G1959" s="127" t="n">
        <v>46997</v>
      </c>
      <c r="H1959" s="127" t="n">
        <v>46289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>37</v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6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29980663</v>
      </c>
      <c r="C1960" s="4" t="s">
        <v>216</v>
      </c>
      <c r="D1960" s="4" t="s">
        <v>463</v>
      </c>
      <c r="E1960" s="4" t="s">
        <v>2843</v>
      </c>
      <c r="F1960" s="127" t="n">
        <v>46986</v>
      </c>
      <c r="G1960" s="127" t="n">
        <v>46996</v>
      </c>
      <c r="H1960" s="127" t="n">
        <v>46289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33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31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29980624</v>
      </c>
      <c r="C1961" s="4" t="s">
        <v>2508</v>
      </c>
      <c r="D1961" s="4" t="s">
        <v>463</v>
      </c>
      <c r="E1961" s="4" t="s">
        <v>2844</v>
      </c>
      <c r="F1961" s="127" t="n">
        <v>46986</v>
      </c>
      <c r="G1961" s="127" t="n">
        <v>46996</v>
      </c>
      <c r="H1961" s="127" t="n">
        <v>46289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20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32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29980629</v>
      </c>
      <c r="C1962" s="4" t="s">
        <v>2511</v>
      </c>
      <c r="D1962" s="4" t="s">
        <v>463</v>
      </c>
      <c r="E1962" s="4" t="s">
        <v>2844</v>
      </c>
      <c r="F1962" s="127" t="n">
        <v>46986</v>
      </c>
      <c r="G1962" s="127" t="n">
        <v>46996</v>
      </c>
      <c r="H1962" s="127" t="n">
        <v>46289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20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32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30214094</v>
      </c>
      <c r="C1963" s="4" t="s">
        <v>2514</v>
      </c>
      <c r="D1963" s="4" t="s">
        <v>463</v>
      </c>
      <c r="E1963" s="4" t="s">
        <v>2844</v>
      </c>
      <c r="F1963" s="127" t="n">
        <v>46986</v>
      </c>
      <c r="G1963" s="127" t="n">
        <v>46997</v>
      </c>
      <c r="H1963" s="127" t="n">
        <v>46289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20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32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29981102</v>
      </c>
      <c r="C1964" s="4" t="s">
        <v>171</v>
      </c>
      <c r="D1964" s="4" t="s">
        <v>463</v>
      </c>
      <c r="E1964" s="4" t="s">
        <v>2822</v>
      </c>
      <c r="F1964" s="127" t="n">
        <v>46987</v>
      </c>
      <c r="G1964" s="127" t="n">
        <v>46997</v>
      </c>
      <c r="H1964" s="127" t="n">
        <v>46289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19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19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30210368</v>
      </c>
      <c r="C1965" s="4" t="s">
        <v>2720</v>
      </c>
      <c r="D1965" s="4" t="s">
        <v>463</v>
      </c>
      <c r="E1965" s="4" t="s">
        <v>186</v>
      </c>
      <c r="F1965" s="127" t="n">
        <v>46988</v>
      </c>
      <c r="G1965" s="127" t="n">
        <v>47035</v>
      </c>
      <c r="H1965" s="127" t="n">
        <v>46289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24</v>
      </c>
      <c r="N1965" s="2" t="str">
        <f aca="false"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30205940</v>
      </c>
      <c r="C1966" s="4" t="s">
        <v>2702</v>
      </c>
      <c r="D1966" s="4" t="s">
        <v>463</v>
      </c>
      <c r="E1966" s="4" t="s">
        <v>2800</v>
      </c>
      <c r="F1966" s="127" t="n">
        <v>46989</v>
      </c>
      <c r="G1966" s="127" t="n">
        <v>47002</v>
      </c>
      <c r="H1966" s="127" t="n">
        <v>46289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25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4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30210552</v>
      </c>
      <c r="C1967" s="4" t="s">
        <v>2723</v>
      </c>
      <c r="D1967" s="4" t="s">
        <v>463</v>
      </c>
      <c r="E1967" s="4" t="s">
        <v>2852</v>
      </c>
      <c r="F1967" s="127" t="n">
        <v>46989</v>
      </c>
      <c r="G1967" s="127" t="n">
        <v>47010</v>
      </c>
      <c r="H1967" s="127" t="n">
        <v>46289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22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33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30205787</v>
      </c>
      <c r="C1968" s="4" t="s">
        <v>2629</v>
      </c>
      <c r="D1968" s="4" t="s">
        <v>463</v>
      </c>
      <c r="E1968" s="4" t="s">
        <v>2835</v>
      </c>
      <c r="F1968" s="127" t="n">
        <v>46990</v>
      </c>
      <c r="G1968" s="127" t="n">
        <v>47004</v>
      </c>
      <c r="H1968" s="127" t="n">
        <v>46289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20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0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29981254</v>
      </c>
      <c r="C1969" s="4" t="s">
        <v>2649</v>
      </c>
      <c r="D1969" s="4" t="s">
        <v>463</v>
      </c>
      <c r="E1969" s="4" t="s">
        <v>2814</v>
      </c>
      <c r="F1969" s="127" t="n">
        <v>46990</v>
      </c>
      <c r="G1969" s="127" t="n">
        <v>47002</v>
      </c>
      <c r="H1969" s="127" t="n">
        <v>46289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37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15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29981207</v>
      </c>
      <c r="C1970" s="4" t="s">
        <v>2641</v>
      </c>
      <c r="D1970" s="4" t="s">
        <v>463</v>
      </c>
      <c r="E1970" s="4" t="s">
        <v>2815</v>
      </c>
      <c r="F1970" s="127" t="n">
        <v>46990</v>
      </c>
      <c r="G1970" s="127" t="n">
        <v>47002</v>
      </c>
      <c r="H1970" s="127" t="n">
        <v>46289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35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16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30206110</v>
      </c>
      <c r="C1971" s="4" t="s">
        <v>2609</v>
      </c>
      <c r="D1971" s="4" t="s">
        <v>463</v>
      </c>
      <c r="E1971" s="4" t="s">
        <v>2846</v>
      </c>
      <c r="F1971" s="127" t="n">
        <v>46993</v>
      </c>
      <c r="G1971" s="127" t="n">
        <v>47007</v>
      </c>
      <c r="H1971" s="127" t="n">
        <v>46289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23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6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30206066</v>
      </c>
      <c r="C1972" s="4" t="s">
        <v>2554</v>
      </c>
      <c r="D1972" s="4" t="s">
        <v>463</v>
      </c>
      <c r="E1972" s="4" t="s">
        <v>2847</v>
      </c>
      <c r="F1972" s="127" t="n">
        <v>46993</v>
      </c>
      <c r="G1972" s="127" t="n">
        <v>47007</v>
      </c>
      <c r="H1972" s="127" t="n">
        <v>46289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35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6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33904060</v>
      </c>
      <c r="C1973" s="4" t="s">
        <v>2545</v>
      </c>
      <c r="D1973" s="4" t="s">
        <v>463</v>
      </c>
      <c r="E1973" s="4" t="s">
        <v>2848</v>
      </c>
      <c r="F1973" s="127" t="n">
        <v>46993</v>
      </c>
      <c r="G1973" s="127" t="n">
        <v>47007</v>
      </c>
      <c r="H1973" s="127" t="n">
        <v>46289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25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6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30206016</v>
      </c>
      <c r="C1974" s="4" t="s">
        <v>216</v>
      </c>
      <c r="D1974" s="4" t="s">
        <v>463</v>
      </c>
      <c r="E1974" s="4" t="s">
        <v>2849</v>
      </c>
      <c r="F1974" s="127" t="n">
        <v>46993</v>
      </c>
      <c r="G1974" s="127" t="n">
        <v>47007</v>
      </c>
      <c r="H1974" s="127" t="n">
        <v>46289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33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6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30205977</v>
      </c>
      <c r="C1975" s="4" t="s">
        <v>2508</v>
      </c>
      <c r="D1975" s="4" t="s">
        <v>463</v>
      </c>
      <c r="E1975" s="4" t="s">
        <v>2850</v>
      </c>
      <c r="F1975" s="127" t="n">
        <v>46993</v>
      </c>
      <c r="G1975" s="127" t="n">
        <v>47007</v>
      </c>
      <c r="H1975" s="127" t="n">
        <v>46289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20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6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30214068</v>
      </c>
      <c r="C1976" s="4" t="s">
        <v>2514</v>
      </c>
      <c r="D1976" s="4" t="s">
        <v>463</v>
      </c>
      <c r="E1976" s="4" t="s">
        <v>2850</v>
      </c>
      <c r="F1976" s="127" t="n">
        <v>46993</v>
      </c>
      <c r="G1976" s="127" t="n">
        <v>47007</v>
      </c>
      <c r="H1976" s="127" t="n">
        <v>46289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20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6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30205937</v>
      </c>
      <c r="C1977" s="4" t="s">
        <v>228</v>
      </c>
      <c r="D1977" s="4" t="s">
        <v>463</v>
      </c>
      <c r="E1977" s="4" t="s">
        <v>2801</v>
      </c>
      <c r="F1977" s="127" t="n">
        <v>46994</v>
      </c>
      <c r="G1977" s="127" t="n">
        <v>47008</v>
      </c>
      <c r="H1977" s="127" t="n">
        <v>46289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36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30205574</v>
      </c>
      <c r="C1978" s="4" t="s">
        <v>2637</v>
      </c>
      <c r="D1978" s="4" t="s">
        <v>463</v>
      </c>
      <c r="E1978" s="4" t="s">
        <v>2830</v>
      </c>
      <c r="F1978" s="127" t="n">
        <v>46995</v>
      </c>
      <c r="G1978" s="127" t="n">
        <v>47001</v>
      </c>
      <c r="H1978" s="127" t="n">
        <v>46289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0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30205543</v>
      </c>
      <c r="C1979" s="4" t="s">
        <v>2649</v>
      </c>
      <c r="D1979" s="4" t="s">
        <v>463</v>
      </c>
      <c r="E1979" s="4" t="s">
        <v>2832</v>
      </c>
      <c r="F1979" s="127" t="n">
        <v>46995</v>
      </c>
      <c r="G1979" s="127" t="n">
        <v>47009</v>
      </c>
      <c r="H1979" s="127" t="n">
        <v>46289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37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0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29981169</v>
      </c>
      <c r="C1980" s="4" t="s">
        <v>2637</v>
      </c>
      <c r="D1980" s="4" t="s">
        <v>463</v>
      </c>
      <c r="E1980" s="4" t="s">
        <v>2818</v>
      </c>
      <c r="F1980" s="127" t="n">
        <v>46996</v>
      </c>
      <c r="G1980" s="127" t="n">
        <v>47002</v>
      </c>
      <c r="H1980" s="127" t="n">
        <v>46289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/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17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29981134</v>
      </c>
      <c r="C1981" s="4" t="s">
        <v>2629</v>
      </c>
      <c r="D1981" s="4" t="s">
        <v>463</v>
      </c>
      <c r="E1981" s="4" t="s">
        <v>2820</v>
      </c>
      <c r="F1981" s="127" t="n">
        <v>46996</v>
      </c>
      <c r="G1981" s="127" t="n">
        <v>47009</v>
      </c>
      <c r="H1981" s="127" t="n">
        <v>46289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20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18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29981057</v>
      </c>
      <c r="C1982" s="4" t="s">
        <v>2623</v>
      </c>
      <c r="D1982" s="4" t="s">
        <v>463</v>
      </c>
      <c r="E1982" s="4" t="s">
        <v>2823</v>
      </c>
      <c r="F1982" s="127" t="n">
        <v>46996</v>
      </c>
      <c r="G1982" s="127" t="n">
        <v>47009</v>
      </c>
      <c r="H1982" s="127" t="n">
        <v>46289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35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20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33919797</v>
      </c>
      <c r="C1983" s="4" t="s">
        <v>2625</v>
      </c>
      <c r="D1983" s="4" t="s">
        <v>463</v>
      </c>
      <c r="E1983" s="4" t="s">
        <v>2823</v>
      </c>
      <c r="F1983" s="127" t="n">
        <v>46996</v>
      </c>
      <c r="G1983" s="127" t="n">
        <v>47009</v>
      </c>
      <c r="H1983" s="127" t="n">
        <v>46289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32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20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29981019</v>
      </c>
      <c r="C1984" s="4" t="s">
        <v>2615</v>
      </c>
      <c r="D1984" s="4" t="s">
        <v>463</v>
      </c>
      <c r="E1984" s="4" t="s">
        <v>2825</v>
      </c>
      <c r="F1984" s="127" t="n">
        <v>46996</v>
      </c>
      <c r="G1984" s="127" t="n">
        <v>47009</v>
      </c>
      <c r="H1984" s="127" t="n">
        <v>46289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37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21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29980976</v>
      </c>
      <c r="C1985" s="4" t="s">
        <v>2605</v>
      </c>
      <c r="D1985" s="4" t="s">
        <v>463</v>
      </c>
      <c r="E1985" s="4" t="s">
        <v>2827</v>
      </c>
      <c r="F1985" s="127" t="n">
        <v>46996</v>
      </c>
      <c r="G1985" s="127" t="n">
        <v>47009</v>
      </c>
      <c r="H1985" s="127" t="n">
        <v>46289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34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22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29980981</v>
      </c>
      <c r="C1986" s="4" t="s">
        <v>2607</v>
      </c>
      <c r="D1986" s="4" t="s">
        <v>463</v>
      </c>
      <c r="E1986" s="4" t="s">
        <v>2827</v>
      </c>
      <c r="F1986" s="127" t="n">
        <v>46996</v>
      </c>
      <c r="G1986" s="127" t="n">
        <v>47009</v>
      </c>
      <c r="H1986" s="127" t="n">
        <v>46289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34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22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29980980</v>
      </c>
      <c r="C1987" s="4" t="s">
        <v>2563</v>
      </c>
      <c r="D1987" s="4" t="s">
        <v>463</v>
      </c>
      <c r="E1987" s="4" t="s">
        <v>2827</v>
      </c>
      <c r="F1987" s="127" t="n">
        <v>46996</v>
      </c>
      <c r="G1987" s="127" t="n">
        <v>47009</v>
      </c>
      <c r="H1987" s="127" t="n">
        <v>46289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20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22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29980979</v>
      </c>
      <c r="C1988" s="4" t="s">
        <v>2609</v>
      </c>
      <c r="D1988" s="4" t="s">
        <v>463</v>
      </c>
      <c r="E1988" s="4" t="s">
        <v>2827</v>
      </c>
      <c r="F1988" s="127" t="n">
        <v>46996</v>
      </c>
      <c r="G1988" s="127" t="n">
        <v>47009</v>
      </c>
      <c r="H1988" s="127" t="n">
        <v>46289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>23</v>
      </c>
      <c r="N1988" s="2" t="n">
        <f aca="false">IF(E1988="","",IF(ISNUMBER(SEARCH("SUBSOLO",E1988)),IFERROR(-VALUE(LEFT(E1988,FIND("º",SUBSTITUTE(E1988,"°","º"))-1)),-1),IF(LEFT(E1988,6)="TÉRREO",0,IFERROR(VALUE(LEFT(E1988,FIND("º",SUBSTITUTE(E1988,"°","º"))-1)),""))))</f>
        <v>22</v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29980938</v>
      </c>
      <c r="C1989" s="4" t="s">
        <v>2599</v>
      </c>
      <c r="D1989" s="4" t="s">
        <v>463</v>
      </c>
      <c r="E1989" s="4" t="s">
        <v>2829</v>
      </c>
      <c r="F1989" s="127" t="n">
        <v>46996</v>
      </c>
      <c r="G1989" s="127" t="n">
        <v>47009</v>
      </c>
      <c r="H1989" s="127" t="n">
        <v>46289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23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29980900</v>
      </c>
      <c r="C1990" s="4" t="s">
        <v>2578</v>
      </c>
      <c r="D1990" s="4" t="s">
        <v>463</v>
      </c>
      <c r="E1990" s="4" t="s">
        <v>2831</v>
      </c>
      <c r="F1990" s="127" t="n">
        <v>46996</v>
      </c>
      <c r="G1990" s="127" t="n">
        <v>47009</v>
      </c>
      <c r="H1990" s="127" t="n">
        <v>46289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25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24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29980862</v>
      </c>
      <c r="C1991" s="4" t="s">
        <v>2569</v>
      </c>
      <c r="D1991" s="4" t="s">
        <v>463</v>
      </c>
      <c r="E1991" s="4" t="s">
        <v>2833</v>
      </c>
      <c r="F1991" s="127" t="n">
        <v>46996</v>
      </c>
      <c r="G1991" s="127" t="n">
        <v>47009</v>
      </c>
      <c r="H1991" s="127" t="n">
        <v>46289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30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25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29980824</v>
      </c>
      <c r="C1992" s="4" t="s">
        <v>2554</v>
      </c>
      <c r="D1992" s="4" t="s">
        <v>463</v>
      </c>
      <c r="E1992" s="4" t="s">
        <v>2834</v>
      </c>
      <c r="F1992" s="127" t="n">
        <v>46996</v>
      </c>
      <c r="G1992" s="127" t="n">
        <v>47009</v>
      </c>
      <c r="H1992" s="127" t="n">
        <v>46289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35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26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29980813</v>
      </c>
      <c r="C1993" s="4" t="s">
        <v>2539</v>
      </c>
      <c r="D1993" s="4" t="s">
        <v>463</v>
      </c>
      <c r="E1993" s="4" t="s">
        <v>2838</v>
      </c>
      <c r="F1993" s="127" t="n">
        <v>46996</v>
      </c>
      <c r="G1993" s="127" t="n">
        <v>47009</v>
      </c>
      <c r="H1993" s="127" t="n">
        <v>46289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35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27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33898112</v>
      </c>
      <c r="C1994" s="4" t="s">
        <v>2545</v>
      </c>
      <c r="D1994" s="4" t="s">
        <v>463</v>
      </c>
      <c r="E1994" s="4" t="s">
        <v>2840</v>
      </c>
      <c r="F1994" s="127" t="n">
        <v>46996</v>
      </c>
      <c r="G1994" s="127" t="n">
        <v>47009</v>
      </c>
      <c r="H1994" s="127" t="n">
        <v>46289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>25</v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28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30205814</v>
      </c>
      <c r="C1995" s="4" t="s">
        <v>2629</v>
      </c>
      <c r="D1995" s="4" t="s">
        <v>463</v>
      </c>
      <c r="E1995" s="4" t="s">
        <v>2839</v>
      </c>
      <c r="F1995" s="127" t="n">
        <v>46997</v>
      </c>
      <c r="G1995" s="127" t="n">
        <v>47011</v>
      </c>
      <c r="H1995" s="127" t="n">
        <v>46289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20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0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30205844</v>
      </c>
      <c r="C1996" s="4" t="s">
        <v>2623</v>
      </c>
      <c r="D1996" s="4" t="s">
        <v>463</v>
      </c>
      <c r="E1996" s="4" t="s">
        <v>2782</v>
      </c>
      <c r="F1996" s="127" t="n">
        <v>46997</v>
      </c>
      <c r="G1996" s="127" t="n">
        <v>47018</v>
      </c>
      <c r="H1996" s="127" t="n">
        <v>46289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35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29980626</v>
      </c>
      <c r="C1997" s="4" t="s">
        <v>216</v>
      </c>
      <c r="D1997" s="4" t="s">
        <v>463</v>
      </c>
      <c r="E1997" s="4" t="s">
        <v>2844</v>
      </c>
      <c r="F1997" s="127" t="n">
        <v>46997</v>
      </c>
      <c r="G1997" s="127" t="n">
        <v>47010</v>
      </c>
      <c r="H1997" s="127" t="n">
        <v>46289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32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30206114</v>
      </c>
      <c r="C1998" s="4" t="s">
        <v>2623</v>
      </c>
      <c r="D1998" s="4" t="s">
        <v>463</v>
      </c>
      <c r="E1998" s="4" t="s">
        <v>2846</v>
      </c>
      <c r="F1998" s="127" t="n">
        <v>47000</v>
      </c>
      <c r="G1998" s="127" t="n">
        <v>47014</v>
      </c>
      <c r="H1998" s="127" t="n">
        <v>46289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6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30208613</v>
      </c>
      <c r="C1999" s="4" t="s">
        <v>2690</v>
      </c>
      <c r="D1999" s="4" t="s">
        <v>463</v>
      </c>
      <c r="E1999" s="4" t="s">
        <v>2851</v>
      </c>
      <c r="F1999" s="127" t="n">
        <v>47000</v>
      </c>
      <c r="G1999" s="127" t="n">
        <v>47007</v>
      </c>
      <c r="H1999" s="127" t="n">
        <v>46289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37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6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29981104</v>
      </c>
      <c r="C2000" s="4" t="s">
        <v>2480</v>
      </c>
      <c r="D2000" s="4" t="s">
        <v>463</v>
      </c>
      <c r="E2000" s="4" t="s">
        <v>2822</v>
      </c>
      <c r="F2000" s="127" t="n">
        <v>47000</v>
      </c>
      <c r="G2000" s="127" t="n">
        <v>47011</v>
      </c>
      <c r="H2000" s="127" t="n">
        <v>46289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30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19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30171473</v>
      </c>
      <c r="C2001" s="4" t="s">
        <v>2631</v>
      </c>
      <c r="D2001" s="4" t="s">
        <v>463</v>
      </c>
      <c r="E2001" s="4" t="s">
        <v>2784</v>
      </c>
      <c r="F2001" s="127" t="n">
        <v>47004</v>
      </c>
      <c r="G2001" s="127" t="n">
        <v>47039</v>
      </c>
      <c r="H2001" s="127" t="n">
        <v>46289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2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30171489</v>
      </c>
      <c r="C2002" s="4" t="s">
        <v>2633</v>
      </c>
      <c r="D2002" s="4" t="s">
        <v>463</v>
      </c>
      <c r="E2002" s="4" t="s">
        <v>2784</v>
      </c>
      <c r="F2002" s="127" t="n">
        <v>47004</v>
      </c>
      <c r="G2002" s="127" t="n">
        <v>47024</v>
      </c>
      <c r="H2002" s="127" t="n">
        <v>46289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35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30171441</v>
      </c>
      <c r="C2003" s="4" t="s">
        <v>2619</v>
      </c>
      <c r="D2003" s="4" t="s">
        <v>463</v>
      </c>
      <c r="E2003" s="4" t="s">
        <v>2790</v>
      </c>
      <c r="F2003" s="127" t="n">
        <v>47004</v>
      </c>
      <c r="G2003" s="127" t="n">
        <v>47035</v>
      </c>
      <c r="H2003" s="127" t="n">
        <v>46289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30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3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29981217</v>
      </c>
      <c r="C2004" s="4" t="s">
        <v>2649</v>
      </c>
      <c r="D2004" s="4" t="s">
        <v>463</v>
      </c>
      <c r="E2004" s="4" t="s">
        <v>2815</v>
      </c>
      <c r="F2004" s="127" t="n">
        <v>47004</v>
      </c>
      <c r="G2004" s="127" t="n">
        <v>47016</v>
      </c>
      <c r="H2004" s="127" t="n">
        <v>46289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37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16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29981170</v>
      </c>
      <c r="C2005" s="4" t="s">
        <v>2641</v>
      </c>
      <c r="D2005" s="4" t="s">
        <v>463</v>
      </c>
      <c r="E2005" s="4" t="s">
        <v>2818</v>
      </c>
      <c r="F2005" s="127" t="n">
        <v>47004</v>
      </c>
      <c r="G2005" s="127" t="n">
        <v>47016</v>
      </c>
      <c r="H2005" s="127" t="n">
        <v>46289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35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17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30205797</v>
      </c>
      <c r="C2006" s="4" t="s">
        <v>2649</v>
      </c>
      <c r="D2006" s="4" t="s">
        <v>463</v>
      </c>
      <c r="E2006" s="4" t="s">
        <v>2835</v>
      </c>
      <c r="F2006" s="127" t="n">
        <v>47007</v>
      </c>
      <c r="G2006" s="127" t="n">
        <v>47018</v>
      </c>
      <c r="H2006" s="127" t="n">
        <v>46289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37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0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30205885</v>
      </c>
      <c r="C2007" s="4" t="s">
        <v>2726</v>
      </c>
      <c r="D2007" s="4" t="s">
        <v>463</v>
      </c>
      <c r="E2007" s="4" t="s">
        <v>2845</v>
      </c>
      <c r="F2007" s="127" t="n">
        <v>47007</v>
      </c>
      <c r="G2007" s="127" t="n">
        <v>47052</v>
      </c>
      <c r="H2007" s="127" t="n">
        <v>46289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30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6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30208600</v>
      </c>
      <c r="C2008" s="4" t="s">
        <v>2511</v>
      </c>
      <c r="D2008" s="4" t="s">
        <v>463</v>
      </c>
      <c r="E2008" s="4" t="s">
        <v>2802</v>
      </c>
      <c r="F2008" s="127" t="n">
        <v>47008</v>
      </c>
      <c r="G2008" s="127" t="n">
        <v>47021</v>
      </c>
      <c r="H2008" s="127" t="n">
        <v>46289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20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6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30206074</v>
      </c>
      <c r="C2009" s="4" t="s">
        <v>2563</v>
      </c>
      <c r="D2009" s="4" t="s">
        <v>463</v>
      </c>
      <c r="E2009" s="4" t="s">
        <v>2847</v>
      </c>
      <c r="F2009" s="127" t="n">
        <v>47008</v>
      </c>
      <c r="G2009" s="127" t="n">
        <v>47021</v>
      </c>
      <c r="H2009" s="127" t="n">
        <v>46289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6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30206055</v>
      </c>
      <c r="C2010" s="4" t="s">
        <v>2539</v>
      </c>
      <c r="D2010" s="4" t="s">
        <v>463</v>
      </c>
      <c r="E2010" s="4" t="s">
        <v>2848</v>
      </c>
      <c r="F2010" s="127" t="n">
        <v>47008</v>
      </c>
      <c r="G2010" s="127" t="n">
        <v>47021</v>
      </c>
      <c r="H2010" s="127" t="n">
        <v>46289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35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6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33904061</v>
      </c>
      <c r="C2011" s="4" t="s">
        <v>2545</v>
      </c>
      <c r="D2011" s="4" t="s">
        <v>463</v>
      </c>
      <c r="E2011" s="4" t="s">
        <v>2849</v>
      </c>
      <c r="F2011" s="127" t="n">
        <v>47008</v>
      </c>
      <c r="G2011" s="127" t="n">
        <v>47021</v>
      </c>
      <c r="H2011" s="127" t="n">
        <v>46289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25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6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30205979</v>
      </c>
      <c r="C2012" s="4" t="s">
        <v>216</v>
      </c>
      <c r="D2012" s="4" t="s">
        <v>463</v>
      </c>
      <c r="E2012" s="4" t="s">
        <v>2850</v>
      </c>
      <c r="F2012" s="127" t="n">
        <v>47008</v>
      </c>
      <c r="G2012" s="127" t="n">
        <v>47021</v>
      </c>
      <c r="H2012" s="127" t="n">
        <v>46289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33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6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30205941</v>
      </c>
      <c r="C2013" s="4" t="s">
        <v>2702</v>
      </c>
      <c r="D2013" s="4" t="s">
        <v>463</v>
      </c>
      <c r="E2013" s="4" t="s">
        <v>2801</v>
      </c>
      <c r="F2013" s="127" t="n">
        <v>47009</v>
      </c>
      <c r="G2013" s="127" t="n">
        <v>47022</v>
      </c>
      <c r="H2013" s="127" t="n">
        <v>46289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25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5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30205547</v>
      </c>
      <c r="C2014" s="4" t="s">
        <v>2637</v>
      </c>
      <c r="D2014" s="4" t="s">
        <v>463</v>
      </c>
      <c r="E2014" s="4" t="s">
        <v>2832</v>
      </c>
      <c r="F2014" s="127" t="n">
        <v>47010</v>
      </c>
      <c r="G2014" s="127" t="n">
        <v>47016</v>
      </c>
      <c r="H2014" s="127" t="n">
        <v>46289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/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0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29981132</v>
      </c>
      <c r="C2015" s="4" t="s">
        <v>2637</v>
      </c>
      <c r="D2015" s="4" t="s">
        <v>463</v>
      </c>
      <c r="E2015" s="4" t="s">
        <v>2820</v>
      </c>
      <c r="F2015" s="127" t="n">
        <v>47010</v>
      </c>
      <c r="G2015" s="127" t="n">
        <v>47016</v>
      </c>
      <c r="H2015" s="127" t="n">
        <v>46289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/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18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29981060</v>
      </c>
      <c r="C2016" s="4" t="s">
        <v>2629</v>
      </c>
      <c r="D2016" s="4" t="s">
        <v>463</v>
      </c>
      <c r="E2016" s="4" t="s">
        <v>2823</v>
      </c>
      <c r="F2016" s="127" t="n">
        <v>47010</v>
      </c>
      <c r="G2016" s="127" t="n">
        <v>47022</v>
      </c>
      <c r="H2016" s="127" t="n">
        <v>46289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20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20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29981020</v>
      </c>
      <c r="C2017" s="4" t="s">
        <v>2623</v>
      </c>
      <c r="D2017" s="4" t="s">
        <v>463</v>
      </c>
      <c r="E2017" s="4" t="s">
        <v>2825</v>
      </c>
      <c r="F2017" s="127" t="n">
        <v>47010</v>
      </c>
      <c r="G2017" s="127" t="n">
        <v>47022</v>
      </c>
      <c r="H2017" s="127" t="n">
        <v>46289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>35</v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21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33919798</v>
      </c>
      <c r="C2018" s="4" t="s">
        <v>2625</v>
      </c>
      <c r="D2018" s="4" t="s">
        <v>463</v>
      </c>
      <c r="E2018" s="4" t="s">
        <v>2825</v>
      </c>
      <c r="F2018" s="127" t="n">
        <v>47010</v>
      </c>
      <c r="G2018" s="127" t="n">
        <v>47022</v>
      </c>
      <c r="H2018" s="127" t="n">
        <v>46289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32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21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29980982</v>
      </c>
      <c r="C2019" s="4" t="s">
        <v>2615</v>
      </c>
      <c r="D2019" s="4" t="s">
        <v>463</v>
      </c>
      <c r="E2019" s="4" t="s">
        <v>2827</v>
      </c>
      <c r="F2019" s="127" t="n">
        <v>47010</v>
      </c>
      <c r="G2019" s="127" t="n">
        <v>47022</v>
      </c>
      <c r="H2019" s="127" t="n">
        <v>46289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22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29980939</v>
      </c>
      <c r="C2020" s="4" t="s">
        <v>2605</v>
      </c>
      <c r="D2020" s="4" t="s">
        <v>463</v>
      </c>
      <c r="E2020" s="4" t="s">
        <v>2829</v>
      </c>
      <c r="F2020" s="127" t="n">
        <v>47010</v>
      </c>
      <c r="G2020" s="127" t="n">
        <v>47022</v>
      </c>
      <c r="H2020" s="127" t="n">
        <v>46289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34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23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29980944</v>
      </c>
      <c r="C2021" s="4" t="s">
        <v>2607</v>
      </c>
      <c r="D2021" s="4" t="s">
        <v>463</v>
      </c>
      <c r="E2021" s="4" t="s">
        <v>2829</v>
      </c>
      <c r="F2021" s="127" t="n">
        <v>47010</v>
      </c>
      <c r="G2021" s="127" t="n">
        <v>47022</v>
      </c>
      <c r="H2021" s="127" t="n">
        <v>46289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34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23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29980943</v>
      </c>
      <c r="C2022" s="4" t="s">
        <v>2563</v>
      </c>
      <c r="D2022" s="4" t="s">
        <v>463</v>
      </c>
      <c r="E2022" s="4" t="s">
        <v>2829</v>
      </c>
      <c r="F2022" s="127" t="n">
        <v>47010</v>
      </c>
      <c r="G2022" s="127" t="n">
        <v>47022</v>
      </c>
      <c r="H2022" s="127" t="n">
        <v>46289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20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23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29980942</v>
      </c>
      <c r="C2023" s="4" t="s">
        <v>2609</v>
      </c>
      <c r="D2023" s="4" t="s">
        <v>463</v>
      </c>
      <c r="E2023" s="4" t="s">
        <v>2829</v>
      </c>
      <c r="F2023" s="127" t="n">
        <v>47010</v>
      </c>
      <c r="G2023" s="127" t="n">
        <v>47022</v>
      </c>
      <c r="H2023" s="127" t="n">
        <v>46289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23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23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29980901</v>
      </c>
      <c r="C2024" s="4" t="s">
        <v>2599</v>
      </c>
      <c r="D2024" s="4" t="s">
        <v>463</v>
      </c>
      <c r="E2024" s="4" t="s">
        <v>2831</v>
      </c>
      <c r="F2024" s="127" t="n">
        <v>47010</v>
      </c>
      <c r="G2024" s="127" t="n">
        <v>47022</v>
      </c>
      <c r="H2024" s="127" t="n">
        <v>46289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30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24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29980863</v>
      </c>
      <c r="C2025" s="4" t="s">
        <v>2578</v>
      </c>
      <c r="D2025" s="4" t="s">
        <v>463</v>
      </c>
      <c r="E2025" s="4" t="s">
        <v>2833</v>
      </c>
      <c r="F2025" s="127" t="n">
        <v>47010</v>
      </c>
      <c r="G2025" s="127" t="n">
        <v>47022</v>
      </c>
      <c r="H2025" s="127" t="n">
        <v>46289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25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25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29980825</v>
      </c>
      <c r="C2026" s="4" t="s">
        <v>2569</v>
      </c>
      <c r="D2026" s="4" t="s">
        <v>463</v>
      </c>
      <c r="E2026" s="4" t="s">
        <v>2834</v>
      </c>
      <c r="F2026" s="127" t="n">
        <v>47010</v>
      </c>
      <c r="G2026" s="127" t="n">
        <v>47022</v>
      </c>
      <c r="H2026" s="127" t="n">
        <v>46289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>30</v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26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29980787</v>
      </c>
      <c r="C2027" s="4" t="s">
        <v>2554</v>
      </c>
      <c r="D2027" s="4" t="s">
        <v>463</v>
      </c>
      <c r="E2027" s="4" t="s">
        <v>2838</v>
      </c>
      <c r="F2027" s="127" t="n">
        <v>47010</v>
      </c>
      <c r="G2027" s="127" t="n">
        <v>47022</v>
      </c>
      <c r="H2027" s="127" t="n">
        <v>46289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35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27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29980776</v>
      </c>
      <c r="C2028" s="4" t="s">
        <v>2539</v>
      </c>
      <c r="D2028" s="4" t="s">
        <v>463</v>
      </c>
      <c r="E2028" s="4" t="s">
        <v>2840</v>
      </c>
      <c r="F2028" s="127" t="n">
        <v>47010</v>
      </c>
      <c r="G2028" s="127" t="n">
        <v>47022</v>
      </c>
      <c r="H2028" s="127" t="n">
        <v>46289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35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28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33898113</v>
      </c>
      <c r="C2029" s="4" t="s">
        <v>2545</v>
      </c>
      <c r="D2029" s="4" t="s">
        <v>463</v>
      </c>
      <c r="E2029" s="4" t="s">
        <v>2841</v>
      </c>
      <c r="F2029" s="127" t="n">
        <v>47010</v>
      </c>
      <c r="G2029" s="127" t="n">
        <v>47022</v>
      </c>
      <c r="H2029" s="127" t="n">
        <v>46289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25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29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30205824</v>
      </c>
      <c r="C2030" s="4" t="s">
        <v>2649</v>
      </c>
      <c r="D2030" s="4" t="s">
        <v>463</v>
      </c>
      <c r="E2030" s="4" t="s">
        <v>2839</v>
      </c>
      <c r="F2030" s="127" t="n">
        <v>47014</v>
      </c>
      <c r="G2030" s="127" t="n">
        <v>47025</v>
      </c>
      <c r="H2030" s="127" t="n">
        <v>46289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37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0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29981088</v>
      </c>
      <c r="C2031" s="4" t="s">
        <v>2486</v>
      </c>
      <c r="D2031" s="4" t="s">
        <v>463</v>
      </c>
      <c r="E2031" s="4" t="s">
        <v>2822</v>
      </c>
      <c r="F2031" s="127" t="n">
        <v>47014</v>
      </c>
      <c r="G2031" s="127" t="n">
        <v>47024</v>
      </c>
      <c r="H2031" s="127" t="n">
        <v>46289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30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19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30206117</v>
      </c>
      <c r="C2032" s="4" t="s">
        <v>2629</v>
      </c>
      <c r="D2032" s="4" t="s">
        <v>463</v>
      </c>
      <c r="E2032" s="4" t="s">
        <v>2846</v>
      </c>
      <c r="F2032" s="127" t="n">
        <v>47015</v>
      </c>
      <c r="G2032" s="127" t="n">
        <v>47018</v>
      </c>
      <c r="H2032" s="127" t="n">
        <v>46289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20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6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29981180</v>
      </c>
      <c r="C2033" s="4" t="s">
        <v>2649</v>
      </c>
      <c r="D2033" s="4" t="s">
        <v>463</v>
      </c>
      <c r="E2033" s="4" t="s">
        <v>2818</v>
      </c>
      <c r="F2033" s="127" t="n">
        <v>47017</v>
      </c>
      <c r="G2033" s="127" t="n">
        <v>47029</v>
      </c>
      <c r="H2033" s="127" t="n">
        <v>46289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17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29981133</v>
      </c>
      <c r="C2034" s="4" t="s">
        <v>2641</v>
      </c>
      <c r="D2034" s="4" t="s">
        <v>463</v>
      </c>
      <c r="E2034" s="4" t="s">
        <v>2820</v>
      </c>
      <c r="F2034" s="127" t="n">
        <v>47017</v>
      </c>
      <c r="G2034" s="127" t="n">
        <v>47029</v>
      </c>
      <c r="H2034" s="127" t="n">
        <v>46289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18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30205801</v>
      </c>
      <c r="C2035" s="4" t="s">
        <v>2637</v>
      </c>
      <c r="D2035" s="4" t="s">
        <v>463</v>
      </c>
      <c r="E2035" s="4" t="s">
        <v>2835</v>
      </c>
      <c r="F2035" s="127" t="n">
        <v>47021</v>
      </c>
      <c r="G2035" s="127" t="n">
        <v>47025</v>
      </c>
      <c r="H2035" s="127" t="n">
        <v>46289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/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0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30205761</v>
      </c>
      <c r="C2036" s="4" t="s">
        <v>2670</v>
      </c>
      <c r="D2036" s="4" t="s">
        <v>463</v>
      </c>
      <c r="E2036" s="4" t="s">
        <v>2837</v>
      </c>
      <c r="F2036" s="127" t="n">
        <v>47021</v>
      </c>
      <c r="G2036" s="127" t="n">
        <v>47051</v>
      </c>
      <c r="H2036" s="127" t="n">
        <v>46289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36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0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30205845</v>
      </c>
      <c r="C2037" s="4" t="s">
        <v>2629</v>
      </c>
      <c r="D2037" s="4" t="s">
        <v>463</v>
      </c>
      <c r="E2037" s="4" t="s">
        <v>2782</v>
      </c>
      <c r="F2037" s="127" t="n">
        <v>47021</v>
      </c>
      <c r="G2037" s="127" t="n">
        <v>47032</v>
      </c>
      <c r="H2037" s="127" t="n">
        <v>46289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20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30206115</v>
      </c>
      <c r="C2038" s="4" t="s">
        <v>2637</v>
      </c>
      <c r="D2038" s="4" t="s">
        <v>463</v>
      </c>
      <c r="E2038" s="4" t="s">
        <v>2846</v>
      </c>
      <c r="F2038" s="127" t="n">
        <v>47021</v>
      </c>
      <c r="G2038" s="127" t="n">
        <v>47025</v>
      </c>
      <c r="H2038" s="127" t="n">
        <v>46289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/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6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30214063</v>
      </c>
      <c r="C2039" s="4" t="s">
        <v>2514</v>
      </c>
      <c r="D2039" s="4" t="s">
        <v>463</v>
      </c>
      <c r="E2039" s="4" t="s">
        <v>2802</v>
      </c>
      <c r="F2039" s="127" t="n">
        <v>47022</v>
      </c>
      <c r="G2039" s="127" t="n">
        <v>47035</v>
      </c>
      <c r="H2039" s="127" t="n">
        <v>46289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20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6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30206075</v>
      </c>
      <c r="C2040" s="4" t="s">
        <v>2607</v>
      </c>
      <c r="D2040" s="4" t="s">
        <v>463</v>
      </c>
      <c r="E2040" s="4" t="s">
        <v>2847</v>
      </c>
      <c r="F2040" s="127" t="n">
        <v>47022</v>
      </c>
      <c r="G2040" s="127" t="n">
        <v>47028</v>
      </c>
      <c r="H2040" s="127" t="n">
        <v>46289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34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6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30206073</v>
      </c>
      <c r="C2041" s="4" t="s">
        <v>2609</v>
      </c>
      <c r="D2041" s="4" t="s">
        <v>463</v>
      </c>
      <c r="E2041" s="4" t="s">
        <v>2847</v>
      </c>
      <c r="F2041" s="127" t="n">
        <v>47022</v>
      </c>
      <c r="G2041" s="127" t="n">
        <v>47035</v>
      </c>
      <c r="H2041" s="127" t="n">
        <v>46289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23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6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30206029</v>
      </c>
      <c r="C2042" s="4" t="s">
        <v>2554</v>
      </c>
      <c r="D2042" s="4" t="s">
        <v>463</v>
      </c>
      <c r="E2042" s="4" t="s">
        <v>2848</v>
      </c>
      <c r="F2042" s="127" t="n">
        <v>47022</v>
      </c>
      <c r="G2042" s="127" t="n">
        <v>47035</v>
      </c>
      <c r="H2042" s="127" t="n">
        <v>46289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>35</v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6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30206037</v>
      </c>
      <c r="C2043" s="4" t="s">
        <v>2563</v>
      </c>
      <c r="D2043" s="4" t="s">
        <v>463</v>
      </c>
      <c r="E2043" s="4" t="s">
        <v>2848</v>
      </c>
      <c r="F2043" s="127" t="n">
        <v>47022</v>
      </c>
      <c r="G2043" s="127" t="n">
        <v>47035</v>
      </c>
      <c r="H2043" s="127" t="n">
        <v>46289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20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6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30206018</v>
      </c>
      <c r="C2044" s="4" t="s">
        <v>2539</v>
      </c>
      <c r="D2044" s="4" t="s">
        <v>463</v>
      </c>
      <c r="E2044" s="4" t="s">
        <v>2849</v>
      </c>
      <c r="F2044" s="127" t="n">
        <v>47022</v>
      </c>
      <c r="G2044" s="127" t="n">
        <v>47035</v>
      </c>
      <c r="H2044" s="127" t="n">
        <v>46289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35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6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33904062</v>
      </c>
      <c r="C2045" s="4" t="s">
        <v>2545</v>
      </c>
      <c r="D2045" s="4" t="s">
        <v>463</v>
      </c>
      <c r="E2045" s="4" t="s">
        <v>2850</v>
      </c>
      <c r="F2045" s="127" t="n">
        <v>47022</v>
      </c>
      <c r="G2045" s="127" t="n">
        <v>47035</v>
      </c>
      <c r="H2045" s="127" t="n">
        <v>46289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25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6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29981058</v>
      </c>
      <c r="C2046" s="4" t="s">
        <v>2637</v>
      </c>
      <c r="D2046" s="4" t="s">
        <v>463</v>
      </c>
      <c r="E2046" s="4" t="s">
        <v>2823</v>
      </c>
      <c r="F2046" s="127" t="n">
        <v>47023</v>
      </c>
      <c r="G2046" s="127" t="n">
        <v>47029</v>
      </c>
      <c r="H2046" s="127" t="n">
        <v>46289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/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20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29981023</v>
      </c>
      <c r="C2047" s="4" t="s">
        <v>2629</v>
      </c>
      <c r="D2047" s="4" t="s">
        <v>463</v>
      </c>
      <c r="E2047" s="4" t="s">
        <v>2825</v>
      </c>
      <c r="F2047" s="127" t="n">
        <v>47023</v>
      </c>
      <c r="G2047" s="127" t="n">
        <v>47035</v>
      </c>
      <c r="H2047" s="127" t="n">
        <v>46289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21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29980983</v>
      </c>
      <c r="C2048" s="4" t="s">
        <v>2623</v>
      </c>
      <c r="D2048" s="4" t="s">
        <v>463</v>
      </c>
      <c r="E2048" s="4" t="s">
        <v>2827</v>
      </c>
      <c r="F2048" s="127" t="n">
        <v>47023</v>
      </c>
      <c r="G2048" s="127" t="n">
        <v>47035</v>
      </c>
      <c r="H2048" s="127" t="n">
        <v>46289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35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22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33919799</v>
      </c>
      <c r="C2049" s="4" t="s">
        <v>2625</v>
      </c>
      <c r="D2049" s="4" t="s">
        <v>463</v>
      </c>
      <c r="E2049" s="4" t="s">
        <v>2827</v>
      </c>
      <c r="F2049" s="127" t="n">
        <v>47023</v>
      </c>
      <c r="G2049" s="127" t="n">
        <v>47035</v>
      </c>
      <c r="H2049" s="127" t="n">
        <v>46289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>32</v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22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29980945</v>
      </c>
      <c r="C2050" s="4" t="s">
        <v>2615</v>
      </c>
      <c r="D2050" s="4" t="s">
        <v>463</v>
      </c>
      <c r="E2050" s="4" t="s">
        <v>2829</v>
      </c>
      <c r="F2050" s="127" t="n">
        <v>47023</v>
      </c>
      <c r="G2050" s="127" t="n">
        <v>47035</v>
      </c>
      <c r="H2050" s="127" t="n">
        <v>46289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23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29980902</v>
      </c>
      <c r="C2051" s="4" t="s">
        <v>2605</v>
      </c>
      <c r="D2051" s="4" t="s">
        <v>463</v>
      </c>
      <c r="E2051" s="4" t="s">
        <v>2831</v>
      </c>
      <c r="F2051" s="127" t="n">
        <v>47023</v>
      </c>
      <c r="G2051" s="127" t="n">
        <v>47035</v>
      </c>
      <c r="H2051" s="127" t="n">
        <v>46289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34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24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29980907</v>
      </c>
      <c r="C2052" s="4" t="s">
        <v>2607</v>
      </c>
      <c r="D2052" s="4" t="s">
        <v>463</v>
      </c>
      <c r="E2052" s="4" t="s">
        <v>2831</v>
      </c>
      <c r="F2052" s="127" t="n">
        <v>47023</v>
      </c>
      <c r="G2052" s="127" t="n">
        <v>47035</v>
      </c>
      <c r="H2052" s="127" t="n">
        <v>46289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34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24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29980906</v>
      </c>
      <c r="C2053" s="4" t="s">
        <v>2563</v>
      </c>
      <c r="D2053" s="4" t="s">
        <v>463</v>
      </c>
      <c r="E2053" s="4" t="s">
        <v>2831</v>
      </c>
      <c r="F2053" s="127" t="n">
        <v>47023</v>
      </c>
      <c r="G2053" s="127" t="n">
        <v>47035</v>
      </c>
      <c r="H2053" s="127" t="n">
        <v>46289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24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29980905</v>
      </c>
      <c r="C2054" s="4" t="s">
        <v>2609</v>
      </c>
      <c r="D2054" s="4" t="s">
        <v>463</v>
      </c>
      <c r="E2054" s="4" t="s">
        <v>2831</v>
      </c>
      <c r="F2054" s="127" t="n">
        <v>47023</v>
      </c>
      <c r="G2054" s="127" t="n">
        <v>47035</v>
      </c>
      <c r="H2054" s="127" t="n">
        <v>46289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23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24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29980864</v>
      </c>
      <c r="C2055" s="4" t="s">
        <v>2599</v>
      </c>
      <c r="D2055" s="4" t="s">
        <v>463</v>
      </c>
      <c r="E2055" s="4" t="s">
        <v>2833</v>
      </c>
      <c r="F2055" s="127" t="n">
        <v>47023</v>
      </c>
      <c r="G2055" s="127" t="n">
        <v>47035</v>
      </c>
      <c r="H2055" s="127" t="n">
        <v>46289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30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25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29980826</v>
      </c>
      <c r="C2056" s="4" t="s">
        <v>2578</v>
      </c>
      <c r="D2056" s="4" t="s">
        <v>463</v>
      </c>
      <c r="E2056" s="4" t="s">
        <v>2834</v>
      </c>
      <c r="F2056" s="127" t="n">
        <v>47023</v>
      </c>
      <c r="G2056" s="127" t="n">
        <v>47035</v>
      </c>
      <c r="H2056" s="127" t="n">
        <v>46289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25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26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29980788</v>
      </c>
      <c r="C2057" s="4" t="s">
        <v>2569</v>
      </c>
      <c r="D2057" s="4" t="s">
        <v>463</v>
      </c>
      <c r="E2057" s="4" t="s">
        <v>2838</v>
      </c>
      <c r="F2057" s="127" t="n">
        <v>47023</v>
      </c>
      <c r="G2057" s="127" t="n">
        <v>47035</v>
      </c>
      <c r="H2057" s="127" t="n">
        <v>46289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30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27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29980750</v>
      </c>
      <c r="C2058" s="4" t="s">
        <v>2554</v>
      </c>
      <c r="D2058" s="4" t="s">
        <v>463</v>
      </c>
      <c r="E2058" s="4" t="s">
        <v>2840</v>
      </c>
      <c r="F2058" s="127" t="n">
        <v>47023</v>
      </c>
      <c r="G2058" s="127" t="n">
        <v>47035</v>
      </c>
      <c r="H2058" s="127" t="n">
        <v>46289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35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28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29980739</v>
      </c>
      <c r="C2059" s="4" t="s">
        <v>2539</v>
      </c>
      <c r="D2059" s="4" t="s">
        <v>463</v>
      </c>
      <c r="E2059" s="4" t="s">
        <v>2841</v>
      </c>
      <c r="F2059" s="127" t="n">
        <v>47023</v>
      </c>
      <c r="G2059" s="127" t="n">
        <v>47035</v>
      </c>
      <c r="H2059" s="127" t="n">
        <v>46289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35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29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33898114</v>
      </c>
      <c r="C2060" s="4" t="s">
        <v>2545</v>
      </c>
      <c r="D2060" s="4" t="s">
        <v>463</v>
      </c>
      <c r="E2060" s="4" t="s">
        <v>2842</v>
      </c>
      <c r="F2060" s="127" t="n">
        <v>47023</v>
      </c>
      <c r="G2060" s="127" t="n">
        <v>47035</v>
      </c>
      <c r="H2060" s="127" t="n">
        <v>46289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25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30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30171529</v>
      </c>
      <c r="C2061" s="4" t="s">
        <v>2554</v>
      </c>
      <c r="D2061" s="4" t="s">
        <v>463</v>
      </c>
      <c r="E2061" s="4" t="s">
        <v>2857</v>
      </c>
      <c r="F2061" s="127" t="n">
        <v>47025</v>
      </c>
      <c r="G2061" s="127" t="n">
        <v>47057</v>
      </c>
      <c r="H2061" s="127" t="n">
        <v>46289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35</v>
      </c>
      <c r="N2061" s="2" t="str">
        <f aca="false"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29981089</v>
      </c>
      <c r="C2062" s="4" t="s">
        <v>2501</v>
      </c>
      <c r="D2062" s="4" t="s">
        <v>463</v>
      </c>
      <c r="E2062" s="4" t="s">
        <v>2822</v>
      </c>
      <c r="F2062" s="127" t="n">
        <v>47025</v>
      </c>
      <c r="G2062" s="127" t="n">
        <v>47037</v>
      </c>
      <c r="H2062" s="127" t="n">
        <v>46289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30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19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30205828</v>
      </c>
      <c r="C2063" s="4" t="s">
        <v>2637</v>
      </c>
      <c r="D2063" s="4" t="s">
        <v>463</v>
      </c>
      <c r="E2063" s="4" t="s">
        <v>2839</v>
      </c>
      <c r="F2063" s="127" t="n">
        <v>47028</v>
      </c>
      <c r="G2063" s="127" t="n">
        <v>47032</v>
      </c>
      <c r="H2063" s="127" t="n">
        <v>46289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/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0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30205758</v>
      </c>
      <c r="C2064" s="4" t="s">
        <v>228</v>
      </c>
      <c r="D2064" s="4" t="s">
        <v>463</v>
      </c>
      <c r="E2064" s="4" t="s">
        <v>2837</v>
      </c>
      <c r="F2064" s="127" t="n">
        <v>47028</v>
      </c>
      <c r="G2064" s="127" t="n">
        <v>47093</v>
      </c>
      <c r="H2064" s="127" t="n">
        <v>46289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36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30206116</v>
      </c>
      <c r="C2065" s="4" t="s">
        <v>2641</v>
      </c>
      <c r="D2065" s="4" t="s">
        <v>463</v>
      </c>
      <c r="E2065" s="4" t="s">
        <v>2846</v>
      </c>
      <c r="F2065" s="127" t="n">
        <v>47028</v>
      </c>
      <c r="G2065" s="127" t="n">
        <v>47042</v>
      </c>
      <c r="H2065" s="127" t="n">
        <v>46289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>35</v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6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29981143</v>
      </c>
      <c r="C2066" s="4" t="s">
        <v>2649</v>
      </c>
      <c r="D2066" s="4" t="s">
        <v>463</v>
      </c>
      <c r="E2066" s="4" t="s">
        <v>2820</v>
      </c>
      <c r="F2066" s="127" t="n">
        <v>47030</v>
      </c>
      <c r="G2066" s="127" t="n">
        <v>47043</v>
      </c>
      <c r="H2066" s="127" t="n">
        <v>46289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>37</v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18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29981059</v>
      </c>
      <c r="C2067" s="4" t="s">
        <v>2641</v>
      </c>
      <c r="D2067" s="4" t="s">
        <v>463</v>
      </c>
      <c r="E2067" s="4" t="s">
        <v>2823</v>
      </c>
      <c r="F2067" s="127" t="n">
        <v>47030</v>
      </c>
      <c r="G2067" s="127" t="n">
        <v>47043</v>
      </c>
      <c r="H2067" s="127" t="n">
        <v>46289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35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20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30205855</v>
      </c>
      <c r="C2068" s="4" t="s">
        <v>2649</v>
      </c>
      <c r="D2068" s="4" t="s">
        <v>463</v>
      </c>
      <c r="E2068" s="4" t="s">
        <v>2782</v>
      </c>
      <c r="F2068" s="127" t="n">
        <v>47035</v>
      </c>
      <c r="G2068" s="127" t="n">
        <v>47049</v>
      </c>
      <c r="H2068" s="127" t="n">
        <v>46289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37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31800970</v>
      </c>
      <c r="C2069" s="4" t="s">
        <v>2729</v>
      </c>
      <c r="D2069" s="4" t="s">
        <v>463</v>
      </c>
      <c r="E2069" s="4" t="s">
        <v>2678</v>
      </c>
      <c r="F2069" s="127" t="n">
        <v>47035</v>
      </c>
      <c r="G2069" s="127" t="n">
        <v>47064</v>
      </c>
      <c r="H2069" s="127" t="n">
        <v>46289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str">
        <f aca="false"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30171461</v>
      </c>
      <c r="C2070" s="4" t="s">
        <v>2633</v>
      </c>
      <c r="D2070" s="4" t="s">
        <v>463</v>
      </c>
      <c r="E2070" s="4" t="s">
        <v>2790</v>
      </c>
      <c r="F2070" s="127" t="n">
        <v>47036</v>
      </c>
      <c r="G2070" s="127" t="n">
        <v>47057</v>
      </c>
      <c r="H2070" s="127" t="n">
        <v>46289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35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3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30171413</v>
      </c>
      <c r="C2071" s="4" t="s">
        <v>2619</v>
      </c>
      <c r="D2071" s="4" t="s">
        <v>463</v>
      </c>
      <c r="E2071" s="4" t="s">
        <v>2800</v>
      </c>
      <c r="F2071" s="127" t="n">
        <v>47036</v>
      </c>
      <c r="G2071" s="127" t="n">
        <v>47067</v>
      </c>
      <c r="H2071" s="127" t="n">
        <v>46289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30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4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30208618</v>
      </c>
      <c r="C2072" s="4" t="s">
        <v>2584</v>
      </c>
      <c r="D2072" s="4" t="s">
        <v>463</v>
      </c>
      <c r="E2072" s="4" t="s">
        <v>2847</v>
      </c>
      <c r="F2072" s="127" t="n">
        <v>47036</v>
      </c>
      <c r="G2072" s="127" t="n">
        <v>47043</v>
      </c>
      <c r="H2072" s="127" t="n">
        <v>46289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20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6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30206031</v>
      </c>
      <c r="C2073" s="4" t="s">
        <v>2578</v>
      </c>
      <c r="D2073" s="4" t="s">
        <v>463</v>
      </c>
      <c r="E2073" s="4" t="s">
        <v>2848</v>
      </c>
      <c r="F2073" s="127" t="n">
        <v>47036</v>
      </c>
      <c r="G2073" s="127" t="n">
        <v>47043</v>
      </c>
      <c r="H2073" s="127" t="n">
        <v>46289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25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6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30206033</v>
      </c>
      <c r="C2074" s="4" t="s">
        <v>2605</v>
      </c>
      <c r="D2074" s="4" t="s">
        <v>463</v>
      </c>
      <c r="E2074" s="4" t="s">
        <v>2848</v>
      </c>
      <c r="F2074" s="127" t="n">
        <v>47036</v>
      </c>
      <c r="G2074" s="127" t="n">
        <v>47043</v>
      </c>
      <c r="H2074" s="127" t="n">
        <v>46289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34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6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30206038</v>
      </c>
      <c r="C2075" s="4" t="s">
        <v>2607</v>
      </c>
      <c r="D2075" s="4" t="s">
        <v>463</v>
      </c>
      <c r="E2075" s="4" t="s">
        <v>2848</v>
      </c>
      <c r="F2075" s="127" t="n">
        <v>47036</v>
      </c>
      <c r="G2075" s="127" t="n">
        <v>47043</v>
      </c>
      <c r="H2075" s="127" t="n">
        <v>46289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34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6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30206036</v>
      </c>
      <c r="C2076" s="4" t="s">
        <v>2609</v>
      </c>
      <c r="D2076" s="4" t="s">
        <v>463</v>
      </c>
      <c r="E2076" s="4" t="s">
        <v>2848</v>
      </c>
      <c r="F2076" s="127" t="n">
        <v>47036</v>
      </c>
      <c r="G2076" s="127" t="n">
        <v>47050</v>
      </c>
      <c r="H2076" s="127" t="n">
        <v>46289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23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6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30205992</v>
      </c>
      <c r="C2077" s="4" t="s">
        <v>2554</v>
      </c>
      <c r="D2077" s="4" t="s">
        <v>463</v>
      </c>
      <c r="E2077" s="4" t="s">
        <v>2849</v>
      </c>
      <c r="F2077" s="127" t="n">
        <v>47036</v>
      </c>
      <c r="G2077" s="127" t="n">
        <v>47050</v>
      </c>
      <c r="H2077" s="127" t="n">
        <v>46289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35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6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30205981</v>
      </c>
      <c r="C2078" s="4" t="s">
        <v>2539</v>
      </c>
      <c r="D2078" s="4" t="s">
        <v>463</v>
      </c>
      <c r="E2078" s="4" t="s">
        <v>2850</v>
      </c>
      <c r="F2078" s="127" t="n">
        <v>47036</v>
      </c>
      <c r="G2078" s="127" t="n">
        <v>47050</v>
      </c>
      <c r="H2078" s="127" t="n">
        <v>46289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35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6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29981021</v>
      </c>
      <c r="C2079" s="4" t="s">
        <v>2637</v>
      </c>
      <c r="D2079" s="4" t="s">
        <v>463</v>
      </c>
      <c r="E2079" s="4" t="s">
        <v>2825</v>
      </c>
      <c r="F2079" s="127" t="n">
        <v>47036</v>
      </c>
      <c r="G2079" s="127" t="n">
        <v>47043</v>
      </c>
      <c r="H2079" s="127" t="n">
        <v>46289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/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21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29980986</v>
      </c>
      <c r="C2080" s="4" t="s">
        <v>2629</v>
      </c>
      <c r="D2080" s="4" t="s">
        <v>463</v>
      </c>
      <c r="E2080" s="4" t="s">
        <v>2827</v>
      </c>
      <c r="F2080" s="127" t="n">
        <v>47036</v>
      </c>
      <c r="G2080" s="127" t="n">
        <v>47049</v>
      </c>
      <c r="H2080" s="127" t="n">
        <v>46289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20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22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29980946</v>
      </c>
      <c r="C2081" s="4" t="s">
        <v>2623</v>
      </c>
      <c r="D2081" s="4" t="s">
        <v>463</v>
      </c>
      <c r="E2081" s="4" t="s">
        <v>2829</v>
      </c>
      <c r="F2081" s="127" t="n">
        <v>47036</v>
      </c>
      <c r="G2081" s="127" t="n">
        <v>47049</v>
      </c>
      <c r="H2081" s="127" t="n">
        <v>46289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23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33919800</v>
      </c>
      <c r="C2082" s="4" t="s">
        <v>2625</v>
      </c>
      <c r="D2082" s="4" t="s">
        <v>463</v>
      </c>
      <c r="E2082" s="4" t="s">
        <v>2829</v>
      </c>
      <c r="F2082" s="127" t="n">
        <v>47036</v>
      </c>
      <c r="G2082" s="127" t="n">
        <v>47049</v>
      </c>
      <c r="H2082" s="127" t="n">
        <v>46289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32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23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29980908</v>
      </c>
      <c r="C2083" s="4" t="s">
        <v>2615</v>
      </c>
      <c r="D2083" s="4" t="s">
        <v>463</v>
      </c>
      <c r="E2083" s="4" t="s">
        <v>2831</v>
      </c>
      <c r="F2083" s="127" t="n">
        <v>47036</v>
      </c>
      <c r="G2083" s="127" t="n">
        <v>47049</v>
      </c>
      <c r="H2083" s="127" t="n">
        <v>46289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37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24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29980865</v>
      </c>
      <c r="C2084" s="4" t="s">
        <v>2605</v>
      </c>
      <c r="D2084" s="4" t="s">
        <v>463</v>
      </c>
      <c r="E2084" s="4" t="s">
        <v>2833</v>
      </c>
      <c r="F2084" s="127" t="n">
        <v>47036</v>
      </c>
      <c r="G2084" s="127" t="n">
        <v>47049</v>
      </c>
      <c r="H2084" s="127" t="n">
        <v>46289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34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25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29980870</v>
      </c>
      <c r="C2085" s="4" t="s">
        <v>2607</v>
      </c>
      <c r="D2085" s="4" t="s">
        <v>463</v>
      </c>
      <c r="E2085" s="4" t="s">
        <v>2833</v>
      </c>
      <c r="F2085" s="127" t="n">
        <v>47036</v>
      </c>
      <c r="G2085" s="127" t="n">
        <v>47049</v>
      </c>
      <c r="H2085" s="127" t="n">
        <v>46289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34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25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29980869</v>
      </c>
      <c r="C2086" s="4" t="s">
        <v>2563</v>
      </c>
      <c r="D2086" s="4" t="s">
        <v>463</v>
      </c>
      <c r="E2086" s="4" t="s">
        <v>2833</v>
      </c>
      <c r="F2086" s="127" t="n">
        <v>47036</v>
      </c>
      <c r="G2086" s="127" t="n">
        <v>47049</v>
      </c>
      <c r="H2086" s="127" t="n">
        <v>46289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20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25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29980868</v>
      </c>
      <c r="C2087" s="4" t="s">
        <v>2609</v>
      </c>
      <c r="D2087" s="4" t="s">
        <v>463</v>
      </c>
      <c r="E2087" s="4" t="s">
        <v>2833</v>
      </c>
      <c r="F2087" s="127" t="n">
        <v>47036</v>
      </c>
      <c r="G2087" s="127" t="n">
        <v>47049</v>
      </c>
      <c r="H2087" s="127" t="n">
        <v>46289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>23</v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25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29980827</v>
      </c>
      <c r="C2088" s="4" t="s">
        <v>2599</v>
      </c>
      <c r="D2088" s="4" t="s">
        <v>463</v>
      </c>
      <c r="E2088" s="4" t="s">
        <v>2834</v>
      </c>
      <c r="F2088" s="127" t="n">
        <v>47036</v>
      </c>
      <c r="G2088" s="127" t="n">
        <v>47049</v>
      </c>
      <c r="H2088" s="127" t="n">
        <v>46289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30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26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29980789</v>
      </c>
      <c r="C2089" s="4" t="s">
        <v>2578</v>
      </c>
      <c r="D2089" s="4" t="s">
        <v>463</v>
      </c>
      <c r="E2089" s="4" t="s">
        <v>2838</v>
      </c>
      <c r="F2089" s="127" t="n">
        <v>47036</v>
      </c>
      <c r="G2089" s="127" t="n">
        <v>47049</v>
      </c>
      <c r="H2089" s="127" t="n">
        <v>46289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25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27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29980751</v>
      </c>
      <c r="C2090" s="4" t="s">
        <v>2569</v>
      </c>
      <c r="D2090" s="4" t="s">
        <v>463</v>
      </c>
      <c r="E2090" s="4" t="s">
        <v>2840</v>
      </c>
      <c r="F2090" s="127" t="n">
        <v>47036</v>
      </c>
      <c r="G2090" s="127" t="n">
        <v>47049</v>
      </c>
      <c r="H2090" s="127" t="n">
        <v>46289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30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28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29980713</v>
      </c>
      <c r="C2091" s="4" t="s">
        <v>2554</v>
      </c>
      <c r="D2091" s="4" t="s">
        <v>463</v>
      </c>
      <c r="E2091" s="4" t="s">
        <v>2841</v>
      </c>
      <c r="F2091" s="127" t="n">
        <v>47036</v>
      </c>
      <c r="G2091" s="127" t="n">
        <v>47049</v>
      </c>
      <c r="H2091" s="127" t="n">
        <v>46289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35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29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29980702</v>
      </c>
      <c r="C2092" s="4" t="s">
        <v>2539</v>
      </c>
      <c r="D2092" s="4" t="s">
        <v>463</v>
      </c>
      <c r="E2092" s="4" t="s">
        <v>2842</v>
      </c>
      <c r="F2092" s="127" t="n">
        <v>47036</v>
      </c>
      <c r="G2092" s="127" t="n">
        <v>47049</v>
      </c>
      <c r="H2092" s="127" t="n">
        <v>46289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35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30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33898115</v>
      </c>
      <c r="C2093" s="4" t="s">
        <v>2545</v>
      </c>
      <c r="D2093" s="4" t="s">
        <v>463</v>
      </c>
      <c r="E2093" s="4" t="s">
        <v>2843</v>
      </c>
      <c r="F2093" s="127" t="n">
        <v>47036</v>
      </c>
      <c r="G2093" s="127" t="n">
        <v>47049</v>
      </c>
      <c r="H2093" s="127" t="n">
        <v>46289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25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31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29981105</v>
      </c>
      <c r="C2094" s="4" t="s">
        <v>2508</v>
      </c>
      <c r="D2094" s="4" t="s">
        <v>463</v>
      </c>
      <c r="E2094" s="4" t="s">
        <v>2822</v>
      </c>
      <c r="F2094" s="127" t="n">
        <v>47039</v>
      </c>
      <c r="G2094" s="127" t="n">
        <v>47050</v>
      </c>
      <c r="H2094" s="127" t="n">
        <v>46289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20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19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29981110</v>
      </c>
      <c r="C2095" s="4" t="s">
        <v>2511</v>
      </c>
      <c r="D2095" s="4" t="s">
        <v>463</v>
      </c>
      <c r="E2095" s="4" t="s">
        <v>2822</v>
      </c>
      <c r="F2095" s="127" t="n">
        <v>47039</v>
      </c>
      <c r="G2095" s="127" t="n">
        <v>47051</v>
      </c>
      <c r="H2095" s="127" t="n">
        <v>46289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20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19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30214081</v>
      </c>
      <c r="C2096" s="4" t="s">
        <v>2514</v>
      </c>
      <c r="D2096" s="4" t="s">
        <v>463</v>
      </c>
      <c r="E2096" s="4" t="s">
        <v>2822</v>
      </c>
      <c r="F2096" s="127" t="n">
        <v>47039</v>
      </c>
      <c r="G2096" s="127" t="n">
        <v>47052</v>
      </c>
      <c r="H2096" s="127" t="n">
        <v>46289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20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19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30171475</v>
      </c>
      <c r="C2097" s="4" t="s">
        <v>2629</v>
      </c>
      <c r="D2097" s="4" t="s">
        <v>463</v>
      </c>
      <c r="E2097" s="4" t="s">
        <v>2784</v>
      </c>
      <c r="F2097" s="127" t="n">
        <v>47042</v>
      </c>
      <c r="G2097" s="127" t="n">
        <v>47053</v>
      </c>
      <c r="H2097" s="127" t="n">
        <v>46289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20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2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30171474</v>
      </c>
      <c r="C2098" s="4" t="s">
        <v>2653</v>
      </c>
      <c r="D2098" s="4" t="s">
        <v>463</v>
      </c>
      <c r="E2098" s="4" t="s">
        <v>2784</v>
      </c>
      <c r="F2098" s="127" t="n">
        <v>47042</v>
      </c>
      <c r="G2098" s="127" t="n">
        <v>47070</v>
      </c>
      <c r="H2098" s="127" t="n">
        <v>46289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31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2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30171486</v>
      </c>
      <c r="C2099" s="4" t="s">
        <v>2655</v>
      </c>
      <c r="D2099" s="4" t="s">
        <v>463</v>
      </c>
      <c r="E2099" s="4" t="s">
        <v>2784</v>
      </c>
      <c r="F2099" s="127" t="n">
        <v>47042</v>
      </c>
      <c r="G2099" s="127" t="n">
        <v>47053</v>
      </c>
      <c r="H2099" s="127" t="n">
        <v>46289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34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30171487</v>
      </c>
      <c r="C2100" s="4" t="s">
        <v>2656</v>
      </c>
      <c r="D2100" s="4" t="s">
        <v>463</v>
      </c>
      <c r="E2100" s="4" t="s">
        <v>2784</v>
      </c>
      <c r="F2100" s="127" t="n">
        <v>47042</v>
      </c>
      <c r="G2100" s="127" t="n">
        <v>47053</v>
      </c>
      <c r="H2100" s="127" t="n">
        <v>46289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20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30171490</v>
      </c>
      <c r="C2101" s="4" t="s">
        <v>2581</v>
      </c>
      <c r="D2101" s="4" t="s">
        <v>463</v>
      </c>
      <c r="E2101" s="4" t="s">
        <v>2784</v>
      </c>
      <c r="F2101" s="127" t="n">
        <v>47042</v>
      </c>
      <c r="G2101" s="127" t="n">
        <v>47053</v>
      </c>
      <c r="H2101" s="127" t="n">
        <v>46289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/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30171445</v>
      </c>
      <c r="C2102" s="4" t="s">
        <v>2631</v>
      </c>
      <c r="D2102" s="4" t="s">
        <v>463</v>
      </c>
      <c r="E2102" s="4" t="s">
        <v>2790</v>
      </c>
      <c r="F2102" s="127" t="n">
        <v>47042</v>
      </c>
      <c r="G2102" s="127" t="n">
        <v>47079</v>
      </c>
      <c r="H2102" s="127" t="n">
        <v>46289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35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30206126</v>
      </c>
      <c r="C2103" s="4" t="s">
        <v>2649</v>
      </c>
      <c r="D2103" s="4" t="s">
        <v>463</v>
      </c>
      <c r="E2103" s="4" t="s">
        <v>2846</v>
      </c>
      <c r="F2103" s="127" t="n">
        <v>47043</v>
      </c>
      <c r="G2103" s="127" t="n">
        <v>47056</v>
      </c>
      <c r="H2103" s="127" t="n">
        <v>46289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37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6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30206076</v>
      </c>
      <c r="C2104" s="4" t="s">
        <v>2615</v>
      </c>
      <c r="D2104" s="4" t="s">
        <v>463</v>
      </c>
      <c r="E2104" s="4" t="s">
        <v>2847</v>
      </c>
      <c r="F2104" s="127" t="n">
        <v>47044</v>
      </c>
      <c r="G2104" s="127" t="n">
        <v>47057</v>
      </c>
      <c r="H2104" s="127" t="n">
        <v>46289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37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6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30208619</v>
      </c>
      <c r="C2105" s="4" t="s">
        <v>2584</v>
      </c>
      <c r="D2105" s="4" t="s">
        <v>463</v>
      </c>
      <c r="E2105" s="4" t="s">
        <v>2848</v>
      </c>
      <c r="F2105" s="127" t="n">
        <v>47044</v>
      </c>
      <c r="G2105" s="127" t="n">
        <v>47050</v>
      </c>
      <c r="H2105" s="127" t="n">
        <v>46289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>20</v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29981069</v>
      </c>
      <c r="C2106" s="4" t="s">
        <v>2649</v>
      </c>
      <c r="D2106" s="4" t="s">
        <v>463</v>
      </c>
      <c r="E2106" s="4" t="s">
        <v>2823</v>
      </c>
      <c r="F2106" s="127" t="n">
        <v>47044</v>
      </c>
      <c r="G2106" s="127" t="n">
        <v>47056</v>
      </c>
      <c r="H2106" s="127" t="n">
        <v>46289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37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20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29981022</v>
      </c>
      <c r="C2107" s="4" t="s">
        <v>2641</v>
      </c>
      <c r="D2107" s="4" t="s">
        <v>463</v>
      </c>
      <c r="E2107" s="4" t="s">
        <v>2825</v>
      </c>
      <c r="F2107" s="127" t="n">
        <v>47044</v>
      </c>
      <c r="G2107" s="127" t="n">
        <v>47056</v>
      </c>
      <c r="H2107" s="127" t="n">
        <v>46289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35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21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34179704</v>
      </c>
      <c r="C2108" s="4" t="s">
        <v>2690</v>
      </c>
      <c r="D2108" s="4" t="s">
        <v>463</v>
      </c>
      <c r="E2108" s="4" t="s">
        <v>2836</v>
      </c>
      <c r="F2108" s="127" t="n">
        <v>47049</v>
      </c>
      <c r="G2108" s="127" t="n">
        <v>47081</v>
      </c>
      <c r="H2108" s="127" t="n">
        <v>46289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37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0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30205859</v>
      </c>
      <c r="C2109" s="4" t="s">
        <v>2637</v>
      </c>
      <c r="D2109" s="4" t="s">
        <v>463</v>
      </c>
      <c r="E2109" s="4" t="s">
        <v>2782</v>
      </c>
      <c r="F2109" s="127" t="n">
        <v>47050</v>
      </c>
      <c r="G2109" s="127" t="n">
        <v>47056</v>
      </c>
      <c r="H2109" s="127" t="n">
        <v>46289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/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29980984</v>
      </c>
      <c r="C2110" s="4" t="s">
        <v>2637</v>
      </c>
      <c r="D2110" s="4" t="s">
        <v>463</v>
      </c>
      <c r="E2110" s="4" t="s">
        <v>2827</v>
      </c>
      <c r="F2110" s="127" t="n">
        <v>47050</v>
      </c>
      <c r="G2110" s="127" t="n">
        <v>47056</v>
      </c>
      <c r="H2110" s="127" t="n">
        <v>46289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/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22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29980949</v>
      </c>
      <c r="C2111" s="4" t="s">
        <v>2629</v>
      </c>
      <c r="D2111" s="4" t="s">
        <v>463</v>
      </c>
      <c r="E2111" s="4" t="s">
        <v>2829</v>
      </c>
      <c r="F2111" s="127" t="n">
        <v>47050</v>
      </c>
      <c r="G2111" s="127" t="n">
        <v>47063</v>
      </c>
      <c r="H2111" s="127" t="n">
        <v>46289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>20</v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23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29980909</v>
      </c>
      <c r="C2112" s="4" t="s">
        <v>2623</v>
      </c>
      <c r="D2112" s="4" t="s">
        <v>463</v>
      </c>
      <c r="E2112" s="4" t="s">
        <v>2831</v>
      </c>
      <c r="F2112" s="127" t="n">
        <v>47050</v>
      </c>
      <c r="G2112" s="127" t="n">
        <v>47063</v>
      </c>
      <c r="H2112" s="127" t="n">
        <v>46289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24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33919801</v>
      </c>
      <c r="C2113" s="4" t="s">
        <v>2625</v>
      </c>
      <c r="D2113" s="4" t="s">
        <v>463</v>
      </c>
      <c r="E2113" s="4" t="s">
        <v>2831</v>
      </c>
      <c r="F2113" s="127" t="n">
        <v>47050</v>
      </c>
      <c r="G2113" s="127" t="n">
        <v>47063</v>
      </c>
      <c r="H2113" s="127" t="n">
        <v>46289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32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24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29980871</v>
      </c>
      <c r="C2114" s="4" t="s">
        <v>2615</v>
      </c>
      <c r="D2114" s="4" t="s">
        <v>463</v>
      </c>
      <c r="E2114" s="4" t="s">
        <v>2833</v>
      </c>
      <c r="F2114" s="127" t="n">
        <v>47050</v>
      </c>
      <c r="G2114" s="127" t="n">
        <v>47063</v>
      </c>
      <c r="H2114" s="127" t="n">
        <v>46289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37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25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29980828</v>
      </c>
      <c r="C2115" s="4" t="s">
        <v>2605</v>
      </c>
      <c r="D2115" s="4" t="s">
        <v>463</v>
      </c>
      <c r="E2115" s="4" t="s">
        <v>2834</v>
      </c>
      <c r="F2115" s="127" t="n">
        <v>47050</v>
      </c>
      <c r="G2115" s="127" t="n">
        <v>47063</v>
      </c>
      <c r="H2115" s="127" t="n">
        <v>46289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34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26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29980833</v>
      </c>
      <c r="C2116" s="4" t="s">
        <v>2607</v>
      </c>
      <c r="D2116" s="4" t="s">
        <v>463</v>
      </c>
      <c r="E2116" s="4" t="s">
        <v>2834</v>
      </c>
      <c r="F2116" s="127" t="n">
        <v>47050</v>
      </c>
      <c r="G2116" s="127" t="n">
        <v>47063</v>
      </c>
      <c r="H2116" s="127" t="n">
        <v>46289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34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26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29980832</v>
      </c>
      <c r="C2117" s="4" t="s">
        <v>2563</v>
      </c>
      <c r="D2117" s="4" t="s">
        <v>463</v>
      </c>
      <c r="E2117" s="4" t="s">
        <v>2834</v>
      </c>
      <c r="F2117" s="127" t="n">
        <v>47050</v>
      </c>
      <c r="G2117" s="127" t="n">
        <v>47063</v>
      </c>
      <c r="H2117" s="127" t="n">
        <v>46289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>20</v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26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29980831</v>
      </c>
      <c r="C2118" s="4" t="s">
        <v>2609</v>
      </c>
      <c r="D2118" s="4" t="s">
        <v>463</v>
      </c>
      <c r="E2118" s="4" t="s">
        <v>2834</v>
      </c>
      <c r="F2118" s="127" t="n">
        <v>47050</v>
      </c>
      <c r="G2118" s="127" t="n">
        <v>47063</v>
      </c>
      <c r="H2118" s="127" t="n">
        <v>46289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>23</v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26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29980790</v>
      </c>
      <c r="C2119" s="4" t="s">
        <v>2599</v>
      </c>
      <c r="D2119" s="4" t="s">
        <v>463</v>
      </c>
      <c r="E2119" s="4" t="s">
        <v>2838</v>
      </c>
      <c r="F2119" s="127" t="n">
        <v>47050</v>
      </c>
      <c r="G2119" s="127" t="n">
        <v>47063</v>
      </c>
      <c r="H2119" s="127" t="n">
        <v>46289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30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27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29980752</v>
      </c>
      <c r="C2120" s="4" t="s">
        <v>2578</v>
      </c>
      <c r="D2120" s="4" t="s">
        <v>463</v>
      </c>
      <c r="E2120" s="4" t="s">
        <v>2840</v>
      </c>
      <c r="F2120" s="127" t="n">
        <v>47050</v>
      </c>
      <c r="G2120" s="127" t="n">
        <v>47063</v>
      </c>
      <c r="H2120" s="127" t="n">
        <v>46289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25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28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29980714</v>
      </c>
      <c r="C2121" s="4" t="s">
        <v>2569</v>
      </c>
      <c r="D2121" s="4" t="s">
        <v>463</v>
      </c>
      <c r="E2121" s="4" t="s">
        <v>2841</v>
      </c>
      <c r="F2121" s="127" t="n">
        <v>47050</v>
      </c>
      <c r="G2121" s="127" t="n">
        <v>47063</v>
      </c>
      <c r="H2121" s="127" t="n">
        <v>46289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30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29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29980676</v>
      </c>
      <c r="C2122" s="4" t="s">
        <v>2554</v>
      </c>
      <c r="D2122" s="4" t="s">
        <v>463</v>
      </c>
      <c r="E2122" s="4" t="s">
        <v>2842</v>
      </c>
      <c r="F2122" s="127" t="n">
        <v>47050</v>
      </c>
      <c r="G2122" s="127" t="n">
        <v>47063</v>
      </c>
      <c r="H2122" s="127" t="n">
        <v>46289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35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30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29980665</v>
      </c>
      <c r="C2123" s="4" t="s">
        <v>2539</v>
      </c>
      <c r="D2123" s="4" t="s">
        <v>463</v>
      </c>
      <c r="E2123" s="4" t="s">
        <v>2843</v>
      </c>
      <c r="F2123" s="127" t="n">
        <v>47050</v>
      </c>
      <c r="G2123" s="127" t="n">
        <v>47063</v>
      </c>
      <c r="H2123" s="127" t="n">
        <v>46289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35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31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33898116</v>
      </c>
      <c r="C2124" s="4" t="s">
        <v>2545</v>
      </c>
      <c r="D2124" s="4" t="s">
        <v>463</v>
      </c>
      <c r="E2124" s="4" t="s">
        <v>2844</v>
      </c>
      <c r="F2124" s="127" t="n">
        <v>47050</v>
      </c>
      <c r="G2124" s="127" t="n">
        <v>47063</v>
      </c>
      <c r="H2124" s="127" t="n">
        <v>46289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25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32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30206039</v>
      </c>
      <c r="C2125" s="4" t="s">
        <v>2615</v>
      </c>
      <c r="D2125" s="4" t="s">
        <v>463</v>
      </c>
      <c r="E2125" s="4" t="s">
        <v>2848</v>
      </c>
      <c r="F2125" s="127" t="n">
        <v>47051</v>
      </c>
      <c r="G2125" s="127" t="n">
        <v>47065</v>
      </c>
      <c r="H2125" s="127" t="n">
        <v>46289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37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6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30205994</v>
      </c>
      <c r="C2126" s="4" t="s">
        <v>2578</v>
      </c>
      <c r="D2126" s="4" t="s">
        <v>463</v>
      </c>
      <c r="E2126" s="4" t="s">
        <v>2849</v>
      </c>
      <c r="F2126" s="127" t="n">
        <v>47051</v>
      </c>
      <c r="G2126" s="127" t="n">
        <v>47057</v>
      </c>
      <c r="H2126" s="127" t="n">
        <v>46289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25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6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30206000</v>
      </c>
      <c r="C2127" s="4" t="s">
        <v>2563</v>
      </c>
      <c r="D2127" s="4" t="s">
        <v>463</v>
      </c>
      <c r="E2127" s="4" t="s">
        <v>2849</v>
      </c>
      <c r="F2127" s="127" t="n">
        <v>47051</v>
      </c>
      <c r="G2127" s="127" t="n">
        <v>47065</v>
      </c>
      <c r="H2127" s="127" t="n">
        <v>46289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20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6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30205999</v>
      </c>
      <c r="C2128" s="4" t="s">
        <v>2609</v>
      </c>
      <c r="D2128" s="4" t="s">
        <v>463</v>
      </c>
      <c r="E2128" s="4" t="s">
        <v>2849</v>
      </c>
      <c r="F2128" s="127" t="n">
        <v>47051</v>
      </c>
      <c r="G2128" s="127" t="n">
        <v>47065</v>
      </c>
      <c r="H2128" s="127" t="n">
        <v>46289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23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6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30205955</v>
      </c>
      <c r="C2129" s="4" t="s">
        <v>2554</v>
      </c>
      <c r="D2129" s="4" t="s">
        <v>463</v>
      </c>
      <c r="E2129" s="4" t="s">
        <v>2850</v>
      </c>
      <c r="F2129" s="127" t="n">
        <v>47051</v>
      </c>
      <c r="G2129" s="127" t="n">
        <v>47065</v>
      </c>
      <c r="H2129" s="127" t="n">
        <v>46289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6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29981107</v>
      </c>
      <c r="C2130" s="4" t="s">
        <v>216</v>
      </c>
      <c r="D2130" s="4" t="s">
        <v>463</v>
      </c>
      <c r="E2130" s="4" t="s">
        <v>2822</v>
      </c>
      <c r="F2130" s="127" t="n">
        <v>47051</v>
      </c>
      <c r="G2130" s="127" t="n">
        <v>47060</v>
      </c>
      <c r="H2130" s="127" t="n">
        <v>46289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33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19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30205896</v>
      </c>
      <c r="C2131" s="4" t="s">
        <v>2661</v>
      </c>
      <c r="D2131" s="4" t="s">
        <v>463</v>
      </c>
      <c r="E2131" s="4" t="s">
        <v>2845</v>
      </c>
      <c r="F2131" s="127" t="n">
        <v>47053</v>
      </c>
      <c r="G2131" s="127" t="n">
        <v>47105</v>
      </c>
      <c r="H2131" s="127" t="n">
        <v>46289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30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6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30206132</v>
      </c>
      <c r="C2132" s="4" t="s">
        <v>2732</v>
      </c>
      <c r="D2132" s="4" t="s">
        <v>463</v>
      </c>
      <c r="E2132" s="4" t="s">
        <v>2846</v>
      </c>
      <c r="F2132" s="127" t="n">
        <v>47057</v>
      </c>
      <c r="G2132" s="127" t="n">
        <v>47071</v>
      </c>
      <c r="H2132" s="127" t="n">
        <v>46289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/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6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29981032</v>
      </c>
      <c r="C2133" s="4" t="s">
        <v>2649</v>
      </c>
      <c r="D2133" s="4" t="s">
        <v>463</v>
      </c>
      <c r="E2133" s="4" t="s">
        <v>2825</v>
      </c>
      <c r="F2133" s="127" t="n">
        <v>47057</v>
      </c>
      <c r="G2133" s="127" t="n">
        <v>47070</v>
      </c>
      <c r="H2133" s="127" t="n">
        <v>46289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37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21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29980985</v>
      </c>
      <c r="C2134" s="4" t="s">
        <v>2641</v>
      </c>
      <c r="D2134" s="4" t="s">
        <v>463</v>
      </c>
      <c r="E2134" s="4" t="s">
        <v>2827</v>
      </c>
      <c r="F2134" s="127" t="n">
        <v>47057</v>
      </c>
      <c r="G2134" s="127" t="n">
        <v>47070</v>
      </c>
      <c r="H2134" s="127" t="n">
        <v>46289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35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22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30171537</v>
      </c>
      <c r="C2135" s="4" t="s">
        <v>2581</v>
      </c>
      <c r="D2135" s="4" t="s">
        <v>463</v>
      </c>
      <c r="E2135" s="4" t="s">
        <v>2857</v>
      </c>
      <c r="F2135" s="127" t="n">
        <v>47058</v>
      </c>
      <c r="G2135" s="127" t="n">
        <v>47073</v>
      </c>
      <c r="H2135" s="127" t="n">
        <v>46289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/>
      </c>
      <c r="N2135" s="2" t="str">
        <f aca="false"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30171530</v>
      </c>
      <c r="C2136" s="4" t="s">
        <v>2584</v>
      </c>
      <c r="D2136" s="4" t="s">
        <v>463</v>
      </c>
      <c r="E2136" s="4" t="s">
        <v>2857</v>
      </c>
      <c r="F2136" s="127" t="n">
        <v>47058</v>
      </c>
      <c r="G2136" s="127" t="n">
        <v>47065</v>
      </c>
      <c r="H2136" s="127" t="n">
        <v>46289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>20</v>
      </c>
      <c r="N2136" s="2" t="str">
        <f aca="false"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30171536</v>
      </c>
      <c r="C2137" s="4" t="s">
        <v>2587</v>
      </c>
      <c r="D2137" s="4" t="s">
        <v>463</v>
      </c>
      <c r="E2137" s="4" t="s">
        <v>2857</v>
      </c>
      <c r="F2137" s="127" t="n">
        <v>47058</v>
      </c>
      <c r="G2137" s="127" t="n">
        <v>47073</v>
      </c>
      <c r="H2137" s="127" t="n">
        <v>46289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>26</v>
      </c>
      <c r="N2137" s="2" t="str">
        <f aca="false"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30171538</v>
      </c>
      <c r="C2138" s="4" t="s">
        <v>2590</v>
      </c>
      <c r="D2138" s="4" t="s">
        <v>463</v>
      </c>
      <c r="E2138" s="4" t="s">
        <v>2857</v>
      </c>
      <c r="F2138" s="127" t="n">
        <v>47058</v>
      </c>
      <c r="G2138" s="127" t="n">
        <v>47073</v>
      </c>
      <c r="H2138" s="127" t="n">
        <v>46289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27</v>
      </c>
      <c r="N2138" s="2" t="str">
        <f aca="false"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30206077</v>
      </c>
      <c r="C2139" s="4" t="s">
        <v>2623</v>
      </c>
      <c r="D2139" s="4" t="s">
        <v>463</v>
      </c>
      <c r="E2139" s="4" t="s">
        <v>2847</v>
      </c>
      <c r="F2139" s="127" t="n">
        <v>47058</v>
      </c>
      <c r="G2139" s="127" t="n">
        <v>47073</v>
      </c>
      <c r="H2139" s="127" t="n">
        <v>46289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35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6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30208711</v>
      </c>
      <c r="C2140" s="4" t="s">
        <v>2584</v>
      </c>
      <c r="D2140" s="4" t="s">
        <v>463</v>
      </c>
      <c r="E2140" s="4" t="s">
        <v>2849</v>
      </c>
      <c r="F2140" s="127" t="n">
        <v>47058</v>
      </c>
      <c r="G2140" s="127" t="n">
        <v>47065</v>
      </c>
      <c r="H2140" s="127" t="n">
        <v>46289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20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6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33898100</v>
      </c>
      <c r="C2141" s="4" t="s">
        <v>2545</v>
      </c>
      <c r="D2141" s="4" t="s">
        <v>463</v>
      </c>
      <c r="E2141" s="4" t="s">
        <v>2822</v>
      </c>
      <c r="F2141" s="127" t="n">
        <v>47063</v>
      </c>
      <c r="G2141" s="127" t="n">
        <v>47074</v>
      </c>
      <c r="H2141" s="127" t="n">
        <v>46289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25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19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29980947</v>
      </c>
      <c r="C2142" s="4" t="s">
        <v>2637</v>
      </c>
      <c r="D2142" s="4" t="s">
        <v>463</v>
      </c>
      <c r="E2142" s="4" t="s">
        <v>2829</v>
      </c>
      <c r="F2142" s="127" t="n">
        <v>47064</v>
      </c>
      <c r="G2142" s="127" t="n">
        <v>47070</v>
      </c>
      <c r="H2142" s="127" t="n">
        <v>46289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/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23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29980912</v>
      </c>
      <c r="C2143" s="4" t="s">
        <v>2629</v>
      </c>
      <c r="D2143" s="4" t="s">
        <v>463</v>
      </c>
      <c r="E2143" s="4" t="s">
        <v>2831</v>
      </c>
      <c r="F2143" s="127" t="n">
        <v>47064</v>
      </c>
      <c r="G2143" s="127" t="n">
        <v>47078</v>
      </c>
      <c r="H2143" s="127" t="n">
        <v>46289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>20</v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24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29980872</v>
      </c>
      <c r="C2144" s="4" t="s">
        <v>2623</v>
      </c>
      <c r="D2144" s="4" t="s">
        <v>463</v>
      </c>
      <c r="E2144" s="4" t="s">
        <v>2833</v>
      </c>
      <c r="F2144" s="127" t="n">
        <v>47064</v>
      </c>
      <c r="G2144" s="127" t="n">
        <v>47078</v>
      </c>
      <c r="H2144" s="127" t="n">
        <v>46289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>35</v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25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33919802</v>
      </c>
      <c r="C2145" s="4" t="s">
        <v>2625</v>
      </c>
      <c r="D2145" s="4" t="s">
        <v>463</v>
      </c>
      <c r="E2145" s="4" t="s">
        <v>2833</v>
      </c>
      <c r="F2145" s="127" t="n">
        <v>47064</v>
      </c>
      <c r="G2145" s="127" t="n">
        <v>47078</v>
      </c>
      <c r="H2145" s="127" t="n">
        <v>46289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32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25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29980834</v>
      </c>
      <c r="C2146" s="4" t="s">
        <v>2615</v>
      </c>
      <c r="D2146" s="4" t="s">
        <v>463</v>
      </c>
      <c r="E2146" s="4" t="s">
        <v>2834</v>
      </c>
      <c r="F2146" s="127" t="n">
        <v>47064</v>
      </c>
      <c r="G2146" s="127" t="n">
        <v>47078</v>
      </c>
      <c r="H2146" s="127" t="n">
        <v>46289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37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26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29980791</v>
      </c>
      <c r="C2147" s="4" t="s">
        <v>2605</v>
      </c>
      <c r="D2147" s="4" t="s">
        <v>463</v>
      </c>
      <c r="E2147" s="4" t="s">
        <v>2838</v>
      </c>
      <c r="F2147" s="127" t="n">
        <v>47064</v>
      </c>
      <c r="G2147" s="127" t="n">
        <v>47078</v>
      </c>
      <c r="H2147" s="127" t="n">
        <v>46289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27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29980796</v>
      </c>
      <c r="C2148" s="4" t="s">
        <v>2607</v>
      </c>
      <c r="D2148" s="4" t="s">
        <v>463</v>
      </c>
      <c r="E2148" s="4" t="s">
        <v>2838</v>
      </c>
      <c r="F2148" s="127" t="n">
        <v>47064</v>
      </c>
      <c r="G2148" s="127" t="n">
        <v>47078</v>
      </c>
      <c r="H2148" s="127" t="n">
        <v>46289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34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27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29980795</v>
      </c>
      <c r="C2149" s="4" t="s">
        <v>2563</v>
      </c>
      <c r="D2149" s="4" t="s">
        <v>463</v>
      </c>
      <c r="E2149" s="4" t="s">
        <v>2838</v>
      </c>
      <c r="F2149" s="127" t="n">
        <v>47064</v>
      </c>
      <c r="G2149" s="127" t="n">
        <v>47078</v>
      </c>
      <c r="H2149" s="127" t="n">
        <v>46289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20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27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29980794</v>
      </c>
      <c r="C2150" s="4" t="s">
        <v>2609</v>
      </c>
      <c r="D2150" s="4" t="s">
        <v>463</v>
      </c>
      <c r="E2150" s="4" t="s">
        <v>2838</v>
      </c>
      <c r="F2150" s="127" t="n">
        <v>47064</v>
      </c>
      <c r="G2150" s="127" t="n">
        <v>47078</v>
      </c>
      <c r="H2150" s="127" t="n">
        <v>46289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23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27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29980753</v>
      </c>
      <c r="C2151" s="4" t="s">
        <v>2599</v>
      </c>
      <c r="D2151" s="4" t="s">
        <v>463</v>
      </c>
      <c r="E2151" s="4" t="s">
        <v>2840</v>
      </c>
      <c r="F2151" s="127" t="n">
        <v>47064</v>
      </c>
      <c r="G2151" s="127" t="n">
        <v>47078</v>
      </c>
      <c r="H2151" s="127" t="n">
        <v>46289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30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28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29980715</v>
      </c>
      <c r="C2152" s="4" t="s">
        <v>2578</v>
      </c>
      <c r="D2152" s="4" t="s">
        <v>463</v>
      </c>
      <c r="E2152" s="4" t="s">
        <v>2841</v>
      </c>
      <c r="F2152" s="127" t="n">
        <v>47064</v>
      </c>
      <c r="G2152" s="127" t="n">
        <v>47078</v>
      </c>
      <c r="H2152" s="127" t="n">
        <v>46289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25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29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29980677</v>
      </c>
      <c r="C2153" s="4" t="s">
        <v>2569</v>
      </c>
      <c r="D2153" s="4" t="s">
        <v>463</v>
      </c>
      <c r="E2153" s="4" t="s">
        <v>2842</v>
      </c>
      <c r="F2153" s="127" t="n">
        <v>47064</v>
      </c>
      <c r="G2153" s="127" t="n">
        <v>47078</v>
      </c>
      <c r="H2153" s="127" t="n">
        <v>46289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30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30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29980639</v>
      </c>
      <c r="C2154" s="4" t="s">
        <v>2554</v>
      </c>
      <c r="D2154" s="4" t="s">
        <v>463</v>
      </c>
      <c r="E2154" s="4" t="s">
        <v>2843</v>
      </c>
      <c r="F2154" s="127" t="n">
        <v>47064</v>
      </c>
      <c r="G2154" s="127" t="n">
        <v>47078</v>
      </c>
      <c r="H2154" s="127" t="n">
        <v>46289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31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29980628</v>
      </c>
      <c r="C2155" s="4" t="s">
        <v>2539</v>
      </c>
      <c r="D2155" s="4" t="s">
        <v>463</v>
      </c>
      <c r="E2155" s="4" t="s">
        <v>2844</v>
      </c>
      <c r="F2155" s="127" t="n">
        <v>47064</v>
      </c>
      <c r="G2155" s="127" t="n">
        <v>47078</v>
      </c>
      <c r="H2155" s="127" t="n">
        <v>46289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35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32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30171658</v>
      </c>
      <c r="C2156" s="4" t="s">
        <v>2581</v>
      </c>
      <c r="D2156" s="4" t="s">
        <v>463</v>
      </c>
      <c r="E2156" s="4" t="s">
        <v>2816</v>
      </c>
      <c r="F2156" s="127" t="n">
        <v>47065</v>
      </c>
      <c r="G2156" s="127" t="n">
        <v>47094</v>
      </c>
      <c r="H2156" s="127" t="n">
        <v>46289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/>
      </c>
      <c r="N2156" s="2" t="str">
        <f aca="false"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30171655</v>
      </c>
      <c r="C2157" s="4" t="s">
        <v>2584</v>
      </c>
      <c r="D2157" s="4" t="s">
        <v>463</v>
      </c>
      <c r="E2157" s="4" t="s">
        <v>2816</v>
      </c>
      <c r="F2157" s="127" t="n">
        <v>47065</v>
      </c>
      <c r="G2157" s="127" t="n">
        <v>47094</v>
      </c>
      <c r="H2157" s="127" t="n">
        <v>46289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20</v>
      </c>
      <c r="N2157" s="2" t="str">
        <f aca="false"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30205996</v>
      </c>
      <c r="C2158" s="4" t="s">
        <v>2605</v>
      </c>
      <c r="D2158" s="4" t="s">
        <v>463</v>
      </c>
      <c r="E2158" s="4" t="s">
        <v>2849</v>
      </c>
      <c r="F2158" s="127" t="n">
        <v>47066</v>
      </c>
      <c r="G2158" s="127" t="n">
        <v>47073</v>
      </c>
      <c r="H2158" s="127" t="n">
        <v>46289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34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6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30206001</v>
      </c>
      <c r="C2159" s="4" t="s">
        <v>2607</v>
      </c>
      <c r="D2159" s="4" t="s">
        <v>463</v>
      </c>
      <c r="E2159" s="4" t="s">
        <v>2849</v>
      </c>
      <c r="F2159" s="127" t="n">
        <v>47066</v>
      </c>
      <c r="G2159" s="127" t="n">
        <v>47073</v>
      </c>
      <c r="H2159" s="127" t="n">
        <v>46289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34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6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30205957</v>
      </c>
      <c r="C2160" s="4" t="s">
        <v>2578</v>
      </c>
      <c r="D2160" s="4" t="s">
        <v>463</v>
      </c>
      <c r="E2160" s="4" t="s">
        <v>2850</v>
      </c>
      <c r="F2160" s="127" t="n">
        <v>47066</v>
      </c>
      <c r="G2160" s="127" t="n">
        <v>47073</v>
      </c>
      <c r="H2160" s="127" t="n">
        <v>46289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6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30205963</v>
      </c>
      <c r="C2161" s="4" t="s">
        <v>2563</v>
      </c>
      <c r="D2161" s="4" t="s">
        <v>463</v>
      </c>
      <c r="E2161" s="4" t="s">
        <v>2850</v>
      </c>
      <c r="F2161" s="127" t="n">
        <v>47066</v>
      </c>
      <c r="G2161" s="127" t="n">
        <v>47081</v>
      </c>
      <c r="H2161" s="127" t="n">
        <v>46289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>20</v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6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30205962</v>
      </c>
      <c r="C2162" s="4" t="s">
        <v>2609</v>
      </c>
      <c r="D2162" s="4" t="s">
        <v>463</v>
      </c>
      <c r="E2162" s="4" t="s">
        <v>2850</v>
      </c>
      <c r="F2162" s="127" t="n">
        <v>47066</v>
      </c>
      <c r="G2162" s="127" t="n">
        <v>47081</v>
      </c>
      <c r="H2162" s="127" t="n">
        <v>46289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>23</v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6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30171433</v>
      </c>
      <c r="C2163" s="4" t="s">
        <v>2633</v>
      </c>
      <c r="D2163" s="4" t="s">
        <v>463</v>
      </c>
      <c r="E2163" s="4" t="s">
        <v>2800</v>
      </c>
      <c r="F2163" s="127" t="n">
        <v>47070</v>
      </c>
      <c r="G2163" s="127" t="n">
        <v>47092</v>
      </c>
      <c r="H2163" s="127" t="n">
        <v>46289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4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30171385</v>
      </c>
      <c r="C2164" s="4" t="s">
        <v>2619</v>
      </c>
      <c r="D2164" s="4" t="s">
        <v>463</v>
      </c>
      <c r="E2164" s="4" t="s">
        <v>2801</v>
      </c>
      <c r="F2164" s="127" t="n">
        <v>47070</v>
      </c>
      <c r="G2164" s="127" t="n">
        <v>47102</v>
      </c>
      <c r="H2164" s="127" t="n">
        <v>46289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30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5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30171479</v>
      </c>
      <c r="C2165" s="4" t="s">
        <v>2674</v>
      </c>
      <c r="D2165" s="4" t="s">
        <v>463</v>
      </c>
      <c r="E2165" s="4" t="s">
        <v>2784</v>
      </c>
      <c r="F2165" s="127" t="n">
        <v>47071</v>
      </c>
      <c r="G2165" s="127" t="n">
        <v>47086</v>
      </c>
      <c r="H2165" s="127" t="n">
        <v>46289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35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29980995</v>
      </c>
      <c r="C2166" s="4" t="s">
        <v>2649</v>
      </c>
      <c r="D2166" s="4" t="s">
        <v>463</v>
      </c>
      <c r="E2166" s="4" t="s">
        <v>2827</v>
      </c>
      <c r="F2166" s="127" t="n">
        <v>47071</v>
      </c>
      <c r="G2166" s="127" t="n">
        <v>47085</v>
      </c>
      <c r="H2166" s="127" t="n">
        <v>46289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37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22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29980948</v>
      </c>
      <c r="C2167" s="4" t="s">
        <v>2641</v>
      </c>
      <c r="D2167" s="4" t="s">
        <v>463</v>
      </c>
      <c r="E2167" s="4" t="s">
        <v>2829</v>
      </c>
      <c r="F2167" s="127" t="n">
        <v>47071</v>
      </c>
      <c r="G2167" s="127" t="n">
        <v>47085</v>
      </c>
      <c r="H2167" s="127" t="n">
        <v>46289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>35</v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23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33807018</v>
      </c>
      <c r="C2168" s="4" t="s">
        <v>2735</v>
      </c>
      <c r="D2168" s="4" t="s">
        <v>463</v>
      </c>
      <c r="E2168" s="4" t="s">
        <v>2757</v>
      </c>
      <c r="F2168" s="127" t="n">
        <v>47074</v>
      </c>
      <c r="G2168" s="127" t="n">
        <v>47210</v>
      </c>
      <c r="H2168" s="127" t="n">
        <v>46289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/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30171539</v>
      </c>
      <c r="C2169" s="4" t="s">
        <v>2623</v>
      </c>
      <c r="D2169" s="4" t="s">
        <v>463</v>
      </c>
      <c r="E2169" s="4" t="s">
        <v>2857</v>
      </c>
      <c r="F2169" s="127" t="n">
        <v>47074</v>
      </c>
      <c r="G2169" s="127" t="n">
        <v>47107</v>
      </c>
      <c r="H2169" s="127" t="n">
        <v>46289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35</v>
      </c>
      <c r="N2169" s="2" t="str">
        <f aca="false"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30206080</v>
      </c>
      <c r="C2170" s="4" t="s">
        <v>2629</v>
      </c>
      <c r="D2170" s="4" t="s">
        <v>463</v>
      </c>
      <c r="E2170" s="4" t="s">
        <v>2847</v>
      </c>
      <c r="F2170" s="127" t="n">
        <v>47074</v>
      </c>
      <c r="G2170" s="127" t="n">
        <v>47080</v>
      </c>
      <c r="H2170" s="127" t="n">
        <v>46289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20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6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30206040</v>
      </c>
      <c r="C2171" s="4" t="s">
        <v>2623</v>
      </c>
      <c r="D2171" s="4" t="s">
        <v>463</v>
      </c>
      <c r="E2171" s="4" t="s">
        <v>2848</v>
      </c>
      <c r="F2171" s="127" t="n">
        <v>47074</v>
      </c>
      <c r="G2171" s="127" t="n">
        <v>47088</v>
      </c>
      <c r="H2171" s="127" t="n">
        <v>46289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35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6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30206002</v>
      </c>
      <c r="C2172" s="4" t="s">
        <v>2615</v>
      </c>
      <c r="D2172" s="4" t="s">
        <v>463</v>
      </c>
      <c r="E2172" s="4" t="s">
        <v>2849</v>
      </c>
      <c r="F2172" s="127" t="n">
        <v>47074</v>
      </c>
      <c r="G2172" s="127" t="n">
        <v>47088</v>
      </c>
      <c r="H2172" s="127" t="n">
        <v>46289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37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6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30209042</v>
      </c>
      <c r="C2173" s="4" t="s">
        <v>2584</v>
      </c>
      <c r="D2173" s="4" t="s">
        <v>463</v>
      </c>
      <c r="E2173" s="4" t="s">
        <v>2850</v>
      </c>
      <c r="F2173" s="127" t="n">
        <v>47074</v>
      </c>
      <c r="G2173" s="127" t="n">
        <v>47081</v>
      </c>
      <c r="H2173" s="127" t="n">
        <v>46289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20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6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29981109</v>
      </c>
      <c r="C2174" s="4" t="s">
        <v>2539</v>
      </c>
      <c r="D2174" s="4" t="s">
        <v>463</v>
      </c>
      <c r="E2174" s="4" t="s">
        <v>2822</v>
      </c>
      <c r="F2174" s="127" t="n">
        <v>47078</v>
      </c>
      <c r="G2174" s="127" t="n">
        <v>47088</v>
      </c>
      <c r="H2174" s="127" t="n">
        <v>46289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35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19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29980910</v>
      </c>
      <c r="C2175" s="4" t="s">
        <v>2637</v>
      </c>
      <c r="D2175" s="4" t="s">
        <v>463</v>
      </c>
      <c r="E2175" s="4" t="s">
        <v>2831</v>
      </c>
      <c r="F2175" s="127" t="n">
        <v>47079</v>
      </c>
      <c r="G2175" s="127" t="n">
        <v>47085</v>
      </c>
      <c r="H2175" s="127" t="n">
        <v>46289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/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24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29980875</v>
      </c>
      <c r="C2176" s="4" t="s">
        <v>2629</v>
      </c>
      <c r="D2176" s="4" t="s">
        <v>463</v>
      </c>
      <c r="E2176" s="4" t="s">
        <v>2833</v>
      </c>
      <c r="F2176" s="127" t="n">
        <v>47079</v>
      </c>
      <c r="G2176" s="127" t="n">
        <v>47091</v>
      </c>
      <c r="H2176" s="127" t="n">
        <v>46289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20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25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29980835</v>
      </c>
      <c r="C2177" s="4" t="s">
        <v>2623</v>
      </c>
      <c r="D2177" s="4" t="s">
        <v>463</v>
      </c>
      <c r="E2177" s="4" t="s">
        <v>2834</v>
      </c>
      <c r="F2177" s="127" t="n">
        <v>47079</v>
      </c>
      <c r="G2177" s="127" t="n">
        <v>47091</v>
      </c>
      <c r="H2177" s="127" t="n">
        <v>46289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26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33919803</v>
      </c>
      <c r="C2178" s="4" t="s">
        <v>2625</v>
      </c>
      <c r="D2178" s="4" t="s">
        <v>463</v>
      </c>
      <c r="E2178" s="4" t="s">
        <v>2834</v>
      </c>
      <c r="F2178" s="127" t="n">
        <v>47079</v>
      </c>
      <c r="G2178" s="127" t="n">
        <v>47091</v>
      </c>
      <c r="H2178" s="127" t="n">
        <v>46289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32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26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29980797</v>
      </c>
      <c r="C2179" s="4" t="s">
        <v>2615</v>
      </c>
      <c r="D2179" s="4" t="s">
        <v>463</v>
      </c>
      <c r="E2179" s="4" t="s">
        <v>2838</v>
      </c>
      <c r="F2179" s="127" t="n">
        <v>47079</v>
      </c>
      <c r="G2179" s="127" t="n">
        <v>47091</v>
      </c>
      <c r="H2179" s="127" t="n">
        <v>46289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37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27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29980754</v>
      </c>
      <c r="C2180" s="4" t="s">
        <v>2605</v>
      </c>
      <c r="D2180" s="4" t="s">
        <v>463</v>
      </c>
      <c r="E2180" s="4" t="s">
        <v>2840</v>
      </c>
      <c r="F2180" s="127" t="n">
        <v>47079</v>
      </c>
      <c r="G2180" s="127" t="n">
        <v>47091</v>
      </c>
      <c r="H2180" s="127" t="n">
        <v>46289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>34</v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28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29980759</v>
      </c>
      <c r="C2181" s="4" t="s">
        <v>2607</v>
      </c>
      <c r="D2181" s="4" t="s">
        <v>463</v>
      </c>
      <c r="E2181" s="4" t="s">
        <v>2840</v>
      </c>
      <c r="F2181" s="127" t="n">
        <v>47079</v>
      </c>
      <c r="G2181" s="127" t="n">
        <v>47091</v>
      </c>
      <c r="H2181" s="127" t="n">
        <v>46289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34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28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29980758</v>
      </c>
      <c r="C2182" s="4" t="s">
        <v>2563</v>
      </c>
      <c r="D2182" s="4" t="s">
        <v>463</v>
      </c>
      <c r="E2182" s="4" t="s">
        <v>2840</v>
      </c>
      <c r="F2182" s="127" t="n">
        <v>47079</v>
      </c>
      <c r="G2182" s="127" t="n">
        <v>47091</v>
      </c>
      <c r="H2182" s="127" t="n">
        <v>46289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20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28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29980757</v>
      </c>
      <c r="C2183" s="4" t="s">
        <v>2609</v>
      </c>
      <c r="D2183" s="4" t="s">
        <v>463</v>
      </c>
      <c r="E2183" s="4" t="s">
        <v>2840</v>
      </c>
      <c r="F2183" s="127" t="n">
        <v>47079</v>
      </c>
      <c r="G2183" s="127" t="n">
        <v>47091</v>
      </c>
      <c r="H2183" s="127" t="n">
        <v>46289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23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28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29980716</v>
      </c>
      <c r="C2184" s="4" t="s">
        <v>2599</v>
      </c>
      <c r="D2184" s="4" t="s">
        <v>463</v>
      </c>
      <c r="E2184" s="4" t="s">
        <v>2841</v>
      </c>
      <c r="F2184" s="127" t="n">
        <v>47079</v>
      </c>
      <c r="G2184" s="127" t="n">
        <v>47091</v>
      </c>
      <c r="H2184" s="127" t="n">
        <v>46289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29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29980678</v>
      </c>
      <c r="C2185" s="4" t="s">
        <v>2578</v>
      </c>
      <c r="D2185" s="4" t="s">
        <v>463</v>
      </c>
      <c r="E2185" s="4" t="s">
        <v>2842</v>
      </c>
      <c r="F2185" s="127" t="n">
        <v>47079</v>
      </c>
      <c r="G2185" s="127" t="n">
        <v>47091</v>
      </c>
      <c r="H2185" s="127" t="n">
        <v>46289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>25</v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30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29980640</v>
      </c>
      <c r="C2186" s="4" t="s">
        <v>2569</v>
      </c>
      <c r="D2186" s="4" t="s">
        <v>463</v>
      </c>
      <c r="E2186" s="4" t="s">
        <v>2843</v>
      </c>
      <c r="F2186" s="127" t="n">
        <v>47079</v>
      </c>
      <c r="G2186" s="127" t="n">
        <v>47091</v>
      </c>
      <c r="H2186" s="127" t="n">
        <v>46289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30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31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29980602</v>
      </c>
      <c r="C2187" s="4" t="s">
        <v>2554</v>
      </c>
      <c r="D2187" s="4" t="s">
        <v>463</v>
      </c>
      <c r="E2187" s="4" t="s">
        <v>2844</v>
      </c>
      <c r="F2187" s="127" t="n">
        <v>47079</v>
      </c>
      <c r="G2187" s="127" t="n">
        <v>47091</v>
      </c>
      <c r="H2187" s="127" t="n">
        <v>46289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35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32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30171447</v>
      </c>
      <c r="C2188" s="4" t="s">
        <v>2629</v>
      </c>
      <c r="D2188" s="4" t="s">
        <v>463</v>
      </c>
      <c r="E2188" s="4" t="s">
        <v>2790</v>
      </c>
      <c r="F2188" s="127" t="n">
        <v>47080</v>
      </c>
      <c r="G2188" s="127" t="n">
        <v>47093</v>
      </c>
      <c r="H2188" s="127" t="n">
        <v>46289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20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3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30171446</v>
      </c>
      <c r="C2189" s="4" t="s">
        <v>2653</v>
      </c>
      <c r="D2189" s="4" t="s">
        <v>463</v>
      </c>
      <c r="E2189" s="4" t="s">
        <v>2790</v>
      </c>
      <c r="F2189" s="127" t="n">
        <v>47080</v>
      </c>
      <c r="G2189" s="127" t="n">
        <v>47108</v>
      </c>
      <c r="H2189" s="127" t="n">
        <v>46289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31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3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30171458</v>
      </c>
      <c r="C2190" s="4" t="s">
        <v>2655</v>
      </c>
      <c r="D2190" s="4" t="s">
        <v>463</v>
      </c>
      <c r="E2190" s="4" t="s">
        <v>2790</v>
      </c>
      <c r="F2190" s="127" t="n">
        <v>47080</v>
      </c>
      <c r="G2190" s="127" t="n">
        <v>47093</v>
      </c>
      <c r="H2190" s="127" t="n">
        <v>46289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34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3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30171459</v>
      </c>
      <c r="C2191" s="4" t="s">
        <v>2656</v>
      </c>
      <c r="D2191" s="4" t="s">
        <v>463</v>
      </c>
      <c r="E2191" s="4" t="s">
        <v>2790</v>
      </c>
      <c r="F2191" s="127" t="n">
        <v>47080</v>
      </c>
      <c r="G2191" s="127" t="n">
        <v>47093</v>
      </c>
      <c r="H2191" s="127" t="n">
        <v>46289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20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3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30171462</v>
      </c>
      <c r="C2192" s="4" t="s">
        <v>2581</v>
      </c>
      <c r="D2192" s="4" t="s">
        <v>463</v>
      </c>
      <c r="E2192" s="4" t="s">
        <v>2790</v>
      </c>
      <c r="F2192" s="127" t="n">
        <v>47080</v>
      </c>
      <c r="G2192" s="127" t="n">
        <v>47093</v>
      </c>
      <c r="H2192" s="127" t="n">
        <v>46289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/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3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30171417</v>
      </c>
      <c r="C2193" s="4" t="s">
        <v>2631</v>
      </c>
      <c r="D2193" s="4" t="s">
        <v>463</v>
      </c>
      <c r="E2193" s="4" t="s">
        <v>2800</v>
      </c>
      <c r="F2193" s="127" t="n">
        <v>47080</v>
      </c>
      <c r="G2193" s="127" t="n">
        <v>47108</v>
      </c>
      <c r="H2193" s="127" t="n">
        <v>46289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35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4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30206078</v>
      </c>
      <c r="C2194" s="4" t="s">
        <v>2637</v>
      </c>
      <c r="D2194" s="4" t="s">
        <v>463</v>
      </c>
      <c r="E2194" s="4" t="s">
        <v>2847</v>
      </c>
      <c r="F2194" s="127" t="n">
        <v>47081</v>
      </c>
      <c r="G2194" s="127" t="n">
        <v>47087</v>
      </c>
      <c r="H2194" s="127" t="n">
        <v>46289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/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6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30205959</v>
      </c>
      <c r="C2195" s="4" t="s">
        <v>2605</v>
      </c>
      <c r="D2195" s="4" t="s">
        <v>463</v>
      </c>
      <c r="E2195" s="4" t="s">
        <v>2850</v>
      </c>
      <c r="F2195" s="127" t="n">
        <v>47084</v>
      </c>
      <c r="G2195" s="127" t="n">
        <v>47088</v>
      </c>
      <c r="H2195" s="127" t="n">
        <v>46289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34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6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30205964</v>
      </c>
      <c r="C2196" s="4" t="s">
        <v>2607</v>
      </c>
      <c r="D2196" s="4" t="s">
        <v>463</v>
      </c>
      <c r="E2196" s="4" t="s">
        <v>2850</v>
      </c>
      <c r="F2196" s="127" t="n">
        <v>47084</v>
      </c>
      <c r="G2196" s="127" t="n">
        <v>47088</v>
      </c>
      <c r="H2196" s="127" t="n">
        <v>46289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34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6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29980958</v>
      </c>
      <c r="C2197" s="4" t="s">
        <v>2649</v>
      </c>
      <c r="D2197" s="4" t="s">
        <v>463</v>
      </c>
      <c r="E2197" s="4" t="s">
        <v>2829</v>
      </c>
      <c r="F2197" s="127" t="n">
        <v>47086</v>
      </c>
      <c r="G2197" s="127" t="n">
        <v>47099</v>
      </c>
      <c r="H2197" s="127" t="n">
        <v>46289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>37</v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23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29980911</v>
      </c>
      <c r="C2198" s="4" t="s">
        <v>2641</v>
      </c>
      <c r="D2198" s="4" t="s">
        <v>463</v>
      </c>
      <c r="E2198" s="4" t="s">
        <v>2831</v>
      </c>
      <c r="F2198" s="127" t="n">
        <v>47086</v>
      </c>
      <c r="G2198" s="127" t="n">
        <v>47099</v>
      </c>
      <c r="H2198" s="127" t="n">
        <v>46289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24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30171480</v>
      </c>
      <c r="C2199" s="4" t="s">
        <v>2690</v>
      </c>
      <c r="D2199" s="4" t="s">
        <v>463</v>
      </c>
      <c r="E2199" s="4" t="s">
        <v>2784</v>
      </c>
      <c r="F2199" s="127" t="n">
        <v>47087</v>
      </c>
      <c r="G2199" s="127" t="n">
        <v>47108</v>
      </c>
      <c r="H2199" s="127" t="n">
        <v>46289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30206079</v>
      </c>
      <c r="C2200" s="4" t="s">
        <v>2641</v>
      </c>
      <c r="D2200" s="4" t="s">
        <v>463</v>
      </c>
      <c r="E2200" s="4" t="s">
        <v>2847</v>
      </c>
      <c r="F2200" s="127" t="n">
        <v>47088</v>
      </c>
      <c r="G2200" s="127" t="n">
        <v>47102</v>
      </c>
      <c r="H2200" s="127" t="n">
        <v>46289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35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6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30206043</v>
      </c>
      <c r="C2201" s="4" t="s">
        <v>2629</v>
      </c>
      <c r="D2201" s="4" t="s">
        <v>463</v>
      </c>
      <c r="E2201" s="4" t="s">
        <v>2848</v>
      </c>
      <c r="F2201" s="127" t="n">
        <v>47091</v>
      </c>
      <c r="G2201" s="127" t="n">
        <v>47094</v>
      </c>
      <c r="H2201" s="127" t="n">
        <v>46289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>20</v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6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30206003</v>
      </c>
      <c r="C2202" s="4" t="s">
        <v>2623</v>
      </c>
      <c r="D2202" s="4" t="s">
        <v>463</v>
      </c>
      <c r="E2202" s="4" t="s">
        <v>2849</v>
      </c>
      <c r="F2202" s="127" t="n">
        <v>47091</v>
      </c>
      <c r="G2202" s="127" t="n">
        <v>47105</v>
      </c>
      <c r="H2202" s="127" t="n">
        <v>46289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35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6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30205965</v>
      </c>
      <c r="C2203" s="4" t="s">
        <v>2615</v>
      </c>
      <c r="D2203" s="4" t="s">
        <v>463</v>
      </c>
      <c r="E2203" s="4" t="s">
        <v>2850</v>
      </c>
      <c r="F2203" s="127" t="n">
        <v>47091</v>
      </c>
      <c r="G2203" s="127" t="n">
        <v>47105</v>
      </c>
      <c r="H2203" s="127" t="n">
        <v>46289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37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6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29981083</v>
      </c>
      <c r="C2204" s="4" t="s">
        <v>2554</v>
      </c>
      <c r="D2204" s="4" t="s">
        <v>463</v>
      </c>
      <c r="E2204" s="4" t="s">
        <v>2822</v>
      </c>
      <c r="F2204" s="127" t="n">
        <v>47091</v>
      </c>
      <c r="G2204" s="127" t="n">
        <v>47102</v>
      </c>
      <c r="H2204" s="127" t="n">
        <v>46289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35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19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29980873</v>
      </c>
      <c r="C2205" s="4" t="s">
        <v>2637</v>
      </c>
      <c r="D2205" s="4" t="s">
        <v>463</v>
      </c>
      <c r="E2205" s="4" t="s">
        <v>2833</v>
      </c>
      <c r="F2205" s="127" t="n">
        <v>47092</v>
      </c>
      <c r="G2205" s="127" t="n">
        <v>47099</v>
      </c>
      <c r="H2205" s="127" t="n">
        <v>46289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/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25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29980838</v>
      </c>
      <c r="C2206" s="4" t="s">
        <v>2629</v>
      </c>
      <c r="D2206" s="4" t="s">
        <v>463</v>
      </c>
      <c r="E2206" s="4" t="s">
        <v>2834</v>
      </c>
      <c r="F2206" s="127" t="n">
        <v>47092</v>
      </c>
      <c r="G2206" s="127" t="n">
        <v>47105</v>
      </c>
      <c r="H2206" s="127" t="n">
        <v>46289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20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26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29980798</v>
      </c>
      <c r="C2207" s="4" t="s">
        <v>2623</v>
      </c>
      <c r="D2207" s="4" t="s">
        <v>463</v>
      </c>
      <c r="E2207" s="4" t="s">
        <v>2838</v>
      </c>
      <c r="F2207" s="127" t="n">
        <v>47092</v>
      </c>
      <c r="G2207" s="127" t="n">
        <v>47105</v>
      </c>
      <c r="H2207" s="127" t="n">
        <v>46289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35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27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33919804</v>
      </c>
      <c r="C2208" s="4" t="s">
        <v>2625</v>
      </c>
      <c r="D2208" s="4" t="s">
        <v>463</v>
      </c>
      <c r="E2208" s="4" t="s">
        <v>2838</v>
      </c>
      <c r="F2208" s="127" t="n">
        <v>47092</v>
      </c>
      <c r="G2208" s="127" t="n">
        <v>47105</v>
      </c>
      <c r="H2208" s="127" t="n">
        <v>46289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32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29980760</v>
      </c>
      <c r="C2209" s="4" t="s">
        <v>2615</v>
      </c>
      <c r="D2209" s="4" t="s">
        <v>463</v>
      </c>
      <c r="E2209" s="4" t="s">
        <v>2840</v>
      </c>
      <c r="F2209" s="127" t="n">
        <v>47092</v>
      </c>
      <c r="G2209" s="127" t="n">
        <v>47105</v>
      </c>
      <c r="H2209" s="127" t="n">
        <v>46289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28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29980717</v>
      </c>
      <c r="C2210" s="4" t="s">
        <v>2605</v>
      </c>
      <c r="D2210" s="4" t="s">
        <v>463</v>
      </c>
      <c r="E2210" s="4" t="s">
        <v>2841</v>
      </c>
      <c r="F2210" s="127" t="n">
        <v>47092</v>
      </c>
      <c r="G2210" s="127" t="n">
        <v>47105</v>
      </c>
      <c r="H2210" s="127" t="n">
        <v>46289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34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29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29980722</v>
      </c>
      <c r="C2211" s="4" t="s">
        <v>2607</v>
      </c>
      <c r="D2211" s="4" t="s">
        <v>463</v>
      </c>
      <c r="E2211" s="4" t="s">
        <v>2841</v>
      </c>
      <c r="F2211" s="127" t="n">
        <v>47092</v>
      </c>
      <c r="G2211" s="127" t="n">
        <v>47105</v>
      </c>
      <c r="H2211" s="127" t="n">
        <v>46289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>34</v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29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29980721</v>
      </c>
      <c r="C2212" s="4" t="s">
        <v>2563</v>
      </c>
      <c r="D2212" s="4" t="s">
        <v>463</v>
      </c>
      <c r="E2212" s="4" t="s">
        <v>2841</v>
      </c>
      <c r="F2212" s="127" t="n">
        <v>47092</v>
      </c>
      <c r="G2212" s="127" t="n">
        <v>47105</v>
      </c>
      <c r="H2212" s="127" t="n">
        <v>46289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20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29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29980720</v>
      </c>
      <c r="C2213" s="4" t="s">
        <v>2609</v>
      </c>
      <c r="D2213" s="4" t="s">
        <v>463</v>
      </c>
      <c r="E2213" s="4" t="s">
        <v>2841</v>
      </c>
      <c r="F2213" s="127" t="n">
        <v>47092</v>
      </c>
      <c r="G2213" s="127" t="n">
        <v>47105</v>
      </c>
      <c r="H2213" s="127" t="n">
        <v>46289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23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29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29980679</v>
      </c>
      <c r="C2214" s="4" t="s">
        <v>2599</v>
      </c>
      <c r="D2214" s="4" t="s">
        <v>463</v>
      </c>
      <c r="E2214" s="4" t="s">
        <v>2842</v>
      </c>
      <c r="F2214" s="127" t="n">
        <v>47092</v>
      </c>
      <c r="G2214" s="127" t="n">
        <v>47105</v>
      </c>
      <c r="H2214" s="127" t="n">
        <v>46289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30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29980641</v>
      </c>
      <c r="C2215" s="4" t="s">
        <v>2578</v>
      </c>
      <c r="D2215" s="4" t="s">
        <v>463</v>
      </c>
      <c r="E2215" s="4" t="s">
        <v>2843</v>
      </c>
      <c r="F2215" s="127" t="n">
        <v>47092</v>
      </c>
      <c r="G2215" s="127" t="n">
        <v>47105</v>
      </c>
      <c r="H2215" s="127" t="n">
        <v>46289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25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31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29980603</v>
      </c>
      <c r="C2216" s="4" t="s">
        <v>2569</v>
      </c>
      <c r="D2216" s="4" t="s">
        <v>463</v>
      </c>
      <c r="E2216" s="4" t="s">
        <v>2844</v>
      </c>
      <c r="F2216" s="127" t="n">
        <v>47092</v>
      </c>
      <c r="G2216" s="127" t="n">
        <v>47105</v>
      </c>
      <c r="H2216" s="127" t="n">
        <v>46289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>30</v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32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30205765</v>
      </c>
      <c r="C2217" s="4" t="s">
        <v>2661</v>
      </c>
      <c r="D2217" s="4" t="s">
        <v>463</v>
      </c>
      <c r="E2217" s="4" t="s">
        <v>2837</v>
      </c>
      <c r="F2217" s="127" t="n">
        <v>47094</v>
      </c>
      <c r="G2217" s="127" t="n">
        <v>47164</v>
      </c>
      <c r="H2217" s="127" t="n">
        <v>46289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30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0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30205764</v>
      </c>
      <c r="C2218" s="4" t="s">
        <v>2584</v>
      </c>
      <c r="D2218" s="4" t="s">
        <v>463</v>
      </c>
      <c r="E2218" s="4" t="s">
        <v>2837</v>
      </c>
      <c r="F2218" s="127" t="n">
        <v>47094</v>
      </c>
      <c r="G2218" s="127" t="n">
        <v>47108</v>
      </c>
      <c r="H2218" s="127" t="n">
        <v>46289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20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0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30206041</v>
      </c>
      <c r="C2219" s="4" t="s">
        <v>2637</v>
      </c>
      <c r="D2219" s="4" t="s">
        <v>463</v>
      </c>
      <c r="E2219" s="4" t="s">
        <v>2848</v>
      </c>
      <c r="F2219" s="127" t="n">
        <v>47098</v>
      </c>
      <c r="G2219" s="127" t="n">
        <v>47102</v>
      </c>
      <c r="H2219" s="127" t="n">
        <v>46289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/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6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30171659</v>
      </c>
      <c r="C2220" s="4" t="s">
        <v>2623</v>
      </c>
      <c r="D2220" s="4" t="s">
        <v>463</v>
      </c>
      <c r="E2220" s="4" t="s">
        <v>2816</v>
      </c>
      <c r="F2220" s="127" t="n">
        <v>47098</v>
      </c>
      <c r="G2220" s="127" t="n">
        <v>47133</v>
      </c>
      <c r="H2220" s="127" t="n">
        <v>46289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35</v>
      </c>
      <c r="N2220" s="2" t="str">
        <f aca="false"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29980921</v>
      </c>
      <c r="C2221" s="4" t="s">
        <v>2649</v>
      </c>
      <c r="D2221" s="4" t="s">
        <v>463</v>
      </c>
      <c r="E2221" s="4" t="s">
        <v>2831</v>
      </c>
      <c r="F2221" s="127" t="n">
        <v>47100</v>
      </c>
      <c r="G2221" s="127" t="n">
        <v>47120</v>
      </c>
      <c r="H2221" s="127" t="n">
        <v>46289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37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24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29980874</v>
      </c>
      <c r="C2222" s="4" t="s">
        <v>2641</v>
      </c>
      <c r="D2222" s="4" t="s">
        <v>463</v>
      </c>
      <c r="E2222" s="4" t="s">
        <v>2833</v>
      </c>
      <c r="F2222" s="127" t="n">
        <v>47100</v>
      </c>
      <c r="G2222" s="127" t="n">
        <v>47120</v>
      </c>
      <c r="H2222" s="127" t="n">
        <v>46289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35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25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30171405</v>
      </c>
      <c r="C2223" s="4" t="s">
        <v>2633</v>
      </c>
      <c r="D2223" s="4" t="s">
        <v>463</v>
      </c>
      <c r="E2223" s="4" t="s">
        <v>2801</v>
      </c>
      <c r="F2223" s="127" t="n">
        <v>47105</v>
      </c>
      <c r="G2223" s="127" t="n">
        <v>47133</v>
      </c>
      <c r="H2223" s="127" t="n">
        <v>46289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5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30206089</v>
      </c>
      <c r="C2224" s="4" t="s">
        <v>2649</v>
      </c>
      <c r="D2224" s="4" t="s">
        <v>463</v>
      </c>
      <c r="E2224" s="4" t="s">
        <v>2847</v>
      </c>
      <c r="F2224" s="127" t="n">
        <v>47105</v>
      </c>
      <c r="G2224" s="127" t="n">
        <v>47126</v>
      </c>
      <c r="H2224" s="127" t="n">
        <v>46289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37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6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30206042</v>
      </c>
      <c r="C2225" s="4" t="s">
        <v>2641</v>
      </c>
      <c r="D2225" s="4" t="s">
        <v>463</v>
      </c>
      <c r="E2225" s="4" t="s">
        <v>2848</v>
      </c>
      <c r="F2225" s="127" t="n">
        <v>47105</v>
      </c>
      <c r="G2225" s="127" t="n">
        <v>47126</v>
      </c>
      <c r="H2225" s="127" t="n">
        <v>46289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>35</v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6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29981559</v>
      </c>
      <c r="C2226" s="4" t="s">
        <v>2732</v>
      </c>
      <c r="D2226" s="4" t="s">
        <v>463</v>
      </c>
      <c r="E2226" s="4" t="s">
        <v>2803</v>
      </c>
      <c r="F2226" s="127" t="n">
        <v>47105</v>
      </c>
      <c r="G2226" s="127" t="n">
        <v>47123</v>
      </c>
      <c r="H2226" s="127" t="n">
        <v>46289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/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7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29981084</v>
      </c>
      <c r="C2227" s="4" t="s">
        <v>2569</v>
      </c>
      <c r="D2227" s="4" t="s">
        <v>463</v>
      </c>
      <c r="E2227" s="4" t="s">
        <v>2822</v>
      </c>
      <c r="F2227" s="127" t="n">
        <v>47105</v>
      </c>
      <c r="G2227" s="127" t="n">
        <v>47121</v>
      </c>
      <c r="H2227" s="127" t="n">
        <v>46289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30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19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30205897</v>
      </c>
      <c r="C2228" s="4" t="s">
        <v>2702</v>
      </c>
      <c r="D2228" s="4" t="s">
        <v>463</v>
      </c>
      <c r="E2228" s="4" t="s">
        <v>2845</v>
      </c>
      <c r="F2228" s="127" t="n">
        <v>47106</v>
      </c>
      <c r="G2228" s="127" t="n">
        <v>47143</v>
      </c>
      <c r="H2228" s="127" t="n">
        <v>46289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25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30208614</v>
      </c>
      <c r="C2229" s="4" t="s">
        <v>2584</v>
      </c>
      <c r="D2229" s="4" t="s">
        <v>463</v>
      </c>
      <c r="E2229" s="4" t="s">
        <v>2845</v>
      </c>
      <c r="F2229" s="127" t="n">
        <v>47106</v>
      </c>
      <c r="G2229" s="127" t="n">
        <v>47120</v>
      </c>
      <c r="H2229" s="127" t="n">
        <v>46289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>20</v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6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30206006</v>
      </c>
      <c r="C2230" s="4" t="s">
        <v>2629</v>
      </c>
      <c r="D2230" s="4" t="s">
        <v>463</v>
      </c>
      <c r="E2230" s="4" t="s">
        <v>2849</v>
      </c>
      <c r="F2230" s="127" t="n">
        <v>47106</v>
      </c>
      <c r="G2230" s="127" t="n">
        <v>47109</v>
      </c>
      <c r="H2230" s="127" t="n">
        <v>46289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20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6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30205966</v>
      </c>
      <c r="C2231" s="4" t="s">
        <v>2623</v>
      </c>
      <c r="D2231" s="4" t="s">
        <v>463</v>
      </c>
      <c r="E2231" s="4" t="s">
        <v>2850</v>
      </c>
      <c r="F2231" s="127" t="n">
        <v>47106</v>
      </c>
      <c r="G2231" s="127" t="n">
        <v>47127</v>
      </c>
      <c r="H2231" s="127" t="n">
        <v>46289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35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6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29980836</v>
      </c>
      <c r="C2232" s="4" t="s">
        <v>2637</v>
      </c>
      <c r="D2232" s="4" t="s">
        <v>463</v>
      </c>
      <c r="E2232" s="4" t="s">
        <v>2834</v>
      </c>
      <c r="F2232" s="127" t="n">
        <v>47106</v>
      </c>
      <c r="G2232" s="127" t="n">
        <v>47120</v>
      </c>
      <c r="H2232" s="127" t="n">
        <v>46289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/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26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29980801</v>
      </c>
      <c r="C2233" s="4" t="s">
        <v>2629</v>
      </c>
      <c r="D2233" s="4" t="s">
        <v>463</v>
      </c>
      <c r="E2233" s="4" t="s">
        <v>2838</v>
      </c>
      <c r="F2233" s="127" t="n">
        <v>47106</v>
      </c>
      <c r="G2233" s="127" t="n">
        <v>47126</v>
      </c>
      <c r="H2233" s="127" t="n">
        <v>46289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27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29980761</v>
      </c>
      <c r="C2234" s="4" t="s">
        <v>2623</v>
      </c>
      <c r="D2234" s="4" t="s">
        <v>463</v>
      </c>
      <c r="E2234" s="4" t="s">
        <v>2840</v>
      </c>
      <c r="F2234" s="127" t="n">
        <v>47106</v>
      </c>
      <c r="G2234" s="127" t="n">
        <v>47126</v>
      </c>
      <c r="H2234" s="127" t="n">
        <v>46289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35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28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33919805</v>
      </c>
      <c r="C2235" s="4" t="s">
        <v>2625</v>
      </c>
      <c r="D2235" s="4" t="s">
        <v>463</v>
      </c>
      <c r="E2235" s="4" t="s">
        <v>2840</v>
      </c>
      <c r="F2235" s="127" t="n">
        <v>47106</v>
      </c>
      <c r="G2235" s="127" t="n">
        <v>47126</v>
      </c>
      <c r="H2235" s="127" t="n">
        <v>46289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32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28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29980723</v>
      </c>
      <c r="C2236" s="4" t="s">
        <v>2615</v>
      </c>
      <c r="D2236" s="4" t="s">
        <v>463</v>
      </c>
      <c r="E2236" s="4" t="s">
        <v>2841</v>
      </c>
      <c r="F2236" s="127" t="n">
        <v>47106</v>
      </c>
      <c r="G2236" s="127" t="n">
        <v>47126</v>
      </c>
      <c r="H2236" s="127" t="n">
        <v>46289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37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29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29980680</v>
      </c>
      <c r="C2237" s="4" t="s">
        <v>2605</v>
      </c>
      <c r="D2237" s="4" t="s">
        <v>463</v>
      </c>
      <c r="E2237" s="4" t="s">
        <v>2842</v>
      </c>
      <c r="F2237" s="127" t="n">
        <v>47106</v>
      </c>
      <c r="G2237" s="127" t="n">
        <v>47126</v>
      </c>
      <c r="H2237" s="127" t="n">
        <v>46289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>34</v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30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29980685</v>
      </c>
      <c r="C2238" s="4" t="s">
        <v>2607</v>
      </c>
      <c r="D2238" s="4" t="s">
        <v>463</v>
      </c>
      <c r="E2238" s="4" t="s">
        <v>2842</v>
      </c>
      <c r="F2238" s="127" t="n">
        <v>47106</v>
      </c>
      <c r="G2238" s="127" t="n">
        <v>47126</v>
      </c>
      <c r="H2238" s="127" t="n">
        <v>46289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34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30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29980684</v>
      </c>
      <c r="C2239" s="4" t="s">
        <v>2563</v>
      </c>
      <c r="D2239" s="4" t="s">
        <v>463</v>
      </c>
      <c r="E2239" s="4" t="s">
        <v>2842</v>
      </c>
      <c r="F2239" s="127" t="n">
        <v>47106</v>
      </c>
      <c r="G2239" s="127" t="n">
        <v>47126</v>
      </c>
      <c r="H2239" s="127" t="n">
        <v>46289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20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30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29980683</v>
      </c>
      <c r="C2240" s="4" t="s">
        <v>2609</v>
      </c>
      <c r="D2240" s="4" t="s">
        <v>463</v>
      </c>
      <c r="E2240" s="4" t="s">
        <v>2842</v>
      </c>
      <c r="F2240" s="127" t="n">
        <v>47106</v>
      </c>
      <c r="G2240" s="127" t="n">
        <v>47126</v>
      </c>
      <c r="H2240" s="127" t="n">
        <v>46289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>23</v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30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29980642</v>
      </c>
      <c r="C2241" s="4" t="s">
        <v>2599</v>
      </c>
      <c r="D2241" s="4" t="s">
        <v>463</v>
      </c>
      <c r="E2241" s="4" t="s">
        <v>2843</v>
      </c>
      <c r="F2241" s="127" t="n">
        <v>47106</v>
      </c>
      <c r="G2241" s="127" t="n">
        <v>47126</v>
      </c>
      <c r="H2241" s="127" t="n">
        <v>46289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30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31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29980604</v>
      </c>
      <c r="C2242" s="4" t="s">
        <v>2578</v>
      </c>
      <c r="D2242" s="4" t="s">
        <v>463</v>
      </c>
      <c r="E2242" s="4" t="s">
        <v>2844</v>
      </c>
      <c r="F2242" s="127" t="n">
        <v>47106</v>
      </c>
      <c r="G2242" s="127" t="n">
        <v>47126</v>
      </c>
      <c r="H2242" s="127" t="n">
        <v>46289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25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32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30171533</v>
      </c>
      <c r="C2243" s="4" t="s">
        <v>2629</v>
      </c>
      <c r="D2243" s="4" t="s">
        <v>463</v>
      </c>
      <c r="E2243" s="4" t="s">
        <v>2857</v>
      </c>
      <c r="F2243" s="127" t="n">
        <v>47108</v>
      </c>
      <c r="G2243" s="127" t="n">
        <v>47129</v>
      </c>
      <c r="H2243" s="127" t="n">
        <v>46289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20</v>
      </c>
      <c r="N2243" s="2" t="str">
        <f aca="false"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29981522</v>
      </c>
      <c r="C2244" s="4" t="s">
        <v>2732</v>
      </c>
      <c r="D2244" s="4" t="s">
        <v>463</v>
      </c>
      <c r="E2244" s="4" t="s">
        <v>2804</v>
      </c>
      <c r="F2244" s="127" t="n">
        <v>47108</v>
      </c>
      <c r="G2244" s="127" t="n">
        <v>47128</v>
      </c>
      <c r="H2244" s="127" t="n">
        <v>46289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/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8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30171451</v>
      </c>
      <c r="C2245" s="4" t="s">
        <v>2674</v>
      </c>
      <c r="D2245" s="4" t="s">
        <v>463</v>
      </c>
      <c r="E2245" s="4" t="s">
        <v>2790</v>
      </c>
      <c r="F2245" s="127" t="n">
        <v>47109</v>
      </c>
      <c r="G2245" s="127" t="n">
        <v>47130</v>
      </c>
      <c r="H2245" s="127" t="n">
        <v>46289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35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3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30171419</v>
      </c>
      <c r="C2246" s="4" t="s">
        <v>2629</v>
      </c>
      <c r="D2246" s="4" t="s">
        <v>463</v>
      </c>
      <c r="E2246" s="4" t="s">
        <v>2800</v>
      </c>
      <c r="F2246" s="127" t="n">
        <v>47109</v>
      </c>
      <c r="G2246" s="127" t="n">
        <v>47130</v>
      </c>
      <c r="H2246" s="127" t="n">
        <v>46289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20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30171418</v>
      </c>
      <c r="C2247" s="4" t="s">
        <v>2653</v>
      </c>
      <c r="D2247" s="4" t="s">
        <v>463</v>
      </c>
      <c r="E2247" s="4" t="s">
        <v>2800</v>
      </c>
      <c r="F2247" s="127" t="n">
        <v>47109</v>
      </c>
      <c r="G2247" s="127" t="n">
        <v>47144</v>
      </c>
      <c r="H2247" s="127" t="n">
        <v>46289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>31</v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30171430</v>
      </c>
      <c r="C2248" s="4" t="s">
        <v>2655</v>
      </c>
      <c r="D2248" s="4" t="s">
        <v>463</v>
      </c>
      <c r="E2248" s="4" t="s">
        <v>2800</v>
      </c>
      <c r="F2248" s="127" t="n">
        <v>47109</v>
      </c>
      <c r="G2248" s="127" t="n">
        <v>47130</v>
      </c>
      <c r="H2248" s="127" t="n">
        <v>46289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34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4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30171431</v>
      </c>
      <c r="C2249" s="4" t="s">
        <v>2656</v>
      </c>
      <c r="D2249" s="4" t="s">
        <v>463</v>
      </c>
      <c r="E2249" s="4" t="s">
        <v>2800</v>
      </c>
      <c r="F2249" s="127" t="n">
        <v>47109</v>
      </c>
      <c r="G2249" s="127" t="n">
        <v>47130</v>
      </c>
      <c r="H2249" s="127" t="n">
        <v>46289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20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4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30171434</v>
      </c>
      <c r="C2250" s="4" t="s">
        <v>2581</v>
      </c>
      <c r="D2250" s="4" t="s">
        <v>463</v>
      </c>
      <c r="E2250" s="4" t="s">
        <v>2800</v>
      </c>
      <c r="F2250" s="127" t="n">
        <v>47109</v>
      </c>
      <c r="G2250" s="127" t="n">
        <v>47130</v>
      </c>
      <c r="H2250" s="127" t="n">
        <v>46289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/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4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30171389</v>
      </c>
      <c r="C2251" s="4" t="s">
        <v>2631</v>
      </c>
      <c r="D2251" s="4" t="s">
        <v>463</v>
      </c>
      <c r="E2251" s="4" t="s">
        <v>2801</v>
      </c>
      <c r="F2251" s="127" t="n">
        <v>47109</v>
      </c>
      <c r="G2251" s="127" t="n">
        <v>47144</v>
      </c>
      <c r="H2251" s="127" t="n">
        <v>46289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>35</v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5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30206004</v>
      </c>
      <c r="C2252" s="4" t="s">
        <v>2637</v>
      </c>
      <c r="D2252" s="4" t="s">
        <v>463</v>
      </c>
      <c r="E2252" s="4" t="s">
        <v>2849</v>
      </c>
      <c r="F2252" s="127" t="n">
        <v>47120</v>
      </c>
      <c r="G2252" s="127" t="n">
        <v>47126</v>
      </c>
      <c r="H2252" s="127" t="n">
        <v>46289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/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6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29981485</v>
      </c>
      <c r="C2253" s="4" t="s">
        <v>2732</v>
      </c>
      <c r="D2253" s="4" t="s">
        <v>463</v>
      </c>
      <c r="E2253" s="4" t="s">
        <v>2805</v>
      </c>
      <c r="F2253" s="127" t="n">
        <v>47121</v>
      </c>
      <c r="G2253" s="127" t="n">
        <v>47133</v>
      </c>
      <c r="H2253" s="127" t="n">
        <v>46289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/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9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29980884</v>
      </c>
      <c r="C2254" s="4" t="s">
        <v>2649</v>
      </c>
      <c r="D2254" s="4" t="s">
        <v>463</v>
      </c>
      <c r="E2254" s="4" t="s">
        <v>2833</v>
      </c>
      <c r="F2254" s="127" t="n">
        <v>47121</v>
      </c>
      <c r="G2254" s="127" t="n">
        <v>47133</v>
      </c>
      <c r="H2254" s="127" t="n">
        <v>46289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37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25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29980837</v>
      </c>
      <c r="C2255" s="4" t="s">
        <v>2641</v>
      </c>
      <c r="D2255" s="4" t="s">
        <v>463</v>
      </c>
      <c r="E2255" s="4" t="s">
        <v>2834</v>
      </c>
      <c r="F2255" s="127" t="n">
        <v>47121</v>
      </c>
      <c r="G2255" s="127" t="n">
        <v>47133</v>
      </c>
      <c r="H2255" s="127" t="n">
        <v>46289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>35</v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26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29981085</v>
      </c>
      <c r="C2256" s="4" t="s">
        <v>2578</v>
      </c>
      <c r="D2256" s="4" t="s">
        <v>463</v>
      </c>
      <c r="E2256" s="4" t="s">
        <v>2822</v>
      </c>
      <c r="F2256" s="127" t="n">
        <v>47122</v>
      </c>
      <c r="G2256" s="127" t="n">
        <v>47130</v>
      </c>
      <c r="H2256" s="127" t="n">
        <v>46289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>25</v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19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33807238</v>
      </c>
      <c r="C2257" s="4" t="s">
        <v>2738</v>
      </c>
      <c r="D2257" s="4" t="s">
        <v>463</v>
      </c>
      <c r="E2257" s="4" t="s">
        <v>2803</v>
      </c>
      <c r="F2257" s="127" t="n">
        <v>47126</v>
      </c>
      <c r="G2257" s="127" t="n">
        <v>47128</v>
      </c>
      <c r="H2257" s="127" t="n">
        <v>46289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7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B2258" s="4" t="n">
        <v>29981448</v>
      </c>
      <c r="C2258" s="4" t="s">
        <v>2732</v>
      </c>
      <c r="D2258" s="4" t="s">
        <v>463</v>
      </c>
      <c r="E2258" s="4" t="s">
        <v>2809</v>
      </c>
      <c r="F2258" s="127" t="n">
        <v>47126</v>
      </c>
      <c r="G2258" s="127" t="n">
        <v>47136</v>
      </c>
      <c r="H2258" s="127" t="n">
        <v>46289</v>
      </c>
      <c r="I2258" s="4" t="n">
        <v>0</v>
      </c>
      <c r="J2258" s="4" t="n">
        <v>0</v>
      </c>
      <c r="K2258" s="4" t="n">
        <v>0</v>
      </c>
      <c r="M2258" s="2" t="str">
        <f aca="false">IF(C2258="","",IFERROR(INDEX($S$5:$S$304,MATCH(C2258,$R$5:$R$304,0))&amp;"","?"))</f>
        <v/>
      </c>
      <c r="N2258" s="2" t="n">
        <f aca="false">IF(E2258="","",IF(ISNUMBER(SEARCH("SUBSOLO",E2258)),IFERROR(-VALUE(LEFT(E2258,FIND("º",SUBSTITUTE(E2258,"°","º"))-1)),-1),IF(LEFT(E2258,6)="TÉRREO",0,IFERROR(VALUE(LEFT(E2258,FIND("º",SUBSTITUTE(E2258,"°","º"))-1)),""))))</f>
        <v>10</v>
      </c>
      <c r="O2258" s="2" t="str">
        <f aca="false">IF(OR(F2258="",G2258=""),"",IF(G2258&lt;='RETRATO 2027'!$K$5,"CONCLUÍDA",IF(F2258&lt;='RETRATO 2027'!$K$5,"EM ANDAMENTO","A INICIAR")))</f>
        <v>A INICIAR</v>
      </c>
    </row>
    <row r="2259" customFormat="false" ht="15" hidden="false" customHeight="false" outlineLevel="0" collapsed="false">
      <c r="B2259" s="4" t="n">
        <v>30206095</v>
      </c>
      <c r="C2259" s="4" t="s">
        <v>2732</v>
      </c>
      <c r="D2259" s="4" t="s">
        <v>463</v>
      </c>
      <c r="E2259" s="4" t="s">
        <v>2847</v>
      </c>
      <c r="F2259" s="127" t="n">
        <v>47127</v>
      </c>
      <c r="G2259" s="127" t="n">
        <v>47140</v>
      </c>
      <c r="H2259" s="127" t="n">
        <v>46289</v>
      </c>
      <c r="I2259" s="4" t="n">
        <v>0</v>
      </c>
      <c r="J2259" s="4" t="n">
        <v>0</v>
      </c>
      <c r="K2259" s="4" t="n">
        <v>0</v>
      </c>
      <c r="M2259" s="2" t="str">
        <f aca="false">IF(C2259="","",IFERROR(INDEX($S$5:$S$304,MATCH(C2259,$R$5:$R$304,0))&amp;"","?"))</f>
        <v/>
      </c>
      <c r="N2259" s="2" t="n">
        <f aca="false">IF(E2259="","",IF(ISNUMBER(SEARCH("SUBSOLO",E2259)),IFERROR(-VALUE(LEFT(E2259,FIND("º",SUBSTITUTE(E2259,"°","º"))-1)),-1),IF(LEFT(E2259,6)="TÉRREO",0,IFERROR(VALUE(LEFT(E2259,FIND("º",SUBSTITUTE(E2259,"°","º"))-1)),""))))</f>
        <v>6</v>
      </c>
      <c r="O2259" s="2" t="str">
        <f aca="false">IF(OR(F2259="",G2259=""),"",IF(G2259&lt;='RETRATO 2027'!$K$5,"CONCLUÍDA",IF(F2259&lt;='RETRATO 2027'!$K$5,"EM ANDAMENTO","A INICIAR")))</f>
        <v>A INICIAR</v>
      </c>
    </row>
    <row r="2260" customFormat="false" ht="15" hidden="false" customHeight="false" outlineLevel="0" collapsed="false">
      <c r="B2260" s="4" t="n">
        <v>30206052</v>
      </c>
      <c r="C2260" s="4" t="s">
        <v>2649</v>
      </c>
      <c r="D2260" s="4" t="s">
        <v>463</v>
      </c>
      <c r="E2260" s="4" t="s">
        <v>2848</v>
      </c>
      <c r="F2260" s="127" t="n">
        <v>47127</v>
      </c>
      <c r="G2260" s="127" t="n">
        <v>47140</v>
      </c>
      <c r="H2260" s="127" t="n">
        <v>46289</v>
      </c>
      <c r="I2260" s="4" t="n">
        <v>0</v>
      </c>
      <c r="J2260" s="4" t="n">
        <v>0</v>
      </c>
      <c r="K2260" s="4" t="n">
        <v>0</v>
      </c>
      <c r="M2260" s="2" t="str">
        <f aca="false">IF(C2260="","",IFERROR(INDEX($S$5:$S$304,MATCH(C2260,$R$5:$R$304,0))&amp;"","?"))</f>
        <v>37</v>
      </c>
      <c r="N2260" s="2" t="n">
        <f aca="false">IF(E2260="","",IF(ISNUMBER(SEARCH("SUBSOLO",E2260)),IFERROR(-VALUE(LEFT(E2260,FIND("º",SUBSTITUTE(E2260,"°","º"))-1)),-1),IF(LEFT(E2260,6)="TÉRREO",0,IFERROR(VALUE(LEFT(E2260,FIND("º",SUBSTITUTE(E2260,"°","º"))-1)),""))))</f>
        <v>6</v>
      </c>
      <c r="O2260" s="2" t="str">
        <f aca="false">IF(OR(F2260="",G2260=""),"",IF(G2260&lt;='RETRATO 2027'!$K$5,"CONCLUÍDA",IF(F2260&lt;='RETRATO 2027'!$K$5,"EM ANDAMENTO","A INICIAR")))</f>
        <v>A INICIAR</v>
      </c>
    </row>
    <row r="2261" customFormat="false" ht="15" hidden="false" customHeight="false" outlineLevel="0" collapsed="false">
      <c r="B2261" s="4" t="n">
        <v>30206005</v>
      </c>
      <c r="C2261" s="4" t="s">
        <v>2641</v>
      </c>
      <c r="D2261" s="4" t="s">
        <v>463</v>
      </c>
      <c r="E2261" s="4" t="s">
        <v>2849</v>
      </c>
      <c r="F2261" s="127" t="n">
        <v>47127</v>
      </c>
      <c r="G2261" s="127" t="n">
        <v>47140</v>
      </c>
      <c r="H2261" s="127" t="n">
        <v>46289</v>
      </c>
      <c r="I2261" s="4" t="n">
        <v>0</v>
      </c>
      <c r="J2261" s="4" t="n">
        <v>0</v>
      </c>
      <c r="K2261" s="4" t="n">
        <v>0</v>
      </c>
      <c r="M2261" s="2" t="str">
        <f aca="false">IF(C2261="","",IFERROR(INDEX($S$5:$S$304,MATCH(C2261,$R$5:$R$304,0))&amp;"","?"))</f>
        <v>35</v>
      </c>
      <c r="N2261" s="2" t="n">
        <f aca="false">IF(E2261="","",IF(ISNUMBER(SEARCH("SUBSOLO",E2261)),IFERROR(-VALUE(LEFT(E2261,FIND("º",SUBSTITUTE(E2261,"°","º"))-1)),-1),IF(LEFT(E2261,6)="TÉRREO",0,IFERROR(VALUE(LEFT(E2261,FIND("º",SUBSTITUTE(E2261,"°","º"))-1)),""))))</f>
        <v>6</v>
      </c>
      <c r="O2261" s="2" t="str">
        <f aca="false">IF(OR(F2261="",G2261=""),"",IF(G2261&lt;='RETRATO 2027'!$K$5,"CONCLUÍDA",IF(F2261&lt;='RETRATO 2027'!$K$5,"EM ANDAMENTO","A INICIAR")))</f>
        <v>A INICIAR</v>
      </c>
    </row>
    <row r="2262" customFormat="false" ht="15" hidden="false" customHeight="false" outlineLevel="0" collapsed="false">
      <c r="B2262" s="4" t="n">
        <v>29980799</v>
      </c>
      <c r="C2262" s="4" t="s">
        <v>2637</v>
      </c>
      <c r="D2262" s="4" t="s">
        <v>463</v>
      </c>
      <c r="E2262" s="4" t="s">
        <v>2838</v>
      </c>
      <c r="F2262" s="127" t="n">
        <v>47127</v>
      </c>
      <c r="G2262" s="127" t="n">
        <v>47133</v>
      </c>
      <c r="H2262" s="127" t="n">
        <v>46289</v>
      </c>
      <c r="I2262" s="4" t="n">
        <v>0</v>
      </c>
      <c r="J2262" s="4" t="n">
        <v>0</v>
      </c>
      <c r="K2262" s="4" t="n">
        <v>0</v>
      </c>
      <c r="M2262" s="2" t="str">
        <f aca="false">IF(C2262="","",IFERROR(INDEX($S$5:$S$304,MATCH(C2262,$R$5:$R$304,0))&amp;"","?"))</f>
        <v/>
      </c>
      <c r="N2262" s="2" t="n">
        <f aca="false">IF(E2262="","",IF(ISNUMBER(SEARCH("SUBSOLO",E2262)),IFERROR(-VALUE(LEFT(E2262,FIND("º",SUBSTITUTE(E2262,"°","º"))-1)),-1),IF(LEFT(E2262,6)="TÉRREO",0,IFERROR(VALUE(LEFT(E2262,FIND("º",SUBSTITUTE(E2262,"°","º"))-1)),""))))</f>
        <v>27</v>
      </c>
      <c r="O2262" s="2" t="str">
        <f aca="false">IF(OR(F2262="",G2262=""),"",IF(G2262&lt;='RETRATO 2027'!$K$5,"CONCLUÍDA",IF(F2262&lt;='RETRATO 2027'!$K$5,"EM ANDAMENTO","A INICIAR")))</f>
        <v>A INICIAR</v>
      </c>
    </row>
    <row r="2263" customFormat="false" ht="15" hidden="false" customHeight="false" outlineLevel="0" collapsed="false">
      <c r="B2263" s="4" t="n">
        <v>29980764</v>
      </c>
      <c r="C2263" s="4" t="s">
        <v>2629</v>
      </c>
      <c r="D2263" s="4" t="s">
        <v>463</v>
      </c>
      <c r="E2263" s="4" t="s">
        <v>2840</v>
      </c>
      <c r="F2263" s="127" t="n">
        <v>47127</v>
      </c>
      <c r="G2263" s="127" t="n">
        <v>47137</v>
      </c>
      <c r="H2263" s="127" t="n">
        <v>46289</v>
      </c>
      <c r="I2263" s="4" t="n">
        <v>0</v>
      </c>
      <c r="J2263" s="4" t="n">
        <v>0</v>
      </c>
      <c r="K2263" s="4" t="n">
        <v>0</v>
      </c>
      <c r="M2263" s="2" t="str">
        <f aca="false">IF(C2263="","",IFERROR(INDEX($S$5:$S$304,MATCH(C2263,$R$5:$R$304,0))&amp;"","?"))</f>
        <v>20</v>
      </c>
      <c r="N2263" s="2" t="n">
        <f aca="false">IF(E2263="","",IF(ISNUMBER(SEARCH("SUBSOLO",E2263)),IFERROR(-VALUE(LEFT(E2263,FIND("º",SUBSTITUTE(E2263,"°","º"))-1)),-1),IF(LEFT(E2263,6)="TÉRREO",0,IFERROR(VALUE(LEFT(E2263,FIND("º",SUBSTITUTE(E2263,"°","º"))-1)),""))))</f>
        <v>28</v>
      </c>
      <c r="O2263" s="2" t="str">
        <f aca="false">IF(OR(F2263="",G2263=""),"",IF(G2263&lt;='RETRATO 2027'!$K$5,"CONCLUÍDA",IF(F2263&lt;='RETRATO 2027'!$K$5,"EM ANDAMENTO","A INICIAR")))</f>
        <v>A INICIAR</v>
      </c>
    </row>
    <row r="2264" customFormat="false" ht="15" hidden="false" customHeight="false" outlineLevel="0" collapsed="false">
      <c r="B2264" s="4" t="n">
        <v>29980724</v>
      </c>
      <c r="C2264" s="4" t="s">
        <v>2623</v>
      </c>
      <c r="D2264" s="4" t="s">
        <v>463</v>
      </c>
      <c r="E2264" s="4" t="s">
        <v>2841</v>
      </c>
      <c r="F2264" s="127" t="n">
        <v>47127</v>
      </c>
      <c r="G2264" s="127" t="n">
        <v>47137</v>
      </c>
      <c r="H2264" s="127" t="n">
        <v>46289</v>
      </c>
      <c r="I2264" s="4" t="n">
        <v>0</v>
      </c>
      <c r="J2264" s="4" t="n">
        <v>0</v>
      </c>
      <c r="K2264" s="4" t="n">
        <v>0</v>
      </c>
      <c r="M2264" s="2" t="str">
        <f aca="false">IF(C2264="","",IFERROR(INDEX($S$5:$S$304,MATCH(C2264,$R$5:$R$304,0))&amp;"","?"))</f>
        <v>35</v>
      </c>
      <c r="N2264" s="2" t="n">
        <f aca="false">IF(E2264="","",IF(ISNUMBER(SEARCH("SUBSOLO",E2264)),IFERROR(-VALUE(LEFT(E2264,FIND("º",SUBSTITUTE(E2264,"°","º"))-1)),-1),IF(LEFT(E2264,6)="TÉRREO",0,IFERROR(VALUE(LEFT(E2264,FIND("º",SUBSTITUTE(E2264,"°","º"))-1)),""))))</f>
        <v>29</v>
      </c>
      <c r="O2264" s="2" t="str">
        <f aca="false">IF(OR(F2264="",G2264=""),"",IF(G2264&lt;='RETRATO 2027'!$K$5,"CONCLUÍDA",IF(F2264&lt;='RETRATO 2027'!$K$5,"EM ANDAMENTO","A INICIAR")))</f>
        <v>A INICIAR</v>
      </c>
    </row>
    <row r="2265" customFormat="false" ht="15" hidden="false" customHeight="false" outlineLevel="0" collapsed="false">
      <c r="B2265" s="4" t="n">
        <v>33919806</v>
      </c>
      <c r="C2265" s="4" t="s">
        <v>2625</v>
      </c>
      <c r="D2265" s="4" t="s">
        <v>463</v>
      </c>
      <c r="E2265" s="4" t="s">
        <v>2841</v>
      </c>
      <c r="F2265" s="127" t="n">
        <v>47127</v>
      </c>
      <c r="G2265" s="127" t="n">
        <v>47137</v>
      </c>
      <c r="H2265" s="127" t="n">
        <v>46289</v>
      </c>
      <c r="I2265" s="4" t="n">
        <v>0</v>
      </c>
      <c r="J2265" s="4" t="n">
        <v>0</v>
      </c>
      <c r="K2265" s="4" t="n">
        <v>0</v>
      </c>
      <c r="M2265" s="2" t="str">
        <f aca="false">IF(C2265="","",IFERROR(INDEX($S$5:$S$304,MATCH(C2265,$R$5:$R$304,0))&amp;"","?"))</f>
        <v>32</v>
      </c>
      <c r="N2265" s="2" t="n">
        <f aca="false">IF(E2265="","",IF(ISNUMBER(SEARCH("SUBSOLO",E2265)),IFERROR(-VALUE(LEFT(E2265,FIND("º",SUBSTITUTE(E2265,"°","º"))-1)),-1),IF(LEFT(E2265,6)="TÉRREO",0,IFERROR(VALUE(LEFT(E2265,FIND("º",SUBSTITUTE(E2265,"°","º"))-1)),""))))</f>
        <v>29</v>
      </c>
      <c r="O2265" s="2" t="str">
        <f aca="false">IF(OR(F2265="",G2265=""),"",IF(G2265&lt;='RETRATO 2027'!$K$5,"CONCLUÍDA",IF(F2265&lt;='RETRATO 2027'!$K$5,"EM ANDAMENTO","A INICIAR")))</f>
        <v>A INICIAR</v>
      </c>
    </row>
    <row r="2266" customFormat="false" ht="15" hidden="false" customHeight="false" outlineLevel="0" collapsed="false">
      <c r="B2266" s="4" t="n">
        <v>29980686</v>
      </c>
      <c r="C2266" s="4" t="s">
        <v>2615</v>
      </c>
      <c r="D2266" s="4" t="s">
        <v>463</v>
      </c>
      <c r="E2266" s="4" t="s">
        <v>2842</v>
      </c>
      <c r="F2266" s="127" t="n">
        <v>47127</v>
      </c>
      <c r="G2266" s="127" t="n">
        <v>47137</v>
      </c>
      <c r="H2266" s="127" t="n">
        <v>46289</v>
      </c>
      <c r="I2266" s="4" t="n">
        <v>0</v>
      </c>
      <c r="J2266" s="4" t="n">
        <v>0</v>
      </c>
      <c r="K2266" s="4" t="n">
        <v>0</v>
      </c>
      <c r="M2266" s="2" t="str">
        <f aca="false">IF(C2266="","",IFERROR(INDEX($S$5:$S$304,MATCH(C2266,$R$5:$R$304,0))&amp;"","?"))</f>
        <v>37</v>
      </c>
      <c r="N2266" s="2" t="n">
        <f aca="false">IF(E2266="","",IF(ISNUMBER(SEARCH("SUBSOLO",E2266)),IFERROR(-VALUE(LEFT(E2266,FIND("º",SUBSTITUTE(E2266,"°","º"))-1)),-1),IF(LEFT(E2266,6)="TÉRREO",0,IFERROR(VALUE(LEFT(E2266,FIND("º",SUBSTITUTE(E2266,"°","º"))-1)),""))))</f>
        <v>30</v>
      </c>
      <c r="O2266" s="2" t="str">
        <f aca="false">IF(OR(F2266="",G2266=""),"",IF(G2266&lt;='RETRATO 2027'!$K$5,"CONCLUÍDA",IF(F2266&lt;='RETRATO 2027'!$K$5,"EM ANDAMENTO","A INICIAR")))</f>
        <v>A INICIAR</v>
      </c>
    </row>
    <row r="2267" customFormat="false" ht="15" hidden="false" customHeight="false" outlineLevel="0" collapsed="false">
      <c r="B2267" s="4" t="n">
        <v>29980643</v>
      </c>
      <c r="C2267" s="4" t="s">
        <v>2605</v>
      </c>
      <c r="D2267" s="4" t="s">
        <v>463</v>
      </c>
      <c r="E2267" s="4" t="s">
        <v>2843</v>
      </c>
      <c r="F2267" s="127" t="n">
        <v>47127</v>
      </c>
      <c r="G2267" s="127" t="n">
        <v>47137</v>
      </c>
      <c r="H2267" s="127" t="n">
        <v>46289</v>
      </c>
      <c r="I2267" s="4" t="n">
        <v>0</v>
      </c>
      <c r="J2267" s="4" t="n">
        <v>0</v>
      </c>
      <c r="K2267" s="4" t="n">
        <v>0</v>
      </c>
      <c r="M2267" s="2" t="str">
        <f aca="false">IF(C2267="","",IFERROR(INDEX($S$5:$S$304,MATCH(C2267,$R$5:$R$304,0))&amp;"","?"))</f>
        <v>34</v>
      </c>
      <c r="N2267" s="2" t="n">
        <f aca="false">IF(E2267="","",IF(ISNUMBER(SEARCH("SUBSOLO",E2267)),IFERROR(-VALUE(LEFT(E2267,FIND("º",SUBSTITUTE(E2267,"°","º"))-1)),-1),IF(LEFT(E2267,6)="TÉRREO",0,IFERROR(VALUE(LEFT(E2267,FIND("º",SUBSTITUTE(E2267,"°","º"))-1)),""))))</f>
        <v>31</v>
      </c>
      <c r="O2267" s="2" t="str">
        <f aca="false">IF(OR(F2267="",G2267=""),"",IF(G2267&lt;='RETRATO 2027'!$K$5,"CONCLUÍDA",IF(F2267&lt;='RETRATO 2027'!$K$5,"EM ANDAMENTO","A INICIAR")))</f>
        <v>A INICIAR</v>
      </c>
    </row>
    <row r="2268" customFormat="false" ht="15" hidden="false" customHeight="false" outlineLevel="0" collapsed="false">
      <c r="B2268" s="4" t="n">
        <v>29980648</v>
      </c>
      <c r="C2268" s="4" t="s">
        <v>2607</v>
      </c>
      <c r="D2268" s="4" t="s">
        <v>463</v>
      </c>
      <c r="E2268" s="4" t="s">
        <v>2843</v>
      </c>
      <c r="F2268" s="127" t="n">
        <v>47127</v>
      </c>
      <c r="G2268" s="127" t="n">
        <v>47137</v>
      </c>
      <c r="H2268" s="127" t="n">
        <v>46289</v>
      </c>
      <c r="I2268" s="4" t="n">
        <v>0</v>
      </c>
      <c r="J2268" s="4" t="n">
        <v>0</v>
      </c>
      <c r="K2268" s="4" t="n">
        <v>0</v>
      </c>
      <c r="M2268" s="2" t="str">
        <f aca="false">IF(C2268="","",IFERROR(INDEX($S$5:$S$304,MATCH(C2268,$R$5:$R$304,0))&amp;"","?"))</f>
        <v>34</v>
      </c>
      <c r="N2268" s="2" t="n">
        <f aca="false">IF(E2268="","",IF(ISNUMBER(SEARCH("SUBSOLO",E2268)),IFERROR(-VALUE(LEFT(E2268,FIND("º",SUBSTITUTE(E2268,"°","º"))-1)),-1),IF(LEFT(E2268,6)="TÉRREO",0,IFERROR(VALUE(LEFT(E2268,FIND("º",SUBSTITUTE(E2268,"°","º"))-1)),""))))</f>
        <v>31</v>
      </c>
      <c r="O2268" s="2" t="str">
        <f aca="false">IF(OR(F2268="",G2268=""),"",IF(G2268&lt;='RETRATO 2027'!$K$5,"CONCLUÍDA",IF(F2268&lt;='RETRATO 2027'!$K$5,"EM ANDAMENTO","A INICIAR")))</f>
        <v>A INICIAR</v>
      </c>
    </row>
    <row r="2269" customFormat="false" ht="15" hidden="false" customHeight="false" outlineLevel="0" collapsed="false">
      <c r="B2269" s="4" t="n">
        <v>29980647</v>
      </c>
      <c r="C2269" s="4" t="s">
        <v>2563</v>
      </c>
      <c r="D2269" s="4" t="s">
        <v>463</v>
      </c>
      <c r="E2269" s="4" t="s">
        <v>2843</v>
      </c>
      <c r="F2269" s="127" t="n">
        <v>47127</v>
      </c>
      <c r="G2269" s="127" t="n">
        <v>47137</v>
      </c>
      <c r="H2269" s="127" t="n">
        <v>46289</v>
      </c>
      <c r="I2269" s="4" t="n">
        <v>0</v>
      </c>
      <c r="J2269" s="4" t="n">
        <v>0</v>
      </c>
      <c r="K2269" s="4" t="n">
        <v>0</v>
      </c>
      <c r="M2269" s="2" t="str">
        <f aca="false">IF(C2269="","",IFERROR(INDEX($S$5:$S$304,MATCH(C2269,$R$5:$R$304,0))&amp;"","?"))</f>
        <v>20</v>
      </c>
      <c r="N2269" s="2" t="n">
        <f aca="false">IF(E2269="","",IF(ISNUMBER(SEARCH("SUBSOLO",E2269)),IFERROR(-VALUE(LEFT(E2269,FIND("º",SUBSTITUTE(E2269,"°","º"))-1)),-1),IF(LEFT(E2269,6)="TÉRREO",0,IFERROR(VALUE(LEFT(E2269,FIND("º",SUBSTITUTE(E2269,"°","º"))-1)),""))))</f>
        <v>31</v>
      </c>
      <c r="O2269" s="2" t="str">
        <f aca="false">IF(OR(F2269="",G2269=""),"",IF(G2269&lt;='RETRATO 2027'!$K$5,"CONCLUÍDA",IF(F2269&lt;='RETRATO 2027'!$K$5,"EM ANDAMENTO","A INICIAR")))</f>
        <v>A INICIAR</v>
      </c>
    </row>
    <row r="2270" customFormat="false" ht="15" hidden="false" customHeight="false" outlineLevel="0" collapsed="false">
      <c r="B2270" s="4" t="n">
        <v>29980646</v>
      </c>
      <c r="C2270" s="4" t="s">
        <v>2609</v>
      </c>
      <c r="D2270" s="4" t="s">
        <v>463</v>
      </c>
      <c r="E2270" s="4" t="s">
        <v>2843</v>
      </c>
      <c r="F2270" s="127" t="n">
        <v>47127</v>
      </c>
      <c r="G2270" s="127" t="n">
        <v>47137</v>
      </c>
      <c r="H2270" s="127" t="n">
        <v>46289</v>
      </c>
      <c r="I2270" s="4" t="n">
        <v>0</v>
      </c>
      <c r="J2270" s="4" t="n">
        <v>0</v>
      </c>
      <c r="K2270" s="4" t="n">
        <v>0</v>
      </c>
      <c r="M2270" s="2" t="str">
        <f aca="false">IF(C2270="","",IFERROR(INDEX($S$5:$S$304,MATCH(C2270,$R$5:$R$304,0))&amp;"","?"))</f>
        <v>23</v>
      </c>
      <c r="N2270" s="2" t="n">
        <f aca="false">IF(E2270="","",IF(ISNUMBER(SEARCH("SUBSOLO",E2270)),IFERROR(-VALUE(LEFT(E2270,FIND("º",SUBSTITUTE(E2270,"°","º"))-1)),-1),IF(LEFT(E2270,6)="TÉRREO",0,IFERROR(VALUE(LEFT(E2270,FIND("º",SUBSTITUTE(E2270,"°","º"))-1)),""))))</f>
        <v>31</v>
      </c>
      <c r="O2270" s="2" t="str">
        <f aca="false">IF(OR(F2270="",G2270=""),"",IF(G2270&lt;='RETRATO 2027'!$K$5,"CONCLUÍDA",IF(F2270&lt;='RETRATO 2027'!$K$5,"EM ANDAMENTO","A INICIAR")))</f>
        <v>A INICIAR</v>
      </c>
    </row>
    <row r="2271" customFormat="false" ht="15" hidden="false" customHeight="false" outlineLevel="0" collapsed="false">
      <c r="B2271" s="4" t="n">
        <v>29980605</v>
      </c>
      <c r="C2271" s="4" t="s">
        <v>2599</v>
      </c>
      <c r="D2271" s="4" t="s">
        <v>463</v>
      </c>
      <c r="E2271" s="4" t="s">
        <v>2844</v>
      </c>
      <c r="F2271" s="127" t="n">
        <v>47127</v>
      </c>
      <c r="G2271" s="127" t="n">
        <v>47137</v>
      </c>
      <c r="H2271" s="127" t="n">
        <v>46289</v>
      </c>
      <c r="I2271" s="4" t="n">
        <v>0</v>
      </c>
      <c r="J2271" s="4" t="n">
        <v>0</v>
      </c>
      <c r="K2271" s="4" t="n">
        <v>0</v>
      </c>
      <c r="M2271" s="2" t="str">
        <f aca="false">IF(C2271="","",IFERROR(INDEX($S$5:$S$304,MATCH(C2271,$R$5:$R$304,0))&amp;"","?"))</f>
        <v>30</v>
      </c>
      <c r="N2271" s="2" t="n">
        <f aca="false">IF(E2271="","",IF(ISNUMBER(SEARCH("SUBSOLO",E2271)),IFERROR(-VALUE(LEFT(E2271,FIND("º",SUBSTITUTE(E2271,"°","º"))-1)),-1),IF(LEFT(E2271,6)="TÉRREO",0,IFERROR(VALUE(LEFT(E2271,FIND("º",SUBSTITUTE(E2271,"°","º"))-1)),""))))</f>
        <v>32</v>
      </c>
      <c r="O2271" s="2" t="str">
        <f aca="false">IF(OR(F2271="",G2271=""),"",IF(G2271&lt;='RETRATO 2027'!$K$5,"CONCLUÍDA",IF(F2271&lt;='RETRATO 2027'!$K$5,"EM ANDAMENTO","A INICIAR")))</f>
        <v>A INICIAR</v>
      </c>
    </row>
    <row r="2272" customFormat="false" ht="15" hidden="false" customHeight="false" outlineLevel="0" collapsed="false">
      <c r="B2272" s="4" t="n">
        <v>30205969</v>
      </c>
      <c r="C2272" s="4" t="s">
        <v>2629</v>
      </c>
      <c r="D2272" s="4" t="s">
        <v>463</v>
      </c>
      <c r="E2272" s="4" t="s">
        <v>2850</v>
      </c>
      <c r="F2272" s="127" t="n">
        <v>47128</v>
      </c>
      <c r="G2272" s="127" t="n">
        <v>47133</v>
      </c>
      <c r="H2272" s="127" t="n">
        <v>46289</v>
      </c>
      <c r="I2272" s="4" t="n">
        <v>0</v>
      </c>
      <c r="J2272" s="4" t="n">
        <v>0</v>
      </c>
      <c r="K2272" s="4" t="n">
        <v>0</v>
      </c>
      <c r="M2272" s="2" t="str">
        <f aca="false">IF(C2272="","",IFERROR(INDEX($S$5:$S$304,MATCH(C2272,$R$5:$R$304,0))&amp;"","?"))</f>
        <v>20</v>
      </c>
      <c r="N2272" s="2" t="n">
        <f aca="false">IF(E2272="","",IF(ISNUMBER(SEARCH("SUBSOLO",E2272)),IFERROR(-VALUE(LEFT(E2272,FIND("º",SUBSTITUTE(E2272,"°","º"))-1)),-1),IF(LEFT(E2272,6)="TÉRREO",0,IFERROR(VALUE(LEFT(E2272,FIND("º",SUBSTITUTE(E2272,"°","º"))-1)),""))))</f>
        <v>6</v>
      </c>
      <c r="O2272" s="2" t="str">
        <f aca="false">IF(OR(F2272="",G2272=""),"",IF(G2272&lt;='RETRATO 2027'!$K$5,"CONCLUÍDA",IF(F2272&lt;='RETRATO 2027'!$K$5,"EM ANDAMENTO","A INICIAR")))</f>
        <v>A INICIAR</v>
      </c>
    </row>
    <row r="2273" customFormat="false" ht="15" hidden="false" customHeight="false" outlineLevel="0" collapsed="false">
      <c r="B2273" s="4" t="n">
        <v>33807239</v>
      </c>
      <c r="C2273" s="4" t="s">
        <v>2738</v>
      </c>
      <c r="D2273" s="4" t="s">
        <v>463</v>
      </c>
      <c r="E2273" s="4" t="s">
        <v>2804</v>
      </c>
      <c r="F2273" s="127" t="n">
        <v>47129</v>
      </c>
      <c r="G2273" s="127" t="n">
        <v>47133</v>
      </c>
      <c r="H2273" s="127" t="n">
        <v>46289</v>
      </c>
      <c r="I2273" s="4" t="n">
        <v>0</v>
      </c>
      <c r="J2273" s="4" t="n">
        <v>0</v>
      </c>
      <c r="K2273" s="4" t="n">
        <v>0</v>
      </c>
      <c r="M2273" s="2" t="str">
        <f aca="false">IF(C2273="","",IFERROR(INDEX($S$5:$S$304,MATCH(C2273,$R$5:$R$304,0))&amp;"","?"))</f>
        <v/>
      </c>
      <c r="N2273" s="2" t="n">
        <f aca="false">IF(E2273="","",IF(ISNUMBER(SEARCH("SUBSOLO",E2273)),IFERROR(-VALUE(LEFT(E2273,FIND("º",SUBSTITUTE(E2273,"°","º"))-1)),-1),IF(LEFT(E2273,6)="TÉRREO",0,IFERROR(VALUE(LEFT(E2273,FIND("º",SUBSTITUTE(E2273,"°","º"))-1)),""))))</f>
        <v>8</v>
      </c>
      <c r="O2273" s="2" t="str">
        <f aca="false">IF(OR(F2273="",G2273=""),"",IF(G2273&lt;='RETRATO 2027'!$K$5,"CONCLUÍDA",IF(F2273&lt;='RETRATO 2027'!$K$5,"EM ANDAMENTO","A INICIAR")))</f>
        <v>A INICIAR</v>
      </c>
    </row>
    <row r="2274" customFormat="false" ht="15" hidden="false" customHeight="false" outlineLevel="0" collapsed="false">
      <c r="B2274" s="4" t="n">
        <v>29981411</v>
      </c>
      <c r="C2274" s="4" t="s">
        <v>2732</v>
      </c>
      <c r="D2274" s="4" t="s">
        <v>463</v>
      </c>
      <c r="E2274" s="4" t="s">
        <v>2810</v>
      </c>
      <c r="F2274" s="127" t="n">
        <v>47129</v>
      </c>
      <c r="G2274" s="127" t="n">
        <v>47141</v>
      </c>
      <c r="H2274" s="127" t="n">
        <v>46289</v>
      </c>
      <c r="I2274" s="4" t="n">
        <v>0</v>
      </c>
      <c r="J2274" s="4" t="n">
        <v>0</v>
      </c>
      <c r="K2274" s="4" t="n">
        <v>0</v>
      </c>
      <c r="M2274" s="2" t="str">
        <f aca="false">IF(C2274="","",IFERROR(INDEX($S$5:$S$304,MATCH(C2274,$R$5:$R$304,0))&amp;"","?"))</f>
        <v/>
      </c>
      <c r="N2274" s="2" t="n">
        <f aca="false">IF(E2274="","",IF(ISNUMBER(SEARCH("SUBSOLO",E2274)),IFERROR(-VALUE(LEFT(E2274,FIND("º",SUBSTITUTE(E2274,"°","º"))-1)),-1),IF(LEFT(E2274,6)="TÉRREO",0,IFERROR(VALUE(LEFT(E2274,FIND("º",SUBSTITUTE(E2274,"°","º"))-1)),""))))</f>
        <v>11</v>
      </c>
      <c r="O2274" s="2" t="str">
        <f aca="false">IF(OR(F2274="",G2274=""),"",IF(G2274&lt;='RETRATO 2027'!$K$5,"CONCLUÍDA",IF(F2274&lt;='RETRATO 2027'!$K$5,"EM ANDAMENTO","A INICIAR")))</f>
        <v>A INICIAR</v>
      </c>
    </row>
    <row r="2275" customFormat="false" ht="15" hidden="false" customHeight="false" outlineLevel="0" collapsed="false">
      <c r="B2275" s="4" t="n">
        <v>30171534</v>
      </c>
      <c r="C2275" s="4" t="s">
        <v>2641</v>
      </c>
      <c r="D2275" s="4" t="s">
        <v>463</v>
      </c>
      <c r="E2275" s="4" t="s">
        <v>2857</v>
      </c>
      <c r="F2275" s="127" t="n">
        <v>47130</v>
      </c>
      <c r="G2275" s="127" t="n">
        <v>47161</v>
      </c>
      <c r="H2275" s="127" t="n">
        <v>46289</v>
      </c>
      <c r="I2275" s="4" t="n">
        <v>0</v>
      </c>
      <c r="J2275" s="4" t="n">
        <v>0</v>
      </c>
      <c r="K2275" s="4" t="n">
        <v>0</v>
      </c>
      <c r="M2275" s="2" t="str">
        <f aca="false">IF(C2275="","",IFERROR(INDEX($S$5:$S$304,MATCH(C2275,$R$5:$R$304,0))&amp;"","?"))</f>
        <v>35</v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>A INICIAR</v>
      </c>
    </row>
    <row r="2276" customFormat="false" ht="15" hidden="false" customHeight="false" outlineLevel="0" collapsed="false">
      <c r="B2276" s="4" t="n">
        <v>30171452</v>
      </c>
      <c r="C2276" s="4" t="s">
        <v>2690</v>
      </c>
      <c r="D2276" s="4" t="s">
        <v>463</v>
      </c>
      <c r="E2276" s="4" t="s">
        <v>2790</v>
      </c>
      <c r="F2276" s="127" t="n">
        <v>47133</v>
      </c>
      <c r="G2276" s="127" t="n">
        <v>47151</v>
      </c>
      <c r="H2276" s="127" t="n">
        <v>46289</v>
      </c>
      <c r="I2276" s="4" t="n">
        <v>0</v>
      </c>
      <c r="J2276" s="4" t="n">
        <v>0</v>
      </c>
      <c r="K2276" s="4" t="n">
        <v>0</v>
      </c>
      <c r="M2276" s="2" t="str">
        <f aca="false">IF(C2276="","",IFERROR(INDEX($S$5:$S$304,MATCH(C2276,$R$5:$R$304,0))&amp;"","?"))</f>
        <v>37</v>
      </c>
      <c r="N2276" s="2" t="n">
        <f aca="false">IF(E2276="","",IF(ISNUMBER(SEARCH("SUBSOLO",E2276)),IFERROR(-VALUE(LEFT(E2276,FIND("º",SUBSTITUTE(E2276,"°","º"))-1)),-1),IF(LEFT(E2276,6)="TÉRREO",0,IFERROR(VALUE(LEFT(E2276,FIND("º",SUBSTITUTE(E2276,"°","º"))-1)),""))))</f>
        <v>3</v>
      </c>
      <c r="O2276" s="2" t="str">
        <f aca="false">IF(OR(F2276="",G2276=""),"",IF(G2276&lt;='RETRATO 2027'!$K$5,"CONCLUÍDA",IF(F2276&lt;='RETRATO 2027'!$K$5,"EM ANDAMENTO","A INICIAR")))</f>
        <v>A INICIAR</v>
      </c>
    </row>
    <row r="2277" customFormat="false" ht="15" hidden="false" customHeight="false" outlineLevel="0" collapsed="false">
      <c r="B2277" s="4" t="n">
        <v>29981086</v>
      </c>
      <c r="C2277" s="4" t="s">
        <v>2599</v>
      </c>
      <c r="D2277" s="4" t="s">
        <v>463</v>
      </c>
      <c r="E2277" s="4" t="s">
        <v>2822</v>
      </c>
      <c r="F2277" s="127" t="n">
        <v>47133</v>
      </c>
      <c r="G2277" s="127" t="n">
        <v>47141</v>
      </c>
      <c r="H2277" s="127" t="n">
        <v>46289</v>
      </c>
      <c r="I2277" s="4" t="n">
        <v>0</v>
      </c>
      <c r="J2277" s="4" t="n">
        <v>0</v>
      </c>
      <c r="K2277" s="4" t="n">
        <v>0</v>
      </c>
      <c r="M2277" s="2" t="str">
        <f aca="false">IF(C2277="","",IFERROR(INDEX($S$5:$S$304,MATCH(C2277,$R$5:$R$304,0))&amp;"","?"))</f>
        <v>30</v>
      </c>
      <c r="N2277" s="2" t="n">
        <f aca="false">IF(E2277="","",IF(ISNUMBER(SEARCH("SUBSOLO",E2277)),IFERROR(-VALUE(LEFT(E2277,FIND("º",SUBSTITUTE(E2277,"°","º"))-1)),-1),IF(LEFT(E2277,6)="TÉRREO",0,IFERROR(VALUE(LEFT(E2277,FIND("º",SUBSTITUTE(E2277,"°","º"))-1)),""))))</f>
        <v>19</v>
      </c>
      <c r="O2277" s="2" t="str">
        <f aca="false">IF(OR(F2277="",G2277=""),"",IF(G2277&lt;='RETRATO 2027'!$K$5,"CONCLUÍDA",IF(F2277&lt;='RETRATO 2027'!$K$5,"EM ANDAMENTO","A INICIAR")))</f>
        <v>A INICIAR</v>
      </c>
    </row>
    <row r="2278" customFormat="false" ht="15" hidden="false" customHeight="false" outlineLevel="0" collapsed="false">
      <c r="B2278" s="4" t="n">
        <v>30205967</v>
      </c>
      <c r="C2278" s="4" t="s">
        <v>2637</v>
      </c>
      <c r="D2278" s="4" t="s">
        <v>463</v>
      </c>
      <c r="E2278" s="4" t="s">
        <v>2850</v>
      </c>
      <c r="F2278" s="127" t="n">
        <v>47134</v>
      </c>
      <c r="G2278" s="127" t="n">
        <v>47140</v>
      </c>
      <c r="H2278" s="127" t="n">
        <v>46289</v>
      </c>
      <c r="I2278" s="4" t="n">
        <v>0</v>
      </c>
      <c r="J2278" s="4" t="n">
        <v>0</v>
      </c>
      <c r="K2278" s="4" t="n">
        <v>0</v>
      </c>
      <c r="M2278" s="2" t="str">
        <f aca="false">IF(C2278="","",IFERROR(INDEX($S$5:$S$304,MATCH(C2278,$R$5:$R$304,0))&amp;"","?"))</f>
        <v/>
      </c>
      <c r="N2278" s="2" t="n">
        <f aca="false">IF(E2278="","",IF(ISNUMBER(SEARCH("SUBSOLO",E2278)),IFERROR(-VALUE(LEFT(E2278,FIND("º",SUBSTITUTE(E2278,"°","º"))-1)),-1),IF(LEFT(E2278,6)="TÉRREO",0,IFERROR(VALUE(LEFT(E2278,FIND("º",SUBSTITUTE(E2278,"°","º"))-1)),""))))</f>
        <v>6</v>
      </c>
      <c r="O2278" s="2" t="str">
        <f aca="false">IF(OR(F2278="",G2278=""),"",IF(G2278&lt;='RETRATO 2027'!$K$5,"CONCLUÍDA",IF(F2278&lt;='RETRATO 2027'!$K$5,"EM ANDAMENTO","A INICIAR")))</f>
        <v>A INICIAR</v>
      </c>
    </row>
    <row r="2279" customFormat="false" ht="15" hidden="false" customHeight="false" outlineLevel="0" collapsed="false">
      <c r="B2279" s="4" t="n">
        <v>30171656</v>
      </c>
      <c r="C2279" s="4" t="s">
        <v>2629</v>
      </c>
      <c r="D2279" s="4" t="s">
        <v>463</v>
      </c>
      <c r="E2279" s="4" t="s">
        <v>2816</v>
      </c>
      <c r="F2279" s="127" t="n">
        <v>47134</v>
      </c>
      <c r="G2279" s="127" t="n">
        <v>47147</v>
      </c>
      <c r="H2279" s="127" t="n">
        <v>46289</v>
      </c>
      <c r="I2279" s="4" t="n">
        <v>0</v>
      </c>
      <c r="J2279" s="4" t="n">
        <v>0</v>
      </c>
      <c r="K2279" s="4" t="n">
        <v>0</v>
      </c>
      <c r="M2279" s="2" t="str">
        <f aca="false">IF(C2279="","",IFERROR(INDEX($S$5:$S$304,MATCH(C2279,$R$5:$R$304,0))&amp;"","?"))</f>
        <v>20</v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>A INICIAR</v>
      </c>
    </row>
    <row r="2280" customFormat="false" ht="15" hidden="false" customHeight="false" outlineLevel="0" collapsed="false">
      <c r="B2280" s="4" t="n">
        <v>33807240</v>
      </c>
      <c r="C2280" s="4" t="s">
        <v>2738</v>
      </c>
      <c r="D2280" s="4" t="s">
        <v>463</v>
      </c>
      <c r="E2280" s="4" t="s">
        <v>2805</v>
      </c>
      <c r="F2280" s="127" t="n">
        <v>47134</v>
      </c>
      <c r="G2280" s="127" t="n">
        <v>47136</v>
      </c>
      <c r="H2280" s="127" t="n">
        <v>46289</v>
      </c>
      <c r="I2280" s="4" t="n">
        <v>0</v>
      </c>
      <c r="J2280" s="4" t="n">
        <v>0</v>
      </c>
      <c r="K2280" s="4" t="n">
        <v>0</v>
      </c>
      <c r="M2280" s="2" t="str">
        <f aca="false">IF(C2280="","",IFERROR(INDEX($S$5:$S$304,MATCH(C2280,$R$5:$R$304,0))&amp;"","?"))</f>
        <v/>
      </c>
      <c r="N2280" s="2" t="n">
        <f aca="false">IF(E2280="","",IF(ISNUMBER(SEARCH("SUBSOLO",E2280)),IFERROR(-VALUE(LEFT(E2280,FIND("º",SUBSTITUTE(E2280,"°","º"))-1)),-1),IF(LEFT(E2280,6)="TÉRREO",0,IFERROR(VALUE(LEFT(E2280,FIND("º",SUBSTITUTE(E2280,"°","º"))-1)),""))))</f>
        <v>9</v>
      </c>
      <c r="O2280" s="2" t="str">
        <f aca="false">IF(OR(F2280="",G2280=""),"",IF(G2280&lt;='RETRATO 2027'!$K$5,"CONCLUÍDA",IF(F2280&lt;='RETRATO 2027'!$K$5,"EM ANDAMENTO","A INICIAR")))</f>
        <v>A INICIAR</v>
      </c>
    </row>
    <row r="2281" customFormat="false" ht="15" hidden="false" customHeight="false" outlineLevel="0" collapsed="false">
      <c r="B2281" s="4" t="n">
        <v>29981374</v>
      </c>
      <c r="C2281" s="4" t="s">
        <v>2732</v>
      </c>
      <c r="D2281" s="4" t="s">
        <v>463</v>
      </c>
      <c r="E2281" s="4" t="s">
        <v>2811</v>
      </c>
      <c r="F2281" s="127" t="n">
        <v>47134</v>
      </c>
      <c r="G2281" s="127" t="n">
        <v>47144</v>
      </c>
      <c r="H2281" s="127" t="n">
        <v>46289</v>
      </c>
      <c r="I2281" s="4" t="n">
        <v>0</v>
      </c>
      <c r="J2281" s="4" t="n">
        <v>0</v>
      </c>
      <c r="K2281" s="4" t="n">
        <v>0</v>
      </c>
      <c r="M2281" s="2" t="str">
        <f aca="false">IF(C2281="","",IFERROR(INDEX($S$5:$S$304,MATCH(C2281,$R$5:$R$304,0))&amp;"","?"))</f>
        <v/>
      </c>
      <c r="N2281" s="2" t="n">
        <f aca="false">IF(E2281="","",IF(ISNUMBER(SEARCH("SUBSOLO",E2281)),IFERROR(-VALUE(LEFT(E2281,FIND("º",SUBSTITUTE(E2281,"°","º"))-1)),-1),IF(LEFT(E2281,6)="TÉRREO",0,IFERROR(VALUE(LEFT(E2281,FIND("º",SUBSTITUTE(E2281,"°","º"))-1)),""))))</f>
        <v>12</v>
      </c>
      <c r="O2281" s="2" t="str">
        <f aca="false">IF(OR(F2281="",G2281=""),"",IF(G2281&lt;='RETRATO 2027'!$K$5,"CONCLUÍDA",IF(F2281&lt;='RETRATO 2027'!$K$5,"EM ANDAMENTO","A INICIAR")))</f>
        <v>A INICIAR</v>
      </c>
    </row>
    <row r="2282" customFormat="false" ht="15" hidden="false" customHeight="false" outlineLevel="0" collapsed="false">
      <c r="B2282" s="4" t="n">
        <v>29980847</v>
      </c>
      <c r="C2282" s="4" t="s">
        <v>2649</v>
      </c>
      <c r="D2282" s="4" t="s">
        <v>463</v>
      </c>
      <c r="E2282" s="4" t="s">
        <v>2834</v>
      </c>
      <c r="F2282" s="127" t="n">
        <v>47134</v>
      </c>
      <c r="G2282" s="127" t="n">
        <v>47144</v>
      </c>
      <c r="H2282" s="127" t="n">
        <v>46289</v>
      </c>
      <c r="I2282" s="4" t="n">
        <v>0</v>
      </c>
      <c r="J2282" s="4" t="n">
        <v>0</v>
      </c>
      <c r="K2282" s="4" t="n">
        <v>0</v>
      </c>
      <c r="M2282" s="2" t="str">
        <f aca="false">IF(C2282="","",IFERROR(INDEX($S$5:$S$304,MATCH(C2282,$R$5:$R$304,0))&amp;"","?"))</f>
        <v>37</v>
      </c>
      <c r="N2282" s="2" t="n">
        <f aca="false">IF(E2282="","",IF(ISNUMBER(SEARCH("SUBSOLO",E2282)),IFERROR(-VALUE(LEFT(E2282,FIND("º",SUBSTITUTE(E2282,"°","º"))-1)),-1),IF(LEFT(E2282,6)="TÉRREO",0,IFERROR(VALUE(LEFT(E2282,FIND("º",SUBSTITUTE(E2282,"°","º"))-1)),""))))</f>
        <v>26</v>
      </c>
      <c r="O2282" s="2" t="str">
        <f aca="false">IF(OR(F2282="",G2282=""),"",IF(G2282&lt;='RETRATO 2027'!$K$5,"CONCLUÍDA",IF(F2282&lt;='RETRATO 2027'!$K$5,"EM ANDAMENTO","A INICIAR")))</f>
        <v>A INICIAR</v>
      </c>
    </row>
    <row r="2283" customFormat="false" ht="15" hidden="false" customHeight="false" outlineLevel="0" collapsed="false">
      <c r="B2283" s="4" t="n">
        <v>29980800</v>
      </c>
      <c r="C2283" s="4" t="s">
        <v>2641</v>
      </c>
      <c r="D2283" s="4" t="s">
        <v>463</v>
      </c>
      <c r="E2283" s="4" t="s">
        <v>2838</v>
      </c>
      <c r="F2283" s="127" t="n">
        <v>47134</v>
      </c>
      <c r="G2283" s="127" t="n">
        <v>47144</v>
      </c>
      <c r="H2283" s="127" t="n">
        <v>46289</v>
      </c>
      <c r="I2283" s="4" t="n">
        <v>0</v>
      </c>
      <c r="J2283" s="4" t="n">
        <v>0</v>
      </c>
      <c r="K2283" s="4" t="n">
        <v>0</v>
      </c>
      <c r="M2283" s="2" t="str">
        <f aca="false">IF(C2283="","",IFERROR(INDEX($S$5:$S$304,MATCH(C2283,$R$5:$R$304,0))&amp;"","?"))</f>
        <v>35</v>
      </c>
      <c r="N2283" s="2" t="n">
        <f aca="false">IF(E2283="","",IF(ISNUMBER(SEARCH("SUBSOLO",E2283)),IFERROR(-VALUE(LEFT(E2283,FIND("º",SUBSTITUTE(E2283,"°","º"))-1)),-1),IF(LEFT(E2283,6)="TÉRREO",0,IFERROR(VALUE(LEFT(E2283,FIND("º",SUBSTITUTE(E2283,"°","º"))-1)),""))))</f>
        <v>27</v>
      </c>
      <c r="O2283" s="2" t="str">
        <f aca="false">IF(OR(F2283="",G2283=""),"",IF(G2283&lt;='RETRATO 2027'!$K$5,"CONCLUÍDA",IF(F2283&lt;='RETRATO 2027'!$K$5,"EM ANDAMENTO","A INICIAR")))</f>
        <v>A INICIAR</v>
      </c>
    </row>
    <row r="2284" customFormat="false" ht="15" hidden="false" customHeight="false" outlineLevel="0" collapsed="false">
      <c r="B2284" s="4" t="n">
        <v>33807241</v>
      </c>
      <c r="C2284" s="4" t="s">
        <v>2738</v>
      </c>
      <c r="D2284" s="4" t="s">
        <v>463</v>
      </c>
      <c r="E2284" s="4" t="s">
        <v>2809</v>
      </c>
      <c r="F2284" s="127" t="n">
        <v>47137</v>
      </c>
      <c r="G2284" s="127" t="n">
        <v>47141</v>
      </c>
      <c r="H2284" s="127" t="n">
        <v>46289</v>
      </c>
      <c r="I2284" s="4" t="n">
        <v>0</v>
      </c>
      <c r="J2284" s="4" t="n">
        <v>0</v>
      </c>
      <c r="K2284" s="4" t="n">
        <v>0</v>
      </c>
      <c r="M2284" s="2" t="str">
        <f aca="false">IF(C2284="","",IFERROR(INDEX($S$5:$S$304,MATCH(C2284,$R$5:$R$304,0))&amp;"","?"))</f>
        <v/>
      </c>
      <c r="N2284" s="2" t="n">
        <f aca="false">IF(E2284="","",IF(ISNUMBER(SEARCH("SUBSOLO",E2284)),IFERROR(-VALUE(LEFT(E2284,FIND("º",SUBSTITUTE(E2284,"°","º"))-1)),-1),IF(LEFT(E2284,6)="TÉRREO",0,IFERROR(VALUE(LEFT(E2284,FIND("º",SUBSTITUTE(E2284,"°","º"))-1)),""))))</f>
        <v>10</v>
      </c>
      <c r="O2284" s="2" t="str">
        <f aca="false">IF(OR(F2284="",G2284=""),"",IF(G2284&lt;='RETRATO 2027'!$K$5,"CONCLUÍDA",IF(F2284&lt;='RETRATO 2027'!$K$5,"EM ANDAMENTO","A INICIAR")))</f>
        <v>A INICIAR</v>
      </c>
    </row>
    <row r="2285" customFormat="false" ht="15" hidden="false" customHeight="false" outlineLevel="0" collapsed="false">
      <c r="B2285" s="4" t="n">
        <v>29981337</v>
      </c>
      <c r="C2285" s="4" t="s">
        <v>2732</v>
      </c>
      <c r="D2285" s="4" t="s">
        <v>463</v>
      </c>
      <c r="E2285" s="4" t="s">
        <v>2812</v>
      </c>
      <c r="F2285" s="127" t="n">
        <v>47137</v>
      </c>
      <c r="G2285" s="127" t="n">
        <v>47149</v>
      </c>
      <c r="H2285" s="127" t="n">
        <v>46289</v>
      </c>
      <c r="I2285" s="4" t="n">
        <v>0</v>
      </c>
      <c r="J2285" s="4" t="n">
        <v>0</v>
      </c>
      <c r="K2285" s="4" t="n">
        <v>0</v>
      </c>
      <c r="M2285" s="2" t="str">
        <f aca="false">IF(C2285="","",IFERROR(INDEX($S$5:$S$304,MATCH(C2285,$R$5:$R$304,0))&amp;"","?"))</f>
        <v/>
      </c>
      <c r="N2285" s="2" t="n">
        <f aca="false">IF(E2285="","",IF(ISNUMBER(SEARCH("SUBSOLO",E2285)),IFERROR(-VALUE(LEFT(E2285,FIND("º",SUBSTITUTE(E2285,"°","º"))-1)),-1),IF(LEFT(E2285,6)="TÉRREO",0,IFERROR(VALUE(LEFT(E2285,FIND("º",SUBSTITUTE(E2285,"°","º"))-1)),""))))</f>
        <v>13</v>
      </c>
      <c r="O2285" s="2" t="str">
        <f aca="false">IF(OR(F2285="",G2285=""),"",IF(G2285&lt;='RETRATO 2027'!$K$5,"CONCLUÍDA",IF(F2285&lt;='RETRATO 2027'!$K$5,"EM ANDAMENTO","A INICIAR")))</f>
        <v>A INICIAR</v>
      </c>
    </row>
    <row r="2286" customFormat="false" ht="15" hidden="false" customHeight="false" outlineLevel="0" collapsed="false">
      <c r="B2286" s="4" t="n">
        <v>29980762</v>
      </c>
      <c r="C2286" s="4" t="s">
        <v>2637</v>
      </c>
      <c r="D2286" s="4" t="s">
        <v>463</v>
      </c>
      <c r="E2286" s="4" t="s">
        <v>2840</v>
      </c>
      <c r="F2286" s="127" t="n">
        <v>47140</v>
      </c>
      <c r="G2286" s="127" t="n">
        <v>47144</v>
      </c>
      <c r="H2286" s="127" t="n">
        <v>46289</v>
      </c>
      <c r="I2286" s="4" t="n">
        <v>0</v>
      </c>
      <c r="J2286" s="4" t="n">
        <v>0</v>
      </c>
      <c r="K2286" s="4" t="n">
        <v>0</v>
      </c>
      <c r="M2286" s="2" t="str">
        <f aca="false">IF(C2286="","",IFERROR(INDEX($S$5:$S$304,MATCH(C2286,$R$5:$R$304,0))&amp;"","?"))</f>
        <v/>
      </c>
      <c r="N2286" s="2" t="n">
        <f aca="false">IF(E2286="","",IF(ISNUMBER(SEARCH("SUBSOLO",E2286)),IFERROR(-VALUE(LEFT(E2286,FIND("º",SUBSTITUTE(E2286,"°","º"))-1)),-1),IF(LEFT(E2286,6)="TÉRREO",0,IFERROR(VALUE(LEFT(E2286,FIND("º",SUBSTITUTE(E2286,"°","º"))-1)),""))))</f>
        <v>28</v>
      </c>
      <c r="O2286" s="2" t="str">
        <f aca="false">IF(OR(F2286="",G2286=""),"",IF(G2286&lt;='RETRATO 2027'!$K$5,"CONCLUÍDA",IF(F2286&lt;='RETRATO 2027'!$K$5,"EM ANDAMENTO","A INICIAR")))</f>
        <v>A INICIAR</v>
      </c>
    </row>
    <row r="2287" customFormat="false" ht="15" hidden="false" customHeight="false" outlineLevel="0" collapsed="false">
      <c r="B2287" s="4" t="n">
        <v>29980727</v>
      </c>
      <c r="C2287" s="4" t="s">
        <v>2629</v>
      </c>
      <c r="D2287" s="4" t="s">
        <v>463</v>
      </c>
      <c r="E2287" s="4" t="s">
        <v>2841</v>
      </c>
      <c r="F2287" s="127" t="n">
        <v>47140</v>
      </c>
      <c r="G2287" s="127" t="n">
        <v>47150</v>
      </c>
      <c r="H2287" s="127" t="n">
        <v>46289</v>
      </c>
      <c r="I2287" s="4" t="n">
        <v>0</v>
      </c>
      <c r="J2287" s="4" t="n">
        <v>0</v>
      </c>
      <c r="K2287" s="4" t="n">
        <v>0</v>
      </c>
      <c r="M2287" s="2" t="str">
        <f aca="false">IF(C2287="","",IFERROR(INDEX($S$5:$S$304,MATCH(C2287,$R$5:$R$304,0))&amp;"","?"))</f>
        <v>20</v>
      </c>
      <c r="N2287" s="2" t="n">
        <f aca="false">IF(E2287="","",IF(ISNUMBER(SEARCH("SUBSOLO",E2287)),IFERROR(-VALUE(LEFT(E2287,FIND("º",SUBSTITUTE(E2287,"°","º"))-1)),-1),IF(LEFT(E2287,6)="TÉRREO",0,IFERROR(VALUE(LEFT(E2287,FIND("º",SUBSTITUTE(E2287,"°","º"))-1)),""))))</f>
        <v>29</v>
      </c>
      <c r="O2287" s="2" t="str">
        <f aca="false">IF(OR(F2287="",G2287=""),"",IF(G2287&lt;='RETRATO 2027'!$K$5,"CONCLUÍDA",IF(F2287&lt;='RETRATO 2027'!$K$5,"EM ANDAMENTO","A INICIAR")))</f>
        <v>A INICIAR</v>
      </c>
    </row>
    <row r="2288" customFormat="false" ht="15" hidden="false" customHeight="false" outlineLevel="0" collapsed="false">
      <c r="B2288" s="4" t="n">
        <v>29980687</v>
      </c>
      <c r="C2288" s="4" t="s">
        <v>2623</v>
      </c>
      <c r="D2288" s="4" t="s">
        <v>463</v>
      </c>
      <c r="E2288" s="4" t="s">
        <v>2842</v>
      </c>
      <c r="F2288" s="127" t="n">
        <v>47140</v>
      </c>
      <c r="G2288" s="127" t="n">
        <v>47150</v>
      </c>
      <c r="H2288" s="127" t="n">
        <v>46289</v>
      </c>
      <c r="I2288" s="4" t="n">
        <v>0</v>
      </c>
      <c r="J2288" s="4" t="n">
        <v>0</v>
      </c>
      <c r="K2288" s="4" t="n">
        <v>0</v>
      </c>
      <c r="M2288" s="2" t="str">
        <f aca="false">IF(C2288="","",IFERROR(INDEX($S$5:$S$304,MATCH(C2288,$R$5:$R$304,0))&amp;"","?"))</f>
        <v>35</v>
      </c>
      <c r="N2288" s="2" t="n">
        <f aca="false">IF(E2288="","",IF(ISNUMBER(SEARCH("SUBSOLO",E2288)),IFERROR(-VALUE(LEFT(E2288,FIND("º",SUBSTITUTE(E2288,"°","º"))-1)),-1),IF(LEFT(E2288,6)="TÉRREO",0,IFERROR(VALUE(LEFT(E2288,FIND("º",SUBSTITUTE(E2288,"°","º"))-1)),""))))</f>
        <v>30</v>
      </c>
      <c r="O2288" s="2" t="str">
        <f aca="false">IF(OR(F2288="",G2288=""),"",IF(G2288&lt;='RETRATO 2027'!$K$5,"CONCLUÍDA",IF(F2288&lt;='RETRATO 2027'!$K$5,"EM ANDAMENTO","A INICIAR")))</f>
        <v>A INICIAR</v>
      </c>
    </row>
    <row r="2289" customFormat="false" ht="15" hidden="false" customHeight="false" outlineLevel="0" collapsed="false">
      <c r="B2289" s="4" t="n">
        <v>33919807</v>
      </c>
      <c r="C2289" s="4" t="s">
        <v>2625</v>
      </c>
      <c r="D2289" s="4" t="s">
        <v>463</v>
      </c>
      <c r="E2289" s="4" t="s">
        <v>2842</v>
      </c>
      <c r="F2289" s="127" t="n">
        <v>47140</v>
      </c>
      <c r="G2289" s="127" t="n">
        <v>47150</v>
      </c>
      <c r="H2289" s="127" t="n">
        <v>46289</v>
      </c>
      <c r="I2289" s="4" t="n">
        <v>0</v>
      </c>
      <c r="J2289" s="4" t="n">
        <v>0</v>
      </c>
      <c r="K2289" s="4" t="n">
        <v>0</v>
      </c>
      <c r="M2289" s="2" t="str">
        <f aca="false">IF(C2289="","",IFERROR(INDEX($S$5:$S$304,MATCH(C2289,$R$5:$R$304,0))&amp;"","?"))</f>
        <v>32</v>
      </c>
      <c r="N2289" s="2" t="n">
        <f aca="false">IF(E2289="","",IF(ISNUMBER(SEARCH("SUBSOLO",E2289)),IFERROR(-VALUE(LEFT(E2289,FIND("º",SUBSTITUTE(E2289,"°","º"))-1)),-1),IF(LEFT(E2289,6)="TÉRREO",0,IFERROR(VALUE(LEFT(E2289,FIND("º",SUBSTITUTE(E2289,"°","º"))-1)),""))))</f>
        <v>30</v>
      </c>
      <c r="O2289" s="2" t="str">
        <f aca="false">IF(OR(F2289="",G2289=""),"",IF(G2289&lt;='RETRATO 2027'!$K$5,"CONCLUÍDA",IF(F2289&lt;='RETRATO 2027'!$K$5,"EM ANDAMENTO","A INICIAR")))</f>
        <v>A INICIAR</v>
      </c>
    </row>
    <row r="2290" customFormat="false" ht="15" hidden="false" customHeight="false" outlineLevel="0" collapsed="false">
      <c r="B2290" s="4" t="n">
        <v>29980649</v>
      </c>
      <c r="C2290" s="4" t="s">
        <v>2615</v>
      </c>
      <c r="D2290" s="4" t="s">
        <v>463</v>
      </c>
      <c r="E2290" s="4" t="s">
        <v>2843</v>
      </c>
      <c r="F2290" s="127" t="n">
        <v>47140</v>
      </c>
      <c r="G2290" s="127" t="n">
        <v>47150</v>
      </c>
      <c r="H2290" s="127" t="n">
        <v>46289</v>
      </c>
      <c r="I2290" s="4" t="n">
        <v>0</v>
      </c>
      <c r="J2290" s="4" t="n">
        <v>0</v>
      </c>
      <c r="K2290" s="4" t="n">
        <v>0</v>
      </c>
      <c r="M2290" s="2" t="str">
        <f aca="false">IF(C2290="","",IFERROR(INDEX($S$5:$S$304,MATCH(C2290,$R$5:$R$304,0))&amp;"","?"))</f>
        <v>37</v>
      </c>
      <c r="N2290" s="2" t="n">
        <f aca="false">IF(E2290="","",IF(ISNUMBER(SEARCH("SUBSOLO",E2290)),IFERROR(-VALUE(LEFT(E2290,FIND("º",SUBSTITUTE(E2290,"°","º"))-1)),-1),IF(LEFT(E2290,6)="TÉRREO",0,IFERROR(VALUE(LEFT(E2290,FIND("º",SUBSTITUTE(E2290,"°","º"))-1)),""))))</f>
        <v>31</v>
      </c>
      <c r="O2290" s="2" t="str">
        <f aca="false">IF(OR(F2290="",G2290=""),"",IF(G2290&lt;='RETRATO 2027'!$K$5,"CONCLUÍDA",IF(F2290&lt;='RETRATO 2027'!$K$5,"EM ANDAMENTO","A INICIAR")))</f>
        <v>A INICIAR</v>
      </c>
    </row>
    <row r="2291" customFormat="false" ht="15" hidden="false" customHeight="false" outlineLevel="0" collapsed="false">
      <c r="B2291" s="4" t="n">
        <v>29980606</v>
      </c>
      <c r="C2291" s="4" t="s">
        <v>2605</v>
      </c>
      <c r="D2291" s="4" t="s">
        <v>463</v>
      </c>
      <c r="E2291" s="4" t="s">
        <v>2844</v>
      </c>
      <c r="F2291" s="127" t="n">
        <v>47140</v>
      </c>
      <c r="G2291" s="127" t="n">
        <v>47150</v>
      </c>
      <c r="H2291" s="127" t="n">
        <v>46289</v>
      </c>
      <c r="I2291" s="4" t="n">
        <v>0</v>
      </c>
      <c r="J2291" s="4" t="n">
        <v>0</v>
      </c>
      <c r="K2291" s="4" t="n">
        <v>0</v>
      </c>
      <c r="M2291" s="2" t="str">
        <f aca="false">IF(C2291="","",IFERROR(INDEX($S$5:$S$304,MATCH(C2291,$R$5:$R$304,0))&amp;"","?"))</f>
        <v>34</v>
      </c>
      <c r="N2291" s="2" t="n">
        <f aca="false">IF(E2291="","",IF(ISNUMBER(SEARCH("SUBSOLO",E2291)),IFERROR(-VALUE(LEFT(E2291,FIND("º",SUBSTITUTE(E2291,"°","º"))-1)),-1),IF(LEFT(E2291,6)="TÉRREO",0,IFERROR(VALUE(LEFT(E2291,FIND("º",SUBSTITUTE(E2291,"°","º"))-1)),""))))</f>
        <v>32</v>
      </c>
      <c r="O2291" s="2" t="str">
        <f aca="false">IF(OR(F2291="",G2291=""),"",IF(G2291&lt;='RETRATO 2027'!$K$5,"CONCLUÍDA",IF(F2291&lt;='RETRATO 2027'!$K$5,"EM ANDAMENTO","A INICIAR")))</f>
        <v>A INICIAR</v>
      </c>
    </row>
    <row r="2292" customFormat="false" ht="15" hidden="false" customHeight="false" outlineLevel="0" collapsed="false">
      <c r="B2292" s="4" t="n">
        <v>29980611</v>
      </c>
      <c r="C2292" s="4" t="s">
        <v>2607</v>
      </c>
      <c r="D2292" s="4" t="s">
        <v>463</v>
      </c>
      <c r="E2292" s="4" t="s">
        <v>2844</v>
      </c>
      <c r="F2292" s="127" t="n">
        <v>47140</v>
      </c>
      <c r="G2292" s="127" t="n">
        <v>47150</v>
      </c>
      <c r="H2292" s="127" t="n">
        <v>46289</v>
      </c>
      <c r="I2292" s="4" t="n">
        <v>0</v>
      </c>
      <c r="J2292" s="4" t="n">
        <v>0</v>
      </c>
      <c r="K2292" s="4" t="n">
        <v>0</v>
      </c>
      <c r="M2292" s="2" t="str">
        <f aca="false">IF(C2292="","",IFERROR(INDEX($S$5:$S$304,MATCH(C2292,$R$5:$R$304,0))&amp;"","?"))</f>
        <v>34</v>
      </c>
      <c r="N2292" s="2" t="n">
        <f aca="false">IF(E2292="","",IF(ISNUMBER(SEARCH("SUBSOLO",E2292)),IFERROR(-VALUE(LEFT(E2292,FIND("º",SUBSTITUTE(E2292,"°","º"))-1)),-1),IF(LEFT(E2292,6)="TÉRREO",0,IFERROR(VALUE(LEFT(E2292,FIND("º",SUBSTITUTE(E2292,"°","º"))-1)),""))))</f>
        <v>32</v>
      </c>
      <c r="O2292" s="2" t="str">
        <f aca="false">IF(OR(F2292="",G2292=""),"",IF(G2292&lt;='RETRATO 2027'!$K$5,"CONCLUÍDA",IF(F2292&lt;='RETRATO 2027'!$K$5,"EM ANDAMENTO","A INICIAR")))</f>
        <v>A INICIAR</v>
      </c>
    </row>
    <row r="2293" customFormat="false" ht="15" hidden="false" customHeight="false" outlineLevel="0" collapsed="false">
      <c r="B2293" s="4" t="n">
        <v>29980610</v>
      </c>
      <c r="C2293" s="4" t="s">
        <v>2563</v>
      </c>
      <c r="D2293" s="4" t="s">
        <v>463</v>
      </c>
      <c r="E2293" s="4" t="s">
        <v>2844</v>
      </c>
      <c r="F2293" s="127" t="n">
        <v>47140</v>
      </c>
      <c r="G2293" s="127" t="n">
        <v>47150</v>
      </c>
      <c r="H2293" s="127" t="n">
        <v>46289</v>
      </c>
      <c r="I2293" s="4" t="n">
        <v>0</v>
      </c>
      <c r="J2293" s="4" t="n">
        <v>0</v>
      </c>
      <c r="K2293" s="4" t="n">
        <v>0</v>
      </c>
      <c r="M2293" s="2" t="str">
        <f aca="false">IF(C2293="","",IFERROR(INDEX($S$5:$S$304,MATCH(C2293,$R$5:$R$304,0))&amp;"","?"))</f>
        <v>20</v>
      </c>
      <c r="N2293" s="2" t="n">
        <f aca="false">IF(E2293="","",IF(ISNUMBER(SEARCH("SUBSOLO",E2293)),IFERROR(-VALUE(LEFT(E2293,FIND("º",SUBSTITUTE(E2293,"°","º"))-1)),-1),IF(LEFT(E2293,6)="TÉRREO",0,IFERROR(VALUE(LEFT(E2293,FIND("º",SUBSTITUTE(E2293,"°","º"))-1)),""))))</f>
        <v>32</v>
      </c>
      <c r="O2293" s="2" t="str">
        <f aca="false">IF(OR(F2293="",G2293=""),"",IF(G2293&lt;='RETRATO 2027'!$K$5,"CONCLUÍDA",IF(F2293&lt;='RETRATO 2027'!$K$5,"EM ANDAMENTO","A INICIAR")))</f>
        <v>A INICIAR</v>
      </c>
    </row>
    <row r="2294" customFormat="false" ht="15" hidden="false" customHeight="false" outlineLevel="0" collapsed="false">
      <c r="B2294" s="4" t="n">
        <v>29980609</v>
      </c>
      <c r="C2294" s="4" t="s">
        <v>2609</v>
      </c>
      <c r="D2294" s="4" t="s">
        <v>463</v>
      </c>
      <c r="E2294" s="4" t="s">
        <v>2844</v>
      </c>
      <c r="F2294" s="127" t="n">
        <v>47140</v>
      </c>
      <c r="G2294" s="127" t="n">
        <v>47150</v>
      </c>
      <c r="H2294" s="127" t="n">
        <v>46289</v>
      </c>
      <c r="I2294" s="4" t="n">
        <v>0</v>
      </c>
      <c r="J2294" s="4" t="n">
        <v>0</v>
      </c>
      <c r="K2294" s="4" t="n">
        <v>0</v>
      </c>
      <c r="M2294" s="2" t="str">
        <f aca="false">IF(C2294="","",IFERROR(INDEX($S$5:$S$304,MATCH(C2294,$R$5:$R$304,0))&amp;"","?"))</f>
        <v>23</v>
      </c>
      <c r="N2294" s="2" t="n">
        <f aca="false">IF(E2294="","",IF(ISNUMBER(SEARCH("SUBSOLO",E2294)),IFERROR(-VALUE(LEFT(E2294,FIND("º",SUBSTITUTE(E2294,"°","º"))-1)),-1),IF(LEFT(E2294,6)="TÉRREO",0,IFERROR(VALUE(LEFT(E2294,FIND("º",SUBSTITUTE(E2294,"°","º"))-1)),""))))</f>
        <v>32</v>
      </c>
      <c r="O2294" s="2" t="str">
        <f aca="false">IF(OR(F2294="",G2294=""),"",IF(G2294&lt;='RETRATO 2027'!$K$5,"CONCLUÍDA",IF(F2294&lt;='RETRATO 2027'!$K$5,"EM ANDAMENTO","A INICIAR")))</f>
        <v>A INICIAR</v>
      </c>
    </row>
    <row r="2295" customFormat="false" ht="15" hidden="false" customHeight="false" outlineLevel="0" collapsed="false">
      <c r="B2295" s="4" t="n">
        <v>30206058</v>
      </c>
      <c r="C2295" s="4" t="s">
        <v>2732</v>
      </c>
      <c r="D2295" s="4" t="s">
        <v>463</v>
      </c>
      <c r="E2295" s="4" t="s">
        <v>2848</v>
      </c>
      <c r="F2295" s="127" t="n">
        <v>47141</v>
      </c>
      <c r="G2295" s="127" t="n">
        <v>47154</v>
      </c>
      <c r="H2295" s="127" t="n">
        <v>46289</v>
      </c>
      <c r="I2295" s="4" t="n">
        <v>0</v>
      </c>
      <c r="J2295" s="4" t="n">
        <v>0</v>
      </c>
      <c r="K2295" s="4" t="n">
        <v>0</v>
      </c>
      <c r="M2295" s="2" t="str">
        <f aca="false">IF(C2295="","",IFERROR(INDEX($S$5:$S$304,MATCH(C2295,$R$5:$R$304,0))&amp;"","?"))</f>
        <v/>
      </c>
      <c r="N2295" s="2" t="n">
        <f aca="false">IF(E2295="","",IF(ISNUMBER(SEARCH("SUBSOLO",E2295)),IFERROR(-VALUE(LEFT(E2295,FIND("º",SUBSTITUTE(E2295,"°","º"))-1)),-1),IF(LEFT(E2295,6)="TÉRREO",0,IFERROR(VALUE(LEFT(E2295,FIND("º",SUBSTITUTE(E2295,"°","º"))-1)),""))))</f>
        <v>6</v>
      </c>
      <c r="O2295" s="2" t="str">
        <f aca="false">IF(OR(F2295="",G2295=""),"",IF(G2295&lt;='RETRATO 2027'!$K$5,"CONCLUÍDA",IF(F2295&lt;='RETRATO 2027'!$K$5,"EM ANDAMENTO","A INICIAR")))</f>
        <v>A INICIAR</v>
      </c>
    </row>
    <row r="2296" customFormat="false" ht="15" hidden="false" customHeight="false" outlineLevel="0" collapsed="false">
      <c r="B2296" s="4" t="n">
        <v>30206015</v>
      </c>
      <c r="C2296" s="4" t="s">
        <v>2649</v>
      </c>
      <c r="D2296" s="4" t="s">
        <v>463</v>
      </c>
      <c r="E2296" s="4" t="s">
        <v>2849</v>
      </c>
      <c r="F2296" s="127" t="n">
        <v>47141</v>
      </c>
      <c r="G2296" s="127" t="n">
        <v>47154</v>
      </c>
      <c r="H2296" s="127" t="n">
        <v>46289</v>
      </c>
      <c r="I2296" s="4" t="n">
        <v>0</v>
      </c>
      <c r="J2296" s="4" t="n">
        <v>0</v>
      </c>
      <c r="K2296" s="4" t="n">
        <v>0</v>
      </c>
      <c r="M2296" s="2" t="str">
        <f aca="false">IF(C2296="","",IFERROR(INDEX($S$5:$S$304,MATCH(C2296,$R$5:$R$304,0))&amp;"","?"))</f>
        <v>37</v>
      </c>
      <c r="N2296" s="2" t="n">
        <f aca="false">IF(E2296="","",IF(ISNUMBER(SEARCH("SUBSOLO",E2296)),IFERROR(-VALUE(LEFT(E2296,FIND("º",SUBSTITUTE(E2296,"°","º"))-1)),-1),IF(LEFT(E2296,6)="TÉRREO",0,IFERROR(VALUE(LEFT(E2296,FIND("º",SUBSTITUTE(E2296,"°","º"))-1)),""))))</f>
        <v>6</v>
      </c>
      <c r="O2296" s="2" t="str">
        <f aca="false">IF(OR(F2296="",G2296=""),"",IF(G2296&lt;='RETRATO 2027'!$K$5,"CONCLUÍDA",IF(F2296&lt;='RETRATO 2027'!$K$5,"EM ANDAMENTO","A INICIAR")))</f>
        <v>A INICIAR</v>
      </c>
    </row>
    <row r="2297" customFormat="false" ht="15" hidden="false" customHeight="false" outlineLevel="0" collapsed="false">
      <c r="B2297" s="4" t="n">
        <v>30205968</v>
      </c>
      <c r="C2297" s="4" t="s">
        <v>2641</v>
      </c>
      <c r="D2297" s="4" t="s">
        <v>463</v>
      </c>
      <c r="E2297" s="4" t="s">
        <v>2850</v>
      </c>
      <c r="F2297" s="127" t="n">
        <v>47141</v>
      </c>
      <c r="G2297" s="127" t="n">
        <v>47154</v>
      </c>
      <c r="H2297" s="127" t="n">
        <v>46289</v>
      </c>
      <c r="I2297" s="4" t="n">
        <v>0</v>
      </c>
      <c r="J2297" s="4" t="n">
        <v>0</v>
      </c>
      <c r="K2297" s="4" t="n">
        <v>0</v>
      </c>
      <c r="M2297" s="2" t="str">
        <f aca="false">IF(C2297="","",IFERROR(INDEX($S$5:$S$304,MATCH(C2297,$R$5:$R$304,0))&amp;"","?"))</f>
        <v>35</v>
      </c>
      <c r="N2297" s="2" t="n">
        <f aca="false">IF(E2297="","",IF(ISNUMBER(SEARCH("SUBSOLO",E2297)),IFERROR(-VALUE(LEFT(E2297,FIND("º",SUBSTITUTE(E2297,"°","º"))-1)),-1),IF(LEFT(E2297,6)="TÉRREO",0,IFERROR(VALUE(LEFT(E2297,FIND("º",SUBSTITUTE(E2297,"°","º"))-1)),""))))</f>
        <v>6</v>
      </c>
      <c r="O2297" s="2" t="str">
        <f aca="false">IF(OR(F2297="",G2297=""),"",IF(G2297&lt;='RETRATO 2027'!$K$5,"CONCLUÍDA",IF(F2297&lt;='RETRATO 2027'!$K$5,"EM ANDAMENTO","A INICIAR")))</f>
        <v>A INICIAR</v>
      </c>
    </row>
    <row r="2298" customFormat="false" ht="15" hidden="false" customHeight="false" outlineLevel="0" collapsed="false">
      <c r="B2298" s="4" t="n">
        <v>33807242</v>
      </c>
      <c r="C2298" s="4" t="s">
        <v>2738</v>
      </c>
      <c r="D2298" s="4" t="s">
        <v>463</v>
      </c>
      <c r="E2298" s="4" t="s">
        <v>2810</v>
      </c>
      <c r="F2298" s="127" t="n">
        <v>47142</v>
      </c>
      <c r="G2298" s="127" t="n">
        <v>47144</v>
      </c>
      <c r="H2298" s="127" t="n">
        <v>46289</v>
      </c>
      <c r="I2298" s="4" t="n">
        <v>0</v>
      </c>
      <c r="J2298" s="4" t="n">
        <v>0</v>
      </c>
      <c r="K2298" s="4" t="n">
        <v>0</v>
      </c>
      <c r="M2298" s="2" t="str">
        <f aca="false">IF(C2298="","",IFERROR(INDEX($S$5:$S$304,MATCH(C2298,$R$5:$R$304,0))&amp;"","?"))</f>
        <v/>
      </c>
      <c r="N2298" s="2" t="n">
        <f aca="false">IF(E2298="","",IF(ISNUMBER(SEARCH("SUBSOLO",E2298)),IFERROR(-VALUE(LEFT(E2298,FIND("º",SUBSTITUTE(E2298,"°","º"))-1)),-1),IF(LEFT(E2298,6)="TÉRREO",0,IFERROR(VALUE(LEFT(E2298,FIND("º",SUBSTITUTE(E2298,"°","º"))-1)),""))))</f>
        <v>11</v>
      </c>
      <c r="O2298" s="2" t="str">
        <f aca="false">IF(OR(F2298="",G2298=""),"",IF(G2298&lt;='RETRATO 2027'!$K$5,"CONCLUÍDA",IF(F2298&lt;='RETRATO 2027'!$K$5,"EM ANDAMENTO","A INICIAR")))</f>
        <v>A INICIAR</v>
      </c>
    </row>
    <row r="2299" customFormat="false" ht="15" hidden="false" customHeight="false" outlineLevel="0" collapsed="false">
      <c r="B2299" s="4" t="n">
        <v>29981300</v>
      </c>
      <c r="C2299" s="4" t="s">
        <v>2732</v>
      </c>
      <c r="D2299" s="4" t="s">
        <v>463</v>
      </c>
      <c r="E2299" s="4" t="s">
        <v>2813</v>
      </c>
      <c r="F2299" s="127" t="n">
        <v>47142</v>
      </c>
      <c r="G2299" s="127" t="n">
        <v>47154</v>
      </c>
      <c r="H2299" s="127" t="n">
        <v>46289</v>
      </c>
      <c r="I2299" s="4" t="n">
        <v>0</v>
      </c>
      <c r="J2299" s="4" t="n">
        <v>0</v>
      </c>
      <c r="K2299" s="4" t="n">
        <v>0</v>
      </c>
      <c r="M2299" s="2" t="str">
        <f aca="false">IF(C2299="","",IFERROR(INDEX($S$5:$S$304,MATCH(C2299,$R$5:$R$304,0))&amp;"","?"))</f>
        <v/>
      </c>
      <c r="N2299" s="2" t="n">
        <f aca="false">IF(E2299="","",IF(ISNUMBER(SEARCH("SUBSOLO",E2299)),IFERROR(-VALUE(LEFT(E2299,FIND("º",SUBSTITUTE(E2299,"°","º"))-1)),-1),IF(LEFT(E2299,6)="TÉRREO",0,IFERROR(VALUE(LEFT(E2299,FIND("º",SUBSTITUTE(E2299,"°","º"))-1)),""))))</f>
        <v>14</v>
      </c>
      <c r="O2299" s="2" t="str">
        <f aca="false">IF(OR(F2299="",G2299=""),"",IF(G2299&lt;='RETRATO 2027'!$K$5,"CONCLUÍDA",IF(F2299&lt;='RETRATO 2027'!$K$5,"EM ANDAMENTO","A INICIAR")))</f>
        <v>A INICIAR</v>
      </c>
    </row>
    <row r="2300" customFormat="false" ht="15" hidden="false" customHeight="false" outlineLevel="0" collapsed="false">
      <c r="B2300" s="4" t="n">
        <v>29981087</v>
      </c>
      <c r="C2300" s="4" t="s">
        <v>2605</v>
      </c>
      <c r="D2300" s="4" t="s">
        <v>463</v>
      </c>
      <c r="E2300" s="4" t="s">
        <v>2822</v>
      </c>
      <c r="F2300" s="127" t="n">
        <v>47142</v>
      </c>
      <c r="G2300" s="127" t="n">
        <v>47154</v>
      </c>
      <c r="H2300" s="127" t="n">
        <v>46289</v>
      </c>
      <c r="I2300" s="4" t="n">
        <v>0</v>
      </c>
      <c r="J2300" s="4" t="n">
        <v>0</v>
      </c>
      <c r="K2300" s="4" t="n">
        <v>0</v>
      </c>
      <c r="M2300" s="2" t="str">
        <f aca="false">IF(C2300="","",IFERROR(INDEX($S$5:$S$304,MATCH(C2300,$R$5:$R$304,0))&amp;"","?"))</f>
        <v>34</v>
      </c>
      <c r="N2300" s="2" t="n">
        <f aca="false">IF(E2300="","",IF(ISNUMBER(SEARCH("SUBSOLO",E2300)),IFERROR(-VALUE(LEFT(E2300,FIND("º",SUBSTITUTE(E2300,"°","º"))-1)),-1),IF(LEFT(E2300,6)="TÉRREO",0,IFERROR(VALUE(LEFT(E2300,FIND("º",SUBSTITUTE(E2300,"°","º"))-1)),""))))</f>
        <v>19</v>
      </c>
      <c r="O2300" s="2" t="str">
        <f aca="false">IF(OR(F2300="",G2300=""),"",IF(G2300&lt;='RETRATO 2027'!$K$5,"CONCLUÍDA",IF(F2300&lt;='RETRATO 2027'!$K$5,"EM ANDAMENTO","A INICIAR")))</f>
        <v>A INICIAR</v>
      </c>
    </row>
    <row r="2301" customFormat="false" ht="15" hidden="false" customHeight="false" outlineLevel="0" collapsed="false">
      <c r="B2301" s="4" t="n">
        <v>29981092</v>
      </c>
      <c r="C2301" s="4" t="s">
        <v>2607</v>
      </c>
      <c r="D2301" s="4" t="s">
        <v>463</v>
      </c>
      <c r="E2301" s="4" t="s">
        <v>2822</v>
      </c>
      <c r="F2301" s="127" t="n">
        <v>47142</v>
      </c>
      <c r="G2301" s="127" t="n">
        <v>47154</v>
      </c>
      <c r="H2301" s="127" t="n">
        <v>46289</v>
      </c>
      <c r="I2301" s="4" t="n">
        <v>0</v>
      </c>
      <c r="J2301" s="4" t="n">
        <v>0</v>
      </c>
      <c r="K2301" s="4" t="n">
        <v>0</v>
      </c>
      <c r="M2301" s="2" t="str">
        <f aca="false">IF(C2301="","",IFERROR(INDEX($S$5:$S$304,MATCH(C2301,$R$5:$R$304,0))&amp;"","?"))</f>
        <v>34</v>
      </c>
      <c r="N2301" s="2" t="n">
        <f aca="false">IF(E2301="","",IF(ISNUMBER(SEARCH("SUBSOLO",E2301)),IFERROR(-VALUE(LEFT(E2301,FIND("º",SUBSTITUTE(E2301,"°","º"))-1)),-1),IF(LEFT(E2301,6)="TÉRREO",0,IFERROR(VALUE(LEFT(E2301,FIND("º",SUBSTITUTE(E2301,"°","º"))-1)),""))))</f>
        <v>19</v>
      </c>
      <c r="O2301" s="2" t="str">
        <f aca="false">IF(OR(F2301="",G2301=""),"",IF(G2301&lt;='RETRATO 2027'!$K$5,"CONCLUÍDA",IF(F2301&lt;='RETRATO 2027'!$K$5,"EM ANDAMENTO","A INICIAR")))</f>
        <v>A INICIAR</v>
      </c>
    </row>
    <row r="2302" customFormat="false" ht="15" hidden="false" customHeight="false" outlineLevel="0" collapsed="false">
      <c r="B2302" s="4" t="n">
        <v>29981091</v>
      </c>
      <c r="C2302" s="4" t="s">
        <v>2563</v>
      </c>
      <c r="D2302" s="4" t="s">
        <v>463</v>
      </c>
      <c r="E2302" s="4" t="s">
        <v>2822</v>
      </c>
      <c r="F2302" s="127" t="n">
        <v>47142</v>
      </c>
      <c r="G2302" s="127" t="n">
        <v>47154</v>
      </c>
      <c r="H2302" s="127" t="n">
        <v>46289</v>
      </c>
      <c r="I2302" s="4" t="n">
        <v>0</v>
      </c>
      <c r="J2302" s="4" t="n">
        <v>0</v>
      </c>
      <c r="K2302" s="4" t="n">
        <v>0</v>
      </c>
      <c r="M2302" s="2" t="str">
        <f aca="false">IF(C2302="","",IFERROR(INDEX($S$5:$S$304,MATCH(C2302,$R$5:$R$304,0))&amp;"","?"))</f>
        <v>20</v>
      </c>
      <c r="N2302" s="2" t="n">
        <f aca="false">IF(E2302="","",IF(ISNUMBER(SEARCH("SUBSOLO",E2302)),IFERROR(-VALUE(LEFT(E2302,FIND("º",SUBSTITUTE(E2302,"°","º"))-1)),-1),IF(LEFT(E2302,6)="TÉRREO",0,IFERROR(VALUE(LEFT(E2302,FIND("º",SUBSTITUTE(E2302,"°","º"))-1)),""))))</f>
        <v>19</v>
      </c>
      <c r="O2302" s="2" t="str">
        <f aca="false">IF(OR(F2302="",G2302=""),"",IF(G2302&lt;='RETRATO 2027'!$K$5,"CONCLUÍDA",IF(F2302&lt;='RETRATO 2027'!$K$5,"EM ANDAMENTO","A INICIAR")))</f>
        <v>A INICIAR</v>
      </c>
    </row>
    <row r="2303" customFormat="false" ht="15" hidden="false" customHeight="false" outlineLevel="0" collapsed="false">
      <c r="B2303" s="4" t="n">
        <v>29981090</v>
      </c>
      <c r="C2303" s="4" t="s">
        <v>2609</v>
      </c>
      <c r="D2303" s="4" t="s">
        <v>463</v>
      </c>
      <c r="E2303" s="4" t="s">
        <v>2822</v>
      </c>
      <c r="F2303" s="127" t="n">
        <v>47142</v>
      </c>
      <c r="G2303" s="127" t="n">
        <v>47154</v>
      </c>
      <c r="H2303" s="127" t="n">
        <v>46289</v>
      </c>
      <c r="I2303" s="4" t="n">
        <v>0</v>
      </c>
      <c r="J2303" s="4" t="n">
        <v>0</v>
      </c>
      <c r="K2303" s="4" t="n">
        <v>0</v>
      </c>
      <c r="M2303" s="2" t="str">
        <f aca="false">IF(C2303="","",IFERROR(INDEX($S$5:$S$304,MATCH(C2303,$R$5:$R$304,0))&amp;"","?"))</f>
        <v>23</v>
      </c>
      <c r="N2303" s="2" t="n">
        <f aca="false">IF(E2303="","",IF(ISNUMBER(SEARCH("SUBSOLO",E2303)),IFERROR(-VALUE(LEFT(E2303,FIND("º",SUBSTITUTE(E2303,"°","º"))-1)),-1),IF(LEFT(E2303,6)="TÉRREO",0,IFERROR(VALUE(LEFT(E2303,FIND("º",SUBSTITUTE(E2303,"°","º"))-1)),""))))</f>
        <v>19</v>
      </c>
      <c r="O2303" s="2" t="str">
        <f aca="false">IF(OR(F2303="",G2303=""),"",IF(G2303&lt;='RETRATO 2027'!$K$5,"CONCLUÍDA",IF(F2303&lt;='RETRATO 2027'!$K$5,"EM ANDAMENTO","A INICIAR")))</f>
        <v>A INICIAR</v>
      </c>
    </row>
    <row r="2304" customFormat="false" ht="15" hidden="false" customHeight="false" outlineLevel="0" collapsed="false">
      <c r="B2304" s="4" t="n">
        <v>30205927</v>
      </c>
      <c r="C2304" s="4" t="s">
        <v>2690</v>
      </c>
      <c r="D2304" s="4" t="s">
        <v>463</v>
      </c>
      <c r="E2304" s="4" t="s">
        <v>2845</v>
      </c>
      <c r="F2304" s="127" t="n">
        <v>47144</v>
      </c>
      <c r="G2304" s="127" t="n">
        <v>47164</v>
      </c>
      <c r="H2304" s="127" t="n">
        <v>46289</v>
      </c>
      <c r="I2304" s="4" t="n">
        <v>0</v>
      </c>
      <c r="J2304" s="4" t="n">
        <v>0</v>
      </c>
      <c r="K2304" s="4" t="n">
        <v>0</v>
      </c>
      <c r="M2304" s="2" t="str">
        <f aca="false">IF(C2304="","",IFERROR(INDEX($S$5:$S$304,MATCH(C2304,$R$5:$R$304,0))&amp;"","?"))</f>
        <v>37</v>
      </c>
      <c r="N2304" s="2" t="n">
        <f aca="false">IF(E2304="","",IF(ISNUMBER(SEARCH("SUBSOLO",E2304)),IFERROR(-VALUE(LEFT(E2304,FIND("º",SUBSTITUTE(E2304,"°","º"))-1)),-1),IF(LEFT(E2304,6)="TÉRREO",0,IFERROR(VALUE(LEFT(E2304,FIND("º",SUBSTITUTE(E2304,"°","º"))-1)),""))))</f>
        <v>6</v>
      </c>
      <c r="O2304" s="2" t="str">
        <f aca="false">IF(OR(F2304="",G2304=""),"",IF(G2304&lt;='RETRATO 2027'!$K$5,"CONCLUÍDA",IF(F2304&lt;='RETRATO 2027'!$K$5,"EM ANDAMENTO","A INICIAR")))</f>
        <v>A INICIAR</v>
      </c>
    </row>
    <row r="2305" customFormat="false" ht="15" hidden="false" customHeight="false" outlineLevel="0" collapsed="false">
      <c r="B2305" s="4" t="n">
        <v>30171423</v>
      </c>
      <c r="C2305" s="4" t="s">
        <v>2674</v>
      </c>
      <c r="D2305" s="4" t="s">
        <v>463</v>
      </c>
      <c r="E2305" s="4" t="s">
        <v>2800</v>
      </c>
      <c r="F2305" s="127" t="n">
        <v>47147</v>
      </c>
      <c r="G2305" s="127" t="n">
        <v>47158</v>
      </c>
      <c r="H2305" s="127" t="n">
        <v>46289</v>
      </c>
      <c r="I2305" s="4" t="n">
        <v>0</v>
      </c>
      <c r="J2305" s="4" t="n">
        <v>0</v>
      </c>
      <c r="K2305" s="4" t="n">
        <v>0</v>
      </c>
      <c r="M2305" s="2" t="str">
        <f aca="false">IF(C2305="","",IFERROR(INDEX($S$5:$S$304,MATCH(C2305,$R$5:$R$304,0))&amp;"","?"))</f>
        <v>35</v>
      </c>
      <c r="N2305" s="2" t="n">
        <f aca="false">IF(E2305="","",IF(ISNUMBER(SEARCH("SUBSOLO",E2305)),IFERROR(-VALUE(LEFT(E2305,FIND("º",SUBSTITUTE(E2305,"°","º"))-1)),-1),IF(LEFT(E2305,6)="TÉRREO",0,IFERROR(VALUE(LEFT(E2305,FIND("º",SUBSTITUTE(E2305,"°","º"))-1)),""))))</f>
        <v>4</v>
      </c>
      <c r="O2305" s="2" t="str">
        <f aca="false">IF(OR(F2305="",G2305=""),"",IF(G2305&lt;='RETRATO 2027'!$K$5,"CONCLUÍDA",IF(F2305&lt;='RETRATO 2027'!$K$5,"EM ANDAMENTO","A INICIAR")))</f>
        <v>A INICIAR</v>
      </c>
    </row>
    <row r="2306" customFormat="false" ht="15" hidden="false" customHeight="false" outlineLevel="0" collapsed="false">
      <c r="B2306" s="4" t="n">
        <v>30171391</v>
      </c>
      <c r="C2306" s="4" t="s">
        <v>2629</v>
      </c>
      <c r="D2306" s="4" t="s">
        <v>463</v>
      </c>
      <c r="E2306" s="4" t="s">
        <v>2801</v>
      </c>
      <c r="F2306" s="127" t="n">
        <v>47147</v>
      </c>
      <c r="G2306" s="127" t="n">
        <v>47158</v>
      </c>
      <c r="H2306" s="127" t="n">
        <v>46289</v>
      </c>
      <c r="I2306" s="4" t="n">
        <v>0</v>
      </c>
      <c r="J2306" s="4" t="n">
        <v>0</v>
      </c>
      <c r="K2306" s="4" t="n">
        <v>0</v>
      </c>
      <c r="M2306" s="2" t="str">
        <f aca="false">IF(C2306="","",IFERROR(INDEX($S$5:$S$304,MATCH(C2306,$R$5:$R$304,0))&amp;"","?"))</f>
        <v>20</v>
      </c>
      <c r="N2306" s="2" t="n">
        <f aca="false">IF(E2306="","",IF(ISNUMBER(SEARCH("SUBSOLO",E2306)),IFERROR(-VALUE(LEFT(E2306,FIND("º",SUBSTITUTE(E2306,"°","º"))-1)),-1),IF(LEFT(E2306,6)="TÉRREO",0,IFERROR(VALUE(LEFT(E2306,FIND("º",SUBSTITUTE(E2306,"°","º"))-1)),""))))</f>
        <v>5</v>
      </c>
      <c r="O2306" s="2" t="str">
        <f aca="false">IF(OR(F2306="",G2306=""),"",IF(G2306&lt;='RETRATO 2027'!$K$5,"CONCLUÍDA",IF(F2306&lt;='RETRATO 2027'!$K$5,"EM ANDAMENTO","A INICIAR")))</f>
        <v>A INICIAR</v>
      </c>
    </row>
    <row r="2307" customFormat="false" ht="15" hidden="false" customHeight="false" outlineLevel="0" collapsed="false">
      <c r="B2307" s="4" t="n">
        <v>30171390</v>
      </c>
      <c r="C2307" s="4" t="s">
        <v>2653</v>
      </c>
      <c r="D2307" s="4" t="s">
        <v>463</v>
      </c>
      <c r="E2307" s="4" t="s">
        <v>2801</v>
      </c>
      <c r="F2307" s="127" t="n">
        <v>47147</v>
      </c>
      <c r="G2307" s="127" t="n">
        <v>47172</v>
      </c>
      <c r="H2307" s="127" t="n">
        <v>46289</v>
      </c>
      <c r="I2307" s="4" t="n">
        <v>0</v>
      </c>
      <c r="J2307" s="4" t="n">
        <v>0</v>
      </c>
      <c r="K2307" s="4" t="n">
        <v>0</v>
      </c>
      <c r="M2307" s="2" t="str">
        <f aca="false">IF(C2307="","",IFERROR(INDEX($S$5:$S$304,MATCH(C2307,$R$5:$R$304,0))&amp;"","?"))</f>
        <v>31</v>
      </c>
      <c r="N2307" s="2" t="n">
        <f aca="false">IF(E2307="","",IF(ISNUMBER(SEARCH("SUBSOLO",E2307)),IFERROR(-VALUE(LEFT(E2307,FIND("º",SUBSTITUTE(E2307,"°","º"))-1)),-1),IF(LEFT(E2307,6)="TÉRREO",0,IFERROR(VALUE(LEFT(E2307,FIND("º",SUBSTITUTE(E2307,"°","º"))-1)),""))))</f>
        <v>5</v>
      </c>
      <c r="O2307" s="2" t="str">
        <f aca="false">IF(OR(F2307="",G2307=""),"",IF(G2307&lt;='RETRATO 2027'!$K$5,"CONCLUÍDA",IF(F2307&lt;='RETRATO 2027'!$K$5,"EM ANDAMENTO","A INICIAR")))</f>
        <v>A INICIAR</v>
      </c>
    </row>
    <row r="2308" customFormat="false" ht="15" hidden="false" customHeight="false" outlineLevel="0" collapsed="false">
      <c r="B2308" s="4" t="n">
        <v>30171402</v>
      </c>
      <c r="C2308" s="4" t="s">
        <v>2655</v>
      </c>
      <c r="D2308" s="4" t="s">
        <v>463</v>
      </c>
      <c r="E2308" s="4" t="s">
        <v>2801</v>
      </c>
      <c r="F2308" s="127" t="n">
        <v>47147</v>
      </c>
      <c r="G2308" s="127" t="n">
        <v>47158</v>
      </c>
      <c r="H2308" s="127" t="n">
        <v>46289</v>
      </c>
      <c r="I2308" s="4" t="n">
        <v>0</v>
      </c>
      <c r="J2308" s="4" t="n">
        <v>0</v>
      </c>
      <c r="K2308" s="4" t="n">
        <v>0</v>
      </c>
      <c r="M2308" s="2" t="str">
        <f aca="false">IF(C2308="","",IFERROR(INDEX($S$5:$S$304,MATCH(C2308,$R$5:$R$304,0))&amp;"","?"))</f>
        <v>34</v>
      </c>
      <c r="N2308" s="2" t="n">
        <f aca="false">IF(E2308="","",IF(ISNUMBER(SEARCH("SUBSOLO",E2308)),IFERROR(-VALUE(LEFT(E2308,FIND("º",SUBSTITUTE(E2308,"°","º"))-1)),-1),IF(LEFT(E2308,6)="TÉRREO",0,IFERROR(VALUE(LEFT(E2308,FIND("º",SUBSTITUTE(E2308,"°","º"))-1)),""))))</f>
        <v>5</v>
      </c>
      <c r="O2308" s="2" t="str">
        <f aca="false">IF(OR(F2308="",G2308=""),"",IF(G2308&lt;='RETRATO 2027'!$K$5,"CONCLUÍDA",IF(F2308&lt;='RETRATO 2027'!$K$5,"EM ANDAMENTO","A INICIAR")))</f>
        <v>A INICIAR</v>
      </c>
    </row>
    <row r="2309" customFormat="false" ht="15" hidden="false" customHeight="false" outlineLevel="0" collapsed="false">
      <c r="B2309" s="4" t="n">
        <v>30171403</v>
      </c>
      <c r="C2309" s="4" t="s">
        <v>2656</v>
      </c>
      <c r="D2309" s="4" t="s">
        <v>463</v>
      </c>
      <c r="E2309" s="4" t="s">
        <v>2801</v>
      </c>
      <c r="F2309" s="127" t="n">
        <v>47147</v>
      </c>
      <c r="G2309" s="127" t="n">
        <v>47158</v>
      </c>
      <c r="H2309" s="127" t="n">
        <v>46289</v>
      </c>
      <c r="I2309" s="4" t="n">
        <v>0</v>
      </c>
      <c r="J2309" s="4" t="n">
        <v>0</v>
      </c>
      <c r="K2309" s="4" t="n">
        <v>0</v>
      </c>
      <c r="M2309" s="2" t="str">
        <f aca="false">IF(C2309="","",IFERROR(INDEX($S$5:$S$304,MATCH(C2309,$R$5:$R$304,0))&amp;"","?"))</f>
        <v>20</v>
      </c>
      <c r="N2309" s="2" t="n">
        <f aca="false">IF(E2309="","",IF(ISNUMBER(SEARCH("SUBSOLO",E2309)),IFERROR(-VALUE(LEFT(E2309,FIND("º",SUBSTITUTE(E2309,"°","º"))-1)),-1),IF(LEFT(E2309,6)="TÉRREO",0,IFERROR(VALUE(LEFT(E2309,FIND("º",SUBSTITUTE(E2309,"°","º"))-1)),""))))</f>
        <v>5</v>
      </c>
      <c r="O2309" s="2" t="str">
        <f aca="false">IF(OR(F2309="",G2309=""),"",IF(G2309&lt;='RETRATO 2027'!$K$5,"CONCLUÍDA",IF(F2309&lt;='RETRATO 2027'!$K$5,"EM ANDAMENTO","A INICIAR")))</f>
        <v>A INICIAR</v>
      </c>
    </row>
    <row r="2310" customFormat="false" ht="15" hidden="false" customHeight="false" outlineLevel="0" collapsed="false">
      <c r="B2310" s="4" t="n">
        <v>30171406</v>
      </c>
      <c r="C2310" s="4" t="s">
        <v>2581</v>
      </c>
      <c r="D2310" s="4" t="s">
        <v>463</v>
      </c>
      <c r="E2310" s="4" t="s">
        <v>2801</v>
      </c>
      <c r="F2310" s="127" t="n">
        <v>47147</v>
      </c>
      <c r="G2310" s="127" t="n">
        <v>47158</v>
      </c>
      <c r="H2310" s="127" t="n">
        <v>46289</v>
      </c>
      <c r="I2310" s="4" t="n">
        <v>0</v>
      </c>
      <c r="J2310" s="4" t="n">
        <v>0</v>
      </c>
      <c r="K2310" s="4" t="n">
        <v>0</v>
      </c>
      <c r="M2310" s="2" t="str">
        <f aca="false">IF(C2310="","",IFERROR(INDEX($S$5:$S$304,MATCH(C2310,$R$5:$R$304,0))&amp;"","?"))</f>
        <v/>
      </c>
      <c r="N2310" s="2" t="n">
        <f aca="false">IF(E2310="","",IF(ISNUMBER(SEARCH("SUBSOLO",E2310)),IFERROR(-VALUE(LEFT(E2310,FIND("º",SUBSTITUTE(E2310,"°","º"))-1)),-1),IF(LEFT(E2310,6)="TÉRREO",0,IFERROR(VALUE(LEFT(E2310,FIND("º",SUBSTITUTE(E2310,"°","º"))-1)),""))))</f>
        <v>5</v>
      </c>
      <c r="O2310" s="2" t="str">
        <f aca="false">IF(OR(F2310="",G2310=""),"",IF(G2310&lt;='RETRATO 2027'!$K$5,"CONCLUÍDA",IF(F2310&lt;='RETRATO 2027'!$K$5,"EM ANDAMENTO","A INICIAR")))</f>
        <v>A INICIAR</v>
      </c>
    </row>
    <row r="2311" customFormat="false" ht="15" hidden="false" customHeight="false" outlineLevel="0" collapsed="false">
      <c r="B2311" s="4" t="n">
        <v>33807243</v>
      </c>
      <c r="C2311" s="4" t="s">
        <v>2738</v>
      </c>
      <c r="D2311" s="4" t="s">
        <v>463</v>
      </c>
      <c r="E2311" s="4" t="s">
        <v>2811</v>
      </c>
      <c r="F2311" s="127" t="n">
        <v>47147</v>
      </c>
      <c r="G2311" s="127" t="n">
        <v>47149</v>
      </c>
      <c r="H2311" s="127" t="n">
        <v>46289</v>
      </c>
      <c r="I2311" s="4" t="n">
        <v>0</v>
      </c>
      <c r="J2311" s="4" t="n">
        <v>0</v>
      </c>
      <c r="K2311" s="4" t="n">
        <v>0</v>
      </c>
      <c r="M2311" s="2" t="str">
        <f aca="false">IF(C2311="","",IFERROR(INDEX($S$5:$S$304,MATCH(C2311,$R$5:$R$304,0))&amp;"","?"))</f>
        <v/>
      </c>
      <c r="N2311" s="2" t="n">
        <f aca="false">IF(E2311="","",IF(ISNUMBER(SEARCH("SUBSOLO",E2311)),IFERROR(-VALUE(LEFT(E2311,FIND("º",SUBSTITUTE(E2311,"°","º"))-1)),-1),IF(LEFT(E2311,6)="TÉRREO",0,IFERROR(VALUE(LEFT(E2311,FIND("º",SUBSTITUTE(E2311,"°","º"))-1)),""))))</f>
        <v>12</v>
      </c>
      <c r="O2311" s="2" t="str">
        <f aca="false">IF(OR(F2311="",G2311=""),"",IF(G2311&lt;='RETRATO 2027'!$K$5,"CONCLUÍDA",IF(F2311&lt;='RETRATO 2027'!$K$5,"EM ANDAMENTO","A INICIAR")))</f>
        <v>A INICIAR</v>
      </c>
    </row>
    <row r="2312" customFormat="false" ht="15" hidden="false" customHeight="false" outlineLevel="0" collapsed="false">
      <c r="B2312" s="4" t="n">
        <v>29981263</v>
      </c>
      <c r="C2312" s="4" t="s">
        <v>2732</v>
      </c>
      <c r="D2312" s="4" t="s">
        <v>463</v>
      </c>
      <c r="E2312" s="4" t="s">
        <v>2814</v>
      </c>
      <c r="F2312" s="127" t="n">
        <v>47147</v>
      </c>
      <c r="G2312" s="127" t="n">
        <v>47157</v>
      </c>
      <c r="H2312" s="127" t="n">
        <v>46289</v>
      </c>
      <c r="I2312" s="4" t="n">
        <v>0</v>
      </c>
      <c r="J2312" s="4" t="n">
        <v>0</v>
      </c>
      <c r="K2312" s="4" t="n">
        <v>0</v>
      </c>
      <c r="M2312" s="2" t="str">
        <f aca="false">IF(C2312="","",IFERROR(INDEX($S$5:$S$304,MATCH(C2312,$R$5:$R$304,0))&amp;"","?"))</f>
        <v/>
      </c>
      <c r="N2312" s="2" t="n">
        <f aca="false">IF(E2312="","",IF(ISNUMBER(SEARCH("SUBSOLO",E2312)),IFERROR(-VALUE(LEFT(E2312,FIND("º",SUBSTITUTE(E2312,"°","º"))-1)),-1),IF(LEFT(E2312,6)="TÉRREO",0,IFERROR(VALUE(LEFT(E2312,FIND("º",SUBSTITUTE(E2312,"°","º"))-1)),""))))</f>
        <v>15</v>
      </c>
      <c r="O2312" s="2" t="str">
        <f aca="false">IF(OR(F2312="",G2312=""),"",IF(G2312&lt;='RETRATO 2027'!$K$5,"CONCLUÍDA",IF(F2312&lt;='RETRATO 2027'!$K$5,"EM ANDAMENTO","A INICIAR")))</f>
        <v>A INICIAR</v>
      </c>
    </row>
    <row r="2313" customFormat="false" ht="15" hidden="false" customHeight="false" outlineLevel="0" collapsed="false">
      <c r="B2313" s="4" t="n">
        <v>29980810</v>
      </c>
      <c r="C2313" s="4" t="s">
        <v>2649</v>
      </c>
      <c r="D2313" s="4" t="s">
        <v>463</v>
      </c>
      <c r="E2313" s="4" t="s">
        <v>2838</v>
      </c>
      <c r="F2313" s="127" t="n">
        <v>47147</v>
      </c>
      <c r="G2313" s="127" t="n">
        <v>47157</v>
      </c>
      <c r="H2313" s="127" t="n">
        <v>46289</v>
      </c>
      <c r="I2313" s="4" t="n">
        <v>0</v>
      </c>
      <c r="J2313" s="4" t="n">
        <v>0</v>
      </c>
      <c r="K2313" s="4" t="n">
        <v>0</v>
      </c>
      <c r="M2313" s="2" t="str">
        <f aca="false">IF(C2313="","",IFERROR(INDEX($S$5:$S$304,MATCH(C2313,$R$5:$R$304,0))&amp;"","?"))</f>
        <v>37</v>
      </c>
      <c r="N2313" s="2" t="n">
        <f aca="false">IF(E2313="","",IF(ISNUMBER(SEARCH("SUBSOLO",E2313)),IFERROR(-VALUE(LEFT(E2313,FIND("º",SUBSTITUTE(E2313,"°","º"))-1)),-1),IF(LEFT(E2313,6)="TÉRREO",0,IFERROR(VALUE(LEFT(E2313,FIND("º",SUBSTITUTE(E2313,"°","º"))-1)),""))))</f>
        <v>27</v>
      </c>
      <c r="O2313" s="2" t="str">
        <f aca="false">IF(OR(F2313="",G2313=""),"",IF(G2313&lt;='RETRATO 2027'!$K$5,"CONCLUÍDA",IF(F2313&lt;='RETRATO 2027'!$K$5,"EM ANDAMENTO","A INICIAR")))</f>
        <v>A INICIAR</v>
      </c>
    </row>
    <row r="2314" customFormat="false" ht="15" hidden="false" customHeight="false" outlineLevel="0" collapsed="false">
      <c r="B2314" s="4" t="n">
        <v>29980763</v>
      </c>
      <c r="C2314" s="4" t="s">
        <v>2641</v>
      </c>
      <c r="D2314" s="4" t="s">
        <v>463</v>
      </c>
      <c r="E2314" s="4" t="s">
        <v>2840</v>
      </c>
      <c r="F2314" s="127" t="n">
        <v>47147</v>
      </c>
      <c r="G2314" s="127" t="n">
        <v>47157</v>
      </c>
      <c r="H2314" s="127" t="n">
        <v>46289</v>
      </c>
      <c r="I2314" s="4" t="n">
        <v>0</v>
      </c>
      <c r="J2314" s="4" t="n">
        <v>0</v>
      </c>
      <c r="K2314" s="4" t="n">
        <v>0</v>
      </c>
      <c r="M2314" s="2" t="str">
        <f aca="false">IF(C2314="","",IFERROR(INDEX($S$5:$S$304,MATCH(C2314,$R$5:$R$304,0))&amp;"","?"))</f>
        <v>35</v>
      </c>
      <c r="N2314" s="2" t="n">
        <f aca="false">IF(E2314="","",IF(ISNUMBER(SEARCH("SUBSOLO",E2314)),IFERROR(-VALUE(LEFT(E2314,FIND("º",SUBSTITUTE(E2314,"°","º"))-1)),-1),IF(LEFT(E2314,6)="TÉRREO",0,IFERROR(VALUE(LEFT(E2314,FIND("º",SUBSTITUTE(E2314,"°","º"))-1)),""))))</f>
        <v>28</v>
      </c>
      <c r="O2314" s="2" t="str">
        <f aca="false">IF(OR(F2314="",G2314=""),"",IF(G2314&lt;='RETRATO 2027'!$K$5,"CONCLUÍDA",IF(F2314&lt;='RETRATO 2027'!$K$5,"EM ANDAMENTO","A INICIAR")))</f>
        <v>A INICIAR</v>
      </c>
    </row>
    <row r="2315" customFormat="false" ht="15" hidden="false" customHeight="false" outlineLevel="0" collapsed="false">
      <c r="B2315" s="4" t="n">
        <v>30171657</v>
      </c>
      <c r="C2315" s="4" t="s">
        <v>2641</v>
      </c>
      <c r="D2315" s="4" t="s">
        <v>463</v>
      </c>
      <c r="E2315" s="4" t="s">
        <v>2816</v>
      </c>
      <c r="F2315" s="127" t="n">
        <v>47148</v>
      </c>
      <c r="G2315" s="127" t="n">
        <v>47175</v>
      </c>
      <c r="H2315" s="127" t="n">
        <v>46289</v>
      </c>
      <c r="I2315" s="4" t="n">
        <v>0</v>
      </c>
      <c r="J2315" s="4" t="n">
        <v>0</v>
      </c>
      <c r="K2315" s="4" t="n">
        <v>0</v>
      </c>
      <c r="M2315" s="2" t="str">
        <f aca="false">IF(C2315="","",IFERROR(INDEX($S$5:$S$304,MATCH(C2315,$R$5:$R$304,0))&amp;"","?"))</f>
        <v>35</v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>A INICIAR</v>
      </c>
    </row>
    <row r="2316" customFormat="false" ht="15" hidden="false" customHeight="false" outlineLevel="0" collapsed="false">
      <c r="B2316" s="4" t="n">
        <v>33807244</v>
      </c>
      <c r="C2316" s="4" t="s">
        <v>2738</v>
      </c>
      <c r="D2316" s="4" t="s">
        <v>463</v>
      </c>
      <c r="E2316" s="4" t="s">
        <v>2812</v>
      </c>
      <c r="F2316" s="127" t="n">
        <v>47150</v>
      </c>
      <c r="G2316" s="127" t="n">
        <v>47154</v>
      </c>
      <c r="H2316" s="127" t="n">
        <v>46289</v>
      </c>
      <c r="I2316" s="4" t="n">
        <v>0</v>
      </c>
      <c r="J2316" s="4" t="n">
        <v>0</v>
      </c>
      <c r="K2316" s="4" t="n">
        <v>0</v>
      </c>
      <c r="M2316" s="2" t="str">
        <f aca="false">IF(C2316="","",IFERROR(INDEX($S$5:$S$304,MATCH(C2316,$R$5:$R$304,0))&amp;"","?"))</f>
        <v/>
      </c>
      <c r="N2316" s="2" t="n">
        <f aca="false">IF(E2316="","",IF(ISNUMBER(SEARCH("SUBSOLO",E2316)),IFERROR(-VALUE(LEFT(E2316,FIND("º",SUBSTITUTE(E2316,"°","º"))-1)),-1),IF(LEFT(E2316,6)="TÉRREO",0,IFERROR(VALUE(LEFT(E2316,FIND("º",SUBSTITUTE(E2316,"°","º"))-1)),""))))</f>
        <v>13</v>
      </c>
      <c r="O2316" s="2" t="str">
        <f aca="false">IF(OR(F2316="",G2316=""),"",IF(G2316&lt;='RETRATO 2027'!$K$5,"CONCLUÍDA",IF(F2316&lt;='RETRATO 2027'!$K$5,"EM ANDAMENTO","A INICIAR")))</f>
        <v>A INICIAR</v>
      </c>
    </row>
    <row r="2317" customFormat="false" ht="15" hidden="false" customHeight="false" outlineLevel="0" collapsed="false">
      <c r="B2317" s="4" t="n">
        <v>29981226</v>
      </c>
      <c r="C2317" s="4" t="s">
        <v>2732</v>
      </c>
      <c r="D2317" s="4" t="s">
        <v>463</v>
      </c>
      <c r="E2317" s="4" t="s">
        <v>2815</v>
      </c>
      <c r="F2317" s="127" t="n">
        <v>47150</v>
      </c>
      <c r="G2317" s="127" t="n">
        <v>47162</v>
      </c>
      <c r="H2317" s="127" t="n">
        <v>46289</v>
      </c>
      <c r="I2317" s="4" t="n">
        <v>0</v>
      </c>
      <c r="J2317" s="4" t="n">
        <v>0</v>
      </c>
      <c r="K2317" s="4" t="n">
        <v>0</v>
      </c>
      <c r="M2317" s="2" t="str">
        <f aca="false">IF(C2317="","",IFERROR(INDEX($S$5:$S$304,MATCH(C2317,$R$5:$R$304,0))&amp;"","?"))</f>
        <v/>
      </c>
      <c r="N2317" s="2" t="n">
        <f aca="false">IF(E2317="","",IF(ISNUMBER(SEARCH("SUBSOLO",E2317)),IFERROR(-VALUE(LEFT(E2317,FIND("º",SUBSTITUTE(E2317,"°","º"))-1)),-1),IF(LEFT(E2317,6)="TÉRREO",0,IFERROR(VALUE(LEFT(E2317,FIND("º",SUBSTITUTE(E2317,"°","º"))-1)),""))))</f>
        <v>16</v>
      </c>
      <c r="O2317" s="2" t="str">
        <f aca="false">IF(OR(F2317="",G2317=""),"",IF(G2317&lt;='RETRATO 2027'!$K$5,"CONCLUÍDA",IF(F2317&lt;='RETRATO 2027'!$K$5,"EM ANDAMENTO","A INICIAR")))</f>
        <v>A INICIAR</v>
      </c>
    </row>
    <row r="2318" customFormat="false" ht="15" hidden="false" customHeight="false" outlineLevel="0" collapsed="false">
      <c r="B2318" s="4" t="n">
        <v>29980725</v>
      </c>
      <c r="C2318" s="4" t="s">
        <v>2637</v>
      </c>
      <c r="D2318" s="4" t="s">
        <v>463</v>
      </c>
      <c r="E2318" s="4" t="s">
        <v>2841</v>
      </c>
      <c r="F2318" s="127" t="n">
        <v>47151</v>
      </c>
      <c r="G2318" s="127" t="n">
        <v>47157</v>
      </c>
      <c r="H2318" s="127" t="n">
        <v>46289</v>
      </c>
      <c r="I2318" s="4" t="n">
        <v>0</v>
      </c>
      <c r="J2318" s="4" t="n">
        <v>0</v>
      </c>
      <c r="K2318" s="4" t="n">
        <v>0</v>
      </c>
      <c r="M2318" s="2" t="str">
        <f aca="false">IF(C2318="","",IFERROR(INDEX($S$5:$S$304,MATCH(C2318,$R$5:$R$304,0))&amp;"","?"))</f>
        <v/>
      </c>
      <c r="N2318" s="2" t="n">
        <f aca="false">IF(E2318="","",IF(ISNUMBER(SEARCH("SUBSOLO",E2318)),IFERROR(-VALUE(LEFT(E2318,FIND("º",SUBSTITUTE(E2318,"°","º"))-1)),-1),IF(LEFT(E2318,6)="TÉRREO",0,IFERROR(VALUE(LEFT(E2318,FIND("º",SUBSTITUTE(E2318,"°","º"))-1)),""))))</f>
        <v>29</v>
      </c>
      <c r="O2318" s="2" t="str">
        <f aca="false">IF(OR(F2318="",G2318=""),"",IF(G2318&lt;='RETRATO 2027'!$K$5,"CONCLUÍDA",IF(F2318&lt;='RETRATO 2027'!$K$5,"EM ANDAMENTO","A INICIAR")))</f>
        <v>A INICIAR</v>
      </c>
    </row>
    <row r="2319" customFormat="false" ht="15" hidden="false" customHeight="false" outlineLevel="0" collapsed="false">
      <c r="B2319" s="4" t="n">
        <v>29980690</v>
      </c>
      <c r="C2319" s="4" t="s">
        <v>2629</v>
      </c>
      <c r="D2319" s="4" t="s">
        <v>463</v>
      </c>
      <c r="E2319" s="4" t="s">
        <v>2842</v>
      </c>
      <c r="F2319" s="127" t="n">
        <v>47151</v>
      </c>
      <c r="G2319" s="127" t="n">
        <v>47163</v>
      </c>
      <c r="H2319" s="127" t="n">
        <v>46289</v>
      </c>
      <c r="I2319" s="4" t="n">
        <v>0</v>
      </c>
      <c r="J2319" s="4" t="n">
        <v>0</v>
      </c>
      <c r="K2319" s="4" t="n">
        <v>0</v>
      </c>
      <c r="M2319" s="2" t="str">
        <f aca="false">IF(C2319="","",IFERROR(INDEX($S$5:$S$304,MATCH(C2319,$R$5:$R$304,0))&amp;"","?"))</f>
        <v>20</v>
      </c>
      <c r="N2319" s="2" t="n">
        <f aca="false">IF(E2319="","",IF(ISNUMBER(SEARCH("SUBSOLO",E2319)),IFERROR(-VALUE(LEFT(E2319,FIND("º",SUBSTITUTE(E2319,"°","º"))-1)),-1),IF(LEFT(E2319,6)="TÉRREO",0,IFERROR(VALUE(LEFT(E2319,FIND("º",SUBSTITUTE(E2319,"°","º"))-1)),""))))</f>
        <v>30</v>
      </c>
      <c r="O2319" s="2" t="str">
        <f aca="false">IF(OR(F2319="",G2319=""),"",IF(G2319&lt;='RETRATO 2027'!$K$5,"CONCLUÍDA",IF(F2319&lt;='RETRATO 2027'!$K$5,"EM ANDAMENTO","A INICIAR")))</f>
        <v>A INICIAR</v>
      </c>
    </row>
    <row r="2320" customFormat="false" ht="15" hidden="false" customHeight="false" outlineLevel="0" collapsed="false">
      <c r="B2320" s="4" t="n">
        <v>29980650</v>
      </c>
      <c r="C2320" s="4" t="s">
        <v>2623</v>
      </c>
      <c r="D2320" s="4" t="s">
        <v>463</v>
      </c>
      <c r="E2320" s="4" t="s">
        <v>2843</v>
      </c>
      <c r="F2320" s="127" t="n">
        <v>47151</v>
      </c>
      <c r="G2320" s="127" t="n">
        <v>47163</v>
      </c>
      <c r="H2320" s="127" t="n">
        <v>46289</v>
      </c>
      <c r="I2320" s="4" t="n">
        <v>0</v>
      </c>
      <c r="J2320" s="4" t="n">
        <v>0</v>
      </c>
      <c r="K2320" s="4" t="n">
        <v>0</v>
      </c>
      <c r="M2320" s="2" t="str">
        <f aca="false">IF(C2320="","",IFERROR(INDEX($S$5:$S$304,MATCH(C2320,$R$5:$R$304,0))&amp;"","?"))</f>
        <v>35</v>
      </c>
      <c r="N2320" s="2" t="n">
        <f aca="false">IF(E2320="","",IF(ISNUMBER(SEARCH("SUBSOLO",E2320)),IFERROR(-VALUE(LEFT(E2320,FIND("º",SUBSTITUTE(E2320,"°","º"))-1)),-1),IF(LEFT(E2320,6)="TÉRREO",0,IFERROR(VALUE(LEFT(E2320,FIND("º",SUBSTITUTE(E2320,"°","º"))-1)),""))))</f>
        <v>31</v>
      </c>
      <c r="O2320" s="2" t="str">
        <f aca="false">IF(OR(F2320="",G2320=""),"",IF(G2320&lt;='RETRATO 2027'!$K$5,"CONCLUÍDA",IF(F2320&lt;='RETRATO 2027'!$K$5,"EM ANDAMENTO","A INICIAR")))</f>
        <v>A INICIAR</v>
      </c>
    </row>
    <row r="2321" customFormat="false" ht="15" hidden="false" customHeight="false" outlineLevel="0" collapsed="false">
      <c r="B2321" s="4" t="n">
        <v>33919808</v>
      </c>
      <c r="C2321" s="4" t="s">
        <v>2625</v>
      </c>
      <c r="D2321" s="4" t="s">
        <v>463</v>
      </c>
      <c r="E2321" s="4" t="s">
        <v>2843</v>
      </c>
      <c r="F2321" s="127" t="n">
        <v>47151</v>
      </c>
      <c r="G2321" s="127" t="n">
        <v>47163</v>
      </c>
      <c r="H2321" s="127" t="n">
        <v>46289</v>
      </c>
      <c r="I2321" s="4" t="n">
        <v>0</v>
      </c>
      <c r="J2321" s="4" t="n">
        <v>0</v>
      </c>
      <c r="K2321" s="4" t="n">
        <v>0</v>
      </c>
      <c r="M2321" s="2" t="str">
        <f aca="false">IF(C2321="","",IFERROR(INDEX($S$5:$S$304,MATCH(C2321,$R$5:$R$304,0))&amp;"","?"))</f>
        <v>32</v>
      </c>
      <c r="N2321" s="2" t="n">
        <f aca="false">IF(E2321="","",IF(ISNUMBER(SEARCH("SUBSOLO",E2321)),IFERROR(-VALUE(LEFT(E2321,FIND("º",SUBSTITUTE(E2321,"°","º"))-1)),-1),IF(LEFT(E2321,6)="TÉRREO",0,IFERROR(VALUE(LEFT(E2321,FIND("º",SUBSTITUTE(E2321,"°","º"))-1)),""))))</f>
        <v>31</v>
      </c>
      <c r="O2321" s="2" t="str">
        <f aca="false">IF(OR(F2321="",G2321=""),"",IF(G2321&lt;='RETRATO 2027'!$K$5,"CONCLUÍDA",IF(F2321&lt;='RETRATO 2027'!$K$5,"EM ANDAMENTO","A INICIAR")))</f>
        <v>A INICIAR</v>
      </c>
    </row>
    <row r="2322" customFormat="false" ht="15" hidden="false" customHeight="false" outlineLevel="0" collapsed="false">
      <c r="B2322" s="4" t="n">
        <v>29980612</v>
      </c>
      <c r="C2322" s="4" t="s">
        <v>2615</v>
      </c>
      <c r="D2322" s="4" t="s">
        <v>463</v>
      </c>
      <c r="E2322" s="4" t="s">
        <v>2844</v>
      </c>
      <c r="F2322" s="127" t="n">
        <v>47151</v>
      </c>
      <c r="G2322" s="127" t="n">
        <v>47163</v>
      </c>
      <c r="H2322" s="127" t="n">
        <v>46289</v>
      </c>
      <c r="I2322" s="4" t="n">
        <v>0</v>
      </c>
      <c r="J2322" s="4" t="n">
        <v>0</v>
      </c>
      <c r="K2322" s="4" t="n">
        <v>0</v>
      </c>
      <c r="M2322" s="2" t="str">
        <f aca="false">IF(C2322="","",IFERROR(INDEX($S$5:$S$304,MATCH(C2322,$R$5:$R$304,0))&amp;"","?"))</f>
        <v>37</v>
      </c>
      <c r="N2322" s="2" t="n">
        <f aca="false">IF(E2322="","",IF(ISNUMBER(SEARCH("SUBSOLO",E2322)),IFERROR(-VALUE(LEFT(E2322,FIND("º",SUBSTITUTE(E2322,"°","º"))-1)),-1),IF(LEFT(E2322,6)="TÉRREO",0,IFERROR(VALUE(LEFT(E2322,FIND("º",SUBSTITUTE(E2322,"°","º"))-1)),""))))</f>
        <v>32</v>
      </c>
      <c r="O2322" s="2" t="str">
        <f aca="false">IF(OR(F2322="",G2322=""),"",IF(G2322&lt;='RETRATO 2027'!$K$5,"CONCLUÍDA",IF(F2322&lt;='RETRATO 2027'!$K$5,"EM ANDAMENTO","A INICIAR")))</f>
        <v>A INICIAR</v>
      </c>
    </row>
    <row r="2323" customFormat="false" ht="15" hidden="false" customHeight="false" outlineLevel="0" collapsed="false">
      <c r="B2323" s="4" t="n">
        <v>30206021</v>
      </c>
      <c r="C2323" s="4" t="s">
        <v>2732</v>
      </c>
      <c r="D2323" s="4" t="s">
        <v>463</v>
      </c>
      <c r="E2323" s="4" t="s">
        <v>2849</v>
      </c>
      <c r="F2323" s="127" t="n">
        <v>47155</v>
      </c>
      <c r="G2323" s="127" t="n">
        <v>47168</v>
      </c>
      <c r="H2323" s="127" t="n">
        <v>46289</v>
      </c>
      <c r="I2323" s="4" t="n">
        <v>0</v>
      </c>
      <c r="J2323" s="4" t="n">
        <v>0</v>
      </c>
      <c r="K2323" s="4" t="n">
        <v>0</v>
      </c>
      <c r="M2323" s="2" t="str">
        <f aca="false">IF(C2323="","",IFERROR(INDEX($S$5:$S$304,MATCH(C2323,$R$5:$R$304,0))&amp;"","?"))</f>
        <v/>
      </c>
      <c r="N2323" s="2" t="n">
        <f aca="false">IF(E2323="","",IF(ISNUMBER(SEARCH("SUBSOLO",E2323)),IFERROR(-VALUE(LEFT(E2323,FIND("º",SUBSTITUTE(E2323,"°","º"))-1)),-1),IF(LEFT(E2323,6)="TÉRREO",0,IFERROR(VALUE(LEFT(E2323,FIND("º",SUBSTITUTE(E2323,"°","º"))-1)),""))))</f>
        <v>6</v>
      </c>
      <c r="O2323" s="2" t="str">
        <f aca="false">IF(OR(F2323="",G2323=""),"",IF(G2323&lt;='RETRATO 2027'!$K$5,"CONCLUÍDA",IF(F2323&lt;='RETRATO 2027'!$K$5,"EM ANDAMENTO","A INICIAR")))</f>
        <v>A INICIAR</v>
      </c>
    </row>
    <row r="2324" customFormat="false" ht="15" hidden="false" customHeight="false" outlineLevel="0" collapsed="false">
      <c r="B2324" s="4" t="n">
        <v>30205978</v>
      </c>
      <c r="C2324" s="4" t="s">
        <v>2649</v>
      </c>
      <c r="D2324" s="4" t="s">
        <v>463</v>
      </c>
      <c r="E2324" s="4" t="s">
        <v>2850</v>
      </c>
      <c r="F2324" s="127" t="n">
        <v>47155</v>
      </c>
      <c r="G2324" s="127" t="n">
        <v>47168</v>
      </c>
      <c r="H2324" s="127" t="n">
        <v>46289</v>
      </c>
      <c r="I2324" s="4" t="n">
        <v>0</v>
      </c>
      <c r="J2324" s="4" t="n">
        <v>0</v>
      </c>
      <c r="K2324" s="4" t="n">
        <v>0</v>
      </c>
      <c r="M2324" s="2" t="str">
        <f aca="false">IF(C2324="","",IFERROR(INDEX($S$5:$S$304,MATCH(C2324,$R$5:$R$304,0))&amp;"","?"))</f>
        <v>37</v>
      </c>
      <c r="N2324" s="2" t="n">
        <f aca="false">IF(E2324="","",IF(ISNUMBER(SEARCH("SUBSOLO",E2324)),IFERROR(-VALUE(LEFT(E2324,FIND("º",SUBSTITUTE(E2324,"°","º"))-1)),-1),IF(LEFT(E2324,6)="TÉRREO",0,IFERROR(VALUE(LEFT(E2324,FIND("º",SUBSTITUTE(E2324,"°","º"))-1)),""))))</f>
        <v>6</v>
      </c>
      <c r="O2324" s="2" t="str">
        <f aca="false">IF(OR(F2324="",G2324=""),"",IF(G2324&lt;='RETRATO 2027'!$K$5,"CONCLUÍDA",IF(F2324&lt;='RETRATO 2027'!$K$5,"EM ANDAMENTO","A INICIAR")))</f>
        <v>A INICIAR</v>
      </c>
    </row>
    <row r="2325" customFormat="false" ht="15" hidden="false" customHeight="false" outlineLevel="0" collapsed="false">
      <c r="B2325" s="4" t="n">
        <v>33807245</v>
      </c>
      <c r="C2325" s="4" t="s">
        <v>2738</v>
      </c>
      <c r="D2325" s="4" t="s">
        <v>463</v>
      </c>
      <c r="E2325" s="4" t="s">
        <v>2813</v>
      </c>
      <c r="F2325" s="127" t="n">
        <v>47155</v>
      </c>
      <c r="G2325" s="127" t="n">
        <v>47157</v>
      </c>
      <c r="H2325" s="127" t="n">
        <v>46289</v>
      </c>
      <c r="I2325" s="4" t="n">
        <v>0</v>
      </c>
      <c r="J2325" s="4" t="n">
        <v>0</v>
      </c>
      <c r="K2325" s="4" t="n">
        <v>0</v>
      </c>
      <c r="M2325" s="2" t="str">
        <f aca="false">IF(C2325="","",IFERROR(INDEX($S$5:$S$304,MATCH(C2325,$R$5:$R$304,0))&amp;"","?"))</f>
        <v/>
      </c>
      <c r="N2325" s="2" t="n">
        <f aca="false">IF(E2325="","",IF(ISNUMBER(SEARCH("SUBSOLO",E2325)),IFERROR(-VALUE(LEFT(E2325,FIND("º",SUBSTITUTE(E2325,"°","º"))-1)),-1),IF(LEFT(E2325,6)="TÉRREO",0,IFERROR(VALUE(LEFT(E2325,FIND("º",SUBSTITUTE(E2325,"°","º"))-1)),""))))</f>
        <v>14</v>
      </c>
      <c r="O2325" s="2" t="str">
        <f aca="false">IF(OR(F2325="",G2325=""),"",IF(G2325&lt;='RETRATO 2027'!$K$5,"CONCLUÍDA",IF(F2325&lt;='RETRATO 2027'!$K$5,"EM ANDAMENTO","A INICIAR")))</f>
        <v>A INICIAR</v>
      </c>
    </row>
    <row r="2326" customFormat="false" ht="15" hidden="false" customHeight="false" outlineLevel="0" collapsed="false">
      <c r="B2326" s="4" t="n">
        <v>29981189</v>
      </c>
      <c r="C2326" s="4" t="s">
        <v>2732</v>
      </c>
      <c r="D2326" s="4" t="s">
        <v>463</v>
      </c>
      <c r="E2326" s="4" t="s">
        <v>2818</v>
      </c>
      <c r="F2326" s="127" t="n">
        <v>47155</v>
      </c>
      <c r="G2326" s="127" t="n">
        <v>47165</v>
      </c>
      <c r="H2326" s="127" t="n">
        <v>46289</v>
      </c>
      <c r="I2326" s="4" t="n">
        <v>0</v>
      </c>
      <c r="J2326" s="4" t="n">
        <v>0</v>
      </c>
      <c r="K2326" s="4" t="n">
        <v>0</v>
      </c>
      <c r="M2326" s="2" t="str">
        <f aca="false">IF(C2326="","",IFERROR(INDEX($S$5:$S$304,MATCH(C2326,$R$5:$R$304,0))&amp;"","?"))</f>
        <v/>
      </c>
      <c r="N2326" s="2" t="n">
        <f aca="false">IF(E2326="","",IF(ISNUMBER(SEARCH("SUBSOLO",E2326)),IFERROR(-VALUE(LEFT(E2326,FIND("º",SUBSTITUTE(E2326,"°","º"))-1)),-1),IF(LEFT(E2326,6)="TÉRREO",0,IFERROR(VALUE(LEFT(E2326,FIND("º",SUBSTITUTE(E2326,"°","º"))-1)),""))))</f>
        <v>17</v>
      </c>
      <c r="O2326" s="2" t="str">
        <f aca="false">IF(OR(F2326="",G2326=""),"",IF(G2326&lt;='RETRATO 2027'!$K$5,"CONCLUÍDA",IF(F2326&lt;='RETRATO 2027'!$K$5,"EM ANDAMENTO","A INICIAR")))</f>
        <v>A INICIAR</v>
      </c>
    </row>
    <row r="2327" customFormat="false" ht="15" hidden="false" customHeight="false" outlineLevel="0" collapsed="false">
      <c r="B2327" s="4" t="n">
        <v>29981093</v>
      </c>
      <c r="C2327" s="4" t="s">
        <v>2615</v>
      </c>
      <c r="D2327" s="4" t="s">
        <v>463</v>
      </c>
      <c r="E2327" s="4" t="s">
        <v>2822</v>
      </c>
      <c r="F2327" s="127" t="n">
        <v>47155</v>
      </c>
      <c r="G2327" s="127" t="n">
        <v>47161</v>
      </c>
      <c r="H2327" s="127" t="n">
        <v>46289</v>
      </c>
      <c r="I2327" s="4" t="n">
        <v>0</v>
      </c>
      <c r="J2327" s="4" t="n">
        <v>0</v>
      </c>
      <c r="K2327" s="4" t="n">
        <v>0</v>
      </c>
      <c r="M2327" s="2" t="str">
        <f aca="false">IF(C2327="","",IFERROR(INDEX($S$5:$S$304,MATCH(C2327,$R$5:$R$304,0))&amp;"","?"))</f>
        <v>37</v>
      </c>
      <c r="N2327" s="2" t="n">
        <f aca="false">IF(E2327="","",IF(ISNUMBER(SEARCH("SUBSOLO",E2327)),IFERROR(-VALUE(LEFT(E2327,FIND("º",SUBSTITUTE(E2327,"°","º"))-1)),-1),IF(LEFT(E2327,6)="TÉRREO",0,IFERROR(VALUE(LEFT(E2327,FIND("º",SUBSTITUTE(E2327,"°","º"))-1)),""))))</f>
        <v>19</v>
      </c>
      <c r="O2327" s="2" t="str">
        <f aca="false">IF(OR(F2327="",G2327=""),"",IF(G2327&lt;='RETRATO 2027'!$K$5,"CONCLUÍDA",IF(F2327&lt;='RETRATO 2027'!$K$5,"EM ANDAMENTO","A INICIAR")))</f>
        <v>A INICIAR</v>
      </c>
    </row>
    <row r="2328" customFormat="false" ht="15" hidden="false" customHeight="false" outlineLevel="0" collapsed="false">
      <c r="B2328" s="4" t="n">
        <v>33807246</v>
      </c>
      <c r="C2328" s="4" t="s">
        <v>2738</v>
      </c>
      <c r="D2328" s="4" t="s">
        <v>463</v>
      </c>
      <c r="E2328" s="4" t="s">
        <v>2814</v>
      </c>
      <c r="F2328" s="127" t="n">
        <v>47158</v>
      </c>
      <c r="G2328" s="127" t="n">
        <v>47162</v>
      </c>
      <c r="H2328" s="127" t="n">
        <v>46289</v>
      </c>
      <c r="I2328" s="4" t="n">
        <v>0</v>
      </c>
      <c r="J2328" s="4" t="n">
        <v>0</v>
      </c>
      <c r="K2328" s="4" t="n">
        <v>0</v>
      </c>
      <c r="M2328" s="2" t="str">
        <f aca="false">IF(C2328="","",IFERROR(INDEX($S$5:$S$304,MATCH(C2328,$R$5:$R$304,0))&amp;"","?"))</f>
        <v/>
      </c>
      <c r="N2328" s="2" t="n">
        <f aca="false">IF(E2328="","",IF(ISNUMBER(SEARCH("SUBSOLO",E2328)),IFERROR(-VALUE(LEFT(E2328,FIND("º",SUBSTITUTE(E2328,"°","º"))-1)),-1),IF(LEFT(E2328,6)="TÉRREO",0,IFERROR(VALUE(LEFT(E2328,FIND("º",SUBSTITUTE(E2328,"°","º"))-1)),""))))</f>
        <v>15</v>
      </c>
      <c r="O2328" s="2" t="str">
        <f aca="false">IF(OR(F2328="",G2328=""),"",IF(G2328&lt;='RETRATO 2027'!$K$5,"CONCLUÍDA",IF(F2328&lt;='RETRATO 2027'!$K$5,"EM ANDAMENTO","A INICIAR")))</f>
        <v>A INICIAR</v>
      </c>
    </row>
    <row r="2329" customFormat="false" ht="15" hidden="false" customHeight="false" outlineLevel="0" collapsed="false">
      <c r="B2329" s="4" t="n">
        <v>29981152</v>
      </c>
      <c r="C2329" s="4" t="s">
        <v>2732</v>
      </c>
      <c r="D2329" s="4" t="s">
        <v>463</v>
      </c>
      <c r="E2329" s="4" t="s">
        <v>2820</v>
      </c>
      <c r="F2329" s="127" t="n">
        <v>47158</v>
      </c>
      <c r="G2329" s="127" t="n">
        <v>47170</v>
      </c>
      <c r="H2329" s="127" t="n">
        <v>46289</v>
      </c>
      <c r="I2329" s="4" t="n">
        <v>0</v>
      </c>
      <c r="J2329" s="4" t="n">
        <v>0</v>
      </c>
      <c r="K2329" s="4" t="n">
        <v>0</v>
      </c>
      <c r="M2329" s="2" t="str">
        <f aca="false">IF(C2329="","",IFERROR(INDEX($S$5:$S$304,MATCH(C2329,$R$5:$R$304,0))&amp;"","?"))</f>
        <v/>
      </c>
      <c r="N2329" s="2" t="n">
        <f aca="false">IF(E2329="","",IF(ISNUMBER(SEARCH("SUBSOLO",E2329)),IFERROR(-VALUE(LEFT(E2329,FIND("º",SUBSTITUTE(E2329,"°","º"))-1)),-1),IF(LEFT(E2329,6)="TÉRREO",0,IFERROR(VALUE(LEFT(E2329,FIND("º",SUBSTITUTE(E2329,"°","º"))-1)),""))))</f>
        <v>18</v>
      </c>
      <c r="O2329" s="2" t="str">
        <f aca="false">IF(OR(F2329="",G2329=""),"",IF(G2329&lt;='RETRATO 2027'!$K$5,"CONCLUÍDA",IF(F2329&lt;='RETRATO 2027'!$K$5,"EM ANDAMENTO","A INICIAR")))</f>
        <v>A INICIAR</v>
      </c>
    </row>
    <row r="2330" customFormat="false" ht="15" hidden="false" customHeight="false" outlineLevel="0" collapsed="false">
      <c r="B2330" s="4" t="n">
        <v>29980773</v>
      </c>
      <c r="C2330" s="4" t="s">
        <v>2649</v>
      </c>
      <c r="D2330" s="4" t="s">
        <v>463</v>
      </c>
      <c r="E2330" s="4" t="s">
        <v>2840</v>
      </c>
      <c r="F2330" s="127" t="n">
        <v>47158</v>
      </c>
      <c r="G2330" s="127" t="n">
        <v>47170</v>
      </c>
      <c r="H2330" s="127" t="n">
        <v>46289</v>
      </c>
      <c r="I2330" s="4" t="n">
        <v>0</v>
      </c>
      <c r="J2330" s="4" t="n">
        <v>0</v>
      </c>
      <c r="K2330" s="4" t="n">
        <v>0</v>
      </c>
      <c r="M2330" s="2" t="str">
        <f aca="false">IF(C2330="","",IFERROR(INDEX($S$5:$S$304,MATCH(C2330,$R$5:$R$304,0))&amp;"","?"))</f>
        <v>37</v>
      </c>
      <c r="N2330" s="2" t="n">
        <f aca="false">IF(E2330="","",IF(ISNUMBER(SEARCH("SUBSOLO",E2330)),IFERROR(-VALUE(LEFT(E2330,FIND("º",SUBSTITUTE(E2330,"°","º"))-1)),-1),IF(LEFT(E2330,6)="TÉRREO",0,IFERROR(VALUE(LEFT(E2330,FIND("º",SUBSTITUTE(E2330,"°","º"))-1)),""))))</f>
        <v>28</v>
      </c>
      <c r="O2330" s="2" t="str">
        <f aca="false">IF(OR(F2330="",G2330=""),"",IF(G2330&lt;='RETRATO 2027'!$K$5,"CONCLUÍDA",IF(F2330&lt;='RETRATO 2027'!$K$5,"EM ANDAMENTO","A INICIAR")))</f>
        <v>A INICIAR</v>
      </c>
    </row>
    <row r="2331" customFormat="false" ht="15" hidden="false" customHeight="false" outlineLevel="0" collapsed="false">
      <c r="B2331" s="4" t="n">
        <v>29980726</v>
      </c>
      <c r="C2331" s="4" t="s">
        <v>2641</v>
      </c>
      <c r="D2331" s="4" t="s">
        <v>463</v>
      </c>
      <c r="E2331" s="4" t="s">
        <v>2841</v>
      </c>
      <c r="F2331" s="127" t="n">
        <v>47158</v>
      </c>
      <c r="G2331" s="127" t="n">
        <v>47170</v>
      </c>
      <c r="H2331" s="127" t="n">
        <v>46289</v>
      </c>
      <c r="I2331" s="4" t="n">
        <v>0</v>
      </c>
      <c r="J2331" s="4" t="n">
        <v>0</v>
      </c>
      <c r="K2331" s="4" t="n">
        <v>0</v>
      </c>
      <c r="M2331" s="2" t="str">
        <f aca="false">IF(C2331="","",IFERROR(INDEX($S$5:$S$304,MATCH(C2331,$R$5:$R$304,0))&amp;"","?"))</f>
        <v>35</v>
      </c>
      <c r="N2331" s="2" t="n">
        <f aca="false">IF(E2331="","",IF(ISNUMBER(SEARCH("SUBSOLO",E2331)),IFERROR(-VALUE(LEFT(E2331,FIND("º",SUBSTITUTE(E2331,"°","º"))-1)),-1),IF(LEFT(E2331,6)="TÉRREO",0,IFERROR(VALUE(LEFT(E2331,FIND("º",SUBSTITUTE(E2331,"°","º"))-1)),""))))</f>
        <v>29</v>
      </c>
      <c r="O2331" s="2" t="str">
        <f aca="false">IF(OR(F2331="",G2331=""),"",IF(G2331&lt;='RETRATO 2027'!$K$5,"CONCLUÍDA",IF(F2331&lt;='RETRATO 2027'!$K$5,"EM ANDAMENTO","A INICIAR")))</f>
        <v>A INICIAR</v>
      </c>
    </row>
    <row r="2332" customFormat="false" ht="15" hidden="false" customHeight="false" outlineLevel="0" collapsed="false">
      <c r="B2332" s="4" t="n">
        <v>30171424</v>
      </c>
      <c r="C2332" s="4" t="s">
        <v>2690</v>
      </c>
      <c r="D2332" s="4" t="s">
        <v>463</v>
      </c>
      <c r="E2332" s="4" t="s">
        <v>2800</v>
      </c>
      <c r="F2332" s="127" t="n">
        <v>47161</v>
      </c>
      <c r="G2332" s="127" t="n">
        <v>47179</v>
      </c>
      <c r="H2332" s="127" t="n">
        <v>46289</v>
      </c>
      <c r="I2332" s="4" t="n">
        <v>0</v>
      </c>
      <c r="J2332" s="4" t="n">
        <v>0</v>
      </c>
      <c r="K2332" s="4" t="n">
        <v>0</v>
      </c>
      <c r="M2332" s="2" t="str">
        <f aca="false">IF(C2332="","",IFERROR(INDEX($S$5:$S$304,MATCH(C2332,$R$5:$R$304,0))&amp;"","?"))</f>
        <v>37</v>
      </c>
      <c r="N2332" s="2" t="n">
        <f aca="false">IF(E2332="","",IF(ISNUMBER(SEARCH("SUBSOLO",E2332)),IFERROR(-VALUE(LEFT(E2332,FIND("º",SUBSTITUTE(E2332,"°","º"))-1)),-1),IF(LEFT(E2332,6)="TÉRREO",0,IFERROR(VALUE(LEFT(E2332,FIND("º",SUBSTITUTE(E2332,"°","º"))-1)),""))))</f>
        <v>4</v>
      </c>
      <c r="O2332" s="2" t="str">
        <f aca="false">IF(OR(F2332="",G2332=""),"",IF(G2332&lt;='RETRATO 2027'!$K$5,"CONCLUÍDA",IF(F2332&lt;='RETRATO 2027'!$K$5,"EM ANDAMENTO","A INICIAR")))</f>
        <v>A INICIAR</v>
      </c>
    </row>
    <row r="2333" customFormat="false" ht="15" hidden="false" customHeight="false" outlineLevel="0" collapsed="false">
      <c r="B2333" s="4" t="n">
        <v>30171540</v>
      </c>
      <c r="C2333" s="4" t="s">
        <v>2690</v>
      </c>
      <c r="D2333" s="4" t="s">
        <v>463</v>
      </c>
      <c r="E2333" s="4" t="s">
        <v>2857</v>
      </c>
      <c r="F2333" s="127" t="n">
        <v>47162</v>
      </c>
      <c r="G2333" s="127" t="n">
        <v>47182</v>
      </c>
      <c r="H2333" s="127" t="n">
        <v>46289</v>
      </c>
      <c r="I2333" s="4" t="n">
        <v>0</v>
      </c>
      <c r="J2333" s="4" t="n">
        <v>0</v>
      </c>
      <c r="K2333" s="4" t="n">
        <v>0</v>
      </c>
      <c r="M2333" s="2" t="str">
        <f aca="false">IF(C2333="","",IFERROR(INDEX($S$5:$S$304,MATCH(C2333,$R$5:$R$304,0))&amp;"","?"))</f>
        <v>37</v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>A INICIAR</v>
      </c>
    </row>
    <row r="2334" customFormat="false" ht="15" hidden="false" customHeight="false" outlineLevel="0" collapsed="false">
      <c r="B2334" s="4" t="n">
        <v>29981094</v>
      </c>
      <c r="C2334" s="4" t="s">
        <v>2623</v>
      </c>
      <c r="D2334" s="4" t="s">
        <v>463</v>
      </c>
      <c r="E2334" s="4" t="s">
        <v>2822</v>
      </c>
      <c r="F2334" s="127" t="n">
        <v>47162</v>
      </c>
      <c r="G2334" s="127" t="n">
        <v>47172</v>
      </c>
      <c r="H2334" s="127" t="n">
        <v>46289</v>
      </c>
      <c r="I2334" s="4" t="n">
        <v>0</v>
      </c>
      <c r="J2334" s="4" t="n">
        <v>0</v>
      </c>
      <c r="K2334" s="4" t="n">
        <v>0</v>
      </c>
      <c r="M2334" s="2" t="str">
        <f aca="false">IF(C2334="","",IFERROR(INDEX($S$5:$S$304,MATCH(C2334,$R$5:$R$304,0))&amp;"","?"))</f>
        <v>35</v>
      </c>
      <c r="N2334" s="2" t="n">
        <f aca="false">IF(E2334="","",IF(ISNUMBER(SEARCH("SUBSOLO",E2334)),IFERROR(-VALUE(LEFT(E2334,FIND("º",SUBSTITUTE(E2334,"°","º"))-1)),-1),IF(LEFT(E2334,6)="TÉRREO",0,IFERROR(VALUE(LEFT(E2334,FIND("º",SUBSTITUTE(E2334,"°","º"))-1)),""))))</f>
        <v>19</v>
      </c>
      <c r="O2334" s="2" t="str">
        <f aca="false">IF(OR(F2334="",G2334=""),"",IF(G2334&lt;='RETRATO 2027'!$K$5,"CONCLUÍDA",IF(F2334&lt;='RETRATO 2027'!$K$5,"EM ANDAMENTO","A INICIAR")))</f>
        <v>A INICIAR</v>
      </c>
    </row>
    <row r="2335" customFormat="false" ht="15" hidden="false" customHeight="false" outlineLevel="0" collapsed="false">
      <c r="B2335" s="4" t="n">
        <v>33919810</v>
      </c>
      <c r="C2335" s="4" t="s">
        <v>2625</v>
      </c>
      <c r="D2335" s="4" t="s">
        <v>463</v>
      </c>
      <c r="E2335" s="4" t="s">
        <v>2822</v>
      </c>
      <c r="F2335" s="127" t="n">
        <v>47162</v>
      </c>
      <c r="G2335" s="127" t="n">
        <v>47172</v>
      </c>
      <c r="H2335" s="127" t="n">
        <v>46289</v>
      </c>
      <c r="I2335" s="4" t="n">
        <v>0</v>
      </c>
      <c r="J2335" s="4" t="n">
        <v>0</v>
      </c>
      <c r="K2335" s="4" t="n">
        <v>0</v>
      </c>
      <c r="M2335" s="2" t="str">
        <f aca="false">IF(C2335="","",IFERROR(INDEX($S$5:$S$304,MATCH(C2335,$R$5:$R$304,0))&amp;"","?"))</f>
        <v>32</v>
      </c>
      <c r="N2335" s="2" t="n">
        <f aca="false">IF(E2335="","",IF(ISNUMBER(SEARCH("SUBSOLO",E2335)),IFERROR(-VALUE(LEFT(E2335,FIND("º",SUBSTITUTE(E2335,"°","º"))-1)),-1),IF(LEFT(E2335,6)="TÉRREO",0,IFERROR(VALUE(LEFT(E2335,FIND("º",SUBSTITUTE(E2335,"°","º"))-1)),""))))</f>
        <v>19</v>
      </c>
      <c r="O2335" s="2" t="str">
        <f aca="false">IF(OR(F2335="",G2335=""),"",IF(G2335&lt;='RETRATO 2027'!$K$5,"CONCLUÍDA",IF(F2335&lt;='RETRATO 2027'!$K$5,"EM ANDAMENTO","A INICIAR")))</f>
        <v>A INICIAR</v>
      </c>
    </row>
    <row r="2336" customFormat="false" ht="15" hidden="false" customHeight="false" outlineLevel="0" collapsed="false">
      <c r="B2336" s="4" t="n">
        <v>33807247</v>
      </c>
      <c r="C2336" s="4" t="s">
        <v>2738</v>
      </c>
      <c r="D2336" s="4" t="s">
        <v>463</v>
      </c>
      <c r="E2336" s="4" t="s">
        <v>2815</v>
      </c>
      <c r="F2336" s="127" t="n">
        <v>47163</v>
      </c>
      <c r="G2336" s="127" t="n">
        <v>47165</v>
      </c>
      <c r="H2336" s="127" t="n">
        <v>46289</v>
      </c>
      <c r="I2336" s="4" t="n">
        <v>0</v>
      </c>
      <c r="J2336" s="4" t="n">
        <v>0</v>
      </c>
      <c r="K2336" s="4" t="n">
        <v>0</v>
      </c>
      <c r="M2336" s="2" t="str">
        <f aca="false">IF(C2336="","",IFERROR(INDEX($S$5:$S$304,MATCH(C2336,$R$5:$R$304,0))&amp;"","?"))</f>
        <v/>
      </c>
      <c r="N2336" s="2" t="n">
        <f aca="false">IF(E2336="","",IF(ISNUMBER(SEARCH("SUBSOLO",E2336)),IFERROR(-VALUE(LEFT(E2336,FIND("º",SUBSTITUTE(E2336,"°","º"))-1)),-1),IF(LEFT(E2336,6)="TÉRREO",0,IFERROR(VALUE(LEFT(E2336,FIND("º",SUBSTITUTE(E2336,"°","º"))-1)),""))))</f>
        <v>16</v>
      </c>
      <c r="O2336" s="2" t="str">
        <f aca="false">IF(OR(F2336="",G2336=""),"",IF(G2336&lt;='RETRATO 2027'!$K$5,"CONCLUÍDA",IF(F2336&lt;='RETRATO 2027'!$K$5,"EM ANDAMENTO","A INICIAR")))</f>
        <v>A INICIAR</v>
      </c>
    </row>
    <row r="2337" customFormat="false" ht="15" hidden="false" customHeight="false" outlineLevel="0" collapsed="false">
      <c r="B2337" s="4" t="n">
        <v>29981078</v>
      </c>
      <c r="C2337" s="4" t="s">
        <v>2732</v>
      </c>
      <c r="D2337" s="4" t="s">
        <v>463</v>
      </c>
      <c r="E2337" s="4" t="s">
        <v>2823</v>
      </c>
      <c r="F2337" s="127" t="n">
        <v>47163</v>
      </c>
      <c r="G2337" s="127" t="n">
        <v>47175</v>
      </c>
      <c r="H2337" s="127" t="n">
        <v>46289</v>
      </c>
      <c r="I2337" s="4" t="n">
        <v>0</v>
      </c>
      <c r="J2337" s="4" t="n">
        <v>0</v>
      </c>
      <c r="K2337" s="4" t="n">
        <v>0</v>
      </c>
      <c r="M2337" s="2" t="str">
        <f aca="false">IF(C2337="","",IFERROR(INDEX($S$5:$S$304,MATCH(C2337,$R$5:$R$304,0))&amp;"","?"))</f>
        <v/>
      </c>
      <c r="N2337" s="2" t="n">
        <f aca="false">IF(E2337="","",IF(ISNUMBER(SEARCH("SUBSOLO",E2337)),IFERROR(-VALUE(LEFT(E2337,FIND("º",SUBSTITUTE(E2337,"°","º"))-1)),-1),IF(LEFT(E2337,6)="TÉRREO",0,IFERROR(VALUE(LEFT(E2337,FIND("º",SUBSTITUTE(E2337,"°","º"))-1)),""))))</f>
        <v>20</v>
      </c>
      <c r="O2337" s="2" t="str">
        <f aca="false">IF(OR(F2337="",G2337=""),"",IF(G2337&lt;='RETRATO 2027'!$K$5,"CONCLUÍDA",IF(F2337&lt;='RETRATO 2027'!$K$5,"EM ANDAMENTO","A INICIAR")))</f>
        <v>A INICIAR</v>
      </c>
    </row>
    <row r="2338" customFormat="false" ht="15" hidden="false" customHeight="false" outlineLevel="0" collapsed="false">
      <c r="B2338" s="4" t="n">
        <v>29980688</v>
      </c>
      <c r="C2338" s="4" t="s">
        <v>2637</v>
      </c>
      <c r="D2338" s="4" t="s">
        <v>463</v>
      </c>
      <c r="E2338" s="4" t="s">
        <v>2842</v>
      </c>
      <c r="F2338" s="127" t="n">
        <v>47164</v>
      </c>
      <c r="G2338" s="127" t="n">
        <v>47170</v>
      </c>
      <c r="H2338" s="127" t="n">
        <v>46289</v>
      </c>
      <c r="I2338" s="4" t="n">
        <v>0</v>
      </c>
      <c r="J2338" s="4" t="n">
        <v>0</v>
      </c>
      <c r="K2338" s="4" t="n">
        <v>0</v>
      </c>
      <c r="M2338" s="2" t="str">
        <f aca="false">IF(C2338="","",IFERROR(INDEX($S$5:$S$304,MATCH(C2338,$R$5:$R$304,0))&amp;"","?"))</f>
        <v/>
      </c>
      <c r="N2338" s="2" t="n">
        <f aca="false">IF(E2338="","",IF(ISNUMBER(SEARCH("SUBSOLO",E2338)),IFERROR(-VALUE(LEFT(E2338,FIND("º",SUBSTITUTE(E2338,"°","º"))-1)),-1),IF(LEFT(E2338,6)="TÉRREO",0,IFERROR(VALUE(LEFT(E2338,FIND("º",SUBSTITUTE(E2338,"°","º"))-1)),""))))</f>
        <v>30</v>
      </c>
      <c r="O2338" s="2" t="str">
        <f aca="false">IF(OR(F2338="",G2338=""),"",IF(G2338&lt;='RETRATO 2027'!$K$5,"CONCLUÍDA",IF(F2338&lt;='RETRATO 2027'!$K$5,"EM ANDAMENTO","A INICIAR")))</f>
        <v>A INICIAR</v>
      </c>
    </row>
    <row r="2339" customFormat="false" ht="15" hidden="false" customHeight="false" outlineLevel="0" collapsed="false">
      <c r="B2339" s="4" t="n">
        <v>29980653</v>
      </c>
      <c r="C2339" s="4" t="s">
        <v>2629</v>
      </c>
      <c r="D2339" s="4" t="s">
        <v>463</v>
      </c>
      <c r="E2339" s="4" t="s">
        <v>2843</v>
      </c>
      <c r="F2339" s="127" t="n">
        <v>47164</v>
      </c>
      <c r="G2339" s="127" t="n">
        <v>47176</v>
      </c>
      <c r="H2339" s="127" t="n">
        <v>46289</v>
      </c>
      <c r="I2339" s="4" t="n">
        <v>0</v>
      </c>
      <c r="J2339" s="4" t="n">
        <v>0</v>
      </c>
      <c r="K2339" s="4" t="n">
        <v>0</v>
      </c>
      <c r="M2339" s="2" t="str">
        <f aca="false">IF(C2339="","",IFERROR(INDEX($S$5:$S$304,MATCH(C2339,$R$5:$R$304,0))&amp;"","?"))</f>
        <v>20</v>
      </c>
      <c r="N2339" s="2" t="n">
        <f aca="false">IF(E2339="","",IF(ISNUMBER(SEARCH("SUBSOLO",E2339)),IFERROR(-VALUE(LEFT(E2339,FIND("º",SUBSTITUTE(E2339,"°","º"))-1)),-1),IF(LEFT(E2339,6)="TÉRREO",0,IFERROR(VALUE(LEFT(E2339,FIND("º",SUBSTITUTE(E2339,"°","º"))-1)),""))))</f>
        <v>31</v>
      </c>
      <c r="O2339" s="2" t="str">
        <f aca="false">IF(OR(F2339="",G2339=""),"",IF(G2339&lt;='RETRATO 2027'!$K$5,"CONCLUÍDA",IF(F2339&lt;='RETRATO 2027'!$K$5,"EM ANDAMENTO","A INICIAR")))</f>
        <v>A INICIAR</v>
      </c>
    </row>
    <row r="2340" customFormat="false" ht="15" hidden="false" customHeight="false" outlineLevel="0" collapsed="false">
      <c r="B2340" s="4" t="n">
        <v>29980613</v>
      </c>
      <c r="C2340" s="4" t="s">
        <v>2623</v>
      </c>
      <c r="D2340" s="4" t="s">
        <v>463</v>
      </c>
      <c r="E2340" s="4" t="s">
        <v>2844</v>
      </c>
      <c r="F2340" s="127" t="n">
        <v>47164</v>
      </c>
      <c r="G2340" s="127" t="n">
        <v>47176</v>
      </c>
      <c r="H2340" s="127" t="n">
        <v>46289</v>
      </c>
      <c r="I2340" s="4" t="n">
        <v>0</v>
      </c>
      <c r="J2340" s="4" t="n">
        <v>0</v>
      </c>
      <c r="K2340" s="4" t="n">
        <v>0</v>
      </c>
      <c r="M2340" s="2" t="str">
        <f aca="false">IF(C2340="","",IFERROR(INDEX($S$5:$S$304,MATCH(C2340,$R$5:$R$304,0))&amp;"","?"))</f>
        <v>35</v>
      </c>
      <c r="N2340" s="2" t="n">
        <f aca="false">IF(E2340="","",IF(ISNUMBER(SEARCH("SUBSOLO",E2340)),IFERROR(-VALUE(LEFT(E2340,FIND("º",SUBSTITUTE(E2340,"°","º"))-1)),-1),IF(LEFT(E2340,6)="TÉRREO",0,IFERROR(VALUE(LEFT(E2340,FIND("º",SUBSTITUTE(E2340,"°","º"))-1)),""))))</f>
        <v>32</v>
      </c>
      <c r="O2340" s="2" t="str">
        <f aca="false">IF(OR(F2340="",G2340=""),"",IF(G2340&lt;='RETRATO 2027'!$K$5,"CONCLUÍDA",IF(F2340&lt;='RETRATO 2027'!$K$5,"EM ANDAMENTO","A INICIAR")))</f>
        <v>A INICIAR</v>
      </c>
    </row>
    <row r="2341" customFormat="false" ht="15" hidden="false" customHeight="false" outlineLevel="0" collapsed="false">
      <c r="B2341" s="4" t="n">
        <v>33919809</v>
      </c>
      <c r="C2341" s="4" t="s">
        <v>2625</v>
      </c>
      <c r="D2341" s="4" t="s">
        <v>463</v>
      </c>
      <c r="E2341" s="4" t="s">
        <v>2844</v>
      </c>
      <c r="F2341" s="127" t="n">
        <v>47164</v>
      </c>
      <c r="G2341" s="127" t="n">
        <v>47176</v>
      </c>
      <c r="H2341" s="127" t="n">
        <v>46289</v>
      </c>
      <c r="I2341" s="4" t="n">
        <v>0</v>
      </c>
      <c r="J2341" s="4" t="n">
        <v>0</v>
      </c>
      <c r="K2341" s="4" t="n">
        <v>0</v>
      </c>
      <c r="M2341" s="2" t="str">
        <f aca="false">IF(C2341="","",IFERROR(INDEX($S$5:$S$304,MATCH(C2341,$R$5:$R$304,0))&amp;"","?"))</f>
        <v>32</v>
      </c>
      <c r="N2341" s="2" t="n">
        <f aca="false">IF(E2341="","",IF(ISNUMBER(SEARCH("SUBSOLO",E2341)),IFERROR(-VALUE(LEFT(E2341,FIND("º",SUBSTITUTE(E2341,"°","º"))-1)),-1),IF(LEFT(E2341,6)="TÉRREO",0,IFERROR(VALUE(LEFT(E2341,FIND("º",SUBSTITUTE(E2341,"°","º"))-1)),""))))</f>
        <v>32</v>
      </c>
      <c r="O2341" s="2" t="str">
        <f aca="false">IF(OR(F2341="",G2341=""),"",IF(G2341&lt;='RETRATO 2027'!$K$5,"CONCLUÍDA",IF(F2341&lt;='RETRATO 2027'!$K$5,"EM ANDAMENTO","A INICIAR")))</f>
        <v>A INICIAR</v>
      </c>
    </row>
    <row r="2342" customFormat="false" ht="15" hidden="false" customHeight="false" outlineLevel="0" collapsed="false">
      <c r="B2342" s="4" t="n">
        <v>30205831</v>
      </c>
      <c r="C2342" s="4" t="s">
        <v>2653</v>
      </c>
      <c r="D2342" s="4" t="s">
        <v>463</v>
      </c>
      <c r="E2342" s="4" t="s">
        <v>2837</v>
      </c>
      <c r="F2342" s="127" t="n">
        <v>47165</v>
      </c>
      <c r="G2342" s="127" t="n">
        <v>47178</v>
      </c>
      <c r="H2342" s="127" t="n">
        <v>46289</v>
      </c>
      <c r="I2342" s="4" t="n">
        <v>0</v>
      </c>
      <c r="J2342" s="4" t="n">
        <v>0</v>
      </c>
      <c r="K2342" s="4" t="n">
        <v>0</v>
      </c>
      <c r="M2342" s="2" t="str">
        <f aca="false">IF(C2342="","",IFERROR(INDEX($S$5:$S$304,MATCH(C2342,$R$5:$R$304,0))&amp;"","?"))</f>
        <v>31</v>
      </c>
      <c r="N2342" s="2" t="n">
        <f aca="false">IF(E2342="","",IF(ISNUMBER(SEARCH("SUBSOLO",E2342)),IFERROR(-VALUE(LEFT(E2342,FIND("º",SUBSTITUTE(E2342,"°","º"))-1)),-1),IF(LEFT(E2342,6)="TÉRREO",0,IFERROR(VALUE(LEFT(E2342,FIND("º",SUBSTITUTE(E2342,"°","º"))-1)),""))))</f>
        <v>0</v>
      </c>
      <c r="O2342" s="2" t="str">
        <f aca="false">IF(OR(F2342="",G2342=""),"",IF(G2342&lt;='RETRATO 2027'!$K$5,"CONCLUÍDA",IF(F2342&lt;='RETRATO 2027'!$K$5,"EM ANDAMENTO","A INICIAR")))</f>
        <v>A INICIAR</v>
      </c>
    </row>
    <row r="2343" customFormat="false" ht="15" hidden="false" customHeight="false" outlineLevel="0" collapsed="false">
      <c r="B2343" s="4" t="n">
        <v>29981041</v>
      </c>
      <c r="C2343" s="4" t="s">
        <v>2732</v>
      </c>
      <c r="D2343" s="4" t="s">
        <v>463</v>
      </c>
      <c r="E2343" s="4" t="s">
        <v>2825</v>
      </c>
      <c r="F2343" s="127" t="n">
        <v>47165</v>
      </c>
      <c r="G2343" s="127" t="n">
        <v>47177</v>
      </c>
      <c r="H2343" s="127" t="n">
        <v>46289</v>
      </c>
      <c r="I2343" s="4" t="n">
        <v>0</v>
      </c>
      <c r="J2343" s="4" t="n">
        <v>0</v>
      </c>
      <c r="K2343" s="4" t="n">
        <v>0</v>
      </c>
      <c r="M2343" s="2" t="str">
        <f aca="false">IF(C2343="","",IFERROR(INDEX($S$5:$S$304,MATCH(C2343,$R$5:$R$304,0))&amp;"","?"))</f>
        <v/>
      </c>
      <c r="N2343" s="2" t="n">
        <f aca="false">IF(E2343="","",IF(ISNUMBER(SEARCH("SUBSOLO",E2343)),IFERROR(-VALUE(LEFT(E2343,FIND("º",SUBSTITUTE(E2343,"°","º"))-1)),-1),IF(LEFT(E2343,6)="TÉRREO",0,IFERROR(VALUE(LEFT(E2343,FIND("º",SUBSTITUTE(E2343,"°","º"))-1)),""))))</f>
        <v>21</v>
      </c>
      <c r="O2343" s="2" t="str">
        <f aca="false">IF(OR(F2343="",G2343=""),"",IF(G2343&lt;='RETRATO 2027'!$K$5,"CONCLUÍDA",IF(F2343&lt;='RETRATO 2027'!$K$5,"EM ANDAMENTO","A INICIAR")))</f>
        <v>A INICIAR</v>
      </c>
    </row>
    <row r="2344" customFormat="false" ht="15" hidden="false" customHeight="false" outlineLevel="0" collapsed="false">
      <c r="B2344" s="4" t="n">
        <v>33807248</v>
      </c>
      <c r="C2344" s="4" t="s">
        <v>2738</v>
      </c>
      <c r="D2344" s="4" t="s">
        <v>463</v>
      </c>
      <c r="E2344" s="4" t="s">
        <v>2818</v>
      </c>
      <c r="F2344" s="127" t="n">
        <v>47168</v>
      </c>
      <c r="G2344" s="127" t="n">
        <v>47170</v>
      </c>
      <c r="H2344" s="127" t="n">
        <v>46289</v>
      </c>
      <c r="I2344" s="4" t="n">
        <v>0</v>
      </c>
      <c r="J2344" s="4" t="n">
        <v>0</v>
      </c>
      <c r="K2344" s="4" t="n">
        <v>0</v>
      </c>
      <c r="M2344" s="2" t="str">
        <f aca="false">IF(C2344="","",IFERROR(INDEX($S$5:$S$304,MATCH(C2344,$R$5:$R$304,0))&amp;"","?"))</f>
        <v/>
      </c>
      <c r="N2344" s="2" t="n">
        <f aca="false">IF(E2344="","",IF(ISNUMBER(SEARCH("SUBSOLO",E2344)),IFERROR(-VALUE(LEFT(E2344,FIND("º",SUBSTITUTE(E2344,"°","º"))-1)),-1),IF(LEFT(E2344,6)="TÉRREO",0,IFERROR(VALUE(LEFT(E2344,FIND("º",SUBSTITUTE(E2344,"°","º"))-1)),""))))</f>
        <v>17</v>
      </c>
      <c r="O2344" s="2" t="str">
        <f aca="false">IF(OR(F2344="",G2344=""),"",IF(G2344&lt;='RETRATO 2027'!$K$5,"CONCLUÍDA",IF(F2344&lt;='RETRATO 2027'!$K$5,"EM ANDAMENTO","A INICIAR")))</f>
        <v>A INICIAR</v>
      </c>
    </row>
    <row r="2345" customFormat="false" ht="15" hidden="false" customHeight="false" outlineLevel="0" collapsed="false">
      <c r="B2345" s="4" t="n">
        <v>30205984</v>
      </c>
      <c r="C2345" s="4" t="s">
        <v>2732</v>
      </c>
      <c r="D2345" s="4" t="s">
        <v>463</v>
      </c>
      <c r="E2345" s="4" t="s">
        <v>2850</v>
      </c>
      <c r="F2345" s="127" t="n">
        <v>47169</v>
      </c>
      <c r="G2345" s="127" t="n">
        <v>47182</v>
      </c>
      <c r="H2345" s="127" t="n">
        <v>46289</v>
      </c>
      <c r="I2345" s="4" t="n">
        <v>0</v>
      </c>
      <c r="J2345" s="4" t="n">
        <v>0</v>
      </c>
      <c r="K2345" s="4" t="n">
        <v>0</v>
      </c>
      <c r="M2345" s="2" t="str">
        <f aca="false">IF(C2345="","",IFERROR(INDEX($S$5:$S$304,MATCH(C2345,$R$5:$R$304,0))&amp;"","?"))</f>
        <v/>
      </c>
      <c r="N2345" s="2" t="n">
        <f aca="false">IF(E2345="","",IF(ISNUMBER(SEARCH("SUBSOLO",E2345)),IFERROR(-VALUE(LEFT(E2345,FIND("º",SUBSTITUTE(E2345,"°","º"))-1)),-1),IF(LEFT(E2345,6)="TÉRREO",0,IFERROR(VALUE(LEFT(E2345,FIND("º",SUBSTITUTE(E2345,"°","º"))-1)),""))))</f>
        <v>6</v>
      </c>
      <c r="O2345" s="2" t="str">
        <f aca="false">IF(OR(F2345="",G2345=""),"",IF(G2345&lt;='RETRATO 2027'!$K$5,"CONCLUÍDA",IF(F2345&lt;='RETRATO 2027'!$K$5,"EM ANDAMENTO","A INICIAR")))</f>
        <v>A INICIAR</v>
      </c>
    </row>
    <row r="2346" customFormat="false" ht="15" hidden="false" customHeight="false" outlineLevel="0" collapsed="false">
      <c r="B2346" s="4" t="n">
        <v>29981004</v>
      </c>
      <c r="C2346" s="4" t="s">
        <v>2732</v>
      </c>
      <c r="D2346" s="4" t="s">
        <v>463</v>
      </c>
      <c r="E2346" s="4" t="s">
        <v>2827</v>
      </c>
      <c r="F2346" s="127" t="n">
        <v>47169</v>
      </c>
      <c r="G2346" s="127" t="n">
        <v>47179</v>
      </c>
      <c r="H2346" s="127" t="n">
        <v>46289</v>
      </c>
      <c r="I2346" s="4" t="n">
        <v>0</v>
      </c>
      <c r="J2346" s="4" t="n">
        <v>0</v>
      </c>
      <c r="K2346" s="4" t="n">
        <v>0</v>
      </c>
      <c r="M2346" s="2" t="str">
        <f aca="false">IF(C2346="","",IFERROR(INDEX($S$5:$S$304,MATCH(C2346,$R$5:$R$304,0))&amp;"","?"))</f>
        <v/>
      </c>
      <c r="N2346" s="2" t="n">
        <f aca="false">IF(E2346="","",IF(ISNUMBER(SEARCH("SUBSOLO",E2346)),IFERROR(-VALUE(LEFT(E2346,FIND("º",SUBSTITUTE(E2346,"°","º"))-1)),-1),IF(LEFT(E2346,6)="TÉRREO",0,IFERROR(VALUE(LEFT(E2346,FIND("º",SUBSTITUTE(E2346,"°","º"))-1)),""))))</f>
        <v>22</v>
      </c>
      <c r="O2346" s="2" t="str">
        <f aca="false">IF(OR(F2346="",G2346=""),"",IF(G2346&lt;='RETRATO 2027'!$K$5,"CONCLUÍDA",IF(F2346&lt;='RETRATO 2027'!$K$5,"EM ANDAMENTO","A INICIAR")))</f>
        <v>A INICIAR</v>
      </c>
    </row>
    <row r="2347" customFormat="false" ht="15" hidden="false" customHeight="false" outlineLevel="0" collapsed="false">
      <c r="B2347" s="4" t="n">
        <v>33807249</v>
      </c>
      <c r="C2347" s="4" t="s">
        <v>2738</v>
      </c>
      <c r="D2347" s="4" t="s">
        <v>463</v>
      </c>
      <c r="E2347" s="4" t="s">
        <v>2820</v>
      </c>
      <c r="F2347" s="127" t="n">
        <v>47171</v>
      </c>
      <c r="G2347" s="127" t="n">
        <v>47175</v>
      </c>
      <c r="H2347" s="127" t="n">
        <v>46289</v>
      </c>
      <c r="I2347" s="4" t="n">
        <v>0</v>
      </c>
      <c r="J2347" s="4" t="n">
        <v>0</v>
      </c>
      <c r="K2347" s="4" t="n">
        <v>0</v>
      </c>
      <c r="M2347" s="2" t="str">
        <f aca="false">IF(C2347="","",IFERROR(INDEX($S$5:$S$304,MATCH(C2347,$R$5:$R$304,0))&amp;"","?"))</f>
        <v/>
      </c>
      <c r="N2347" s="2" t="n">
        <f aca="false">IF(E2347="","",IF(ISNUMBER(SEARCH("SUBSOLO",E2347)),IFERROR(-VALUE(LEFT(E2347,FIND("º",SUBSTITUTE(E2347,"°","º"))-1)),-1),IF(LEFT(E2347,6)="TÉRREO",0,IFERROR(VALUE(LEFT(E2347,FIND("º",SUBSTITUTE(E2347,"°","º"))-1)),""))))</f>
        <v>18</v>
      </c>
      <c r="O2347" s="2" t="str">
        <f aca="false">IF(OR(F2347="",G2347=""),"",IF(G2347&lt;='RETRATO 2027'!$K$5,"CONCLUÍDA",IF(F2347&lt;='RETRATO 2027'!$K$5,"EM ANDAMENTO","A INICIAR")))</f>
        <v>A INICIAR</v>
      </c>
    </row>
    <row r="2348" customFormat="false" ht="15" hidden="false" customHeight="false" outlineLevel="0" collapsed="false">
      <c r="B2348" s="4" t="n">
        <v>29980967</v>
      </c>
      <c r="C2348" s="4" t="s">
        <v>2732</v>
      </c>
      <c r="D2348" s="4" t="s">
        <v>463</v>
      </c>
      <c r="E2348" s="4" t="s">
        <v>2829</v>
      </c>
      <c r="F2348" s="127" t="n">
        <v>47171</v>
      </c>
      <c r="G2348" s="127" t="n">
        <v>47183</v>
      </c>
      <c r="H2348" s="127" t="n">
        <v>46289</v>
      </c>
      <c r="I2348" s="4" t="n">
        <v>0</v>
      </c>
      <c r="J2348" s="4" t="n">
        <v>0</v>
      </c>
      <c r="K2348" s="4" t="n">
        <v>0</v>
      </c>
      <c r="M2348" s="2" t="str">
        <f aca="false">IF(C2348="","",IFERROR(INDEX($S$5:$S$304,MATCH(C2348,$R$5:$R$304,0))&amp;"","?"))</f>
        <v/>
      </c>
      <c r="N2348" s="2" t="n">
        <f aca="false">IF(E2348="","",IF(ISNUMBER(SEARCH("SUBSOLO",E2348)),IFERROR(-VALUE(LEFT(E2348,FIND("º",SUBSTITUTE(E2348,"°","º"))-1)),-1),IF(LEFT(E2348,6)="TÉRREO",0,IFERROR(VALUE(LEFT(E2348,FIND("º",SUBSTITUTE(E2348,"°","º"))-1)),""))))</f>
        <v>23</v>
      </c>
      <c r="O2348" s="2" t="str">
        <f aca="false">IF(OR(F2348="",G2348=""),"",IF(G2348&lt;='RETRATO 2027'!$K$5,"CONCLUÍDA",IF(F2348&lt;='RETRATO 2027'!$K$5,"EM ANDAMENTO","A INICIAR")))</f>
        <v>A INICIAR</v>
      </c>
    </row>
    <row r="2349" customFormat="false" ht="15" hidden="false" customHeight="false" outlineLevel="0" collapsed="false">
      <c r="B2349" s="4" t="n">
        <v>29980736</v>
      </c>
      <c r="C2349" s="4" t="s">
        <v>2649</v>
      </c>
      <c r="D2349" s="4" t="s">
        <v>463</v>
      </c>
      <c r="E2349" s="4" t="s">
        <v>2841</v>
      </c>
      <c r="F2349" s="127" t="n">
        <v>47171</v>
      </c>
      <c r="G2349" s="127" t="n">
        <v>47183</v>
      </c>
      <c r="H2349" s="127" t="n">
        <v>46289</v>
      </c>
      <c r="I2349" s="4" t="n">
        <v>0</v>
      </c>
      <c r="J2349" s="4" t="n">
        <v>0</v>
      </c>
      <c r="K2349" s="4" t="n">
        <v>0</v>
      </c>
      <c r="M2349" s="2" t="str">
        <f aca="false">IF(C2349="","",IFERROR(INDEX($S$5:$S$304,MATCH(C2349,$R$5:$R$304,0))&amp;"","?"))</f>
        <v>37</v>
      </c>
      <c r="N2349" s="2" t="n">
        <f aca="false">IF(E2349="","",IF(ISNUMBER(SEARCH("SUBSOLO",E2349)),IFERROR(-VALUE(LEFT(E2349,FIND("º",SUBSTITUTE(E2349,"°","º"))-1)),-1),IF(LEFT(E2349,6)="TÉRREO",0,IFERROR(VALUE(LEFT(E2349,FIND("º",SUBSTITUTE(E2349,"°","º"))-1)),""))))</f>
        <v>29</v>
      </c>
      <c r="O2349" s="2" t="str">
        <f aca="false">IF(OR(F2349="",G2349=""),"",IF(G2349&lt;='RETRATO 2027'!$K$5,"CONCLUÍDA",IF(F2349&lt;='RETRATO 2027'!$K$5,"EM ANDAMENTO","A INICIAR")))</f>
        <v>A INICIAR</v>
      </c>
    </row>
    <row r="2350" customFormat="false" ht="15" hidden="false" customHeight="false" outlineLevel="0" collapsed="false">
      <c r="B2350" s="4" t="n">
        <v>29980689</v>
      </c>
      <c r="C2350" s="4" t="s">
        <v>2641</v>
      </c>
      <c r="D2350" s="4" t="s">
        <v>463</v>
      </c>
      <c r="E2350" s="4" t="s">
        <v>2842</v>
      </c>
      <c r="F2350" s="127" t="n">
        <v>47171</v>
      </c>
      <c r="G2350" s="127" t="n">
        <v>47183</v>
      </c>
      <c r="H2350" s="127" t="n">
        <v>46289</v>
      </c>
      <c r="I2350" s="4" t="n">
        <v>0</v>
      </c>
      <c r="J2350" s="4" t="n">
        <v>0</v>
      </c>
      <c r="K2350" s="4" t="n">
        <v>0</v>
      </c>
      <c r="M2350" s="2" t="str">
        <f aca="false">IF(C2350="","",IFERROR(INDEX($S$5:$S$304,MATCH(C2350,$R$5:$R$304,0))&amp;"","?"))</f>
        <v>35</v>
      </c>
      <c r="N2350" s="2" t="n">
        <f aca="false">IF(E2350="","",IF(ISNUMBER(SEARCH("SUBSOLO",E2350)),IFERROR(-VALUE(LEFT(E2350,FIND("º",SUBSTITUTE(E2350,"°","º"))-1)),-1),IF(LEFT(E2350,6)="TÉRREO",0,IFERROR(VALUE(LEFT(E2350,FIND("º",SUBSTITUTE(E2350,"°","º"))-1)),""))))</f>
        <v>30</v>
      </c>
      <c r="O2350" s="2" t="str">
        <f aca="false">IF(OR(F2350="",G2350=""),"",IF(G2350&lt;='RETRATO 2027'!$K$5,"CONCLUÍDA",IF(F2350&lt;='RETRATO 2027'!$K$5,"EM ANDAMENTO","A INICIAR")))</f>
        <v>A INICIAR</v>
      </c>
    </row>
    <row r="2351" customFormat="false" ht="15" hidden="false" customHeight="false" outlineLevel="0" collapsed="false">
      <c r="B2351" s="4" t="n">
        <v>30171395</v>
      </c>
      <c r="C2351" s="4" t="s">
        <v>2674</v>
      </c>
      <c r="D2351" s="4" t="s">
        <v>463</v>
      </c>
      <c r="E2351" s="4" t="s">
        <v>2801</v>
      </c>
      <c r="F2351" s="127" t="n">
        <v>47175</v>
      </c>
      <c r="G2351" s="127" t="n">
        <v>47186</v>
      </c>
      <c r="H2351" s="127" t="n">
        <v>46289</v>
      </c>
      <c r="I2351" s="4" t="n">
        <v>0</v>
      </c>
      <c r="J2351" s="4" t="n">
        <v>0</v>
      </c>
      <c r="K2351" s="4" t="n">
        <v>0</v>
      </c>
      <c r="M2351" s="2" t="str">
        <f aca="false">IF(C2351="","",IFERROR(INDEX($S$5:$S$304,MATCH(C2351,$R$5:$R$304,0))&amp;"","?"))</f>
        <v>35</v>
      </c>
      <c r="N2351" s="2" t="n">
        <f aca="false">IF(E2351="","",IF(ISNUMBER(SEARCH("SUBSOLO",E2351)),IFERROR(-VALUE(LEFT(E2351,FIND("º",SUBSTITUTE(E2351,"°","º"))-1)),-1),IF(LEFT(E2351,6)="TÉRREO",0,IFERROR(VALUE(LEFT(E2351,FIND("º",SUBSTITUTE(E2351,"°","º"))-1)),""))))</f>
        <v>5</v>
      </c>
      <c r="O2351" s="2" t="str">
        <f aca="false">IF(OR(F2351="",G2351=""),"",IF(G2351&lt;='RETRATO 2027'!$K$5,"CONCLUÍDA",IF(F2351&lt;='RETRATO 2027'!$K$5,"EM ANDAMENTO","A INICIAR")))</f>
        <v>A INICIAR</v>
      </c>
    </row>
    <row r="2352" customFormat="false" ht="15" hidden="false" customHeight="false" outlineLevel="0" collapsed="false">
      <c r="B2352" s="4" t="n">
        <v>29981097</v>
      </c>
      <c r="C2352" s="4" t="s">
        <v>2629</v>
      </c>
      <c r="D2352" s="4" t="s">
        <v>463</v>
      </c>
      <c r="E2352" s="4" t="s">
        <v>2822</v>
      </c>
      <c r="F2352" s="127" t="n">
        <v>47175</v>
      </c>
      <c r="G2352" s="127" t="n">
        <v>47176</v>
      </c>
      <c r="H2352" s="127" t="n">
        <v>46289</v>
      </c>
      <c r="I2352" s="4" t="n">
        <v>0</v>
      </c>
      <c r="J2352" s="4" t="n">
        <v>0</v>
      </c>
      <c r="K2352" s="4" t="n">
        <v>0</v>
      </c>
      <c r="M2352" s="2" t="str">
        <f aca="false">IF(C2352="","",IFERROR(INDEX($S$5:$S$304,MATCH(C2352,$R$5:$R$304,0))&amp;"","?"))</f>
        <v>20</v>
      </c>
      <c r="N2352" s="2" t="n">
        <f aca="false">IF(E2352="","",IF(ISNUMBER(SEARCH("SUBSOLO",E2352)),IFERROR(-VALUE(LEFT(E2352,FIND("º",SUBSTITUTE(E2352,"°","º"))-1)),-1),IF(LEFT(E2352,6)="TÉRREO",0,IFERROR(VALUE(LEFT(E2352,FIND("º",SUBSTITUTE(E2352,"°","º"))-1)),""))))</f>
        <v>19</v>
      </c>
      <c r="O2352" s="2" t="str">
        <f aca="false">IF(OR(F2352="",G2352=""),"",IF(G2352&lt;='RETRATO 2027'!$K$5,"CONCLUÍDA",IF(F2352&lt;='RETRATO 2027'!$K$5,"EM ANDAMENTO","A INICIAR")))</f>
        <v>A INICIAR</v>
      </c>
    </row>
    <row r="2353" customFormat="false" ht="15" hidden="false" customHeight="false" outlineLevel="0" collapsed="false">
      <c r="B2353" s="4" t="n">
        <v>29980930</v>
      </c>
      <c r="C2353" s="4" t="s">
        <v>2732</v>
      </c>
      <c r="D2353" s="4" t="s">
        <v>463</v>
      </c>
      <c r="E2353" s="4" t="s">
        <v>2831</v>
      </c>
      <c r="F2353" s="127" t="n">
        <v>47175</v>
      </c>
      <c r="G2353" s="127" t="n">
        <v>47185</v>
      </c>
      <c r="H2353" s="127" t="n">
        <v>46289</v>
      </c>
      <c r="I2353" s="4" t="n">
        <v>0</v>
      </c>
      <c r="J2353" s="4" t="n">
        <v>0</v>
      </c>
      <c r="K2353" s="4" t="n">
        <v>0</v>
      </c>
      <c r="M2353" s="2" t="str">
        <f aca="false">IF(C2353="","",IFERROR(INDEX($S$5:$S$304,MATCH(C2353,$R$5:$R$304,0))&amp;"","?"))</f>
        <v/>
      </c>
      <c r="N2353" s="2" t="n">
        <f aca="false">IF(E2353="","",IF(ISNUMBER(SEARCH("SUBSOLO",E2353)),IFERROR(-VALUE(LEFT(E2353,FIND("º",SUBSTITUTE(E2353,"°","º"))-1)),-1),IF(LEFT(E2353,6)="TÉRREO",0,IFERROR(VALUE(LEFT(E2353,FIND("º",SUBSTITUTE(E2353,"°","º"))-1)),""))))</f>
        <v>24</v>
      </c>
      <c r="O2353" s="2" t="str">
        <f aca="false">IF(OR(F2353="",G2353=""),"",IF(G2353&lt;='RETRATO 2027'!$K$5,"CONCLUÍDA",IF(F2353&lt;='RETRATO 2027'!$K$5,"EM ANDAMENTO","A INICIAR")))</f>
        <v>A INICIAR</v>
      </c>
    </row>
    <row r="2354" customFormat="false" ht="15" hidden="false" customHeight="false" outlineLevel="0" collapsed="false">
      <c r="B2354" s="4" t="n">
        <v>30171660</v>
      </c>
      <c r="C2354" s="4" t="s">
        <v>2690</v>
      </c>
      <c r="D2354" s="4" t="s">
        <v>463</v>
      </c>
      <c r="E2354" s="4" t="s">
        <v>2816</v>
      </c>
      <c r="F2354" s="127" t="n">
        <v>47176</v>
      </c>
      <c r="G2354" s="127" t="n">
        <v>47196</v>
      </c>
      <c r="H2354" s="127" t="n">
        <v>46289</v>
      </c>
      <c r="I2354" s="4" t="n">
        <v>0</v>
      </c>
      <c r="J2354" s="4" t="n">
        <v>0</v>
      </c>
      <c r="K2354" s="4" t="n">
        <v>0</v>
      </c>
      <c r="M2354" s="2" t="str">
        <f aca="false">IF(C2354="","",IFERROR(INDEX($S$5:$S$304,MATCH(C2354,$R$5:$R$304,0))&amp;"","?"))</f>
        <v>37</v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>A INICIAR</v>
      </c>
    </row>
    <row r="2355" customFormat="false" ht="15" hidden="false" customHeight="false" outlineLevel="0" collapsed="false">
      <c r="B2355" s="4" t="n">
        <v>33807250</v>
      </c>
      <c r="C2355" s="4" t="s">
        <v>2738</v>
      </c>
      <c r="D2355" s="4" t="s">
        <v>463</v>
      </c>
      <c r="E2355" s="4" t="s">
        <v>2823</v>
      </c>
      <c r="F2355" s="127" t="n">
        <v>47176</v>
      </c>
      <c r="G2355" s="127" t="n">
        <v>47177</v>
      </c>
      <c r="H2355" s="127" t="n">
        <v>46289</v>
      </c>
      <c r="I2355" s="4" t="n">
        <v>0</v>
      </c>
      <c r="J2355" s="4" t="n">
        <v>0</v>
      </c>
      <c r="K2355" s="4" t="n">
        <v>0</v>
      </c>
      <c r="M2355" s="2" t="str">
        <f aca="false">IF(C2355="","",IFERROR(INDEX($S$5:$S$304,MATCH(C2355,$R$5:$R$304,0))&amp;"","?"))</f>
        <v/>
      </c>
      <c r="N2355" s="2" t="n">
        <f aca="false">IF(E2355="","",IF(ISNUMBER(SEARCH("SUBSOLO",E2355)),IFERROR(-VALUE(LEFT(E2355,FIND("º",SUBSTITUTE(E2355,"°","º"))-1)),-1),IF(LEFT(E2355,6)="TÉRREO",0,IFERROR(VALUE(LEFT(E2355,FIND("º",SUBSTITUTE(E2355,"°","º"))-1)),""))))</f>
        <v>20</v>
      </c>
      <c r="O2355" s="2" t="str">
        <f aca="false">IF(OR(F2355="",G2355=""),"",IF(G2355&lt;='RETRATO 2027'!$K$5,"CONCLUÍDA",IF(F2355&lt;='RETRATO 2027'!$K$5,"EM ANDAMENTO","A INICIAR")))</f>
        <v>A INICIAR</v>
      </c>
    </row>
    <row r="2356" customFormat="false" ht="15" hidden="false" customHeight="false" outlineLevel="0" collapsed="false">
      <c r="B2356" s="4" t="n">
        <v>29981095</v>
      </c>
      <c r="C2356" s="4" t="s">
        <v>2637</v>
      </c>
      <c r="D2356" s="4" t="s">
        <v>463</v>
      </c>
      <c r="E2356" s="4" t="s">
        <v>2822</v>
      </c>
      <c r="F2356" s="127" t="n">
        <v>47177</v>
      </c>
      <c r="G2356" s="127" t="n">
        <v>47183</v>
      </c>
      <c r="H2356" s="127" t="n">
        <v>46289</v>
      </c>
      <c r="I2356" s="4" t="n">
        <v>0</v>
      </c>
      <c r="J2356" s="4" t="n">
        <v>0</v>
      </c>
      <c r="K2356" s="4" t="n">
        <v>0</v>
      </c>
      <c r="M2356" s="2" t="str">
        <f aca="false">IF(C2356="","",IFERROR(INDEX($S$5:$S$304,MATCH(C2356,$R$5:$R$304,0))&amp;"","?"))</f>
        <v/>
      </c>
      <c r="N2356" s="2" t="n">
        <f aca="false">IF(E2356="","",IF(ISNUMBER(SEARCH("SUBSOLO",E2356)),IFERROR(-VALUE(LEFT(E2356,FIND("º",SUBSTITUTE(E2356,"°","º"))-1)),-1),IF(LEFT(E2356,6)="TÉRREO",0,IFERROR(VALUE(LEFT(E2356,FIND("º",SUBSTITUTE(E2356,"°","º"))-1)),""))))</f>
        <v>19</v>
      </c>
      <c r="O2356" s="2" t="str">
        <f aca="false">IF(OR(F2356="",G2356=""),"",IF(G2356&lt;='RETRATO 2027'!$K$5,"CONCLUÍDA",IF(F2356&lt;='RETRATO 2027'!$K$5,"EM ANDAMENTO","A INICIAR")))</f>
        <v>A INICIAR</v>
      </c>
    </row>
    <row r="2357" customFormat="false" ht="15" hidden="false" customHeight="false" outlineLevel="0" collapsed="false">
      <c r="B2357" s="4" t="n">
        <v>29980893</v>
      </c>
      <c r="C2357" s="4" t="s">
        <v>2732</v>
      </c>
      <c r="D2357" s="4" t="s">
        <v>463</v>
      </c>
      <c r="E2357" s="4" t="s">
        <v>2833</v>
      </c>
      <c r="F2357" s="127" t="n">
        <v>47177</v>
      </c>
      <c r="G2357" s="127" t="n">
        <v>47189</v>
      </c>
      <c r="H2357" s="127" t="n">
        <v>46289</v>
      </c>
      <c r="I2357" s="4" t="n">
        <v>0</v>
      </c>
      <c r="J2357" s="4" t="n">
        <v>0</v>
      </c>
      <c r="K2357" s="4" t="n">
        <v>0</v>
      </c>
      <c r="M2357" s="2" t="str">
        <f aca="false">IF(C2357="","",IFERROR(INDEX($S$5:$S$304,MATCH(C2357,$R$5:$R$304,0))&amp;"","?"))</f>
        <v/>
      </c>
      <c r="N2357" s="2" t="n">
        <f aca="false">IF(E2357="","",IF(ISNUMBER(SEARCH("SUBSOLO",E2357)),IFERROR(-VALUE(LEFT(E2357,FIND("º",SUBSTITUTE(E2357,"°","º"))-1)),-1),IF(LEFT(E2357,6)="TÉRREO",0,IFERROR(VALUE(LEFT(E2357,FIND("º",SUBSTITUTE(E2357,"°","º"))-1)),""))))</f>
        <v>25</v>
      </c>
      <c r="O2357" s="2" t="str">
        <f aca="false">IF(OR(F2357="",G2357=""),"",IF(G2357&lt;='RETRATO 2027'!$K$5,"CONCLUÍDA",IF(F2357&lt;='RETRATO 2027'!$K$5,"EM ANDAMENTO","A INICIAR")))</f>
        <v>A INICIAR</v>
      </c>
    </row>
    <row r="2358" customFormat="false" ht="15" hidden="false" customHeight="false" outlineLevel="0" collapsed="false">
      <c r="B2358" s="4" t="n">
        <v>29980651</v>
      </c>
      <c r="C2358" s="4" t="s">
        <v>2637</v>
      </c>
      <c r="D2358" s="4" t="s">
        <v>463</v>
      </c>
      <c r="E2358" s="4" t="s">
        <v>2843</v>
      </c>
      <c r="F2358" s="127" t="n">
        <v>47177</v>
      </c>
      <c r="G2358" s="127" t="n">
        <v>47183</v>
      </c>
      <c r="H2358" s="127" t="n">
        <v>46289</v>
      </c>
      <c r="I2358" s="4" t="n">
        <v>0</v>
      </c>
      <c r="J2358" s="4" t="n">
        <v>0</v>
      </c>
      <c r="K2358" s="4" t="n">
        <v>0</v>
      </c>
      <c r="M2358" s="2" t="str">
        <f aca="false">IF(C2358="","",IFERROR(INDEX($S$5:$S$304,MATCH(C2358,$R$5:$R$304,0))&amp;"","?"))</f>
        <v/>
      </c>
      <c r="N2358" s="2" t="n">
        <f aca="false">IF(E2358="","",IF(ISNUMBER(SEARCH("SUBSOLO",E2358)),IFERROR(-VALUE(LEFT(E2358,FIND("º",SUBSTITUTE(E2358,"°","º"))-1)),-1),IF(LEFT(E2358,6)="TÉRREO",0,IFERROR(VALUE(LEFT(E2358,FIND("º",SUBSTITUTE(E2358,"°","º"))-1)),""))))</f>
        <v>31</v>
      </c>
      <c r="O2358" s="2" t="str">
        <f aca="false">IF(OR(F2358="",G2358=""),"",IF(G2358&lt;='RETRATO 2027'!$K$5,"CONCLUÍDA",IF(F2358&lt;='RETRATO 2027'!$K$5,"EM ANDAMENTO","A INICIAR")))</f>
        <v>A INICIAR</v>
      </c>
    </row>
    <row r="2359" customFormat="false" ht="15" hidden="false" customHeight="false" outlineLevel="0" collapsed="false">
      <c r="B2359" s="4" t="n">
        <v>29980616</v>
      </c>
      <c r="C2359" s="4" t="s">
        <v>2629</v>
      </c>
      <c r="D2359" s="4" t="s">
        <v>463</v>
      </c>
      <c r="E2359" s="4" t="s">
        <v>2844</v>
      </c>
      <c r="F2359" s="127" t="n">
        <v>47177</v>
      </c>
      <c r="G2359" s="127" t="n">
        <v>47189</v>
      </c>
      <c r="H2359" s="127" t="n">
        <v>46289</v>
      </c>
      <c r="I2359" s="4" t="n">
        <v>0</v>
      </c>
      <c r="J2359" s="4" t="n">
        <v>0</v>
      </c>
      <c r="K2359" s="4" t="n">
        <v>0</v>
      </c>
      <c r="M2359" s="2" t="str">
        <f aca="false">IF(C2359="","",IFERROR(INDEX($S$5:$S$304,MATCH(C2359,$R$5:$R$304,0))&amp;"","?"))</f>
        <v>20</v>
      </c>
      <c r="N2359" s="2" t="n">
        <f aca="false">IF(E2359="","",IF(ISNUMBER(SEARCH("SUBSOLO",E2359)),IFERROR(-VALUE(LEFT(E2359,FIND("º",SUBSTITUTE(E2359,"°","º"))-1)),-1),IF(LEFT(E2359,6)="TÉRREO",0,IFERROR(VALUE(LEFT(E2359,FIND("º",SUBSTITUTE(E2359,"°","º"))-1)),""))))</f>
        <v>32</v>
      </c>
      <c r="O2359" s="2" t="str">
        <f aca="false">IF(OR(F2359="",G2359=""),"",IF(G2359&lt;='RETRATO 2027'!$K$5,"CONCLUÍDA",IF(F2359&lt;='RETRATO 2027'!$K$5,"EM ANDAMENTO","A INICIAR")))</f>
        <v>A INICIAR</v>
      </c>
    </row>
    <row r="2360" customFormat="false" ht="15" hidden="false" customHeight="false" outlineLevel="0" collapsed="false">
      <c r="B2360" s="4" t="n">
        <v>33807131</v>
      </c>
      <c r="C2360" s="4" t="s">
        <v>2741</v>
      </c>
      <c r="D2360" s="4" t="s">
        <v>463</v>
      </c>
      <c r="E2360" s="4" t="s">
        <v>2757</v>
      </c>
      <c r="F2360" s="127" t="n">
        <v>47178</v>
      </c>
      <c r="G2360" s="127" t="n">
        <v>47210</v>
      </c>
      <c r="H2360" s="127" t="n">
        <v>46289</v>
      </c>
      <c r="I2360" s="4" t="n">
        <v>0</v>
      </c>
      <c r="J2360" s="4" t="n">
        <v>0</v>
      </c>
      <c r="K2360" s="4" t="n">
        <v>0</v>
      </c>
      <c r="M2360" s="2" t="str">
        <f aca="false">IF(C2360="","",IFERROR(INDEX($S$5:$S$304,MATCH(C2360,$R$5:$R$304,0))&amp;"","?"))</f>
        <v/>
      </c>
      <c r="N2360" s="2" t="n">
        <f aca="false">IF(E2360="","",IF(ISNUMBER(SEARCH("SUBSOLO",E2360)),IFERROR(-VALUE(LEFT(E2360,FIND("º",SUBSTITUTE(E2360,"°","º"))-1)),-1),IF(LEFT(E2360,6)="TÉRREO",0,IFERROR(VALUE(LEFT(E2360,FIND("º",SUBSTITUTE(E2360,"°","º"))-1)),""))))</f>
        <v>0</v>
      </c>
      <c r="O2360" s="2" t="str">
        <f aca="false">IF(OR(F2360="",G2360=""),"",IF(G2360&lt;='RETRATO 2027'!$K$5,"CONCLUÍDA",IF(F2360&lt;='RETRATO 2027'!$K$5,"EM ANDAMENTO","A INICIAR")))</f>
        <v>A INICIAR</v>
      </c>
    </row>
    <row r="2361" customFormat="false" ht="15" hidden="false" customHeight="false" outlineLevel="0" collapsed="false">
      <c r="B2361" s="4" t="n">
        <v>30171517</v>
      </c>
      <c r="C2361" s="4" t="s">
        <v>2690</v>
      </c>
      <c r="D2361" s="4" t="s">
        <v>463</v>
      </c>
      <c r="E2361" s="4" t="s">
        <v>2817</v>
      </c>
      <c r="F2361" s="127" t="n">
        <v>47178</v>
      </c>
      <c r="G2361" s="127" t="n">
        <v>47205</v>
      </c>
      <c r="H2361" s="127" t="n">
        <v>46289</v>
      </c>
      <c r="I2361" s="4" t="n">
        <v>0</v>
      </c>
      <c r="J2361" s="4" t="n">
        <v>0</v>
      </c>
      <c r="K2361" s="4" t="n">
        <v>0</v>
      </c>
      <c r="M2361" s="2" t="str">
        <f aca="false">IF(C2361="","",IFERROR(INDEX($S$5:$S$304,MATCH(C2361,$R$5:$R$304,0))&amp;"","?"))</f>
        <v>37</v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>A INICIAR</v>
      </c>
    </row>
    <row r="2362" customFormat="false" ht="15" hidden="false" customHeight="false" outlineLevel="0" collapsed="false">
      <c r="B2362" s="4" t="n">
        <v>33807251</v>
      </c>
      <c r="C2362" s="4" t="s">
        <v>2738</v>
      </c>
      <c r="D2362" s="4" t="s">
        <v>463</v>
      </c>
      <c r="E2362" s="4" t="s">
        <v>2825</v>
      </c>
      <c r="F2362" s="127" t="n">
        <v>47178</v>
      </c>
      <c r="G2362" s="127" t="n">
        <v>47179</v>
      </c>
      <c r="H2362" s="127" t="n">
        <v>46289</v>
      </c>
      <c r="I2362" s="4" t="n">
        <v>0</v>
      </c>
      <c r="J2362" s="4" t="n">
        <v>0</v>
      </c>
      <c r="K2362" s="4" t="n">
        <v>0</v>
      </c>
      <c r="M2362" s="2" t="str">
        <f aca="false">IF(C2362="","",IFERROR(INDEX($S$5:$S$304,MATCH(C2362,$R$5:$R$304,0))&amp;"","?"))</f>
        <v/>
      </c>
      <c r="N2362" s="2" t="n">
        <f aca="false">IF(E2362="","",IF(ISNUMBER(SEARCH("SUBSOLO",E2362)),IFERROR(-VALUE(LEFT(E2362,FIND("º",SUBSTITUTE(E2362,"°","º"))-1)),-1),IF(LEFT(E2362,6)="TÉRREO",0,IFERROR(VALUE(LEFT(E2362,FIND("º",SUBSTITUTE(E2362,"°","º"))-1)),""))))</f>
        <v>21</v>
      </c>
      <c r="O2362" s="2" t="str">
        <f aca="false">IF(OR(F2362="",G2362=""),"",IF(G2362&lt;='RETRATO 2027'!$K$5,"CONCLUÍDA",IF(F2362&lt;='RETRATO 2027'!$K$5,"EM ANDAMENTO","A INICIAR")))</f>
        <v>A INICIAR</v>
      </c>
    </row>
    <row r="2363" customFormat="false" ht="15" hidden="false" customHeight="false" outlineLevel="0" collapsed="false">
      <c r="B2363" s="4" t="n">
        <v>30205767</v>
      </c>
      <c r="C2363" s="4" t="s">
        <v>2690</v>
      </c>
      <c r="D2363" s="4" t="s">
        <v>463</v>
      </c>
      <c r="E2363" s="4" t="s">
        <v>2837</v>
      </c>
      <c r="F2363" s="127" t="n">
        <v>47179</v>
      </c>
      <c r="G2363" s="127" t="n">
        <v>47199</v>
      </c>
      <c r="H2363" s="127" t="n">
        <v>46289</v>
      </c>
      <c r="I2363" s="4" t="n">
        <v>0</v>
      </c>
      <c r="J2363" s="4" t="n">
        <v>0</v>
      </c>
      <c r="K2363" s="4" t="n">
        <v>0</v>
      </c>
      <c r="M2363" s="2" t="str">
        <f aca="false">IF(C2363="","",IFERROR(INDEX($S$5:$S$304,MATCH(C2363,$R$5:$R$304,0))&amp;"","?"))</f>
        <v>37</v>
      </c>
      <c r="N2363" s="2" t="n">
        <f aca="false">IF(E2363="","",IF(ISNUMBER(SEARCH("SUBSOLO",E2363)),IFERROR(-VALUE(LEFT(E2363,FIND("º",SUBSTITUTE(E2363,"°","º"))-1)),-1),IF(LEFT(E2363,6)="TÉRREO",0,IFERROR(VALUE(LEFT(E2363,FIND("º",SUBSTITUTE(E2363,"°","º"))-1)),""))))</f>
        <v>0</v>
      </c>
      <c r="O2363" s="2" t="str">
        <f aca="false">IF(OR(F2363="",G2363=""),"",IF(G2363&lt;='RETRATO 2027'!$K$5,"CONCLUÍDA",IF(F2363&lt;='RETRATO 2027'!$K$5,"EM ANDAMENTO","A INICIAR")))</f>
        <v>A INICIAR</v>
      </c>
    </row>
    <row r="2364" customFormat="false" ht="15" hidden="false" customHeight="false" outlineLevel="0" collapsed="false">
      <c r="B2364" s="4" t="n">
        <v>29980856</v>
      </c>
      <c r="C2364" s="4" t="s">
        <v>2732</v>
      </c>
      <c r="D2364" s="4" t="s">
        <v>463</v>
      </c>
      <c r="E2364" s="4" t="s">
        <v>2834</v>
      </c>
      <c r="F2364" s="127" t="n">
        <v>47179</v>
      </c>
      <c r="G2364" s="127" t="n">
        <v>47191</v>
      </c>
      <c r="H2364" s="127" t="n">
        <v>46289</v>
      </c>
      <c r="I2364" s="4" t="n">
        <v>0</v>
      </c>
      <c r="J2364" s="4" t="n">
        <v>0</v>
      </c>
      <c r="K2364" s="4" t="n">
        <v>0</v>
      </c>
      <c r="M2364" s="2" t="str">
        <f aca="false">IF(C2364="","",IFERROR(INDEX($S$5:$S$304,MATCH(C2364,$R$5:$R$304,0))&amp;"","?"))</f>
        <v/>
      </c>
      <c r="N2364" s="2" t="n">
        <f aca="false">IF(E2364="","",IF(ISNUMBER(SEARCH("SUBSOLO",E2364)),IFERROR(-VALUE(LEFT(E2364,FIND("º",SUBSTITUTE(E2364,"°","º"))-1)),-1),IF(LEFT(E2364,6)="TÉRREO",0,IFERROR(VALUE(LEFT(E2364,FIND("º",SUBSTITUTE(E2364,"°","º"))-1)),""))))</f>
        <v>26</v>
      </c>
      <c r="O2364" s="2" t="str">
        <f aca="false">IF(OR(F2364="",G2364=""),"",IF(G2364&lt;='RETRATO 2027'!$K$5,"CONCLUÍDA",IF(F2364&lt;='RETRATO 2027'!$K$5,"EM ANDAMENTO","A INICIAR")))</f>
        <v>A INICIAR</v>
      </c>
    </row>
    <row r="2365" customFormat="false" ht="15" hidden="false" customHeight="false" outlineLevel="0" collapsed="false">
      <c r="B2365" s="4" t="n">
        <v>33807252</v>
      </c>
      <c r="C2365" s="4" t="s">
        <v>2738</v>
      </c>
      <c r="D2365" s="4" t="s">
        <v>463</v>
      </c>
      <c r="E2365" s="4" t="s">
        <v>2827</v>
      </c>
      <c r="F2365" s="127" t="n">
        <v>47182</v>
      </c>
      <c r="G2365" s="127" t="n">
        <v>47183</v>
      </c>
      <c r="H2365" s="127" t="n">
        <v>46289</v>
      </c>
      <c r="I2365" s="4" t="n">
        <v>0</v>
      </c>
      <c r="J2365" s="4" t="n">
        <v>0</v>
      </c>
      <c r="K2365" s="4" t="n">
        <v>0</v>
      </c>
      <c r="M2365" s="2" t="str">
        <f aca="false">IF(C2365="","",IFERROR(INDEX($S$5:$S$304,MATCH(C2365,$R$5:$R$304,0))&amp;"","?"))</f>
        <v/>
      </c>
      <c r="N2365" s="2" t="n">
        <f aca="false">IF(E2365="","",IF(ISNUMBER(SEARCH("SUBSOLO",E2365)),IFERROR(-VALUE(LEFT(E2365,FIND("º",SUBSTITUTE(E2365,"°","º"))-1)),-1),IF(LEFT(E2365,6)="TÉRREO",0,IFERROR(VALUE(LEFT(E2365,FIND("º",SUBSTITUTE(E2365,"°","º"))-1)),""))))</f>
        <v>22</v>
      </c>
      <c r="O2365" s="2" t="str">
        <f aca="false">IF(OR(F2365="",G2365=""),"",IF(G2365&lt;='RETRATO 2027'!$K$5,"CONCLUÍDA",IF(F2365&lt;='RETRATO 2027'!$K$5,"EM ANDAMENTO","A INICIAR")))</f>
        <v>A INICIAR</v>
      </c>
    </row>
    <row r="2366" customFormat="false" ht="15" hidden="false" customHeight="false" outlineLevel="0" collapsed="false">
      <c r="B2366" s="4" t="n">
        <v>29980819</v>
      </c>
      <c r="C2366" s="4" t="s">
        <v>2732</v>
      </c>
      <c r="D2366" s="4" t="s">
        <v>463</v>
      </c>
      <c r="E2366" s="4" t="s">
        <v>2838</v>
      </c>
      <c r="F2366" s="127" t="n">
        <v>47183</v>
      </c>
      <c r="G2366" s="127" t="n">
        <v>47193</v>
      </c>
      <c r="H2366" s="127" t="n">
        <v>46289</v>
      </c>
      <c r="I2366" s="4" t="n">
        <v>0</v>
      </c>
      <c r="J2366" s="4" t="n">
        <v>0</v>
      </c>
      <c r="K2366" s="4" t="n">
        <v>0</v>
      </c>
      <c r="M2366" s="2" t="str">
        <f aca="false">IF(C2366="","",IFERROR(INDEX($S$5:$S$304,MATCH(C2366,$R$5:$R$304,0))&amp;"","?"))</f>
        <v/>
      </c>
      <c r="N2366" s="2" t="n">
        <f aca="false">IF(E2366="","",IF(ISNUMBER(SEARCH("SUBSOLO",E2366)),IFERROR(-VALUE(LEFT(E2366,FIND("º",SUBSTITUTE(E2366,"°","º"))-1)),-1),IF(LEFT(E2366,6)="TÉRREO",0,IFERROR(VALUE(LEFT(E2366,FIND("º",SUBSTITUTE(E2366,"°","º"))-1)),""))))</f>
        <v>27</v>
      </c>
      <c r="O2366" s="2" t="str">
        <f aca="false">IF(OR(F2366="",G2366=""),"",IF(G2366&lt;='RETRATO 2027'!$K$5,"CONCLUÍDA",IF(F2366&lt;='RETRATO 2027'!$K$5,"EM ANDAMENTO","A INICIAR")))</f>
        <v>A INICIAR</v>
      </c>
    </row>
    <row r="2367" customFormat="false" ht="15" hidden="false" customHeight="false" outlineLevel="0" collapsed="false">
      <c r="B2367" s="4" t="n">
        <v>29981096</v>
      </c>
      <c r="C2367" s="4" t="s">
        <v>2641</v>
      </c>
      <c r="D2367" s="4" t="s">
        <v>463</v>
      </c>
      <c r="E2367" s="4" t="s">
        <v>2822</v>
      </c>
      <c r="F2367" s="127" t="n">
        <v>47184</v>
      </c>
      <c r="G2367" s="127" t="n">
        <v>47196</v>
      </c>
      <c r="H2367" s="127" t="n">
        <v>46289</v>
      </c>
      <c r="I2367" s="4" t="n">
        <v>0</v>
      </c>
      <c r="J2367" s="4" t="n">
        <v>0</v>
      </c>
      <c r="K2367" s="4" t="n">
        <v>0</v>
      </c>
      <c r="M2367" s="2" t="str">
        <f aca="false">IF(C2367="","",IFERROR(INDEX($S$5:$S$304,MATCH(C2367,$R$5:$R$304,0))&amp;"","?"))</f>
        <v>35</v>
      </c>
      <c r="N2367" s="2" t="n">
        <f aca="false">IF(E2367="","",IF(ISNUMBER(SEARCH("SUBSOLO",E2367)),IFERROR(-VALUE(LEFT(E2367,FIND("º",SUBSTITUTE(E2367,"°","º"))-1)),-1),IF(LEFT(E2367,6)="TÉRREO",0,IFERROR(VALUE(LEFT(E2367,FIND("º",SUBSTITUTE(E2367,"°","º"))-1)),""))))</f>
        <v>19</v>
      </c>
      <c r="O2367" s="2" t="str">
        <f aca="false">IF(OR(F2367="",G2367=""),"",IF(G2367&lt;='RETRATO 2027'!$K$5,"CONCLUÍDA",IF(F2367&lt;='RETRATO 2027'!$K$5,"EM ANDAMENTO","A INICIAR")))</f>
        <v>A INICIAR</v>
      </c>
    </row>
    <row r="2368" customFormat="false" ht="15" hidden="false" customHeight="false" outlineLevel="0" collapsed="false">
      <c r="B2368" s="4" t="n">
        <v>33807253</v>
      </c>
      <c r="C2368" s="4" t="s">
        <v>2738</v>
      </c>
      <c r="D2368" s="4" t="s">
        <v>463</v>
      </c>
      <c r="E2368" s="4" t="s">
        <v>2829</v>
      </c>
      <c r="F2368" s="127" t="n">
        <v>47184</v>
      </c>
      <c r="G2368" s="127" t="n">
        <v>47185</v>
      </c>
      <c r="H2368" s="127" t="n">
        <v>46289</v>
      </c>
      <c r="I2368" s="4" t="n">
        <v>0</v>
      </c>
      <c r="J2368" s="4" t="n">
        <v>0</v>
      </c>
      <c r="K2368" s="4" t="n">
        <v>0</v>
      </c>
      <c r="M2368" s="2" t="str">
        <f aca="false">IF(C2368="","",IFERROR(INDEX($S$5:$S$304,MATCH(C2368,$R$5:$R$304,0))&amp;"","?"))</f>
        <v/>
      </c>
      <c r="N2368" s="2" t="n">
        <f aca="false">IF(E2368="","",IF(ISNUMBER(SEARCH("SUBSOLO",E2368)),IFERROR(-VALUE(LEFT(E2368,FIND("º",SUBSTITUTE(E2368,"°","º"))-1)),-1),IF(LEFT(E2368,6)="TÉRREO",0,IFERROR(VALUE(LEFT(E2368,FIND("º",SUBSTITUTE(E2368,"°","º"))-1)),""))))</f>
        <v>23</v>
      </c>
      <c r="O2368" s="2" t="str">
        <f aca="false">IF(OR(F2368="",G2368=""),"",IF(G2368&lt;='RETRATO 2027'!$K$5,"CONCLUÍDA",IF(F2368&lt;='RETRATO 2027'!$K$5,"EM ANDAMENTO","A INICIAR")))</f>
        <v>A INICIAR</v>
      </c>
    </row>
    <row r="2369" customFormat="false" ht="15" hidden="false" customHeight="false" outlineLevel="0" collapsed="false">
      <c r="B2369" s="4" t="n">
        <v>29980699</v>
      </c>
      <c r="C2369" s="4" t="s">
        <v>2649</v>
      </c>
      <c r="D2369" s="4" t="s">
        <v>463</v>
      </c>
      <c r="E2369" s="4" t="s">
        <v>2842</v>
      </c>
      <c r="F2369" s="127" t="n">
        <v>47184</v>
      </c>
      <c r="G2369" s="127" t="n">
        <v>47196</v>
      </c>
      <c r="H2369" s="127" t="n">
        <v>46289</v>
      </c>
      <c r="I2369" s="4" t="n">
        <v>0</v>
      </c>
      <c r="J2369" s="4" t="n">
        <v>0</v>
      </c>
      <c r="K2369" s="4" t="n">
        <v>0</v>
      </c>
      <c r="M2369" s="2" t="str">
        <f aca="false">IF(C2369="","",IFERROR(INDEX($S$5:$S$304,MATCH(C2369,$R$5:$R$304,0))&amp;"","?"))</f>
        <v>37</v>
      </c>
      <c r="N2369" s="2" t="n">
        <f aca="false">IF(E2369="","",IF(ISNUMBER(SEARCH("SUBSOLO",E2369)),IFERROR(-VALUE(LEFT(E2369,FIND("º",SUBSTITUTE(E2369,"°","º"))-1)),-1),IF(LEFT(E2369,6)="TÉRREO",0,IFERROR(VALUE(LEFT(E2369,FIND("º",SUBSTITUTE(E2369,"°","º"))-1)),""))))</f>
        <v>30</v>
      </c>
      <c r="O2369" s="2" t="str">
        <f aca="false">IF(OR(F2369="",G2369=""),"",IF(G2369&lt;='RETRATO 2027'!$K$5,"CONCLUÍDA",IF(F2369&lt;='RETRATO 2027'!$K$5,"EM ANDAMENTO","A INICIAR")))</f>
        <v>A INICIAR</v>
      </c>
    </row>
    <row r="2370" customFormat="false" ht="15" hidden="false" customHeight="false" outlineLevel="0" collapsed="false">
      <c r="B2370" s="4" t="n">
        <v>29980652</v>
      </c>
      <c r="C2370" s="4" t="s">
        <v>2641</v>
      </c>
      <c r="D2370" s="4" t="s">
        <v>463</v>
      </c>
      <c r="E2370" s="4" t="s">
        <v>2843</v>
      </c>
      <c r="F2370" s="127" t="n">
        <v>47184</v>
      </c>
      <c r="G2370" s="127" t="n">
        <v>47196</v>
      </c>
      <c r="H2370" s="127" t="n">
        <v>46289</v>
      </c>
      <c r="I2370" s="4" t="n">
        <v>0</v>
      </c>
      <c r="J2370" s="4" t="n">
        <v>0</v>
      </c>
      <c r="K2370" s="4" t="n">
        <v>0</v>
      </c>
      <c r="M2370" s="2" t="str">
        <f aca="false">IF(C2370="","",IFERROR(INDEX($S$5:$S$304,MATCH(C2370,$R$5:$R$304,0))&amp;"","?"))</f>
        <v>35</v>
      </c>
      <c r="N2370" s="2" t="n">
        <f aca="false">IF(E2370="","",IF(ISNUMBER(SEARCH("SUBSOLO",E2370)),IFERROR(-VALUE(LEFT(E2370,FIND("º",SUBSTITUTE(E2370,"°","º"))-1)),-1),IF(LEFT(E2370,6)="TÉRREO",0,IFERROR(VALUE(LEFT(E2370,FIND("º",SUBSTITUTE(E2370,"°","º"))-1)),""))))</f>
        <v>31</v>
      </c>
      <c r="O2370" s="2" t="str">
        <f aca="false">IF(OR(F2370="",G2370=""),"",IF(G2370&lt;='RETRATO 2027'!$K$5,"CONCLUÍDA",IF(F2370&lt;='RETRATO 2027'!$K$5,"EM ANDAMENTO","A INICIAR")))</f>
        <v>A INICIAR</v>
      </c>
    </row>
    <row r="2371" customFormat="false" ht="15" hidden="false" customHeight="false" outlineLevel="0" collapsed="false">
      <c r="B2371" s="4" t="n">
        <v>29980782</v>
      </c>
      <c r="C2371" s="4" t="s">
        <v>2732</v>
      </c>
      <c r="D2371" s="4" t="s">
        <v>463</v>
      </c>
      <c r="E2371" s="4" t="s">
        <v>2840</v>
      </c>
      <c r="F2371" s="127" t="n">
        <v>47185</v>
      </c>
      <c r="G2371" s="127" t="n">
        <v>47197</v>
      </c>
      <c r="H2371" s="127" t="n">
        <v>46289</v>
      </c>
      <c r="I2371" s="4" t="n">
        <v>0</v>
      </c>
      <c r="J2371" s="4" t="n">
        <v>0</v>
      </c>
      <c r="K2371" s="4" t="n">
        <v>0</v>
      </c>
      <c r="M2371" s="2" t="str">
        <f aca="false">IF(C2371="","",IFERROR(INDEX($S$5:$S$304,MATCH(C2371,$R$5:$R$304,0))&amp;"","?"))</f>
        <v/>
      </c>
      <c r="N2371" s="2" t="n">
        <f aca="false">IF(E2371="","",IF(ISNUMBER(SEARCH("SUBSOLO",E2371)),IFERROR(-VALUE(LEFT(E2371,FIND("º",SUBSTITUTE(E2371,"°","º"))-1)),-1),IF(LEFT(E2371,6)="TÉRREO",0,IFERROR(VALUE(LEFT(E2371,FIND("º",SUBSTITUTE(E2371,"°","º"))-1)),""))))</f>
        <v>28</v>
      </c>
      <c r="O2371" s="2" t="str">
        <f aca="false">IF(OR(F2371="",G2371=""),"",IF(G2371&lt;='RETRATO 2027'!$K$5,"CONCLUÍDA",IF(F2371&lt;='RETRATO 2027'!$K$5,"EM ANDAMENTO","A INICIAR")))</f>
        <v>A INICIAR</v>
      </c>
    </row>
    <row r="2372" customFormat="false" ht="15" hidden="false" customHeight="false" outlineLevel="0" collapsed="false">
      <c r="B2372" s="4" t="n">
        <v>33807254</v>
      </c>
      <c r="C2372" s="4" t="s">
        <v>2738</v>
      </c>
      <c r="D2372" s="4" t="s">
        <v>463</v>
      </c>
      <c r="E2372" s="4" t="s">
        <v>2831</v>
      </c>
      <c r="F2372" s="127" t="n">
        <v>47186</v>
      </c>
      <c r="G2372" s="127" t="n">
        <v>47189</v>
      </c>
      <c r="H2372" s="127" t="n">
        <v>46289</v>
      </c>
      <c r="I2372" s="4" t="n">
        <v>0</v>
      </c>
      <c r="J2372" s="4" t="n">
        <v>0</v>
      </c>
      <c r="K2372" s="4" t="n">
        <v>0</v>
      </c>
      <c r="M2372" s="2" t="str">
        <f aca="false">IF(C2372="","",IFERROR(INDEX($S$5:$S$304,MATCH(C2372,$R$5:$R$304,0))&amp;"","?"))</f>
        <v/>
      </c>
      <c r="N2372" s="2" t="n">
        <f aca="false">IF(E2372="","",IF(ISNUMBER(SEARCH("SUBSOLO",E2372)),IFERROR(-VALUE(LEFT(E2372,FIND("º",SUBSTITUTE(E2372,"°","º"))-1)),-1),IF(LEFT(E2372,6)="TÉRREO",0,IFERROR(VALUE(LEFT(E2372,FIND("º",SUBSTITUTE(E2372,"°","º"))-1)),""))))</f>
        <v>24</v>
      </c>
      <c r="O2372" s="2" t="str">
        <f aca="false">IF(OR(F2372="",G2372=""),"",IF(G2372&lt;='RETRATO 2027'!$K$5,"CONCLUÍDA",IF(F2372&lt;='RETRATO 2027'!$K$5,"EM ANDAMENTO","A INICIAR")))</f>
        <v>A INICIAR</v>
      </c>
    </row>
    <row r="2373" customFormat="false" ht="15" hidden="false" customHeight="false" outlineLevel="0" collapsed="false">
      <c r="B2373" s="4" t="n">
        <v>30171396</v>
      </c>
      <c r="C2373" s="4" t="s">
        <v>2690</v>
      </c>
      <c r="D2373" s="4" t="s">
        <v>463</v>
      </c>
      <c r="E2373" s="4" t="s">
        <v>2801</v>
      </c>
      <c r="F2373" s="127" t="n">
        <v>47189</v>
      </c>
      <c r="G2373" s="127" t="n">
        <v>47210</v>
      </c>
      <c r="H2373" s="127" t="n">
        <v>46289</v>
      </c>
      <c r="I2373" s="4" t="n">
        <v>0</v>
      </c>
      <c r="J2373" s="4" t="n">
        <v>0</v>
      </c>
      <c r="K2373" s="4" t="n">
        <v>0</v>
      </c>
      <c r="M2373" s="2" t="str">
        <f aca="false">IF(C2373="","",IFERROR(INDEX($S$5:$S$304,MATCH(C2373,$R$5:$R$304,0))&amp;"","?"))</f>
        <v>37</v>
      </c>
      <c r="N2373" s="2" t="n">
        <f aca="false">IF(E2373="","",IF(ISNUMBER(SEARCH("SUBSOLO",E2373)),IFERROR(-VALUE(LEFT(E2373,FIND("º",SUBSTITUTE(E2373,"°","º"))-1)),-1),IF(LEFT(E2373,6)="TÉRREO",0,IFERROR(VALUE(LEFT(E2373,FIND("º",SUBSTITUTE(E2373,"°","º"))-1)),""))))</f>
        <v>5</v>
      </c>
      <c r="O2373" s="2" t="str">
        <f aca="false">IF(OR(F2373="",G2373=""),"",IF(G2373&lt;='RETRATO 2027'!$K$5,"CONCLUÍDA",IF(F2373&lt;='RETRATO 2027'!$K$5,"EM ANDAMENTO","A INICIAR")))</f>
        <v>A INICIAR</v>
      </c>
    </row>
    <row r="2374" customFormat="false" ht="15" hidden="false" customHeight="false" outlineLevel="0" collapsed="false">
      <c r="B2374" s="4" t="n">
        <v>29980745</v>
      </c>
      <c r="C2374" s="4" t="s">
        <v>2732</v>
      </c>
      <c r="D2374" s="4" t="s">
        <v>463</v>
      </c>
      <c r="E2374" s="4" t="s">
        <v>2841</v>
      </c>
      <c r="F2374" s="127" t="n">
        <v>47189</v>
      </c>
      <c r="G2374" s="127" t="n">
        <v>47199</v>
      </c>
      <c r="H2374" s="127" t="n">
        <v>46289</v>
      </c>
      <c r="I2374" s="4" t="n">
        <v>0</v>
      </c>
      <c r="J2374" s="4" t="n">
        <v>0</v>
      </c>
      <c r="K2374" s="4" t="n">
        <v>0</v>
      </c>
      <c r="M2374" s="2" t="str">
        <f aca="false">IF(C2374="","",IFERROR(INDEX($S$5:$S$304,MATCH(C2374,$R$5:$R$304,0))&amp;"","?"))</f>
        <v/>
      </c>
      <c r="N2374" s="2" t="n">
        <f aca="false">IF(E2374="","",IF(ISNUMBER(SEARCH("SUBSOLO",E2374)),IFERROR(-VALUE(LEFT(E2374,FIND("º",SUBSTITUTE(E2374,"°","º"))-1)),-1),IF(LEFT(E2374,6)="TÉRREO",0,IFERROR(VALUE(LEFT(E2374,FIND("º",SUBSTITUTE(E2374,"°","º"))-1)),""))))</f>
        <v>29</v>
      </c>
      <c r="O2374" s="2" t="str">
        <f aca="false">IF(OR(F2374="",G2374=""),"",IF(G2374&lt;='RETRATO 2027'!$K$5,"CONCLUÍDA",IF(F2374&lt;='RETRATO 2027'!$K$5,"EM ANDAMENTO","A INICIAR")))</f>
        <v>A INICIAR</v>
      </c>
    </row>
    <row r="2375" customFormat="false" ht="15" hidden="false" customHeight="false" outlineLevel="0" collapsed="false">
      <c r="B2375" s="4" t="n">
        <v>33807255</v>
      </c>
      <c r="C2375" s="4" t="s">
        <v>2738</v>
      </c>
      <c r="D2375" s="4" t="s">
        <v>463</v>
      </c>
      <c r="E2375" s="4" t="s">
        <v>2833</v>
      </c>
      <c r="F2375" s="127" t="n">
        <v>47190</v>
      </c>
      <c r="G2375" s="127" t="n">
        <v>47191</v>
      </c>
      <c r="H2375" s="127" t="n">
        <v>46289</v>
      </c>
      <c r="I2375" s="4" t="n">
        <v>0</v>
      </c>
      <c r="J2375" s="4" t="n">
        <v>0</v>
      </c>
      <c r="K2375" s="4" t="n">
        <v>0</v>
      </c>
      <c r="M2375" s="2" t="str">
        <f aca="false">IF(C2375="","",IFERROR(INDEX($S$5:$S$304,MATCH(C2375,$R$5:$R$304,0))&amp;"","?"))</f>
        <v/>
      </c>
      <c r="N2375" s="2" t="n">
        <f aca="false">IF(E2375="","",IF(ISNUMBER(SEARCH("SUBSOLO",E2375)),IFERROR(-VALUE(LEFT(E2375,FIND("º",SUBSTITUTE(E2375,"°","º"))-1)),-1),IF(LEFT(E2375,6)="TÉRREO",0,IFERROR(VALUE(LEFT(E2375,FIND("º",SUBSTITUTE(E2375,"°","º"))-1)),""))))</f>
        <v>25</v>
      </c>
      <c r="O2375" s="2" t="str">
        <f aca="false">IF(OR(F2375="",G2375=""),"",IF(G2375&lt;='RETRATO 2027'!$K$5,"CONCLUÍDA",IF(F2375&lt;='RETRATO 2027'!$K$5,"EM ANDAMENTO","A INICIAR")))</f>
        <v>A INICIAR</v>
      </c>
    </row>
    <row r="2376" customFormat="false" ht="15" hidden="false" customHeight="false" outlineLevel="0" collapsed="false">
      <c r="B2376" s="4" t="n">
        <v>29980614</v>
      </c>
      <c r="C2376" s="4" t="s">
        <v>2637</v>
      </c>
      <c r="D2376" s="4" t="s">
        <v>463</v>
      </c>
      <c r="E2376" s="4" t="s">
        <v>2844</v>
      </c>
      <c r="F2376" s="127" t="n">
        <v>47190</v>
      </c>
      <c r="G2376" s="127" t="n">
        <v>47196</v>
      </c>
      <c r="H2376" s="127" t="n">
        <v>46289</v>
      </c>
      <c r="I2376" s="4" t="n">
        <v>0</v>
      </c>
      <c r="J2376" s="4" t="n">
        <v>0</v>
      </c>
      <c r="K2376" s="4" t="n">
        <v>0</v>
      </c>
      <c r="M2376" s="2" t="str">
        <f aca="false">IF(C2376="","",IFERROR(INDEX($S$5:$S$304,MATCH(C2376,$R$5:$R$304,0))&amp;"","?"))</f>
        <v/>
      </c>
      <c r="N2376" s="2" t="n">
        <f aca="false">IF(E2376="","",IF(ISNUMBER(SEARCH("SUBSOLO",E2376)),IFERROR(-VALUE(LEFT(E2376,FIND("º",SUBSTITUTE(E2376,"°","º"))-1)),-1),IF(LEFT(E2376,6)="TÉRREO",0,IFERROR(VALUE(LEFT(E2376,FIND("º",SUBSTITUTE(E2376,"°","º"))-1)),""))))</f>
        <v>32</v>
      </c>
      <c r="O2376" s="2" t="str">
        <f aca="false">IF(OR(F2376="",G2376=""),"",IF(G2376&lt;='RETRATO 2027'!$K$5,"CONCLUÍDA",IF(F2376&lt;='RETRATO 2027'!$K$5,"EM ANDAMENTO","A INICIAR")))</f>
        <v>A INICIAR</v>
      </c>
    </row>
    <row r="2377" customFormat="false" ht="15" hidden="false" customHeight="false" outlineLevel="0" collapsed="false">
      <c r="B2377" s="4" t="n">
        <v>33807256</v>
      </c>
      <c r="C2377" s="4" t="s">
        <v>2738</v>
      </c>
      <c r="D2377" s="4" t="s">
        <v>463</v>
      </c>
      <c r="E2377" s="4" t="s">
        <v>2834</v>
      </c>
      <c r="F2377" s="127" t="n">
        <v>47192</v>
      </c>
      <c r="G2377" s="127" t="n">
        <v>47193</v>
      </c>
      <c r="H2377" s="127" t="n">
        <v>46289</v>
      </c>
      <c r="I2377" s="4" t="n">
        <v>0</v>
      </c>
      <c r="J2377" s="4" t="n">
        <v>0</v>
      </c>
      <c r="K2377" s="4" t="n">
        <v>0</v>
      </c>
      <c r="M2377" s="2" t="str">
        <f aca="false">IF(C2377="","",IFERROR(INDEX($S$5:$S$304,MATCH(C2377,$R$5:$R$304,0))&amp;"","?"))</f>
        <v/>
      </c>
      <c r="N2377" s="2" t="n">
        <f aca="false">IF(E2377="","",IF(ISNUMBER(SEARCH("SUBSOLO",E2377)),IFERROR(-VALUE(LEFT(E2377,FIND("º",SUBSTITUTE(E2377,"°","º"))-1)),-1),IF(LEFT(E2377,6)="TÉRREO",0,IFERROR(VALUE(LEFT(E2377,FIND("º",SUBSTITUTE(E2377,"°","º"))-1)),""))))</f>
        <v>26</v>
      </c>
      <c r="O2377" s="2" t="str">
        <f aca="false">IF(OR(F2377="",G2377=""),"",IF(G2377&lt;='RETRATO 2027'!$K$5,"CONCLUÍDA",IF(F2377&lt;='RETRATO 2027'!$K$5,"EM ANDAMENTO","A INICIAR")))</f>
        <v>A INICIAR</v>
      </c>
    </row>
    <row r="2378" customFormat="false" ht="15" hidden="false" customHeight="false" outlineLevel="0" collapsed="false">
      <c r="B2378" s="4" t="n">
        <v>33807257</v>
      </c>
      <c r="C2378" s="4" t="s">
        <v>2738</v>
      </c>
      <c r="D2378" s="4" t="s">
        <v>463</v>
      </c>
      <c r="E2378" s="4" t="s">
        <v>2838</v>
      </c>
      <c r="F2378" s="127" t="n">
        <v>47196</v>
      </c>
      <c r="G2378" s="127" t="n">
        <v>47197</v>
      </c>
      <c r="H2378" s="127" t="n">
        <v>46289</v>
      </c>
      <c r="I2378" s="4" t="n">
        <v>0</v>
      </c>
      <c r="J2378" s="4" t="n">
        <v>0</v>
      </c>
      <c r="K2378" s="4" t="n">
        <v>0</v>
      </c>
      <c r="M2378" s="2" t="str">
        <f aca="false">IF(C2378="","",IFERROR(INDEX($S$5:$S$304,MATCH(C2378,$R$5:$R$304,0))&amp;"","?"))</f>
        <v/>
      </c>
      <c r="N2378" s="2" t="n">
        <f aca="false">IF(E2378="","",IF(ISNUMBER(SEARCH("SUBSOLO",E2378)),IFERROR(-VALUE(LEFT(E2378,FIND("º",SUBSTITUTE(E2378,"°","º"))-1)),-1),IF(LEFT(E2378,6)="TÉRREO",0,IFERROR(VALUE(LEFT(E2378,FIND("º",SUBSTITUTE(E2378,"°","º"))-1)),""))))</f>
        <v>27</v>
      </c>
      <c r="O2378" s="2" t="str">
        <f aca="false">IF(OR(F2378="",G2378=""),"",IF(G2378&lt;='RETRATO 2027'!$K$5,"CONCLUÍDA",IF(F2378&lt;='RETRATO 2027'!$K$5,"EM ANDAMENTO","A INICIAR")))</f>
        <v>A INICIAR</v>
      </c>
    </row>
    <row r="2379" customFormat="false" ht="15" hidden="false" customHeight="false" outlineLevel="0" collapsed="false">
      <c r="B2379" s="4" t="n">
        <v>29981106</v>
      </c>
      <c r="C2379" s="4" t="s">
        <v>2649</v>
      </c>
      <c r="D2379" s="4" t="s">
        <v>463</v>
      </c>
      <c r="E2379" s="4" t="s">
        <v>2822</v>
      </c>
      <c r="F2379" s="127" t="n">
        <v>47197</v>
      </c>
      <c r="G2379" s="127" t="n">
        <v>47210</v>
      </c>
      <c r="H2379" s="127" t="n">
        <v>46289</v>
      </c>
      <c r="I2379" s="4" t="n">
        <v>0</v>
      </c>
      <c r="J2379" s="4" t="n">
        <v>0</v>
      </c>
      <c r="K2379" s="4" t="n">
        <v>0</v>
      </c>
      <c r="M2379" s="2" t="str">
        <f aca="false">IF(C2379="","",IFERROR(INDEX($S$5:$S$304,MATCH(C2379,$R$5:$R$304,0))&amp;"","?"))</f>
        <v>37</v>
      </c>
      <c r="N2379" s="2" t="n">
        <f aca="false">IF(E2379="","",IF(ISNUMBER(SEARCH("SUBSOLO",E2379)),IFERROR(-VALUE(LEFT(E2379,FIND("º",SUBSTITUTE(E2379,"°","º"))-1)),-1),IF(LEFT(E2379,6)="TÉRREO",0,IFERROR(VALUE(LEFT(E2379,FIND("º",SUBSTITUTE(E2379,"°","º"))-1)),""))))</f>
        <v>19</v>
      </c>
      <c r="O2379" s="2" t="str">
        <f aca="false">IF(OR(F2379="",G2379=""),"",IF(G2379&lt;='RETRATO 2027'!$K$5,"CONCLUÍDA",IF(F2379&lt;='RETRATO 2027'!$K$5,"EM ANDAMENTO","A INICIAR")))</f>
        <v>A INICIAR</v>
      </c>
    </row>
    <row r="2380" customFormat="false" ht="15" hidden="false" customHeight="false" outlineLevel="0" collapsed="false">
      <c r="B2380" s="4" t="n">
        <v>29980708</v>
      </c>
      <c r="C2380" s="4" t="s">
        <v>2732</v>
      </c>
      <c r="D2380" s="4" t="s">
        <v>463</v>
      </c>
      <c r="E2380" s="4" t="s">
        <v>2842</v>
      </c>
      <c r="F2380" s="127" t="n">
        <v>47197</v>
      </c>
      <c r="G2380" s="127" t="n">
        <v>47210</v>
      </c>
      <c r="H2380" s="127" t="n">
        <v>46289</v>
      </c>
      <c r="I2380" s="4" t="n">
        <v>0</v>
      </c>
      <c r="J2380" s="4" t="n">
        <v>0</v>
      </c>
      <c r="K2380" s="4" t="n">
        <v>0</v>
      </c>
      <c r="M2380" s="2" t="str">
        <f aca="false">IF(C2380="","",IFERROR(INDEX($S$5:$S$304,MATCH(C2380,$R$5:$R$304,0))&amp;"","?"))</f>
        <v/>
      </c>
      <c r="N2380" s="2" t="n">
        <f aca="false">IF(E2380="","",IF(ISNUMBER(SEARCH("SUBSOLO",E2380)),IFERROR(-VALUE(LEFT(E2380,FIND("º",SUBSTITUTE(E2380,"°","º"))-1)),-1),IF(LEFT(E2380,6)="TÉRREO",0,IFERROR(VALUE(LEFT(E2380,FIND("º",SUBSTITUTE(E2380,"°","º"))-1)),""))))</f>
        <v>30</v>
      </c>
      <c r="O2380" s="2" t="str">
        <f aca="false">IF(OR(F2380="",G2380=""),"",IF(G2380&lt;='RETRATO 2027'!$K$5,"CONCLUÍDA",IF(F2380&lt;='RETRATO 2027'!$K$5,"EM ANDAMENTO","A INICIAR")))</f>
        <v>A INICIAR</v>
      </c>
    </row>
    <row r="2381" customFormat="false" ht="15" hidden="false" customHeight="false" outlineLevel="0" collapsed="false">
      <c r="B2381" s="4" t="n">
        <v>29980662</v>
      </c>
      <c r="C2381" s="4" t="s">
        <v>2649</v>
      </c>
      <c r="D2381" s="4" t="s">
        <v>463</v>
      </c>
      <c r="E2381" s="4" t="s">
        <v>2843</v>
      </c>
      <c r="F2381" s="127" t="n">
        <v>47197</v>
      </c>
      <c r="G2381" s="127" t="n">
        <v>47210</v>
      </c>
      <c r="H2381" s="127" t="n">
        <v>46289</v>
      </c>
      <c r="I2381" s="4" t="n">
        <v>0</v>
      </c>
      <c r="J2381" s="4" t="n">
        <v>0</v>
      </c>
      <c r="K2381" s="4" t="n">
        <v>0</v>
      </c>
      <c r="M2381" s="2" t="str">
        <f aca="false">IF(C2381="","",IFERROR(INDEX($S$5:$S$304,MATCH(C2381,$R$5:$R$304,0))&amp;"","?"))</f>
        <v>37</v>
      </c>
      <c r="N2381" s="2" t="n">
        <f aca="false">IF(E2381="","",IF(ISNUMBER(SEARCH("SUBSOLO",E2381)),IFERROR(-VALUE(LEFT(E2381,FIND("º",SUBSTITUTE(E2381,"°","º"))-1)),-1),IF(LEFT(E2381,6)="TÉRREO",0,IFERROR(VALUE(LEFT(E2381,FIND("º",SUBSTITUTE(E2381,"°","º"))-1)),""))))</f>
        <v>31</v>
      </c>
      <c r="O2381" s="2" t="str">
        <f aca="false">IF(OR(F2381="",G2381=""),"",IF(G2381&lt;='RETRATO 2027'!$K$5,"CONCLUÍDA",IF(F2381&lt;='RETRATO 2027'!$K$5,"EM ANDAMENTO","A INICIAR")))</f>
        <v>A INICIAR</v>
      </c>
    </row>
    <row r="2382" customFormat="false" ht="15" hidden="false" customHeight="false" outlineLevel="0" collapsed="false">
      <c r="B2382" s="4" t="n">
        <v>29980615</v>
      </c>
      <c r="C2382" s="4" t="s">
        <v>2641</v>
      </c>
      <c r="D2382" s="4" t="s">
        <v>463</v>
      </c>
      <c r="E2382" s="4" t="s">
        <v>2844</v>
      </c>
      <c r="F2382" s="127" t="n">
        <v>47197</v>
      </c>
      <c r="G2382" s="127" t="n">
        <v>47210</v>
      </c>
      <c r="H2382" s="127" t="n">
        <v>46289</v>
      </c>
      <c r="I2382" s="4" t="n">
        <v>0</v>
      </c>
      <c r="J2382" s="4" t="n">
        <v>0</v>
      </c>
      <c r="K2382" s="4" t="n">
        <v>0</v>
      </c>
      <c r="M2382" s="2" t="str">
        <f aca="false">IF(C2382="","",IFERROR(INDEX($S$5:$S$304,MATCH(C2382,$R$5:$R$304,0))&amp;"","?"))</f>
        <v>35</v>
      </c>
      <c r="N2382" s="2" t="n">
        <f aca="false">IF(E2382="","",IF(ISNUMBER(SEARCH("SUBSOLO",E2382)),IFERROR(-VALUE(LEFT(E2382,FIND("º",SUBSTITUTE(E2382,"°","º"))-1)),-1),IF(LEFT(E2382,6)="TÉRREO",0,IFERROR(VALUE(LEFT(E2382,FIND("º",SUBSTITUTE(E2382,"°","º"))-1)),""))))</f>
        <v>32</v>
      </c>
      <c r="O2382" s="2" t="str">
        <f aca="false">IF(OR(F2382="",G2382=""),"",IF(G2382&lt;='RETRATO 2027'!$K$5,"CONCLUÍDA",IF(F2382&lt;='RETRATO 2027'!$K$5,"EM ANDAMENTO","A INICIAR")))</f>
        <v>A INICIAR</v>
      </c>
    </row>
    <row r="2383" customFormat="false" ht="15" hidden="false" customHeight="false" outlineLevel="0" collapsed="false">
      <c r="B2383" s="4" t="n">
        <v>33807258</v>
      </c>
      <c r="C2383" s="4" t="s">
        <v>2738</v>
      </c>
      <c r="D2383" s="4" t="s">
        <v>463</v>
      </c>
      <c r="E2383" s="4" t="s">
        <v>2840</v>
      </c>
      <c r="F2383" s="127" t="n">
        <v>47198</v>
      </c>
      <c r="G2383" s="127" t="n">
        <v>47199</v>
      </c>
      <c r="H2383" s="127" t="n">
        <v>46289</v>
      </c>
      <c r="I2383" s="4" t="n">
        <v>0</v>
      </c>
      <c r="J2383" s="4" t="n">
        <v>0</v>
      </c>
      <c r="K2383" s="4" t="n">
        <v>0</v>
      </c>
      <c r="M2383" s="2" t="str">
        <f aca="false">IF(C2383="","",IFERROR(INDEX($S$5:$S$304,MATCH(C2383,$R$5:$R$304,0))&amp;"","?"))</f>
        <v/>
      </c>
      <c r="N2383" s="2" t="n">
        <f aca="false">IF(E2383="","",IF(ISNUMBER(SEARCH("SUBSOLO",E2383)),IFERROR(-VALUE(LEFT(E2383,FIND("º",SUBSTITUTE(E2383,"°","º"))-1)),-1),IF(LEFT(E2383,6)="TÉRREO",0,IFERROR(VALUE(LEFT(E2383,FIND("º",SUBSTITUTE(E2383,"°","º"))-1)),""))))</f>
        <v>28</v>
      </c>
      <c r="O2383" s="2" t="str">
        <f aca="false">IF(OR(F2383="",G2383=""),"",IF(G2383&lt;='RETRATO 2027'!$K$5,"CONCLUÍDA",IF(F2383&lt;='RETRATO 2027'!$K$5,"EM ANDAMENTO","A INICIAR")))</f>
        <v>A INICIAR</v>
      </c>
    </row>
    <row r="2384" customFormat="false" ht="15" hidden="false" customHeight="false" outlineLevel="0" collapsed="false">
      <c r="B2384" s="4" t="n">
        <v>33807259</v>
      </c>
      <c r="C2384" s="4" t="s">
        <v>2738</v>
      </c>
      <c r="D2384" s="4" t="s">
        <v>463</v>
      </c>
      <c r="E2384" s="4" t="s">
        <v>2841</v>
      </c>
      <c r="F2384" s="127" t="n">
        <v>47200</v>
      </c>
      <c r="G2384" s="127" t="n">
        <v>47203</v>
      </c>
      <c r="H2384" s="127" t="n">
        <v>46289</v>
      </c>
      <c r="I2384" s="4" t="n">
        <v>0</v>
      </c>
      <c r="J2384" s="4" t="n">
        <v>0</v>
      </c>
      <c r="K2384" s="4" t="n">
        <v>0</v>
      </c>
      <c r="M2384" s="2" t="str">
        <f aca="false">IF(C2384="","",IFERROR(INDEX($S$5:$S$304,MATCH(C2384,$R$5:$R$304,0))&amp;"","?"))</f>
        <v/>
      </c>
      <c r="N2384" s="2" t="n">
        <f aca="false">IF(E2384="","",IF(ISNUMBER(SEARCH("SUBSOLO",E2384)),IFERROR(-VALUE(LEFT(E2384,FIND("º",SUBSTITUTE(E2384,"°","º"))-1)),-1),IF(LEFT(E2384,6)="TÉRREO",0,IFERROR(VALUE(LEFT(E2384,FIND("º",SUBSTITUTE(E2384,"°","º"))-1)),""))))</f>
        <v>29</v>
      </c>
      <c r="O2384" s="2" t="str">
        <f aca="false">IF(OR(F2384="",G2384=""),"",IF(G2384&lt;='RETRATO 2027'!$K$5,"CONCLUÍDA",IF(F2384&lt;='RETRATO 2027'!$K$5,"EM ANDAMENTO","A INICIAR")))</f>
        <v>A INICIAR</v>
      </c>
    </row>
    <row r="2385" customFormat="false" ht="15" hidden="false" customHeight="false" outlineLevel="0" collapsed="false">
      <c r="B2385" s="4" t="n">
        <v>33807260</v>
      </c>
      <c r="C2385" s="4" t="s">
        <v>2738</v>
      </c>
      <c r="D2385" s="4" t="s">
        <v>463</v>
      </c>
      <c r="E2385" s="4" t="s">
        <v>2842</v>
      </c>
      <c r="F2385" s="127" t="n">
        <v>47204</v>
      </c>
      <c r="G2385" s="127" t="n">
        <v>47205</v>
      </c>
      <c r="H2385" s="127" t="n">
        <v>46289</v>
      </c>
      <c r="I2385" s="4" t="n">
        <v>0</v>
      </c>
      <c r="J2385" s="4" t="n">
        <v>0</v>
      </c>
      <c r="K2385" s="4" t="n">
        <v>0</v>
      </c>
      <c r="M2385" s="2" t="str">
        <f aca="false">IF(C2385="","",IFERROR(INDEX($S$5:$S$304,MATCH(C2385,$R$5:$R$304,0))&amp;"","?"))</f>
        <v/>
      </c>
      <c r="N2385" s="2" t="n">
        <f aca="false">IF(E2385="","",IF(ISNUMBER(SEARCH("SUBSOLO",E2385)),IFERROR(-VALUE(LEFT(E2385,FIND("º",SUBSTITUTE(E2385,"°","º"))-1)),-1),IF(LEFT(E2385,6)="TÉRREO",0,IFERROR(VALUE(LEFT(E2385,FIND("º",SUBSTITUTE(E2385,"°","º"))-1)),""))))</f>
        <v>30</v>
      </c>
      <c r="O2385" s="2" t="str">
        <f aca="false">IF(OR(F2385="",G2385=""),"",IF(G2385&lt;='RETRATO 2027'!$K$5,"CONCLUÍDA",IF(F2385&lt;='RETRATO 2027'!$K$5,"EM ANDAMENTO","A INICIAR")))</f>
        <v>A INICIAR</v>
      </c>
    </row>
    <row r="2386" customFormat="false" ht="15" hidden="false" customHeight="false" outlineLevel="0" collapsed="false">
      <c r="B2386" s="4" t="n">
        <v>34173622</v>
      </c>
      <c r="C2386" s="4" t="s">
        <v>2738</v>
      </c>
      <c r="D2386" s="4" t="s">
        <v>463</v>
      </c>
      <c r="E2386" s="4" t="s">
        <v>2843</v>
      </c>
      <c r="F2386" s="127" t="n">
        <v>47206</v>
      </c>
      <c r="G2386" s="127" t="n">
        <v>47210</v>
      </c>
      <c r="H2386" s="127" t="n">
        <v>46289</v>
      </c>
      <c r="I2386" s="4" t="n">
        <v>0</v>
      </c>
      <c r="J2386" s="4" t="n">
        <v>0</v>
      </c>
      <c r="K2386" s="4" t="n">
        <v>0</v>
      </c>
      <c r="M2386" s="2" t="str">
        <f aca="false">IF(C2386="","",IFERROR(INDEX($S$5:$S$304,MATCH(C2386,$R$5:$R$304,0))&amp;"","?"))</f>
        <v/>
      </c>
      <c r="N2386" s="2" t="n">
        <f aca="false">IF(E2386="","",IF(ISNUMBER(SEARCH("SUBSOLO",E2386)),IFERROR(-VALUE(LEFT(E2386,FIND("º",SUBSTITUTE(E2386,"°","º"))-1)),-1),IF(LEFT(E2386,6)="TÉRREO",0,IFERROR(VALUE(LEFT(E2386,FIND("º",SUBSTITUTE(E2386,"°","º"))-1)),""))))</f>
        <v>31</v>
      </c>
      <c r="O2386" s="2" t="str">
        <f aca="false">IF(OR(F2386="",G2386=""),"",IF(G2386&lt;='RETRATO 2027'!$K$5,"CONCLUÍDA",IF(F2386&lt;='RETRATO 2027'!$K$5,"EM ANDAMENTO","A INICIAR")))</f>
        <v>A INICIAR</v>
      </c>
    </row>
    <row r="2387" customFormat="false" ht="15" hidden="false" customHeight="false" outlineLevel="0" collapsed="false">
      <c r="B2387" s="4" t="n">
        <v>33807017</v>
      </c>
      <c r="C2387" s="4" t="s">
        <v>2744</v>
      </c>
      <c r="D2387" s="4" t="s">
        <v>463</v>
      </c>
      <c r="E2387" s="4" t="s">
        <v>2757</v>
      </c>
      <c r="F2387" s="127" t="n">
        <v>47211</v>
      </c>
      <c r="G2387" s="127" t="n">
        <v>47238</v>
      </c>
      <c r="H2387" s="127" t="n">
        <v>46289</v>
      </c>
      <c r="I2387" s="4" t="n">
        <v>0</v>
      </c>
      <c r="J2387" s="4" t="n">
        <v>0</v>
      </c>
      <c r="K2387" s="4" t="n">
        <v>0</v>
      </c>
      <c r="M2387" s="2" t="str">
        <f aca="false">IF(C2387="","",IFERROR(INDEX($S$5:$S$304,MATCH(C2387,$R$5:$R$304,0))&amp;"","?"))</f>
        <v/>
      </c>
      <c r="N2387" s="2" t="n">
        <f aca="false">IF(E2387="","",IF(ISNUMBER(SEARCH("SUBSOLO",E2387)),IFERROR(-VALUE(LEFT(E2387,FIND("º",SUBSTITUTE(E2387,"°","º"))-1)),-1),IF(LEFT(E2387,6)="TÉRREO",0,IFERROR(VALUE(LEFT(E2387,FIND("º",SUBSTITUTE(E2387,"°","º"))-1)),""))))</f>
        <v>0</v>
      </c>
      <c r="O2387" s="2" t="str">
        <f aca="false">IF(OR(F2387="",G2387=""),"",IF(G2387&lt;='RETRATO 2027'!$K$5,"CONCLUÍDA",IF(F2387&lt;='RETRATO 2027'!$K$5,"EM ANDAMENTO","A INICIAR")))</f>
        <v>A INICIAR</v>
      </c>
    </row>
    <row r="2388" customFormat="false" ht="15" hidden="false" customHeight="false" outlineLevel="0" collapsed="false">
      <c r="B2388" s="4" t="n">
        <v>29981115</v>
      </c>
      <c r="C2388" s="4" t="s">
        <v>2732</v>
      </c>
      <c r="D2388" s="4" t="s">
        <v>463</v>
      </c>
      <c r="E2388" s="4" t="s">
        <v>2822</v>
      </c>
      <c r="F2388" s="127" t="n">
        <v>47211</v>
      </c>
      <c r="G2388" s="127" t="n">
        <v>47221</v>
      </c>
      <c r="H2388" s="127" t="n">
        <v>46289</v>
      </c>
      <c r="I2388" s="4" t="n">
        <v>0</v>
      </c>
      <c r="J2388" s="4" t="n">
        <v>0</v>
      </c>
      <c r="K2388" s="4" t="n">
        <v>0</v>
      </c>
      <c r="M2388" s="2" t="str">
        <f aca="false">IF(C2388="","",IFERROR(INDEX($S$5:$S$304,MATCH(C2388,$R$5:$R$304,0))&amp;"","?"))</f>
        <v/>
      </c>
      <c r="N2388" s="2" t="n">
        <f aca="false">IF(E2388="","",IF(ISNUMBER(SEARCH("SUBSOLO",E2388)),IFERROR(-VALUE(LEFT(E2388,FIND("º",SUBSTITUTE(E2388,"°","º"))-1)),-1),IF(LEFT(E2388,6)="TÉRREO",0,IFERROR(VALUE(LEFT(E2388,FIND("º",SUBSTITUTE(E2388,"°","º"))-1)),""))))</f>
        <v>19</v>
      </c>
      <c r="O2388" s="2" t="str">
        <f aca="false">IF(OR(F2388="",G2388=""),"",IF(G2388&lt;='RETRATO 2027'!$K$5,"CONCLUÍDA",IF(F2388&lt;='RETRATO 2027'!$K$5,"EM ANDAMENTO","A INICIAR")))</f>
        <v>A INICIAR</v>
      </c>
    </row>
    <row r="2389" customFormat="false" ht="15" hidden="false" customHeight="false" outlineLevel="0" collapsed="false">
      <c r="B2389" s="4" t="n">
        <v>29980671</v>
      </c>
      <c r="C2389" s="4" t="s">
        <v>2732</v>
      </c>
      <c r="D2389" s="4" t="s">
        <v>463</v>
      </c>
      <c r="E2389" s="4" t="s">
        <v>2843</v>
      </c>
      <c r="F2389" s="127" t="n">
        <v>47211</v>
      </c>
      <c r="G2389" s="127" t="n">
        <v>47217</v>
      </c>
      <c r="H2389" s="127" t="n">
        <v>46289</v>
      </c>
      <c r="I2389" s="4" t="n">
        <v>0</v>
      </c>
      <c r="J2389" s="4" t="n">
        <v>0</v>
      </c>
      <c r="K2389" s="4" t="n">
        <v>0</v>
      </c>
      <c r="M2389" s="2" t="str">
        <f aca="false">IF(C2389="","",IFERROR(INDEX($S$5:$S$304,MATCH(C2389,$R$5:$R$304,0))&amp;"","?"))</f>
        <v/>
      </c>
      <c r="N2389" s="2" t="n">
        <f aca="false">IF(E2389="","",IF(ISNUMBER(SEARCH("SUBSOLO",E2389)),IFERROR(-VALUE(LEFT(E2389,FIND("º",SUBSTITUTE(E2389,"°","º"))-1)),-1),IF(LEFT(E2389,6)="TÉRREO",0,IFERROR(VALUE(LEFT(E2389,FIND("º",SUBSTITUTE(E2389,"°","º"))-1)),""))))</f>
        <v>31</v>
      </c>
      <c r="O2389" s="2" t="str">
        <f aca="false">IF(OR(F2389="",G2389=""),"",IF(G2389&lt;='RETRATO 2027'!$K$5,"CONCLUÍDA",IF(F2389&lt;='RETRATO 2027'!$K$5,"EM ANDAMENTO","A INICIAR")))</f>
        <v>A INICIAR</v>
      </c>
    </row>
    <row r="2390" customFormat="false" ht="15" hidden="false" customHeight="false" outlineLevel="0" collapsed="false">
      <c r="B2390" s="4" t="n">
        <v>29980625</v>
      </c>
      <c r="C2390" s="4" t="s">
        <v>2649</v>
      </c>
      <c r="D2390" s="4" t="s">
        <v>463</v>
      </c>
      <c r="E2390" s="4" t="s">
        <v>2844</v>
      </c>
      <c r="F2390" s="127" t="n">
        <v>47211</v>
      </c>
      <c r="G2390" s="127" t="n">
        <v>47221</v>
      </c>
      <c r="H2390" s="127" t="n">
        <v>46289</v>
      </c>
      <c r="I2390" s="4" t="n">
        <v>0</v>
      </c>
      <c r="J2390" s="4" t="n">
        <v>0</v>
      </c>
      <c r="K2390" s="4" t="n">
        <v>0</v>
      </c>
      <c r="M2390" s="2" t="str">
        <f aca="false">IF(C2390="","",IFERROR(INDEX($S$5:$S$304,MATCH(C2390,$R$5:$R$304,0))&amp;"","?"))</f>
        <v>37</v>
      </c>
      <c r="N2390" s="2" t="n">
        <f aca="false">IF(E2390="","",IF(ISNUMBER(SEARCH("SUBSOLO",E2390)),IFERROR(-VALUE(LEFT(E2390,FIND("º",SUBSTITUTE(E2390,"°","º"))-1)),-1),IF(LEFT(E2390,6)="TÉRREO",0,IFERROR(VALUE(LEFT(E2390,FIND("º",SUBSTITUTE(E2390,"°","º"))-1)),""))))</f>
        <v>32</v>
      </c>
      <c r="O2390" s="2" t="str">
        <f aca="false">IF(OR(F2390="",G2390=""),"",IF(G2390&lt;='RETRATO 2027'!$K$5,"CONCLUÍDA",IF(F2390&lt;='RETRATO 2027'!$K$5,"EM ANDAMENTO","A INICIAR")))</f>
        <v>A INICIAR</v>
      </c>
    </row>
    <row r="2391" customFormat="false" ht="15" hidden="false" customHeight="false" outlineLevel="0" collapsed="false">
      <c r="B2391" s="4" t="n">
        <v>33807273</v>
      </c>
      <c r="C2391" s="4" t="s">
        <v>2738</v>
      </c>
      <c r="D2391" s="4" t="s">
        <v>463</v>
      </c>
      <c r="E2391" s="4" t="s">
        <v>2822</v>
      </c>
      <c r="F2391" s="127" t="n">
        <v>47224</v>
      </c>
      <c r="G2391" s="127" t="n">
        <v>47226</v>
      </c>
      <c r="H2391" s="127" t="n">
        <v>46289</v>
      </c>
      <c r="I2391" s="4" t="n">
        <v>0</v>
      </c>
      <c r="J2391" s="4" t="n">
        <v>0</v>
      </c>
      <c r="K2391" s="4" t="n">
        <v>0</v>
      </c>
      <c r="M2391" s="2" t="str">
        <f aca="false">IF(C2391="","",IFERROR(INDEX($S$5:$S$304,MATCH(C2391,$R$5:$R$304,0))&amp;"","?"))</f>
        <v/>
      </c>
      <c r="N2391" s="2" t="n">
        <f aca="false">IF(E2391="","",IF(ISNUMBER(SEARCH("SUBSOLO",E2391)),IFERROR(-VALUE(LEFT(E2391,FIND("º",SUBSTITUTE(E2391,"°","º"))-1)),-1),IF(LEFT(E2391,6)="TÉRREO",0,IFERROR(VALUE(LEFT(E2391,FIND("º",SUBSTITUTE(E2391,"°","º"))-1)),""))))</f>
        <v>19</v>
      </c>
      <c r="O2391" s="2" t="str">
        <f aca="false">IF(OR(F2391="",G2391=""),"",IF(G2391&lt;='RETRATO 2027'!$K$5,"CONCLUÍDA",IF(F2391&lt;='RETRATO 2027'!$K$5,"EM ANDAMENTO","A INICIAR")))</f>
        <v>A INICIAR</v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2858</v>
      </c>
    </row>
    <row r="2" customFormat="false" ht="15" hidden="false" customHeight="false" outlineLevel="0" collapsed="false">
      <c r="A2" s="2" t="s">
        <v>2859</v>
      </c>
      <c r="B2" s="128" t="n">
        <f aca="false">IFERROR(IF(ISNUMBER('CURVA PREVISION'!J2),DATE(YEAR('CURVA PREVISION'!J2),MONTH('CURVA PREVISION'!J2),1),DATE(VALUE(RIGHT('CURVA PREVISION'!J2,4)),VALUE(MID('CURVA PREVISION'!J2,4,2)),1)),"")</f>
        <v>45809</v>
      </c>
      <c r="C2" s="2" t="s">
        <v>2860</v>
      </c>
      <c r="D2" s="64" t="n">
        <f aca="false">COUNTIF('CURVA PREVISION'!$I$2:$KZ$2,"??/??/????")+COUNT('CURVA PREVISION'!$I$2:$KZ$2)</f>
        <v>47</v>
      </c>
    </row>
    <row r="3" customFormat="false" ht="15" hidden="false" customHeight="false" outlineLevel="0" collapsed="false">
      <c r="C3" s="123" t="s">
        <v>2861</v>
      </c>
      <c r="D3" s="129" t="n">
        <f aca="false">IF($B$2="","",(YEAR(D4)-YEAR($B$2))*12+MONTH(D4)-MONTH($B$2))</f>
        <v>-6</v>
      </c>
      <c r="E3" s="129" t="n">
        <f aca="false">IF($B$2="","",(YEAR(E4)-YEAR($B$2))*12+MONTH(E4)-MONTH($B$2))</f>
        <v>-5</v>
      </c>
      <c r="F3" s="129" t="n">
        <f aca="false">IF($B$2="","",(YEAR(F4)-YEAR($B$2))*12+MONTH(F4)-MONTH($B$2))</f>
        <v>-4</v>
      </c>
      <c r="G3" s="129" t="n">
        <f aca="false">IF($B$2="","",(YEAR(G4)-YEAR($B$2))*12+MONTH(G4)-MONTH($B$2))</f>
        <v>-3</v>
      </c>
      <c r="H3" s="129" t="n">
        <f aca="false">IF($B$2="","",(YEAR(H4)-YEAR($B$2))*12+MONTH(H4)-MONTH($B$2))</f>
        <v>-2</v>
      </c>
      <c r="I3" s="129" t="n">
        <f aca="false">IF($B$2="","",(YEAR(I4)-YEAR($B$2))*12+MONTH(I4)-MONTH($B$2))</f>
        <v>-1</v>
      </c>
      <c r="J3" s="129" t="n">
        <f aca="false">IF($B$2="","",(YEAR(J4)-YEAR($B$2))*12+MONTH(J4)-MONTH($B$2))</f>
        <v>0</v>
      </c>
      <c r="K3" s="129" t="n">
        <f aca="false">IF($B$2="","",(YEAR(K4)-YEAR($B$2))*12+MONTH(K4)-MONTH($B$2))</f>
        <v>1</v>
      </c>
      <c r="L3" s="129" t="n">
        <f aca="false">IF($B$2="","",(YEAR(L4)-YEAR($B$2))*12+MONTH(L4)-MONTH($B$2))</f>
        <v>2</v>
      </c>
      <c r="M3" s="129" t="n">
        <f aca="false">IF($B$2="","",(YEAR(M4)-YEAR($B$2))*12+MONTH(M4)-MONTH($B$2))</f>
        <v>3</v>
      </c>
      <c r="N3" s="129" t="n">
        <f aca="false">IF($B$2="","",(YEAR(N4)-YEAR($B$2))*12+MONTH(N4)-MONTH($B$2))</f>
        <v>4</v>
      </c>
      <c r="O3" s="129" t="n">
        <f aca="false">IF($B$2="","",(YEAR(O4)-YEAR($B$2))*12+MONTH(O4)-MONTH($B$2))</f>
        <v>5</v>
      </c>
      <c r="P3" s="129" t="n">
        <f aca="false">IF($B$2="","",(YEAR(P4)-YEAR($B$2))*12+MONTH(P4)-MONTH($B$2))</f>
        <v>6</v>
      </c>
      <c r="Q3" s="129" t="n">
        <f aca="false">IF($B$2="","",(YEAR(Q4)-YEAR($B$2))*12+MONTH(Q4)-MONTH($B$2))</f>
        <v>7</v>
      </c>
      <c r="R3" s="129" t="n">
        <f aca="false">IF($B$2="","",(YEAR(R4)-YEAR($B$2))*12+MONTH(R4)-MONTH($B$2))</f>
        <v>8</v>
      </c>
      <c r="S3" s="129" t="n">
        <f aca="false">IF($B$2="","",(YEAR(S4)-YEAR($B$2))*12+MONTH(S4)-MONTH($B$2))</f>
        <v>9</v>
      </c>
      <c r="T3" s="129" t="n">
        <f aca="false">IF($B$2="","",(YEAR(T4)-YEAR($B$2))*12+MONTH(T4)-MONTH($B$2))</f>
        <v>10</v>
      </c>
      <c r="U3" s="129" t="n">
        <f aca="false">IF($B$2="","",(YEAR(U4)-YEAR($B$2))*12+MONTH(U4)-MONTH($B$2))</f>
        <v>11</v>
      </c>
      <c r="V3" s="129" t="n">
        <f aca="false">IF($B$2="","",(YEAR(V4)-YEAR($B$2))*12+MONTH(V4)-MONTH($B$2))</f>
        <v>12</v>
      </c>
      <c r="W3" s="129" t="n">
        <f aca="false">IF($B$2="","",(YEAR(W4)-YEAR($B$2))*12+MONTH(W4)-MONTH($B$2))</f>
        <v>13</v>
      </c>
      <c r="X3" s="129" t="n">
        <f aca="false">IF($B$2="","",(YEAR(X4)-YEAR($B$2))*12+MONTH(X4)-MONTH($B$2))</f>
        <v>14</v>
      </c>
      <c r="Y3" s="129" t="n">
        <f aca="false">IF($B$2="","",(YEAR(Y4)-YEAR($B$2))*12+MONTH(Y4)-MONTH($B$2))</f>
        <v>15</v>
      </c>
      <c r="Z3" s="129" t="n">
        <f aca="false">IF($B$2="","",(YEAR(Z4)-YEAR($B$2))*12+MONTH(Z4)-MONTH($B$2))</f>
        <v>16</v>
      </c>
      <c r="AA3" s="129" t="n">
        <f aca="false">IF($B$2="","",(YEAR(AA4)-YEAR($B$2))*12+MONTH(AA4)-MONTH($B$2))</f>
        <v>17</v>
      </c>
      <c r="AB3" s="129" t="n">
        <f aca="false">IF($B$2="","",(YEAR(AB4)-YEAR($B$2))*12+MONTH(AB4)-MONTH($B$2))</f>
        <v>18</v>
      </c>
      <c r="AC3" s="129" t="n">
        <f aca="false">IF($B$2="","",(YEAR(AC4)-YEAR($B$2))*12+MONTH(AC4)-MONTH($B$2))</f>
        <v>19</v>
      </c>
      <c r="AD3" s="129" t="n">
        <f aca="false">IF($B$2="","",(YEAR(AD4)-YEAR($B$2))*12+MONTH(AD4)-MONTH($B$2))</f>
        <v>20</v>
      </c>
      <c r="AE3" s="129" t="n">
        <f aca="false">IF($B$2="","",(YEAR(AE4)-YEAR($B$2))*12+MONTH(AE4)-MONTH($B$2))</f>
        <v>21</v>
      </c>
      <c r="AF3" s="129" t="n">
        <f aca="false">IF($B$2="","",(YEAR(AF4)-YEAR($B$2))*12+MONTH(AF4)-MONTH($B$2))</f>
        <v>22</v>
      </c>
      <c r="AG3" s="129" t="n">
        <f aca="false">IF($B$2="","",(YEAR(AG4)-YEAR($B$2))*12+MONTH(AG4)-MONTH($B$2))</f>
        <v>23</v>
      </c>
      <c r="AH3" s="129" t="n">
        <f aca="false">IF($B$2="","",(YEAR(AH4)-YEAR($B$2))*12+MONTH(AH4)-MONTH($B$2))</f>
        <v>24</v>
      </c>
      <c r="AI3" s="129" t="n">
        <f aca="false">IF($B$2="","",(YEAR(AI4)-YEAR($B$2))*12+MONTH(AI4)-MONTH($B$2))</f>
        <v>25</v>
      </c>
      <c r="AJ3" s="129" t="n">
        <f aca="false">IF($B$2="","",(YEAR(AJ4)-YEAR($B$2))*12+MONTH(AJ4)-MONTH($B$2))</f>
        <v>26</v>
      </c>
      <c r="AK3" s="129" t="n">
        <f aca="false">IF($B$2="","",(YEAR(AK4)-YEAR($B$2))*12+MONTH(AK4)-MONTH($B$2))</f>
        <v>27</v>
      </c>
      <c r="AL3" s="129" t="n">
        <f aca="false">IF($B$2="","",(YEAR(AL4)-YEAR($B$2))*12+MONTH(AL4)-MONTH($B$2))</f>
        <v>28</v>
      </c>
      <c r="AM3" s="129" t="n">
        <f aca="false">IF($B$2="","",(YEAR(AM4)-YEAR($B$2))*12+MONTH(AM4)-MONTH($B$2))</f>
        <v>29</v>
      </c>
      <c r="AN3" s="129" t="n">
        <f aca="false">IF($B$2="","",(YEAR(AN4)-YEAR($B$2))*12+MONTH(AN4)-MONTH($B$2))</f>
        <v>30</v>
      </c>
      <c r="AO3" s="129" t="n">
        <f aca="false">IF($B$2="","",(YEAR(AO4)-YEAR($B$2))*12+MONTH(AO4)-MONTH($B$2))</f>
        <v>31</v>
      </c>
      <c r="AP3" s="129" t="n">
        <f aca="false">IF($B$2="","",(YEAR(AP4)-YEAR($B$2))*12+MONTH(AP4)-MONTH($B$2))</f>
        <v>32</v>
      </c>
      <c r="AQ3" s="129" t="n">
        <f aca="false">IF($B$2="","",(YEAR(AQ4)-YEAR($B$2))*12+MONTH(AQ4)-MONTH($B$2))</f>
        <v>33</v>
      </c>
      <c r="AR3" s="129" t="n">
        <f aca="false">IF($B$2="","",(YEAR(AR4)-YEAR($B$2))*12+MONTH(AR4)-MONTH($B$2))</f>
        <v>34</v>
      </c>
      <c r="AS3" s="129" t="n">
        <f aca="false">IF($B$2="","",(YEAR(AS4)-YEAR($B$2))*12+MONTH(AS4)-MONTH($B$2))</f>
        <v>35</v>
      </c>
      <c r="AT3" s="129" t="n">
        <f aca="false">IF($B$2="","",(YEAR(AT4)-YEAR($B$2))*12+MONTH(AT4)-MONTH($B$2))</f>
        <v>36</v>
      </c>
      <c r="AU3" s="129" t="n">
        <f aca="false">IF($B$2="","",(YEAR(AU4)-YEAR($B$2))*12+MONTH(AU4)-MONTH($B$2))</f>
        <v>37</v>
      </c>
      <c r="AV3" s="129" t="n">
        <f aca="false">IF($B$2="","",(YEAR(AV4)-YEAR($B$2))*12+MONTH(AV4)-MONTH($B$2))</f>
        <v>38</v>
      </c>
      <c r="AW3" s="129" t="n">
        <f aca="false">IF($B$2="","",(YEAR(AW4)-YEAR($B$2))*12+MONTH(AW4)-MONTH($B$2))</f>
        <v>39</v>
      </c>
      <c r="AX3" s="129" t="n">
        <f aca="false">IF($B$2="","",(YEAR(AX4)-YEAR($B$2))*12+MONTH(AX4)-MONTH($B$2))</f>
        <v>40</v>
      </c>
      <c r="AY3" s="129" t="n">
        <f aca="false">IF($B$2="","",(YEAR(AY4)-YEAR($B$2))*12+MONTH(AY4)-MONTH($B$2))</f>
        <v>41</v>
      </c>
      <c r="AZ3" s="129" t="n">
        <f aca="false">IF($B$2="","",(YEAR(AZ4)-YEAR($B$2))*12+MONTH(AZ4)-MONTH($B$2))</f>
        <v>42</v>
      </c>
      <c r="BA3" s="129" t="n">
        <f aca="false">IF($B$2="","",(YEAR(BA4)-YEAR($B$2))*12+MONTH(BA4)-MONTH($B$2))</f>
        <v>43</v>
      </c>
      <c r="BB3" s="129" t="n">
        <f aca="false">IF($B$2="","",(YEAR(BB4)-YEAR($B$2))*12+MONTH(BB4)-MONTH($B$2))</f>
        <v>44</v>
      </c>
      <c r="BC3" s="129" t="n">
        <f aca="false">IF($B$2="","",(YEAR(BC4)-YEAR($B$2))*12+MONTH(BC4)-MONTH($B$2))</f>
        <v>45</v>
      </c>
      <c r="BD3" s="129" t="n">
        <f aca="false">IF($B$2="","",(YEAR(BD4)-YEAR($B$2))*12+MONTH(BD4)-MONTH($B$2))</f>
        <v>46</v>
      </c>
      <c r="BE3" s="129" t="n">
        <f aca="false">IF($B$2="","",(YEAR(BE4)-YEAR($B$2))*12+MONTH(BE4)-MONTH($B$2))</f>
        <v>47</v>
      </c>
      <c r="BF3" s="129" t="n">
        <f aca="false">IF($B$2="","",(YEAR(BF4)-YEAR($B$2))*12+MONTH(BF4)-MONTH($B$2))</f>
        <v>48</v>
      </c>
      <c r="BG3" s="129" t="n">
        <f aca="false">IF($B$2="","",(YEAR(BG4)-YEAR($B$2))*12+MONTH(BG4)-MONTH($B$2))</f>
        <v>49</v>
      </c>
      <c r="BH3" s="129" t="n">
        <f aca="false">IF($B$2="","",(YEAR(BH4)-YEAR($B$2))*12+MONTH(BH4)-MONTH($B$2))</f>
        <v>50</v>
      </c>
      <c r="BI3" s="129" t="n">
        <f aca="false">IF($B$2="","",(YEAR(BI4)-YEAR($B$2))*12+MONTH(BI4)-MONTH($B$2))</f>
        <v>51</v>
      </c>
      <c r="BJ3" s="129" t="n">
        <f aca="false">IF($B$2="","",(YEAR(BJ4)-YEAR($B$2))*12+MONTH(BJ4)-MONTH($B$2))</f>
        <v>52</v>
      </c>
      <c r="BK3" s="129" t="n">
        <f aca="false">IF($B$2="","",(YEAR(BK4)-YEAR($B$2))*12+MONTH(BK4)-MONTH($B$2))</f>
        <v>53</v>
      </c>
      <c r="BL3" s="129" t="n">
        <f aca="false">IF($B$2="","",(YEAR(BL4)-YEAR($B$2))*12+MONTH(BL4)-MONTH($B$2))</f>
        <v>54</v>
      </c>
      <c r="BM3" s="129" t="n">
        <f aca="false">IF($B$2="","",(YEAR(BM4)-YEAR($B$2))*12+MONTH(BM4)-MONTH($B$2))</f>
        <v>55</v>
      </c>
      <c r="BN3" s="129" t="n">
        <f aca="false">IF($B$2="","",(YEAR(BN4)-YEAR($B$2))*12+MONTH(BN4)-MONTH($B$2))</f>
        <v>56</v>
      </c>
      <c r="BO3" s="129" t="n">
        <f aca="false">IF($B$2="","",(YEAR(BO4)-YEAR($B$2))*12+MONTH(BO4)-MONTH($B$2))</f>
        <v>57</v>
      </c>
      <c r="BP3" s="129" t="n">
        <f aca="false">IF($B$2="","",(YEAR(BP4)-YEAR($B$2))*12+MONTH(BP4)-MONTH($B$2))</f>
        <v>58</v>
      </c>
      <c r="BQ3" s="129" t="n">
        <f aca="false">IF($B$2="","",(YEAR(BQ4)-YEAR($B$2))*12+MONTH(BQ4)-MONTH($B$2))</f>
        <v>59</v>
      </c>
      <c r="BR3" s="129" t="n">
        <f aca="false">IF($B$2="","",(YEAR(BR4)-YEAR($B$2))*12+MONTH(BR4)-MONTH($B$2))</f>
        <v>60</v>
      </c>
      <c r="BS3" s="129" t="n">
        <f aca="false">IF($B$2="","",(YEAR(BS4)-YEAR($B$2))*12+MONTH(BS4)-MONTH($B$2))</f>
        <v>61</v>
      </c>
      <c r="BT3" s="129" t="n">
        <f aca="false">IF($B$2="","",(YEAR(BT4)-YEAR($B$2))*12+MONTH(BT4)-MONTH($B$2))</f>
        <v>62</v>
      </c>
      <c r="BU3" s="129" t="n">
        <f aca="false">IF($B$2="","",(YEAR(BU4)-YEAR($B$2))*12+MONTH(BU4)-MONTH($B$2))</f>
        <v>63</v>
      </c>
      <c r="BV3" s="129" t="n">
        <f aca="false">IF($B$2="","",(YEAR(BV4)-YEAR($B$2))*12+MONTH(BV4)-MONTH($B$2))</f>
        <v>64</v>
      </c>
      <c r="BW3" s="129" t="n">
        <f aca="false">IF($B$2="","",(YEAR(BW4)-YEAR($B$2))*12+MONTH(BW4)-MONTH($B$2))</f>
        <v>65</v>
      </c>
    </row>
    <row r="4" customFormat="false" ht="31.5" hidden="false" customHeight="true" outlineLevel="0" collapsed="false">
      <c r="A4" s="54" t="s">
        <v>115</v>
      </c>
      <c r="B4" s="54" t="s">
        <v>2862</v>
      </c>
      <c r="C4" s="54" t="s">
        <v>2863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4</v>
      </c>
      <c r="D5" s="131" t="n">
        <f aca="false">IF(OR($C5="",$B$2="",$D$2=0),0,IF(D$3&lt;0,0,N(INDEX('CURVA PREVISION'!$A$1:$KZ$3000,$C5,10+3*MIN(D$3,$D$2-1)))))</f>
        <v>0</v>
      </c>
      <c r="E5" s="131" t="n">
        <f aca="false">IF(OR($C5="",$B$2="",$D$2=0),0,IF(E$3&lt;0,0,N(INDEX('CURVA PREVISION'!$A$1:$KZ$3000,$C5,10+3*MIN(E$3,$D$2-1)))))</f>
        <v>0</v>
      </c>
      <c r="F5" s="131" t="n">
        <f aca="false">IF(OR($C5="",$B$2="",$D$2=0),0,IF(F$3&lt;0,0,N(INDEX('CURVA PREVISION'!$A$1:$KZ$3000,$C5,10+3*MIN(F$3,$D$2-1)))))</f>
        <v>0</v>
      </c>
      <c r="G5" s="131" t="n">
        <f aca="false">IF(OR($C5="",$B$2="",$D$2=0),0,IF(G$3&lt;0,0,N(INDEX('CURVA PREVISION'!$A$1:$KZ$3000,$C5,10+3*MIN(G$3,$D$2-1)))))</f>
        <v>0</v>
      </c>
      <c r="H5" s="131" t="n">
        <f aca="false">IF(OR($C5="",$B$2="",$D$2=0),0,IF(H$3&lt;0,0,N(INDEX('CURVA PREVISION'!$A$1:$KZ$3000,$C5,10+3*MIN(H$3,$D$2-1)))))</f>
        <v>0</v>
      </c>
      <c r="I5" s="131" t="n">
        <f aca="false">IF(OR($C5="",$B$2="",$D$2=0),0,IF(I$3&lt;0,0,N(INDEX('CURVA PREVISION'!$A$1:$KZ$3000,$C5,10+3*MIN(I$3,$D$2-1)))))</f>
        <v>0</v>
      </c>
      <c r="J5" s="131" t="n">
        <f aca="false">IF(OR($C5="",$B$2="",$D$2=0),0,IF(J$3&lt;0,0,N(INDEX('CURVA PREVISION'!$A$1:$KZ$3000,$C5,10+3*MIN(J$3,$D$2-1)))))</f>
        <v>0</v>
      </c>
      <c r="K5" s="131" t="n">
        <f aca="false">IF(OR($C5="",$B$2="",$D$2=0),0,IF(K$3&lt;0,0,N(INDEX('CURVA PREVISION'!$A$1:$KZ$3000,$C5,10+3*MIN(K$3,$D$2-1)))))</f>
        <v>0</v>
      </c>
      <c r="L5" s="131" t="n">
        <f aca="false">IF(OR($C5="",$B$2="",$D$2=0),0,IF(L$3&lt;0,0,N(INDEX('CURVA PREVISION'!$A$1:$KZ$3000,$C5,10+3*MIN(L$3,$D$2-1)))))</f>
        <v>0</v>
      </c>
      <c r="M5" s="131" t="n">
        <f aca="false">IF(OR($C5="",$B$2="",$D$2=0),0,IF(M$3&lt;0,0,N(INDEX('CURVA PREVISION'!$A$1:$KZ$3000,$C5,10+3*MIN(M$3,$D$2-1)))))</f>
        <v>0</v>
      </c>
      <c r="N5" s="131" t="n">
        <f aca="false">IF(OR($C5="",$B$2="",$D$2=0),0,IF(N$3&lt;0,0,N(INDEX('CURVA PREVISION'!$A$1:$KZ$3000,$C5,10+3*MIN(N$3,$D$2-1)))))</f>
        <v>0</v>
      </c>
      <c r="O5" s="131" t="n">
        <f aca="false">IF(OR($C5="",$B$2="",$D$2=0),0,IF(O$3&lt;0,0,N(INDEX('CURVA PREVISION'!$A$1:$KZ$3000,$C5,10+3*MIN(O$3,$D$2-1)))))</f>
        <v>0</v>
      </c>
      <c r="P5" s="131" t="n">
        <f aca="false">IF(OR($C5="",$B$2="",$D$2=0),0,IF(P$3&lt;0,0,N(INDEX('CURVA PREVISION'!$A$1:$KZ$3000,$C5,10+3*MIN(P$3,$D$2-1)))))</f>
        <v>0</v>
      </c>
      <c r="Q5" s="131" t="n">
        <f aca="false">IF(OR($C5="",$B$2="",$D$2=0),0,IF(Q$3&lt;0,0,N(INDEX('CURVA PREVISION'!$A$1:$KZ$3000,$C5,10+3*MIN(Q$3,$D$2-1)))))</f>
        <v>0</v>
      </c>
      <c r="R5" s="131" t="n">
        <f aca="false">IF(OR($C5="",$B$2="",$D$2=0),0,IF(R$3&lt;0,0,N(INDEX('CURVA PREVISION'!$A$1:$KZ$3000,$C5,10+3*MIN(R$3,$D$2-1)))))</f>
        <v>0</v>
      </c>
      <c r="S5" s="131" t="n">
        <f aca="false">IF(OR($C5="",$B$2="",$D$2=0),0,IF(S$3&lt;0,0,N(INDEX('CURVA PREVISION'!$A$1:$KZ$3000,$C5,10+3*MIN(S$3,$D$2-1)))))</f>
        <v>0</v>
      </c>
      <c r="T5" s="131" t="n">
        <f aca="false">IF(OR($C5="",$B$2="",$D$2=0),0,IF(T$3&lt;0,0,N(INDEX('CURVA PREVISION'!$A$1:$KZ$3000,$C5,10+3*MIN(T$3,$D$2-1)))))</f>
        <v>0</v>
      </c>
      <c r="U5" s="131" t="n">
        <f aca="false">IF(OR($C5="",$B$2="",$D$2=0),0,IF(U$3&lt;0,0,N(INDEX('CURVA PREVISION'!$A$1:$KZ$3000,$C5,10+3*MIN(U$3,$D$2-1)))))</f>
        <v>0</v>
      </c>
      <c r="V5" s="131" t="n">
        <f aca="false">IF(OR($C5="",$B$2="",$D$2=0),0,IF(V$3&lt;0,0,N(INDEX('CURVA PREVISION'!$A$1:$KZ$3000,$C5,10+3*MIN(V$3,$D$2-1)))))</f>
        <v>0</v>
      </c>
      <c r="W5" s="131" t="n">
        <f aca="false">IF(OR($C5="",$B$2="",$D$2=0),0,IF(W$3&lt;0,0,N(INDEX('CURVA PREVISION'!$A$1:$KZ$3000,$C5,10+3*MIN(W$3,$D$2-1)))))</f>
        <v>0</v>
      </c>
      <c r="X5" s="131" t="n">
        <f aca="false">IF(OR($C5="",$B$2="",$D$2=0),0,IF(X$3&lt;0,0,N(INDEX('CURVA PREVISION'!$A$1:$KZ$3000,$C5,10+3*MIN(X$3,$D$2-1)))))</f>
        <v>0</v>
      </c>
      <c r="Y5" s="131" t="n">
        <f aca="false">IF(OR($C5="",$B$2="",$D$2=0),0,IF(Y$3&lt;0,0,N(INDEX('CURVA PREVISION'!$A$1:$KZ$3000,$C5,10+3*MIN(Y$3,$D$2-1)))))</f>
        <v>0</v>
      </c>
      <c r="Z5" s="131" t="n">
        <f aca="false">IF(OR($C5="",$B$2="",$D$2=0),0,IF(Z$3&lt;0,0,N(INDEX('CURVA PREVISION'!$A$1:$KZ$3000,$C5,10+3*MIN(Z$3,$D$2-1)))))</f>
        <v>0</v>
      </c>
      <c r="AA5" s="131" t="n">
        <f aca="false">IF(OR($C5="",$B$2="",$D$2=0),0,IF(AA$3&lt;0,0,N(INDEX('CURVA PREVISION'!$A$1:$KZ$3000,$C5,10+3*MIN(AA$3,$D$2-1)))))</f>
        <v>0</v>
      </c>
      <c r="AB5" s="131" t="n">
        <f aca="false">IF(OR($C5="",$B$2="",$D$2=0),0,IF(AB$3&lt;0,0,N(INDEX('CURVA PREVISION'!$A$1:$KZ$3000,$C5,10+3*MIN(AB$3,$D$2-1)))))</f>
        <v>0</v>
      </c>
      <c r="AC5" s="131" t="n">
        <f aca="false">IF(OR($C5="",$B$2="",$D$2=0),0,IF(AC$3&lt;0,0,N(INDEX('CURVA PREVISION'!$A$1:$KZ$3000,$C5,10+3*MIN(AC$3,$D$2-1)))))</f>
        <v>0</v>
      </c>
      <c r="AD5" s="131" t="n">
        <f aca="false">IF(OR($C5="",$B$2="",$D$2=0),0,IF(AD$3&lt;0,0,N(INDEX('CURVA PREVISION'!$A$1:$KZ$3000,$C5,10+3*MIN(AD$3,$D$2-1)))))</f>
        <v>0</v>
      </c>
      <c r="AE5" s="131" t="n">
        <f aca="false">IF(OR($C5="",$B$2="",$D$2=0),0,IF(AE$3&lt;0,0,N(INDEX('CURVA PREVISION'!$A$1:$KZ$3000,$C5,10+3*MIN(AE$3,$D$2-1)))))</f>
        <v>0</v>
      </c>
      <c r="AF5" s="131" t="n">
        <f aca="false">IF(OR($C5="",$B$2="",$D$2=0),0,IF(AF$3&lt;0,0,N(INDEX('CURVA PREVISION'!$A$1:$KZ$3000,$C5,10+3*MIN(AF$3,$D$2-1)))))</f>
        <v>0</v>
      </c>
      <c r="AG5" s="131" t="n">
        <f aca="false">IF(OR($C5="",$B$2="",$D$2=0),0,IF(AG$3&lt;0,0,N(INDEX('CURVA PREVISION'!$A$1:$KZ$3000,$C5,10+3*MIN(AG$3,$D$2-1)))))</f>
        <v>0</v>
      </c>
      <c r="AH5" s="131" t="n">
        <f aca="false">IF(OR($C5="",$B$2="",$D$2=0),0,IF(AH$3&lt;0,0,N(INDEX('CURVA PREVISION'!$A$1:$KZ$3000,$C5,10+3*MIN(AH$3,$D$2-1)))))</f>
        <v>0</v>
      </c>
      <c r="AI5" s="131" t="n">
        <f aca="false">IF(OR($C5="",$B$2="",$D$2=0),0,IF(AI$3&lt;0,0,N(INDEX('CURVA PREVISION'!$A$1:$KZ$3000,$C5,10+3*MIN(AI$3,$D$2-1)))))</f>
        <v>0</v>
      </c>
      <c r="AJ5" s="131" t="n">
        <f aca="false">IF(OR($C5="",$B$2="",$D$2=0),0,IF(AJ$3&lt;0,0,N(INDEX('CURVA PREVISION'!$A$1:$KZ$3000,$C5,10+3*MIN(AJ$3,$D$2-1)))))</f>
        <v>0</v>
      </c>
      <c r="AK5" s="131" t="n">
        <f aca="false">IF(OR($C5="",$B$2="",$D$2=0),0,IF(AK$3&lt;0,0,N(INDEX('CURVA PREVISION'!$A$1:$KZ$3000,$C5,10+3*MIN(AK$3,$D$2-1)))))</f>
        <v>0</v>
      </c>
      <c r="AL5" s="131" t="n">
        <f aca="false">IF(OR($C5="",$B$2="",$D$2=0),0,IF(AL$3&lt;0,0,N(INDEX('CURVA PREVISION'!$A$1:$KZ$3000,$C5,10+3*MIN(AL$3,$D$2-1)))))</f>
        <v>0</v>
      </c>
      <c r="AM5" s="131" t="n">
        <f aca="false">IF(OR($C5="",$B$2="",$D$2=0),0,IF(AM$3&lt;0,0,N(INDEX('CURVA PREVISION'!$A$1:$KZ$3000,$C5,10+3*MIN(AM$3,$D$2-1)))))</f>
        <v>0</v>
      </c>
      <c r="AN5" s="131" t="n">
        <f aca="false">IF(OR($C5="",$B$2="",$D$2=0),0,IF(AN$3&lt;0,0,N(INDEX('CURVA PREVISION'!$A$1:$KZ$3000,$C5,10+3*MIN(AN$3,$D$2-1)))))</f>
        <v>0</v>
      </c>
      <c r="AO5" s="131" t="n">
        <f aca="false">IF(OR($C5="",$B$2="",$D$2=0),0,IF(AO$3&lt;0,0,N(INDEX('CURVA PREVISION'!$A$1:$KZ$3000,$C5,10+3*MIN(AO$3,$D$2-1)))))</f>
        <v>0</v>
      </c>
      <c r="AP5" s="131" t="n">
        <f aca="false">IF(OR($C5="",$B$2="",$D$2=0),0,IF(AP$3&lt;0,0,N(INDEX('CURVA PREVISION'!$A$1:$KZ$3000,$C5,10+3*MIN(AP$3,$D$2-1)))))</f>
        <v>0</v>
      </c>
      <c r="AQ5" s="131" t="n">
        <f aca="false">IF(OR($C5="",$B$2="",$D$2=0),0,IF(AQ$3&lt;0,0,N(INDEX('CURVA PREVISION'!$A$1:$KZ$3000,$C5,10+3*MIN(AQ$3,$D$2-1)))))</f>
        <v>0</v>
      </c>
      <c r="AR5" s="131" t="n">
        <f aca="false">IF(OR($C5="",$B$2="",$D$2=0),0,IF(AR$3&lt;0,0,N(INDEX('CURVA PREVISION'!$A$1:$KZ$3000,$C5,10+3*MIN(AR$3,$D$2-1)))))</f>
        <v>0</v>
      </c>
      <c r="AS5" s="131" t="n">
        <f aca="false">IF(OR($C5="",$B$2="",$D$2=0),0,IF(AS$3&lt;0,0,N(INDEX('CURVA PREVISION'!$A$1:$KZ$3000,$C5,10+3*MIN(AS$3,$D$2-1)))))</f>
        <v>0</v>
      </c>
      <c r="AT5" s="131" t="n">
        <f aca="false">IF(OR($C5="",$B$2="",$D$2=0),0,IF(AT$3&lt;0,0,N(INDEX('CURVA PREVISION'!$A$1:$KZ$3000,$C5,10+3*MIN(AT$3,$D$2-1)))))</f>
        <v>0</v>
      </c>
      <c r="AU5" s="131" t="n">
        <f aca="false">IF(OR($C5="",$B$2="",$D$2=0),0,IF(AU$3&lt;0,0,N(INDEX('CURVA PREVISION'!$A$1:$KZ$3000,$C5,10+3*MIN(AU$3,$D$2-1)))))</f>
        <v>0</v>
      </c>
      <c r="AV5" s="131" t="n">
        <f aca="false">IF(OR($C5="",$B$2="",$D$2=0),0,IF(AV$3&lt;0,0,N(INDEX('CURVA PREVISION'!$A$1:$KZ$3000,$C5,10+3*MIN(AV$3,$D$2-1)))))</f>
        <v>0</v>
      </c>
      <c r="AW5" s="131" t="n">
        <f aca="false">IF(OR($C5="",$B$2="",$D$2=0),0,IF(AW$3&lt;0,0,N(INDEX('CURVA PREVISION'!$A$1:$KZ$3000,$C5,10+3*MIN(AW$3,$D$2-1)))))</f>
        <v>0</v>
      </c>
      <c r="AX5" s="131" t="n">
        <f aca="false">IF(OR($C5="",$B$2="",$D$2=0),0,IF(AX$3&lt;0,0,N(INDEX('CURVA PREVISION'!$A$1:$KZ$3000,$C5,10+3*MIN(AX$3,$D$2-1)))))</f>
        <v>0</v>
      </c>
      <c r="AY5" s="131" t="n">
        <f aca="false">IF(OR($C5="",$B$2="",$D$2=0),0,IF(AY$3&lt;0,0,N(INDEX('CURVA PREVISION'!$A$1:$KZ$3000,$C5,10+3*MIN(AY$3,$D$2-1)))))</f>
        <v>0</v>
      </c>
      <c r="AZ5" s="131" t="n">
        <f aca="false">IF(OR($C5="",$B$2="",$D$2=0),0,IF(AZ$3&lt;0,0,N(INDEX('CURVA PREVISION'!$A$1:$KZ$3000,$C5,10+3*MIN(AZ$3,$D$2-1)))))</f>
        <v>0</v>
      </c>
      <c r="BA5" s="131" t="n">
        <f aca="false">IF(OR($C5="",$B$2="",$D$2=0),0,IF(BA$3&lt;0,0,N(INDEX('CURVA PREVISION'!$A$1:$KZ$3000,$C5,10+3*MIN(BA$3,$D$2-1)))))</f>
        <v>0</v>
      </c>
      <c r="BB5" s="131" t="n">
        <f aca="false">IF(OR($C5="",$B$2="",$D$2=0),0,IF(BB$3&lt;0,0,N(INDEX('CURVA PREVISION'!$A$1:$KZ$3000,$C5,10+3*MIN(BB$3,$D$2-1)))))</f>
        <v>0</v>
      </c>
      <c r="BC5" s="131" t="n">
        <f aca="false">IF(OR($C5="",$B$2="",$D$2=0),0,IF(BC$3&lt;0,0,N(INDEX('CURVA PREVISION'!$A$1:$KZ$3000,$C5,10+3*MIN(BC$3,$D$2-1)))))</f>
        <v>0</v>
      </c>
      <c r="BD5" s="131" t="n">
        <f aca="false">IF(OR($C5="",$B$2="",$D$2=0),0,IF(BD$3&lt;0,0,N(INDEX('CURVA PREVISION'!$A$1:$KZ$3000,$C5,10+3*MIN(BD$3,$D$2-1)))))</f>
        <v>0</v>
      </c>
      <c r="BE5" s="131" t="n">
        <f aca="false">IF(OR($C5="",$B$2="",$D$2=0),0,IF(BE$3&lt;0,0,N(INDEX('CURVA PREVISION'!$A$1:$KZ$3000,$C5,10+3*MIN(BE$3,$D$2-1)))))</f>
        <v>0</v>
      </c>
      <c r="BF5" s="131" t="n">
        <f aca="false">IF(OR($C5="",$B$2="",$D$2=0),0,IF(BF$3&lt;0,0,N(INDEX('CURVA PREVISION'!$A$1:$KZ$3000,$C5,10+3*MIN(BF$3,$D$2-1)))))</f>
        <v>0</v>
      </c>
      <c r="BG5" s="131" t="n">
        <f aca="false">IF(OR($C5="",$B$2="",$D$2=0),0,IF(BG$3&lt;0,0,N(INDEX('CURVA PREVISION'!$A$1:$KZ$3000,$C5,10+3*MIN(BG$3,$D$2-1)))))</f>
        <v>0</v>
      </c>
      <c r="BH5" s="131" t="n">
        <f aca="false">IF(OR($C5="",$B$2="",$D$2=0),0,IF(BH$3&lt;0,0,N(INDEX('CURVA PREVISION'!$A$1:$KZ$3000,$C5,10+3*MIN(BH$3,$D$2-1)))))</f>
        <v>0</v>
      </c>
      <c r="BI5" s="131" t="n">
        <f aca="false">IF(OR($C5="",$B$2="",$D$2=0),0,IF(BI$3&lt;0,0,N(INDEX('CURVA PREVISION'!$A$1:$KZ$3000,$C5,10+3*MIN(BI$3,$D$2-1)))))</f>
        <v>0</v>
      </c>
      <c r="BJ5" s="131" t="n">
        <f aca="false">IF(OR($C5="",$B$2="",$D$2=0),0,IF(BJ$3&lt;0,0,N(INDEX('CURVA PREVISION'!$A$1:$KZ$3000,$C5,10+3*MIN(BJ$3,$D$2-1)))))</f>
        <v>0</v>
      </c>
      <c r="BK5" s="131" t="n">
        <f aca="false">IF(OR($C5="",$B$2="",$D$2=0),0,IF(BK$3&lt;0,0,N(INDEX('CURVA PREVISION'!$A$1:$KZ$3000,$C5,10+3*MIN(BK$3,$D$2-1)))))</f>
        <v>0</v>
      </c>
      <c r="BL5" s="131" t="n">
        <f aca="false">IF(OR($C5="",$B$2="",$D$2=0),0,IF(BL$3&lt;0,0,N(INDEX('CURVA PREVISION'!$A$1:$KZ$3000,$C5,10+3*MIN(BL$3,$D$2-1)))))</f>
        <v>0</v>
      </c>
      <c r="BM5" s="131" t="n">
        <f aca="false">IF(OR($C5="",$B$2="",$D$2=0),0,IF(BM$3&lt;0,0,N(INDEX('CURVA PREVISION'!$A$1:$KZ$3000,$C5,10+3*MIN(BM$3,$D$2-1)))))</f>
        <v>0</v>
      </c>
      <c r="BN5" s="131" t="n">
        <f aca="false">IF(OR($C5="",$B$2="",$D$2=0),0,IF(BN$3&lt;0,0,N(INDEX('CURVA PREVISION'!$A$1:$KZ$3000,$C5,10+3*MIN(BN$3,$D$2-1)))))</f>
        <v>0</v>
      </c>
      <c r="BO5" s="131" t="n">
        <f aca="false">IF(OR($C5="",$B$2="",$D$2=0),0,IF(BO$3&lt;0,0,N(INDEX('CURVA PREVISION'!$A$1:$KZ$3000,$C5,10+3*MIN(BO$3,$D$2-1)))))</f>
        <v>0</v>
      </c>
      <c r="BP5" s="131" t="n">
        <f aca="false">IF(OR($C5="",$B$2="",$D$2=0),0,IF(BP$3&lt;0,0,N(INDEX('CURVA PREVISION'!$A$1:$KZ$3000,$C5,10+3*MIN(BP$3,$D$2-1)))))</f>
        <v>0</v>
      </c>
      <c r="BQ5" s="131" t="n">
        <f aca="false">IF(OR($C5="",$B$2="",$D$2=0),0,IF(BQ$3&lt;0,0,N(INDEX('CURVA PREVISION'!$A$1:$KZ$3000,$C5,10+3*MIN(BQ$3,$D$2-1)))))</f>
        <v>0</v>
      </c>
      <c r="BR5" s="131" t="n">
        <f aca="false">IF(OR($C5="",$B$2="",$D$2=0),0,IF(BR$3&lt;0,0,N(INDEX('CURVA PREVISION'!$A$1:$KZ$3000,$C5,10+3*MIN(BR$3,$D$2-1)))))</f>
        <v>0</v>
      </c>
      <c r="BS5" s="131" t="n">
        <f aca="false">IF(OR($C5="",$B$2="",$D$2=0),0,IF(BS$3&lt;0,0,N(INDEX('CURVA PREVISION'!$A$1:$KZ$3000,$C5,10+3*MIN(BS$3,$D$2-1)))))</f>
        <v>0</v>
      </c>
      <c r="BT5" s="131" t="n">
        <f aca="false">IF(OR($C5="",$B$2="",$D$2=0),0,IF(BT$3&lt;0,0,N(INDEX('CURVA PREVISION'!$A$1:$KZ$3000,$C5,10+3*MIN(BT$3,$D$2-1)))))</f>
        <v>0</v>
      </c>
      <c r="BU5" s="131" t="n">
        <f aca="false">IF(OR($C5="",$B$2="",$D$2=0),0,IF(BU$3&lt;0,0,N(INDEX('CURVA PREVISION'!$A$1:$KZ$3000,$C5,10+3*MIN(BU$3,$D$2-1)))))</f>
        <v>0</v>
      </c>
      <c r="BV5" s="131" t="n">
        <f aca="false">IF(OR($C5="",$B$2="",$D$2=0),0,IF(BV$3&lt;0,0,N(INDEX('CURVA PREVISION'!$A$1:$KZ$3000,$C5,10+3*MIN(BV$3,$D$2-1)))))</f>
        <v>0</v>
      </c>
      <c r="BW5" s="131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6</v>
      </c>
      <c r="D6" s="131" t="n">
        <f aca="false">IF(OR($C6="",$B$2="",$D$2=0),0,IF(D$3&lt;0,0,N(INDEX('CURVA PREVISION'!$A$1:$KZ$3000,$C6,10+3*MIN(D$3,$D$2-1)))))</f>
        <v>0</v>
      </c>
      <c r="E6" s="131" t="n">
        <f aca="false">IF(OR($C6="",$B$2="",$D$2=0),0,IF(E$3&lt;0,0,N(INDEX('CURVA PREVISION'!$A$1:$KZ$3000,$C6,10+3*MIN(E$3,$D$2-1)))))</f>
        <v>0</v>
      </c>
      <c r="F6" s="131" t="n">
        <f aca="false">IF(OR($C6="",$B$2="",$D$2=0),0,IF(F$3&lt;0,0,N(INDEX('CURVA PREVISION'!$A$1:$KZ$3000,$C6,10+3*MIN(F$3,$D$2-1)))))</f>
        <v>0</v>
      </c>
      <c r="G6" s="131" t="n">
        <f aca="false">IF(OR($C6="",$B$2="",$D$2=0),0,IF(G$3&lt;0,0,N(INDEX('CURVA PREVISION'!$A$1:$KZ$3000,$C6,10+3*MIN(G$3,$D$2-1)))))</f>
        <v>0</v>
      </c>
      <c r="H6" s="131" t="n">
        <f aca="false">IF(OR($C6="",$B$2="",$D$2=0),0,IF(H$3&lt;0,0,N(INDEX('CURVA PREVISION'!$A$1:$KZ$3000,$C6,10+3*MIN(H$3,$D$2-1)))))</f>
        <v>0</v>
      </c>
      <c r="I6" s="131" t="n">
        <f aca="false">IF(OR($C6="",$B$2="",$D$2=0),0,IF(I$3&lt;0,0,N(INDEX('CURVA PREVISION'!$A$1:$KZ$3000,$C6,10+3*MIN(I$3,$D$2-1)))))</f>
        <v>0</v>
      </c>
      <c r="J6" s="131" t="n">
        <f aca="false">IF(OR($C6="",$B$2="",$D$2=0),0,IF(J$3&lt;0,0,N(INDEX('CURVA PREVISION'!$A$1:$KZ$3000,$C6,10+3*MIN(J$3,$D$2-1)))))</f>
        <v>0</v>
      </c>
      <c r="K6" s="131" t="n">
        <f aca="false">IF(OR($C6="",$B$2="",$D$2=0),0,IF(K$3&lt;0,0,N(INDEX('CURVA PREVISION'!$A$1:$KZ$3000,$C6,10+3*MIN(K$3,$D$2-1)))))</f>
        <v>0</v>
      </c>
      <c r="L6" s="131" t="n">
        <f aca="false">IF(OR($C6="",$B$2="",$D$2=0),0,IF(L$3&lt;0,0,N(INDEX('CURVA PREVISION'!$A$1:$KZ$3000,$C6,10+3*MIN(L$3,$D$2-1)))))</f>
        <v>0</v>
      </c>
      <c r="M6" s="131" t="n">
        <f aca="false">IF(OR($C6="",$B$2="",$D$2=0),0,IF(M$3&lt;0,0,N(INDEX('CURVA PREVISION'!$A$1:$KZ$3000,$C6,10+3*MIN(M$3,$D$2-1)))))</f>
        <v>0</v>
      </c>
      <c r="N6" s="131" t="n">
        <f aca="false">IF(OR($C6="",$B$2="",$D$2=0),0,IF(N$3&lt;0,0,N(INDEX('CURVA PREVISION'!$A$1:$KZ$3000,$C6,10+3*MIN(N$3,$D$2-1)))))</f>
        <v>0</v>
      </c>
      <c r="O6" s="131" t="n">
        <f aca="false">IF(OR($C6="",$B$2="",$D$2=0),0,IF(O$3&lt;0,0,N(INDEX('CURVA PREVISION'!$A$1:$KZ$3000,$C6,10+3*MIN(O$3,$D$2-1)))))</f>
        <v>0</v>
      </c>
      <c r="P6" s="131" t="n">
        <f aca="false">IF(OR($C6="",$B$2="",$D$2=0),0,IF(P$3&lt;0,0,N(INDEX('CURVA PREVISION'!$A$1:$KZ$3000,$C6,10+3*MIN(P$3,$D$2-1)))))</f>
        <v>0</v>
      </c>
      <c r="Q6" s="131" t="n">
        <f aca="false">IF(OR($C6="",$B$2="",$D$2=0),0,IF(Q$3&lt;0,0,N(INDEX('CURVA PREVISION'!$A$1:$KZ$3000,$C6,10+3*MIN(Q$3,$D$2-1)))))</f>
        <v>0</v>
      </c>
      <c r="R6" s="131" t="n">
        <f aca="false">IF(OR($C6="",$B$2="",$D$2=0),0,IF(R$3&lt;0,0,N(INDEX('CURVA PREVISION'!$A$1:$KZ$3000,$C6,10+3*MIN(R$3,$D$2-1)))))</f>
        <v>0</v>
      </c>
      <c r="S6" s="131" t="n">
        <f aca="false">IF(OR($C6="",$B$2="",$D$2=0),0,IF(S$3&lt;0,0,N(INDEX('CURVA PREVISION'!$A$1:$KZ$3000,$C6,10+3*MIN(S$3,$D$2-1)))))</f>
        <v>0</v>
      </c>
      <c r="T6" s="131" t="n">
        <f aca="false">IF(OR($C6="",$B$2="",$D$2=0),0,IF(T$3&lt;0,0,N(INDEX('CURVA PREVISION'!$A$1:$KZ$3000,$C6,10+3*MIN(T$3,$D$2-1)))))</f>
        <v>0</v>
      </c>
      <c r="U6" s="131" t="n">
        <f aca="false">IF(OR($C6="",$B$2="",$D$2=0),0,IF(U$3&lt;0,0,N(INDEX('CURVA PREVISION'!$A$1:$KZ$3000,$C6,10+3*MIN(U$3,$D$2-1)))))</f>
        <v>0</v>
      </c>
      <c r="V6" s="131" t="n">
        <f aca="false">IF(OR($C6="",$B$2="",$D$2=0),0,IF(V$3&lt;0,0,N(INDEX('CURVA PREVISION'!$A$1:$KZ$3000,$C6,10+3*MIN(V$3,$D$2-1)))))</f>
        <v>0</v>
      </c>
      <c r="W6" s="131" t="n">
        <f aca="false">IF(OR($C6="",$B$2="",$D$2=0),0,IF(W$3&lt;0,0,N(INDEX('CURVA PREVISION'!$A$1:$KZ$3000,$C6,10+3*MIN(W$3,$D$2-1)))))</f>
        <v>0</v>
      </c>
      <c r="X6" s="131" t="n">
        <f aca="false">IF(OR($C6="",$B$2="",$D$2=0),0,IF(X$3&lt;0,0,N(INDEX('CURVA PREVISION'!$A$1:$KZ$3000,$C6,10+3*MIN(X$3,$D$2-1)))))</f>
        <v>0</v>
      </c>
      <c r="Y6" s="131" t="n">
        <f aca="false">IF(OR($C6="",$B$2="",$D$2=0),0,IF(Y$3&lt;0,0,N(INDEX('CURVA PREVISION'!$A$1:$KZ$3000,$C6,10+3*MIN(Y$3,$D$2-1)))))</f>
        <v>0</v>
      </c>
      <c r="Z6" s="131" t="n">
        <f aca="false">IF(OR($C6="",$B$2="",$D$2=0),0,IF(Z$3&lt;0,0,N(INDEX('CURVA PREVISION'!$A$1:$KZ$3000,$C6,10+3*MIN(Z$3,$D$2-1)))))</f>
        <v>0</v>
      </c>
      <c r="AA6" s="131" t="n">
        <f aca="false">IF(OR($C6="",$B$2="",$D$2=0),0,IF(AA$3&lt;0,0,N(INDEX('CURVA PREVISION'!$A$1:$KZ$3000,$C6,10+3*MIN(AA$3,$D$2-1)))))</f>
        <v>0</v>
      </c>
      <c r="AB6" s="131" t="n">
        <f aca="false">IF(OR($C6="",$B$2="",$D$2=0),0,IF(AB$3&lt;0,0,N(INDEX('CURVA PREVISION'!$A$1:$KZ$3000,$C6,10+3*MIN(AB$3,$D$2-1)))))</f>
        <v>0</v>
      </c>
      <c r="AC6" s="131" t="n">
        <f aca="false">IF(OR($C6="",$B$2="",$D$2=0),0,IF(AC$3&lt;0,0,N(INDEX('CURVA PREVISION'!$A$1:$KZ$3000,$C6,10+3*MIN(AC$3,$D$2-1)))))</f>
        <v>0</v>
      </c>
      <c r="AD6" s="131" t="n">
        <f aca="false">IF(OR($C6="",$B$2="",$D$2=0),0,IF(AD$3&lt;0,0,N(INDEX('CURVA PREVISION'!$A$1:$KZ$3000,$C6,10+3*MIN(AD$3,$D$2-1)))))</f>
        <v>0</v>
      </c>
      <c r="AE6" s="131" t="n">
        <f aca="false">IF(OR($C6="",$B$2="",$D$2=0),0,IF(AE$3&lt;0,0,N(INDEX('CURVA PREVISION'!$A$1:$KZ$3000,$C6,10+3*MIN(AE$3,$D$2-1)))))</f>
        <v>0</v>
      </c>
      <c r="AF6" s="131" t="n">
        <f aca="false">IF(OR($C6="",$B$2="",$D$2=0),0,IF(AF$3&lt;0,0,N(INDEX('CURVA PREVISION'!$A$1:$KZ$3000,$C6,10+3*MIN(AF$3,$D$2-1)))))</f>
        <v>0</v>
      </c>
      <c r="AG6" s="131" t="n">
        <f aca="false">IF(OR($C6="",$B$2="",$D$2=0),0,IF(AG$3&lt;0,0,N(INDEX('CURVA PREVISION'!$A$1:$KZ$3000,$C6,10+3*MIN(AG$3,$D$2-1)))))</f>
        <v>0</v>
      </c>
      <c r="AH6" s="131" t="n">
        <f aca="false">IF(OR($C6="",$B$2="",$D$2=0),0,IF(AH$3&lt;0,0,N(INDEX('CURVA PREVISION'!$A$1:$KZ$3000,$C6,10+3*MIN(AH$3,$D$2-1)))))</f>
        <v>0</v>
      </c>
      <c r="AI6" s="131" t="n">
        <f aca="false">IF(OR($C6="",$B$2="",$D$2=0),0,IF(AI$3&lt;0,0,N(INDEX('CURVA PREVISION'!$A$1:$KZ$3000,$C6,10+3*MIN(AI$3,$D$2-1)))))</f>
        <v>0</v>
      </c>
      <c r="AJ6" s="131" t="n">
        <f aca="false">IF(OR($C6="",$B$2="",$D$2=0),0,IF(AJ$3&lt;0,0,N(INDEX('CURVA PREVISION'!$A$1:$KZ$3000,$C6,10+3*MIN(AJ$3,$D$2-1)))))</f>
        <v>0</v>
      </c>
      <c r="AK6" s="131" t="n">
        <f aca="false">IF(OR($C6="",$B$2="",$D$2=0),0,IF(AK$3&lt;0,0,N(INDEX('CURVA PREVISION'!$A$1:$KZ$3000,$C6,10+3*MIN(AK$3,$D$2-1)))))</f>
        <v>0</v>
      </c>
      <c r="AL6" s="131" t="n">
        <f aca="false">IF(OR($C6="",$B$2="",$D$2=0),0,IF(AL$3&lt;0,0,N(INDEX('CURVA PREVISION'!$A$1:$KZ$3000,$C6,10+3*MIN(AL$3,$D$2-1)))))</f>
        <v>0</v>
      </c>
      <c r="AM6" s="131" t="n">
        <f aca="false">IF(OR($C6="",$B$2="",$D$2=0),0,IF(AM$3&lt;0,0,N(INDEX('CURVA PREVISION'!$A$1:$KZ$3000,$C6,10+3*MIN(AM$3,$D$2-1)))))</f>
        <v>0</v>
      </c>
      <c r="AN6" s="131" t="n">
        <f aca="false">IF(OR($C6="",$B$2="",$D$2=0),0,IF(AN$3&lt;0,0,N(INDEX('CURVA PREVISION'!$A$1:$KZ$3000,$C6,10+3*MIN(AN$3,$D$2-1)))))</f>
        <v>0</v>
      </c>
      <c r="AO6" s="131" t="n">
        <f aca="false">IF(OR($C6="",$B$2="",$D$2=0),0,IF(AO$3&lt;0,0,N(INDEX('CURVA PREVISION'!$A$1:$KZ$3000,$C6,10+3*MIN(AO$3,$D$2-1)))))</f>
        <v>0</v>
      </c>
      <c r="AP6" s="131" t="n">
        <f aca="false">IF(OR($C6="",$B$2="",$D$2=0),0,IF(AP$3&lt;0,0,N(INDEX('CURVA PREVISION'!$A$1:$KZ$3000,$C6,10+3*MIN(AP$3,$D$2-1)))))</f>
        <v>0</v>
      </c>
      <c r="AQ6" s="131" t="n">
        <f aca="false">IF(OR($C6="",$B$2="",$D$2=0),0,IF(AQ$3&lt;0,0,N(INDEX('CURVA PREVISION'!$A$1:$KZ$3000,$C6,10+3*MIN(AQ$3,$D$2-1)))))</f>
        <v>0</v>
      </c>
      <c r="AR6" s="131" t="n">
        <f aca="false">IF(OR($C6="",$B$2="",$D$2=0),0,IF(AR$3&lt;0,0,N(INDEX('CURVA PREVISION'!$A$1:$KZ$3000,$C6,10+3*MIN(AR$3,$D$2-1)))))</f>
        <v>0</v>
      </c>
      <c r="AS6" s="131" t="n">
        <f aca="false">IF(OR($C6="",$B$2="",$D$2=0),0,IF(AS$3&lt;0,0,N(INDEX('CURVA PREVISION'!$A$1:$KZ$3000,$C6,10+3*MIN(AS$3,$D$2-1)))))</f>
        <v>0</v>
      </c>
      <c r="AT6" s="131" t="n">
        <f aca="false">IF(OR($C6="",$B$2="",$D$2=0),0,IF(AT$3&lt;0,0,N(INDEX('CURVA PREVISION'!$A$1:$KZ$3000,$C6,10+3*MIN(AT$3,$D$2-1)))))</f>
        <v>0</v>
      </c>
      <c r="AU6" s="131" t="n">
        <f aca="false">IF(OR($C6="",$B$2="",$D$2=0),0,IF(AU$3&lt;0,0,N(INDEX('CURVA PREVISION'!$A$1:$KZ$3000,$C6,10+3*MIN(AU$3,$D$2-1)))))</f>
        <v>0</v>
      </c>
      <c r="AV6" s="131" t="n">
        <f aca="false">IF(OR($C6="",$B$2="",$D$2=0),0,IF(AV$3&lt;0,0,N(INDEX('CURVA PREVISION'!$A$1:$KZ$3000,$C6,10+3*MIN(AV$3,$D$2-1)))))</f>
        <v>0</v>
      </c>
      <c r="AW6" s="131" t="n">
        <f aca="false">IF(OR($C6="",$B$2="",$D$2=0),0,IF(AW$3&lt;0,0,N(INDEX('CURVA PREVISION'!$A$1:$KZ$3000,$C6,10+3*MIN(AW$3,$D$2-1)))))</f>
        <v>0</v>
      </c>
      <c r="AX6" s="131" t="n">
        <f aca="false">IF(OR($C6="",$B$2="",$D$2=0),0,IF(AX$3&lt;0,0,N(INDEX('CURVA PREVISION'!$A$1:$KZ$3000,$C6,10+3*MIN(AX$3,$D$2-1)))))</f>
        <v>0</v>
      </c>
      <c r="AY6" s="131" t="n">
        <f aca="false">IF(OR($C6="",$B$2="",$D$2=0),0,IF(AY$3&lt;0,0,N(INDEX('CURVA PREVISION'!$A$1:$KZ$3000,$C6,10+3*MIN(AY$3,$D$2-1)))))</f>
        <v>0</v>
      </c>
      <c r="AZ6" s="131" t="n">
        <f aca="false">IF(OR($C6="",$B$2="",$D$2=0),0,IF(AZ$3&lt;0,0,N(INDEX('CURVA PREVISION'!$A$1:$KZ$3000,$C6,10+3*MIN(AZ$3,$D$2-1)))))</f>
        <v>0</v>
      </c>
      <c r="BA6" s="131" t="n">
        <f aca="false">IF(OR($C6="",$B$2="",$D$2=0),0,IF(BA$3&lt;0,0,N(INDEX('CURVA PREVISION'!$A$1:$KZ$3000,$C6,10+3*MIN(BA$3,$D$2-1)))))</f>
        <v>0</v>
      </c>
      <c r="BB6" s="131" t="n">
        <f aca="false">IF(OR($C6="",$B$2="",$D$2=0),0,IF(BB$3&lt;0,0,N(INDEX('CURVA PREVISION'!$A$1:$KZ$3000,$C6,10+3*MIN(BB$3,$D$2-1)))))</f>
        <v>0</v>
      </c>
      <c r="BC6" s="131" t="n">
        <f aca="false">IF(OR($C6="",$B$2="",$D$2=0),0,IF(BC$3&lt;0,0,N(INDEX('CURVA PREVISION'!$A$1:$KZ$3000,$C6,10+3*MIN(BC$3,$D$2-1)))))</f>
        <v>0</v>
      </c>
      <c r="BD6" s="131" t="n">
        <f aca="false">IF(OR($C6="",$B$2="",$D$2=0),0,IF(BD$3&lt;0,0,N(INDEX('CURVA PREVISION'!$A$1:$KZ$3000,$C6,10+3*MIN(BD$3,$D$2-1)))))</f>
        <v>0</v>
      </c>
      <c r="BE6" s="131" t="n">
        <f aca="false">IF(OR($C6="",$B$2="",$D$2=0),0,IF(BE$3&lt;0,0,N(INDEX('CURVA PREVISION'!$A$1:$KZ$3000,$C6,10+3*MIN(BE$3,$D$2-1)))))</f>
        <v>0</v>
      </c>
      <c r="BF6" s="131" t="n">
        <f aca="false">IF(OR($C6="",$B$2="",$D$2=0),0,IF(BF$3&lt;0,0,N(INDEX('CURVA PREVISION'!$A$1:$KZ$3000,$C6,10+3*MIN(BF$3,$D$2-1)))))</f>
        <v>0</v>
      </c>
      <c r="BG6" s="131" t="n">
        <f aca="false">IF(OR($C6="",$B$2="",$D$2=0),0,IF(BG$3&lt;0,0,N(INDEX('CURVA PREVISION'!$A$1:$KZ$3000,$C6,10+3*MIN(BG$3,$D$2-1)))))</f>
        <v>0</v>
      </c>
      <c r="BH6" s="131" t="n">
        <f aca="false">IF(OR($C6="",$B$2="",$D$2=0),0,IF(BH$3&lt;0,0,N(INDEX('CURVA PREVISION'!$A$1:$KZ$3000,$C6,10+3*MIN(BH$3,$D$2-1)))))</f>
        <v>0</v>
      </c>
      <c r="BI6" s="131" t="n">
        <f aca="false">IF(OR($C6="",$B$2="",$D$2=0),0,IF(BI$3&lt;0,0,N(INDEX('CURVA PREVISION'!$A$1:$KZ$3000,$C6,10+3*MIN(BI$3,$D$2-1)))))</f>
        <v>0</v>
      </c>
      <c r="BJ6" s="131" t="n">
        <f aca="false">IF(OR($C6="",$B$2="",$D$2=0),0,IF(BJ$3&lt;0,0,N(INDEX('CURVA PREVISION'!$A$1:$KZ$3000,$C6,10+3*MIN(BJ$3,$D$2-1)))))</f>
        <v>0</v>
      </c>
      <c r="BK6" s="131" t="n">
        <f aca="false">IF(OR($C6="",$B$2="",$D$2=0),0,IF(BK$3&lt;0,0,N(INDEX('CURVA PREVISION'!$A$1:$KZ$3000,$C6,10+3*MIN(BK$3,$D$2-1)))))</f>
        <v>0</v>
      </c>
      <c r="BL6" s="131" t="n">
        <f aca="false">IF(OR($C6="",$B$2="",$D$2=0),0,IF(BL$3&lt;0,0,N(INDEX('CURVA PREVISION'!$A$1:$KZ$3000,$C6,10+3*MIN(BL$3,$D$2-1)))))</f>
        <v>0</v>
      </c>
      <c r="BM6" s="131" t="n">
        <f aca="false">IF(OR($C6="",$B$2="",$D$2=0),0,IF(BM$3&lt;0,0,N(INDEX('CURVA PREVISION'!$A$1:$KZ$3000,$C6,10+3*MIN(BM$3,$D$2-1)))))</f>
        <v>0</v>
      </c>
      <c r="BN6" s="131" t="n">
        <f aca="false">IF(OR($C6="",$B$2="",$D$2=0),0,IF(BN$3&lt;0,0,N(INDEX('CURVA PREVISION'!$A$1:$KZ$3000,$C6,10+3*MIN(BN$3,$D$2-1)))))</f>
        <v>0</v>
      </c>
      <c r="BO6" s="131" t="n">
        <f aca="false">IF(OR($C6="",$B$2="",$D$2=0),0,IF(BO$3&lt;0,0,N(INDEX('CURVA PREVISION'!$A$1:$KZ$3000,$C6,10+3*MIN(BO$3,$D$2-1)))))</f>
        <v>0</v>
      </c>
      <c r="BP6" s="131" t="n">
        <f aca="false">IF(OR($C6="",$B$2="",$D$2=0),0,IF(BP$3&lt;0,0,N(INDEX('CURVA PREVISION'!$A$1:$KZ$3000,$C6,10+3*MIN(BP$3,$D$2-1)))))</f>
        <v>0</v>
      </c>
      <c r="BQ6" s="131" t="n">
        <f aca="false">IF(OR($C6="",$B$2="",$D$2=0),0,IF(BQ$3&lt;0,0,N(INDEX('CURVA PREVISION'!$A$1:$KZ$3000,$C6,10+3*MIN(BQ$3,$D$2-1)))))</f>
        <v>0</v>
      </c>
      <c r="BR6" s="131" t="n">
        <f aca="false">IF(OR($C6="",$B$2="",$D$2=0),0,IF(BR$3&lt;0,0,N(INDEX('CURVA PREVISION'!$A$1:$KZ$3000,$C6,10+3*MIN(BR$3,$D$2-1)))))</f>
        <v>0</v>
      </c>
      <c r="BS6" s="131" t="n">
        <f aca="false">IF(OR($C6="",$B$2="",$D$2=0),0,IF(BS$3&lt;0,0,N(INDEX('CURVA PREVISION'!$A$1:$KZ$3000,$C6,10+3*MIN(BS$3,$D$2-1)))))</f>
        <v>0</v>
      </c>
      <c r="BT6" s="131" t="n">
        <f aca="false">IF(OR($C6="",$B$2="",$D$2=0),0,IF(BT$3&lt;0,0,N(INDEX('CURVA PREVISION'!$A$1:$KZ$3000,$C6,10+3*MIN(BT$3,$D$2-1)))))</f>
        <v>0</v>
      </c>
      <c r="BU6" s="131" t="n">
        <f aca="false">IF(OR($C6="",$B$2="",$D$2=0),0,IF(BU$3&lt;0,0,N(INDEX('CURVA PREVISION'!$A$1:$KZ$3000,$C6,10+3*MIN(BU$3,$D$2-1)))))</f>
        <v>0</v>
      </c>
      <c r="BV6" s="131" t="n">
        <f aca="false">IF(OR($C6="",$B$2="",$D$2=0),0,IF(BV$3&lt;0,0,N(INDEX('CURVA PREVISION'!$A$1:$KZ$3000,$C6,10+3*MIN(BV$3,$D$2-1)))))</f>
        <v>0</v>
      </c>
      <c r="BW6" s="131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8</v>
      </c>
      <c r="D7" s="131" t="n">
        <f aca="false">IF(OR($C7="",$B$2="",$D$2=0),0,IF(D$3&lt;0,0,N(INDEX('CURVA PREVISION'!$A$1:$KZ$3000,$C7,10+3*MIN(D$3,$D$2-1)))))</f>
        <v>0</v>
      </c>
      <c r="E7" s="131" t="n">
        <f aca="false">IF(OR($C7="",$B$2="",$D$2=0),0,IF(E$3&lt;0,0,N(INDEX('CURVA PREVISION'!$A$1:$KZ$3000,$C7,10+3*MIN(E$3,$D$2-1)))))</f>
        <v>0</v>
      </c>
      <c r="F7" s="131" t="n">
        <f aca="false">IF(OR($C7="",$B$2="",$D$2=0),0,IF(F$3&lt;0,0,N(INDEX('CURVA PREVISION'!$A$1:$KZ$3000,$C7,10+3*MIN(F$3,$D$2-1)))))</f>
        <v>0</v>
      </c>
      <c r="G7" s="131" t="n">
        <f aca="false">IF(OR($C7="",$B$2="",$D$2=0),0,IF(G$3&lt;0,0,N(INDEX('CURVA PREVISION'!$A$1:$KZ$3000,$C7,10+3*MIN(G$3,$D$2-1)))))</f>
        <v>0</v>
      </c>
      <c r="H7" s="131" t="n">
        <f aca="false">IF(OR($C7="",$B$2="",$D$2=0),0,IF(H$3&lt;0,0,N(INDEX('CURVA PREVISION'!$A$1:$KZ$3000,$C7,10+3*MIN(H$3,$D$2-1)))))</f>
        <v>0</v>
      </c>
      <c r="I7" s="131" t="n">
        <f aca="false">IF(OR($C7="",$B$2="",$D$2=0),0,IF(I$3&lt;0,0,N(INDEX('CURVA PREVISION'!$A$1:$KZ$3000,$C7,10+3*MIN(I$3,$D$2-1)))))</f>
        <v>0</v>
      </c>
      <c r="J7" s="131" t="n">
        <f aca="false">IF(OR($C7="",$B$2="",$D$2=0),0,IF(J$3&lt;0,0,N(INDEX('CURVA PREVISION'!$A$1:$KZ$3000,$C7,10+3*MIN(J$3,$D$2-1)))))</f>
        <v>0</v>
      </c>
      <c r="K7" s="131" t="n">
        <f aca="false">IF(OR($C7="",$B$2="",$D$2=0),0,IF(K$3&lt;0,0,N(INDEX('CURVA PREVISION'!$A$1:$KZ$3000,$C7,10+3*MIN(K$3,$D$2-1)))))</f>
        <v>0</v>
      </c>
      <c r="L7" s="131" t="n">
        <f aca="false">IF(OR($C7="",$B$2="",$D$2=0),0,IF(L$3&lt;0,0,N(INDEX('CURVA PREVISION'!$A$1:$KZ$3000,$C7,10+3*MIN(L$3,$D$2-1)))))</f>
        <v>0</v>
      </c>
      <c r="M7" s="131" t="n">
        <f aca="false">IF(OR($C7="",$B$2="",$D$2=0),0,IF(M$3&lt;0,0,N(INDEX('CURVA PREVISION'!$A$1:$KZ$3000,$C7,10+3*MIN(M$3,$D$2-1)))))</f>
        <v>0</v>
      </c>
      <c r="N7" s="131" t="n">
        <f aca="false">IF(OR($C7="",$B$2="",$D$2=0),0,IF(N$3&lt;0,0,N(INDEX('CURVA PREVISION'!$A$1:$KZ$3000,$C7,10+3*MIN(N$3,$D$2-1)))))</f>
        <v>0</v>
      </c>
      <c r="O7" s="131" t="n">
        <f aca="false">IF(OR($C7="",$B$2="",$D$2=0),0,IF(O$3&lt;0,0,N(INDEX('CURVA PREVISION'!$A$1:$KZ$3000,$C7,10+3*MIN(O$3,$D$2-1)))))</f>
        <v>0</v>
      </c>
      <c r="P7" s="131" t="n">
        <f aca="false">IF(OR($C7="",$B$2="",$D$2=0),0,IF(P$3&lt;0,0,N(INDEX('CURVA PREVISION'!$A$1:$KZ$3000,$C7,10+3*MIN(P$3,$D$2-1)))))</f>
        <v>0</v>
      </c>
      <c r="Q7" s="131" t="n">
        <f aca="false">IF(OR($C7="",$B$2="",$D$2=0),0,IF(Q$3&lt;0,0,N(INDEX('CURVA PREVISION'!$A$1:$KZ$3000,$C7,10+3*MIN(Q$3,$D$2-1)))))</f>
        <v>0</v>
      </c>
      <c r="R7" s="131" t="n">
        <f aca="false">IF(OR($C7="",$B$2="",$D$2=0),0,IF(R$3&lt;0,0,N(INDEX('CURVA PREVISION'!$A$1:$KZ$3000,$C7,10+3*MIN(R$3,$D$2-1)))))</f>
        <v>0</v>
      </c>
      <c r="S7" s="131" t="n">
        <f aca="false">IF(OR($C7="",$B$2="",$D$2=0),0,IF(S$3&lt;0,0,N(INDEX('CURVA PREVISION'!$A$1:$KZ$3000,$C7,10+3*MIN(S$3,$D$2-1)))))</f>
        <v>0</v>
      </c>
      <c r="T7" s="131" t="n">
        <f aca="false">IF(OR($C7="",$B$2="",$D$2=0),0,IF(T$3&lt;0,0,N(INDEX('CURVA PREVISION'!$A$1:$KZ$3000,$C7,10+3*MIN(T$3,$D$2-1)))))</f>
        <v>0</v>
      </c>
      <c r="U7" s="131" t="n">
        <f aca="false">IF(OR($C7="",$B$2="",$D$2=0),0,IF(U$3&lt;0,0,N(INDEX('CURVA PREVISION'!$A$1:$KZ$3000,$C7,10+3*MIN(U$3,$D$2-1)))))</f>
        <v>0</v>
      </c>
      <c r="V7" s="131" t="n">
        <f aca="false">IF(OR($C7="",$B$2="",$D$2=0),0,IF(V$3&lt;0,0,N(INDEX('CURVA PREVISION'!$A$1:$KZ$3000,$C7,10+3*MIN(V$3,$D$2-1)))))</f>
        <v>0</v>
      </c>
      <c r="W7" s="131" t="n">
        <f aca="false">IF(OR($C7="",$B$2="",$D$2=0),0,IF(W$3&lt;0,0,N(INDEX('CURVA PREVISION'!$A$1:$KZ$3000,$C7,10+3*MIN(W$3,$D$2-1)))))</f>
        <v>0</v>
      </c>
      <c r="X7" s="131" t="n">
        <f aca="false">IF(OR($C7="",$B$2="",$D$2=0),0,IF(X$3&lt;0,0,N(INDEX('CURVA PREVISION'!$A$1:$KZ$3000,$C7,10+3*MIN(X$3,$D$2-1)))))</f>
        <v>0</v>
      </c>
      <c r="Y7" s="131" t="n">
        <f aca="false">IF(OR($C7="",$B$2="",$D$2=0),0,IF(Y$3&lt;0,0,N(INDEX('CURVA PREVISION'!$A$1:$KZ$3000,$C7,10+3*MIN(Y$3,$D$2-1)))))</f>
        <v>0</v>
      </c>
      <c r="Z7" s="131" t="n">
        <f aca="false">IF(OR($C7="",$B$2="",$D$2=0),0,IF(Z$3&lt;0,0,N(INDEX('CURVA PREVISION'!$A$1:$KZ$3000,$C7,10+3*MIN(Z$3,$D$2-1)))))</f>
        <v>0</v>
      </c>
      <c r="AA7" s="131" t="n">
        <f aca="false">IF(OR($C7="",$B$2="",$D$2=0),0,IF(AA$3&lt;0,0,N(INDEX('CURVA PREVISION'!$A$1:$KZ$3000,$C7,10+3*MIN(AA$3,$D$2-1)))))</f>
        <v>0</v>
      </c>
      <c r="AB7" s="131" t="n">
        <f aca="false">IF(OR($C7="",$B$2="",$D$2=0),0,IF(AB$3&lt;0,0,N(INDEX('CURVA PREVISION'!$A$1:$KZ$3000,$C7,10+3*MIN(AB$3,$D$2-1)))))</f>
        <v>0</v>
      </c>
      <c r="AC7" s="131" t="n">
        <f aca="false">IF(OR($C7="",$B$2="",$D$2=0),0,IF(AC$3&lt;0,0,N(INDEX('CURVA PREVISION'!$A$1:$KZ$3000,$C7,10+3*MIN(AC$3,$D$2-1)))))</f>
        <v>0</v>
      </c>
      <c r="AD7" s="131" t="n">
        <f aca="false">IF(OR($C7="",$B$2="",$D$2=0),0,IF(AD$3&lt;0,0,N(INDEX('CURVA PREVISION'!$A$1:$KZ$3000,$C7,10+3*MIN(AD$3,$D$2-1)))))</f>
        <v>0</v>
      </c>
      <c r="AE7" s="131" t="n">
        <f aca="false">IF(OR($C7="",$B$2="",$D$2=0),0,IF(AE$3&lt;0,0,N(INDEX('CURVA PREVISION'!$A$1:$KZ$3000,$C7,10+3*MIN(AE$3,$D$2-1)))))</f>
        <v>0</v>
      </c>
      <c r="AF7" s="131" t="n">
        <f aca="false">IF(OR($C7="",$B$2="",$D$2=0),0,IF(AF$3&lt;0,0,N(INDEX('CURVA PREVISION'!$A$1:$KZ$3000,$C7,10+3*MIN(AF$3,$D$2-1)))))</f>
        <v>0</v>
      </c>
      <c r="AG7" s="131" t="n">
        <f aca="false">IF(OR($C7="",$B$2="",$D$2=0),0,IF(AG$3&lt;0,0,N(INDEX('CURVA PREVISION'!$A$1:$KZ$3000,$C7,10+3*MIN(AG$3,$D$2-1)))))</f>
        <v>0</v>
      </c>
      <c r="AH7" s="131" t="n">
        <f aca="false">IF(OR($C7="",$B$2="",$D$2=0),0,IF(AH$3&lt;0,0,N(INDEX('CURVA PREVISION'!$A$1:$KZ$3000,$C7,10+3*MIN(AH$3,$D$2-1)))))</f>
        <v>0</v>
      </c>
      <c r="AI7" s="131" t="n">
        <f aca="false">IF(OR($C7="",$B$2="",$D$2=0),0,IF(AI$3&lt;0,0,N(INDEX('CURVA PREVISION'!$A$1:$KZ$3000,$C7,10+3*MIN(AI$3,$D$2-1)))))</f>
        <v>0</v>
      </c>
      <c r="AJ7" s="131" t="n">
        <f aca="false">IF(OR($C7="",$B$2="",$D$2=0),0,IF(AJ$3&lt;0,0,N(INDEX('CURVA PREVISION'!$A$1:$KZ$3000,$C7,10+3*MIN(AJ$3,$D$2-1)))))</f>
        <v>0</v>
      </c>
      <c r="AK7" s="131" t="n">
        <f aca="false">IF(OR($C7="",$B$2="",$D$2=0),0,IF(AK$3&lt;0,0,N(INDEX('CURVA PREVISION'!$A$1:$KZ$3000,$C7,10+3*MIN(AK$3,$D$2-1)))))</f>
        <v>0</v>
      </c>
      <c r="AL7" s="131" t="n">
        <f aca="false">IF(OR($C7="",$B$2="",$D$2=0),0,IF(AL$3&lt;0,0,N(INDEX('CURVA PREVISION'!$A$1:$KZ$3000,$C7,10+3*MIN(AL$3,$D$2-1)))))</f>
        <v>0</v>
      </c>
      <c r="AM7" s="131" t="n">
        <f aca="false">IF(OR($C7="",$B$2="",$D$2=0),0,IF(AM$3&lt;0,0,N(INDEX('CURVA PREVISION'!$A$1:$KZ$3000,$C7,10+3*MIN(AM$3,$D$2-1)))))</f>
        <v>0</v>
      </c>
      <c r="AN7" s="131" t="n">
        <f aca="false">IF(OR($C7="",$B$2="",$D$2=0),0,IF(AN$3&lt;0,0,N(INDEX('CURVA PREVISION'!$A$1:$KZ$3000,$C7,10+3*MIN(AN$3,$D$2-1)))))</f>
        <v>0</v>
      </c>
      <c r="AO7" s="131" t="n">
        <f aca="false">IF(OR($C7="",$B$2="",$D$2=0),0,IF(AO$3&lt;0,0,N(INDEX('CURVA PREVISION'!$A$1:$KZ$3000,$C7,10+3*MIN(AO$3,$D$2-1)))))</f>
        <v>0</v>
      </c>
      <c r="AP7" s="131" t="n">
        <f aca="false">IF(OR($C7="",$B$2="",$D$2=0),0,IF(AP$3&lt;0,0,N(INDEX('CURVA PREVISION'!$A$1:$KZ$3000,$C7,10+3*MIN(AP$3,$D$2-1)))))</f>
        <v>0</v>
      </c>
      <c r="AQ7" s="131" t="n">
        <f aca="false">IF(OR($C7="",$B$2="",$D$2=0),0,IF(AQ$3&lt;0,0,N(INDEX('CURVA PREVISION'!$A$1:$KZ$3000,$C7,10+3*MIN(AQ$3,$D$2-1)))))</f>
        <v>0</v>
      </c>
      <c r="AR7" s="131" t="n">
        <f aca="false">IF(OR($C7="",$B$2="",$D$2=0),0,IF(AR$3&lt;0,0,N(INDEX('CURVA PREVISION'!$A$1:$KZ$3000,$C7,10+3*MIN(AR$3,$D$2-1)))))</f>
        <v>0</v>
      </c>
      <c r="AS7" s="131" t="n">
        <f aca="false">IF(OR($C7="",$B$2="",$D$2=0),0,IF(AS$3&lt;0,0,N(INDEX('CURVA PREVISION'!$A$1:$KZ$3000,$C7,10+3*MIN(AS$3,$D$2-1)))))</f>
        <v>0</v>
      </c>
      <c r="AT7" s="131" t="n">
        <f aca="false">IF(OR($C7="",$B$2="",$D$2=0),0,IF(AT$3&lt;0,0,N(INDEX('CURVA PREVISION'!$A$1:$KZ$3000,$C7,10+3*MIN(AT$3,$D$2-1)))))</f>
        <v>0</v>
      </c>
      <c r="AU7" s="131" t="n">
        <f aca="false">IF(OR($C7="",$B$2="",$D$2=0),0,IF(AU$3&lt;0,0,N(INDEX('CURVA PREVISION'!$A$1:$KZ$3000,$C7,10+3*MIN(AU$3,$D$2-1)))))</f>
        <v>0</v>
      </c>
      <c r="AV7" s="131" t="n">
        <f aca="false">IF(OR($C7="",$B$2="",$D$2=0),0,IF(AV$3&lt;0,0,N(INDEX('CURVA PREVISION'!$A$1:$KZ$3000,$C7,10+3*MIN(AV$3,$D$2-1)))))</f>
        <v>0</v>
      </c>
      <c r="AW7" s="131" t="n">
        <f aca="false">IF(OR($C7="",$B$2="",$D$2=0),0,IF(AW$3&lt;0,0,N(INDEX('CURVA PREVISION'!$A$1:$KZ$3000,$C7,10+3*MIN(AW$3,$D$2-1)))))</f>
        <v>0</v>
      </c>
      <c r="AX7" s="131" t="n">
        <f aca="false">IF(OR($C7="",$B$2="",$D$2=0),0,IF(AX$3&lt;0,0,N(INDEX('CURVA PREVISION'!$A$1:$KZ$3000,$C7,10+3*MIN(AX$3,$D$2-1)))))</f>
        <v>0</v>
      </c>
      <c r="AY7" s="131" t="n">
        <f aca="false">IF(OR($C7="",$B$2="",$D$2=0),0,IF(AY$3&lt;0,0,N(INDEX('CURVA PREVISION'!$A$1:$KZ$3000,$C7,10+3*MIN(AY$3,$D$2-1)))))</f>
        <v>0</v>
      </c>
      <c r="AZ7" s="131" t="n">
        <f aca="false">IF(OR($C7="",$B$2="",$D$2=0),0,IF(AZ$3&lt;0,0,N(INDEX('CURVA PREVISION'!$A$1:$KZ$3000,$C7,10+3*MIN(AZ$3,$D$2-1)))))</f>
        <v>0</v>
      </c>
      <c r="BA7" s="131" t="n">
        <f aca="false">IF(OR($C7="",$B$2="",$D$2=0),0,IF(BA$3&lt;0,0,N(INDEX('CURVA PREVISION'!$A$1:$KZ$3000,$C7,10+3*MIN(BA$3,$D$2-1)))))</f>
        <v>0</v>
      </c>
      <c r="BB7" s="131" t="n">
        <f aca="false">IF(OR($C7="",$B$2="",$D$2=0),0,IF(BB$3&lt;0,0,N(INDEX('CURVA PREVISION'!$A$1:$KZ$3000,$C7,10+3*MIN(BB$3,$D$2-1)))))</f>
        <v>0</v>
      </c>
      <c r="BC7" s="131" t="n">
        <f aca="false">IF(OR($C7="",$B$2="",$D$2=0),0,IF(BC$3&lt;0,0,N(INDEX('CURVA PREVISION'!$A$1:$KZ$3000,$C7,10+3*MIN(BC$3,$D$2-1)))))</f>
        <v>0</v>
      </c>
      <c r="BD7" s="131" t="n">
        <f aca="false">IF(OR($C7="",$B$2="",$D$2=0),0,IF(BD$3&lt;0,0,N(INDEX('CURVA PREVISION'!$A$1:$KZ$3000,$C7,10+3*MIN(BD$3,$D$2-1)))))</f>
        <v>0</v>
      </c>
      <c r="BE7" s="131" t="n">
        <f aca="false">IF(OR($C7="",$B$2="",$D$2=0),0,IF(BE$3&lt;0,0,N(INDEX('CURVA PREVISION'!$A$1:$KZ$3000,$C7,10+3*MIN(BE$3,$D$2-1)))))</f>
        <v>0</v>
      </c>
      <c r="BF7" s="131" t="n">
        <f aca="false">IF(OR($C7="",$B$2="",$D$2=0),0,IF(BF$3&lt;0,0,N(INDEX('CURVA PREVISION'!$A$1:$KZ$3000,$C7,10+3*MIN(BF$3,$D$2-1)))))</f>
        <v>0</v>
      </c>
      <c r="BG7" s="131" t="n">
        <f aca="false">IF(OR($C7="",$B$2="",$D$2=0),0,IF(BG$3&lt;0,0,N(INDEX('CURVA PREVISION'!$A$1:$KZ$3000,$C7,10+3*MIN(BG$3,$D$2-1)))))</f>
        <v>0</v>
      </c>
      <c r="BH7" s="131" t="n">
        <f aca="false">IF(OR($C7="",$B$2="",$D$2=0),0,IF(BH$3&lt;0,0,N(INDEX('CURVA PREVISION'!$A$1:$KZ$3000,$C7,10+3*MIN(BH$3,$D$2-1)))))</f>
        <v>0</v>
      </c>
      <c r="BI7" s="131" t="n">
        <f aca="false">IF(OR($C7="",$B$2="",$D$2=0),0,IF(BI$3&lt;0,0,N(INDEX('CURVA PREVISION'!$A$1:$KZ$3000,$C7,10+3*MIN(BI$3,$D$2-1)))))</f>
        <v>0</v>
      </c>
      <c r="BJ7" s="131" t="n">
        <f aca="false">IF(OR($C7="",$B$2="",$D$2=0),0,IF(BJ$3&lt;0,0,N(INDEX('CURVA PREVISION'!$A$1:$KZ$3000,$C7,10+3*MIN(BJ$3,$D$2-1)))))</f>
        <v>0</v>
      </c>
      <c r="BK7" s="131" t="n">
        <f aca="false">IF(OR($C7="",$B$2="",$D$2=0),0,IF(BK$3&lt;0,0,N(INDEX('CURVA PREVISION'!$A$1:$KZ$3000,$C7,10+3*MIN(BK$3,$D$2-1)))))</f>
        <v>0</v>
      </c>
      <c r="BL7" s="131" t="n">
        <f aca="false">IF(OR($C7="",$B$2="",$D$2=0),0,IF(BL$3&lt;0,0,N(INDEX('CURVA PREVISION'!$A$1:$KZ$3000,$C7,10+3*MIN(BL$3,$D$2-1)))))</f>
        <v>0</v>
      </c>
      <c r="BM7" s="131" t="n">
        <f aca="false">IF(OR($C7="",$B$2="",$D$2=0),0,IF(BM$3&lt;0,0,N(INDEX('CURVA PREVISION'!$A$1:$KZ$3000,$C7,10+3*MIN(BM$3,$D$2-1)))))</f>
        <v>0</v>
      </c>
      <c r="BN7" s="131" t="n">
        <f aca="false">IF(OR($C7="",$B$2="",$D$2=0),0,IF(BN$3&lt;0,0,N(INDEX('CURVA PREVISION'!$A$1:$KZ$3000,$C7,10+3*MIN(BN$3,$D$2-1)))))</f>
        <v>0</v>
      </c>
      <c r="BO7" s="131" t="n">
        <f aca="false">IF(OR($C7="",$B$2="",$D$2=0),0,IF(BO$3&lt;0,0,N(INDEX('CURVA PREVISION'!$A$1:$KZ$3000,$C7,10+3*MIN(BO$3,$D$2-1)))))</f>
        <v>0</v>
      </c>
      <c r="BP7" s="131" t="n">
        <f aca="false">IF(OR($C7="",$B$2="",$D$2=0),0,IF(BP$3&lt;0,0,N(INDEX('CURVA PREVISION'!$A$1:$KZ$3000,$C7,10+3*MIN(BP$3,$D$2-1)))))</f>
        <v>0</v>
      </c>
      <c r="BQ7" s="131" t="n">
        <f aca="false">IF(OR($C7="",$B$2="",$D$2=0),0,IF(BQ$3&lt;0,0,N(INDEX('CURVA PREVISION'!$A$1:$KZ$3000,$C7,10+3*MIN(BQ$3,$D$2-1)))))</f>
        <v>0</v>
      </c>
      <c r="BR7" s="131" t="n">
        <f aca="false">IF(OR($C7="",$B$2="",$D$2=0),0,IF(BR$3&lt;0,0,N(INDEX('CURVA PREVISION'!$A$1:$KZ$3000,$C7,10+3*MIN(BR$3,$D$2-1)))))</f>
        <v>0</v>
      </c>
      <c r="BS7" s="131" t="n">
        <f aca="false">IF(OR($C7="",$B$2="",$D$2=0),0,IF(BS$3&lt;0,0,N(INDEX('CURVA PREVISION'!$A$1:$KZ$3000,$C7,10+3*MIN(BS$3,$D$2-1)))))</f>
        <v>0</v>
      </c>
      <c r="BT7" s="131" t="n">
        <f aca="false">IF(OR($C7="",$B$2="",$D$2=0),0,IF(BT$3&lt;0,0,N(INDEX('CURVA PREVISION'!$A$1:$KZ$3000,$C7,10+3*MIN(BT$3,$D$2-1)))))</f>
        <v>0</v>
      </c>
      <c r="BU7" s="131" t="n">
        <f aca="false">IF(OR($C7="",$B$2="",$D$2=0),0,IF(BU$3&lt;0,0,N(INDEX('CURVA PREVISION'!$A$1:$KZ$3000,$C7,10+3*MIN(BU$3,$D$2-1)))))</f>
        <v>0</v>
      </c>
      <c r="BV7" s="131" t="n">
        <f aca="false">IF(OR($C7="",$B$2="",$D$2=0),0,IF(BV$3&lt;0,0,N(INDEX('CURVA PREVISION'!$A$1:$KZ$3000,$C7,10+3*MIN(BV$3,$D$2-1)))))</f>
        <v>0</v>
      </c>
      <c r="BW7" s="131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11</v>
      </c>
      <c r="D8" s="131" t="n">
        <f aca="false">IF(OR($C8="",$B$2="",$D$2=0),0,IF(D$3&lt;0,0,N(INDEX('CURVA PREVISION'!$A$1:$KZ$3000,$C8,10+3*MIN(D$3,$D$2-1)))))</f>
        <v>0</v>
      </c>
      <c r="E8" s="131" t="n">
        <f aca="false">IF(OR($C8="",$B$2="",$D$2=0),0,IF(E$3&lt;0,0,N(INDEX('CURVA PREVISION'!$A$1:$KZ$3000,$C8,10+3*MIN(E$3,$D$2-1)))))</f>
        <v>0</v>
      </c>
      <c r="F8" s="131" t="n">
        <f aca="false">IF(OR($C8="",$B$2="",$D$2=0),0,IF(F$3&lt;0,0,N(INDEX('CURVA PREVISION'!$A$1:$KZ$3000,$C8,10+3*MIN(F$3,$D$2-1)))))</f>
        <v>0</v>
      </c>
      <c r="G8" s="131" t="n">
        <f aca="false">IF(OR($C8="",$B$2="",$D$2=0),0,IF(G$3&lt;0,0,N(INDEX('CURVA PREVISION'!$A$1:$KZ$3000,$C8,10+3*MIN(G$3,$D$2-1)))))</f>
        <v>0</v>
      </c>
      <c r="H8" s="131" t="n">
        <f aca="false">IF(OR($C8="",$B$2="",$D$2=0),0,IF(H$3&lt;0,0,N(INDEX('CURVA PREVISION'!$A$1:$KZ$3000,$C8,10+3*MIN(H$3,$D$2-1)))))</f>
        <v>0</v>
      </c>
      <c r="I8" s="131" t="n">
        <f aca="false">IF(OR($C8="",$B$2="",$D$2=0),0,IF(I$3&lt;0,0,N(INDEX('CURVA PREVISION'!$A$1:$KZ$3000,$C8,10+3*MIN(I$3,$D$2-1)))))</f>
        <v>0</v>
      </c>
      <c r="J8" s="131" t="n">
        <f aca="false">IF(OR($C8="",$B$2="",$D$2=0),0,IF(J$3&lt;0,0,N(INDEX('CURVA PREVISION'!$A$1:$KZ$3000,$C8,10+3*MIN(J$3,$D$2-1)))))</f>
        <v>0</v>
      </c>
      <c r="K8" s="131" t="n">
        <f aca="false">IF(OR($C8="",$B$2="",$D$2=0),0,IF(K$3&lt;0,0,N(INDEX('CURVA PREVISION'!$A$1:$KZ$3000,$C8,10+3*MIN(K$3,$D$2-1)))))</f>
        <v>0</v>
      </c>
      <c r="L8" s="131" t="n">
        <f aca="false">IF(OR($C8="",$B$2="",$D$2=0),0,IF(L$3&lt;0,0,N(INDEX('CURVA PREVISION'!$A$1:$KZ$3000,$C8,10+3*MIN(L$3,$D$2-1)))))</f>
        <v>0</v>
      </c>
      <c r="M8" s="131" t="n">
        <f aca="false">IF(OR($C8="",$B$2="",$D$2=0),0,IF(M$3&lt;0,0,N(INDEX('CURVA PREVISION'!$A$1:$KZ$3000,$C8,10+3*MIN(M$3,$D$2-1)))))</f>
        <v>0</v>
      </c>
      <c r="N8" s="131" t="n">
        <f aca="false">IF(OR($C8="",$B$2="",$D$2=0),0,IF(N$3&lt;0,0,N(INDEX('CURVA PREVISION'!$A$1:$KZ$3000,$C8,10+3*MIN(N$3,$D$2-1)))))</f>
        <v>0</v>
      </c>
      <c r="O8" s="131" t="n">
        <f aca="false">IF(OR($C8="",$B$2="",$D$2=0),0,IF(O$3&lt;0,0,N(INDEX('CURVA PREVISION'!$A$1:$KZ$3000,$C8,10+3*MIN(O$3,$D$2-1)))))</f>
        <v>0</v>
      </c>
      <c r="P8" s="131" t="n">
        <f aca="false">IF(OR($C8="",$B$2="",$D$2=0),0,IF(P$3&lt;0,0,N(INDEX('CURVA PREVISION'!$A$1:$KZ$3000,$C8,10+3*MIN(P$3,$D$2-1)))))</f>
        <v>0</v>
      </c>
      <c r="Q8" s="131" t="n">
        <f aca="false">IF(OR($C8="",$B$2="",$D$2=0),0,IF(Q$3&lt;0,0,N(INDEX('CURVA PREVISION'!$A$1:$KZ$3000,$C8,10+3*MIN(Q$3,$D$2-1)))))</f>
        <v>0</v>
      </c>
      <c r="R8" s="131" t="n">
        <f aca="false">IF(OR($C8="",$B$2="",$D$2=0),0,IF(R$3&lt;0,0,N(INDEX('CURVA PREVISION'!$A$1:$KZ$3000,$C8,10+3*MIN(R$3,$D$2-1)))))</f>
        <v>0</v>
      </c>
      <c r="S8" s="131" t="n">
        <f aca="false">IF(OR($C8="",$B$2="",$D$2=0),0,IF(S$3&lt;0,0,N(INDEX('CURVA PREVISION'!$A$1:$KZ$3000,$C8,10+3*MIN(S$3,$D$2-1)))))</f>
        <v>0</v>
      </c>
      <c r="T8" s="131" t="n">
        <f aca="false">IF(OR($C8="",$B$2="",$D$2=0),0,IF(T$3&lt;0,0,N(INDEX('CURVA PREVISION'!$A$1:$KZ$3000,$C8,10+3*MIN(T$3,$D$2-1)))))</f>
        <v>0</v>
      </c>
      <c r="U8" s="131" t="n">
        <f aca="false">IF(OR($C8="",$B$2="",$D$2=0),0,IF(U$3&lt;0,0,N(INDEX('CURVA PREVISION'!$A$1:$KZ$3000,$C8,10+3*MIN(U$3,$D$2-1)))))</f>
        <v>0</v>
      </c>
      <c r="V8" s="131" t="n">
        <f aca="false">IF(OR($C8="",$B$2="",$D$2=0),0,IF(V$3&lt;0,0,N(INDEX('CURVA PREVISION'!$A$1:$KZ$3000,$C8,10+3*MIN(V$3,$D$2-1)))))</f>
        <v>0</v>
      </c>
      <c r="W8" s="131" t="n">
        <f aca="false">IF(OR($C8="",$B$2="",$D$2=0),0,IF(W$3&lt;0,0,N(INDEX('CURVA PREVISION'!$A$1:$KZ$3000,$C8,10+3*MIN(W$3,$D$2-1)))))</f>
        <v>0</v>
      </c>
      <c r="X8" s="131" t="n">
        <f aca="false">IF(OR($C8="",$B$2="",$D$2=0),0,IF(X$3&lt;0,0,N(INDEX('CURVA PREVISION'!$A$1:$KZ$3000,$C8,10+3*MIN(X$3,$D$2-1)))))</f>
        <v>0</v>
      </c>
      <c r="Y8" s="131" t="n">
        <f aca="false">IF(OR($C8="",$B$2="",$D$2=0),0,IF(Y$3&lt;0,0,N(INDEX('CURVA PREVISION'!$A$1:$KZ$3000,$C8,10+3*MIN(Y$3,$D$2-1)))))</f>
        <v>0</v>
      </c>
      <c r="Z8" s="131" t="n">
        <f aca="false">IF(OR($C8="",$B$2="",$D$2=0),0,IF(Z$3&lt;0,0,N(INDEX('CURVA PREVISION'!$A$1:$KZ$3000,$C8,10+3*MIN(Z$3,$D$2-1)))))</f>
        <v>0</v>
      </c>
      <c r="AA8" s="131" t="n">
        <f aca="false">IF(OR($C8="",$B$2="",$D$2=0),0,IF(AA$3&lt;0,0,N(INDEX('CURVA PREVISION'!$A$1:$KZ$3000,$C8,10+3*MIN(AA$3,$D$2-1)))))</f>
        <v>0</v>
      </c>
      <c r="AB8" s="131" t="n">
        <f aca="false">IF(OR($C8="",$B$2="",$D$2=0),0,IF(AB$3&lt;0,0,N(INDEX('CURVA PREVISION'!$A$1:$KZ$3000,$C8,10+3*MIN(AB$3,$D$2-1)))))</f>
        <v>0</v>
      </c>
      <c r="AC8" s="131" t="n">
        <f aca="false">IF(OR($C8="",$B$2="",$D$2=0),0,IF(AC$3&lt;0,0,N(INDEX('CURVA PREVISION'!$A$1:$KZ$3000,$C8,10+3*MIN(AC$3,$D$2-1)))))</f>
        <v>0</v>
      </c>
      <c r="AD8" s="131" t="n">
        <f aca="false">IF(OR($C8="",$B$2="",$D$2=0),0,IF(AD$3&lt;0,0,N(INDEX('CURVA PREVISION'!$A$1:$KZ$3000,$C8,10+3*MIN(AD$3,$D$2-1)))))</f>
        <v>0</v>
      </c>
      <c r="AE8" s="131" t="n">
        <f aca="false">IF(OR($C8="",$B$2="",$D$2=0),0,IF(AE$3&lt;0,0,N(INDEX('CURVA PREVISION'!$A$1:$KZ$3000,$C8,10+3*MIN(AE$3,$D$2-1)))))</f>
        <v>0</v>
      </c>
      <c r="AF8" s="131" t="n">
        <f aca="false">IF(OR($C8="",$B$2="",$D$2=0),0,IF(AF$3&lt;0,0,N(INDEX('CURVA PREVISION'!$A$1:$KZ$3000,$C8,10+3*MIN(AF$3,$D$2-1)))))</f>
        <v>0</v>
      </c>
      <c r="AG8" s="131" t="n">
        <f aca="false">IF(OR($C8="",$B$2="",$D$2=0),0,IF(AG$3&lt;0,0,N(INDEX('CURVA PREVISION'!$A$1:$KZ$3000,$C8,10+3*MIN(AG$3,$D$2-1)))))</f>
        <v>0</v>
      </c>
      <c r="AH8" s="131" t="n">
        <f aca="false">IF(OR($C8="",$B$2="",$D$2=0),0,IF(AH$3&lt;0,0,N(INDEX('CURVA PREVISION'!$A$1:$KZ$3000,$C8,10+3*MIN(AH$3,$D$2-1)))))</f>
        <v>0</v>
      </c>
      <c r="AI8" s="131" t="n">
        <f aca="false">IF(OR($C8="",$B$2="",$D$2=0),0,IF(AI$3&lt;0,0,N(INDEX('CURVA PREVISION'!$A$1:$KZ$3000,$C8,10+3*MIN(AI$3,$D$2-1)))))</f>
        <v>0</v>
      </c>
      <c r="AJ8" s="131" t="n">
        <f aca="false">IF(OR($C8="",$B$2="",$D$2=0),0,IF(AJ$3&lt;0,0,N(INDEX('CURVA PREVISION'!$A$1:$KZ$3000,$C8,10+3*MIN(AJ$3,$D$2-1)))))</f>
        <v>0</v>
      </c>
      <c r="AK8" s="131" t="n">
        <f aca="false">IF(OR($C8="",$B$2="",$D$2=0),0,IF(AK$3&lt;0,0,N(INDEX('CURVA PREVISION'!$A$1:$KZ$3000,$C8,10+3*MIN(AK$3,$D$2-1)))))</f>
        <v>0</v>
      </c>
      <c r="AL8" s="131" t="n">
        <f aca="false">IF(OR($C8="",$B$2="",$D$2=0),0,IF(AL$3&lt;0,0,N(INDEX('CURVA PREVISION'!$A$1:$KZ$3000,$C8,10+3*MIN(AL$3,$D$2-1)))))</f>
        <v>0</v>
      </c>
      <c r="AM8" s="131" t="n">
        <f aca="false">IF(OR($C8="",$B$2="",$D$2=0),0,IF(AM$3&lt;0,0,N(INDEX('CURVA PREVISION'!$A$1:$KZ$3000,$C8,10+3*MIN(AM$3,$D$2-1)))))</f>
        <v>0</v>
      </c>
      <c r="AN8" s="131" t="n">
        <f aca="false">IF(OR($C8="",$B$2="",$D$2=0),0,IF(AN$3&lt;0,0,N(INDEX('CURVA PREVISION'!$A$1:$KZ$3000,$C8,10+3*MIN(AN$3,$D$2-1)))))</f>
        <v>0</v>
      </c>
      <c r="AO8" s="131" t="n">
        <f aca="false">IF(OR($C8="",$B$2="",$D$2=0),0,IF(AO$3&lt;0,0,N(INDEX('CURVA PREVISION'!$A$1:$KZ$3000,$C8,10+3*MIN(AO$3,$D$2-1)))))</f>
        <v>0</v>
      </c>
      <c r="AP8" s="131" t="n">
        <f aca="false">IF(OR($C8="",$B$2="",$D$2=0),0,IF(AP$3&lt;0,0,N(INDEX('CURVA PREVISION'!$A$1:$KZ$3000,$C8,10+3*MIN(AP$3,$D$2-1)))))</f>
        <v>0</v>
      </c>
      <c r="AQ8" s="131" t="n">
        <f aca="false">IF(OR($C8="",$B$2="",$D$2=0),0,IF(AQ$3&lt;0,0,N(INDEX('CURVA PREVISION'!$A$1:$KZ$3000,$C8,10+3*MIN(AQ$3,$D$2-1)))))</f>
        <v>0</v>
      </c>
      <c r="AR8" s="131" t="n">
        <f aca="false">IF(OR($C8="",$B$2="",$D$2=0),0,IF(AR$3&lt;0,0,N(INDEX('CURVA PREVISION'!$A$1:$KZ$3000,$C8,10+3*MIN(AR$3,$D$2-1)))))</f>
        <v>0</v>
      </c>
      <c r="AS8" s="131" t="n">
        <f aca="false">IF(OR($C8="",$B$2="",$D$2=0),0,IF(AS$3&lt;0,0,N(INDEX('CURVA PREVISION'!$A$1:$KZ$3000,$C8,10+3*MIN(AS$3,$D$2-1)))))</f>
        <v>0</v>
      </c>
      <c r="AT8" s="131" t="n">
        <f aca="false">IF(OR($C8="",$B$2="",$D$2=0),0,IF(AT$3&lt;0,0,N(INDEX('CURVA PREVISION'!$A$1:$KZ$3000,$C8,10+3*MIN(AT$3,$D$2-1)))))</f>
        <v>0</v>
      </c>
      <c r="AU8" s="131" t="n">
        <f aca="false">IF(OR($C8="",$B$2="",$D$2=0),0,IF(AU$3&lt;0,0,N(INDEX('CURVA PREVISION'!$A$1:$KZ$3000,$C8,10+3*MIN(AU$3,$D$2-1)))))</f>
        <v>0</v>
      </c>
      <c r="AV8" s="131" t="n">
        <f aca="false">IF(OR($C8="",$B$2="",$D$2=0),0,IF(AV$3&lt;0,0,N(INDEX('CURVA PREVISION'!$A$1:$KZ$3000,$C8,10+3*MIN(AV$3,$D$2-1)))))</f>
        <v>0</v>
      </c>
      <c r="AW8" s="131" t="n">
        <f aca="false">IF(OR($C8="",$B$2="",$D$2=0),0,IF(AW$3&lt;0,0,N(INDEX('CURVA PREVISION'!$A$1:$KZ$3000,$C8,10+3*MIN(AW$3,$D$2-1)))))</f>
        <v>0</v>
      </c>
      <c r="AX8" s="131" t="n">
        <f aca="false">IF(OR($C8="",$B$2="",$D$2=0),0,IF(AX$3&lt;0,0,N(INDEX('CURVA PREVISION'!$A$1:$KZ$3000,$C8,10+3*MIN(AX$3,$D$2-1)))))</f>
        <v>0</v>
      </c>
      <c r="AY8" s="131" t="n">
        <f aca="false">IF(OR($C8="",$B$2="",$D$2=0),0,IF(AY$3&lt;0,0,N(INDEX('CURVA PREVISION'!$A$1:$KZ$3000,$C8,10+3*MIN(AY$3,$D$2-1)))))</f>
        <v>0</v>
      </c>
      <c r="AZ8" s="131" t="n">
        <f aca="false">IF(OR($C8="",$B$2="",$D$2=0),0,IF(AZ$3&lt;0,0,N(INDEX('CURVA PREVISION'!$A$1:$KZ$3000,$C8,10+3*MIN(AZ$3,$D$2-1)))))</f>
        <v>0</v>
      </c>
      <c r="BA8" s="131" t="n">
        <f aca="false">IF(OR($C8="",$B$2="",$D$2=0),0,IF(BA$3&lt;0,0,N(INDEX('CURVA PREVISION'!$A$1:$KZ$3000,$C8,10+3*MIN(BA$3,$D$2-1)))))</f>
        <v>0</v>
      </c>
      <c r="BB8" s="131" t="n">
        <f aca="false">IF(OR($C8="",$B$2="",$D$2=0),0,IF(BB$3&lt;0,0,N(INDEX('CURVA PREVISION'!$A$1:$KZ$3000,$C8,10+3*MIN(BB$3,$D$2-1)))))</f>
        <v>0</v>
      </c>
      <c r="BC8" s="131" t="n">
        <f aca="false">IF(OR($C8="",$B$2="",$D$2=0),0,IF(BC$3&lt;0,0,N(INDEX('CURVA PREVISION'!$A$1:$KZ$3000,$C8,10+3*MIN(BC$3,$D$2-1)))))</f>
        <v>0</v>
      </c>
      <c r="BD8" s="131" t="n">
        <f aca="false">IF(OR($C8="",$B$2="",$D$2=0),0,IF(BD$3&lt;0,0,N(INDEX('CURVA PREVISION'!$A$1:$KZ$3000,$C8,10+3*MIN(BD$3,$D$2-1)))))</f>
        <v>0</v>
      </c>
      <c r="BE8" s="131" t="n">
        <f aca="false">IF(OR($C8="",$B$2="",$D$2=0),0,IF(BE$3&lt;0,0,N(INDEX('CURVA PREVISION'!$A$1:$KZ$3000,$C8,10+3*MIN(BE$3,$D$2-1)))))</f>
        <v>0</v>
      </c>
      <c r="BF8" s="131" t="n">
        <f aca="false">IF(OR($C8="",$B$2="",$D$2=0),0,IF(BF$3&lt;0,0,N(INDEX('CURVA PREVISION'!$A$1:$KZ$3000,$C8,10+3*MIN(BF$3,$D$2-1)))))</f>
        <v>0</v>
      </c>
      <c r="BG8" s="131" t="n">
        <f aca="false">IF(OR($C8="",$B$2="",$D$2=0),0,IF(BG$3&lt;0,0,N(INDEX('CURVA PREVISION'!$A$1:$KZ$3000,$C8,10+3*MIN(BG$3,$D$2-1)))))</f>
        <v>0</v>
      </c>
      <c r="BH8" s="131" t="n">
        <f aca="false">IF(OR($C8="",$B$2="",$D$2=0),0,IF(BH$3&lt;0,0,N(INDEX('CURVA PREVISION'!$A$1:$KZ$3000,$C8,10+3*MIN(BH$3,$D$2-1)))))</f>
        <v>0</v>
      </c>
      <c r="BI8" s="131" t="n">
        <f aca="false">IF(OR($C8="",$B$2="",$D$2=0),0,IF(BI$3&lt;0,0,N(INDEX('CURVA PREVISION'!$A$1:$KZ$3000,$C8,10+3*MIN(BI$3,$D$2-1)))))</f>
        <v>0</v>
      </c>
      <c r="BJ8" s="131" t="n">
        <f aca="false">IF(OR($C8="",$B$2="",$D$2=0),0,IF(BJ$3&lt;0,0,N(INDEX('CURVA PREVISION'!$A$1:$KZ$3000,$C8,10+3*MIN(BJ$3,$D$2-1)))))</f>
        <v>0</v>
      </c>
      <c r="BK8" s="131" t="n">
        <f aca="false">IF(OR($C8="",$B$2="",$D$2=0),0,IF(BK$3&lt;0,0,N(INDEX('CURVA PREVISION'!$A$1:$KZ$3000,$C8,10+3*MIN(BK$3,$D$2-1)))))</f>
        <v>0</v>
      </c>
      <c r="BL8" s="131" t="n">
        <f aca="false">IF(OR($C8="",$B$2="",$D$2=0),0,IF(BL$3&lt;0,0,N(INDEX('CURVA PREVISION'!$A$1:$KZ$3000,$C8,10+3*MIN(BL$3,$D$2-1)))))</f>
        <v>0</v>
      </c>
      <c r="BM8" s="131" t="n">
        <f aca="false">IF(OR($C8="",$B$2="",$D$2=0),0,IF(BM$3&lt;0,0,N(INDEX('CURVA PREVISION'!$A$1:$KZ$3000,$C8,10+3*MIN(BM$3,$D$2-1)))))</f>
        <v>0</v>
      </c>
      <c r="BN8" s="131" t="n">
        <f aca="false">IF(OR($C8="",$B$2="",$D$2=0),0,IF(BN$3&lt;0,0,N(INDEX('CURVA PREVISION'!$A$1:$KZ$3000,$C8,10+3*MIN(BN$3,$D$2-1)))))</f>
        <v>0</v>
      </c>
      <c r="BO8" s="131" t="n">
        <f aca="false">IF(OR($C8="",$B$2="",$D$2=0),0,IF(BO$3&lt;0,0,N(INDEX('CURVA PREVISION'!$A$1:$KZ$3000,$C8,10+3*MIN(BO$3,$D$2-1)))))</f>
        <v>0</v>
      </c>
      <c r="BP8" s="131" t="n">
        <f aca="false">IF(OR($C8="",$B$2="",$D$2=0),0,IF(BP$3&lt;0,0,N(INDEX('CURVA PREVISION'!$A$1:$KZ$3000,$C8,10+3*MIN(BP$3,$D$2-1)))))</f>
        <v>0</v>
      </c>
      <c r="BQ8" s="131" t="n">
        <f aca="false">IF(OR($C8="",$B$2="",$D$2=0),0,IF(BQ$3&lt;0,0,N(INDEX('CURVA PREVISION'!$A$1:$KZ$3000,$C8,10+3*MIN(BQ$3,$D$2-1)))))</f>
        <v>0</v>
      </c>
      <c r="BR8" s="131" t="n">
        <f aca="false">IF(OR($C8="",$B$2="",$D$2=0),0,IF(BR$3&lt;0,0,N(INDEX('CURVA PREVISION'!$A$1:$KZ$3000,$C8,10+3*MIN(BR$3,$D$2-1)))))</f>
        <v>0</v>
      </c>
      <c r="BS8" s="131" t="n">
        <f aca="false">IF(OR($C8="",$B$2="",$D$2=0),0,IF(BS$3&lt;0,0,N(INDEX('CURVA PREVISION'!$A$1:$KZ$3000,$C8,10+3*MIN(BS$3,$D$2-1)))))</f>
        <v>0</v>
      </c>
      <c r="BT8" s="131" t="n">
        <f aca="false">IF(OR($C8="",$B$2="",$D$2=0),0,IF(BT$3&lt;0,0,N(INDEX('CURVA PREVISION'!$A$1:$KZ$3000,$C8,10+3*MIN(BT$3,$D$2-1)))))</f>
        <v>0</v>
      </c>
      <c r="BU8" s="131" t="n">
        <f aca="false">IF(OR($C8="",$B$2="",$D$2=0),0,IF(BU$3&lt;0,0,N(INDEX('CURVA PREVISION'!$A$1:$KZ$3000,$C8,10+3*MIN(BU$3,$D$2-1)))))</f>
        <v>0</v>
      </c>
      <c r="BV8" s="131" t="n">
        <f aca="false">IF(OR($C8="",$B$2="",$D$2=0),0,IF(BV$3&lt;0,0,N(INDEX('CURVA PREVISION'!$A$1:$KZ$3000,$C8,10+3*MIN(BV$3,$D$2-1)))))</f>
        <v>0</v>
      </c>
      <c r="BW8" s="131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69</v>
      </c>
      <c r="D9" s="131" t="n">
        <f aca="false">IF(OR($C9="",$B$2="",$D$2=0),0,IF(D$3&lt;0,0,N(INDEX('CURVA PREVISION'!$A$1:$KZ$3000,$C9,10+3*MIN(D$3,$D$2-1)))))</f>
        <v>0</v>
      </c>
      <c r="E9" s="131" t="n">
        <f aca="false">IF(OR($C9="",$B$2="",$D$2=0),0,IF(E$3&lt;0,0,N(INDEX('CURVA PREVISION'!$A$1:$KZ$3000,$C9,10+3*MIN(E$3,$D$2-1)))))</f>
        <v>0</v>
      </c>
      <c r="F9" s="131" t="n">
        <f aca="false">IF(OR($C9="",$B$2="",$D$2=0),0,IF(F$3&lt;0,0,N(INDEX('CURVA PREVISION'!$A$1:$KZ$3000,$C9,10+3*MIN(F$3,$D$2-1)))))</f>
        <v>0</v>
      </c>
      <c r="G9" s="131" t="n">
        <f aca="false">IF(OR($C9="",$B$2="",$D$2=0),0,IF(G$3&lt;0,0,N(INDEX('CURVA PREVISION'!$A$1:$KZ$3000,$C9,10+3*MIN(G$3,$D$2-1)))))</f>
        <v>0</v>
      </c>
      <c r="H9" s="131" t="n">
        <f aca="false">IF(OR($C9="",$B$2="",$D$2=0),0,IF(H$3&lt;0,0,N(INDEX('CURVA PREVISION'!$A$1:$KZ$3000,$C9,10+3*MIN(H$3,$D$2-1)))))</f>
        <v>0</v>
      </c>
      <c r="I9" s="131" t="n">
        <f aca="false">IF(OR($C9="",$B$2="",$D$2=0),0,IF(I$3&lt;0,0,N(INDEX('CURVA PREVISION'!$A$1:$KZ$3000,$C9,10+3*MIN(I$3,$D$2-1)))))</f>
        <v>0</v>
      </c>
      <c r="J9" s="131" t="n">
        <f aca="false">IF(OR($C9="",$B$2="",$D$2=0),0,IF(J$3&lt;0,0,N(INDEX('CURVA PREVISION'!$A$1:$KZ$3000,$C9,10+3*MIN(J$3,$D$2-1)))))</f>
        <v>0</v>
      </c>
      <c r="K9" s="131" t="n">
        <f aca="false">IF(OR($C9="",$B$2="",$D$2=0),0,IF(K$3&lt;0,0,N(INDEX('CURVA PREVISION'!$A$1:$KZ$3000,$C9,10+3*MIN(K$3,$D$2-1)))))</f>
        <v>0</v>
      </c>
      <c r="L9" s="131" t="n">
        <f aca="false">IF(OR($C9="",$B$2="",$D$2=0),0,IF(L$3&lt;0,0,N(INDEX('CURVA PREVISION'!$A$1:$KZ$3000,$C9,10+3*MIN(L$3,$D$2-1)))))</f>
        <v>0</v>
      </c>
      <c r="M9" s="131" t="n">
        <f aca="false">IF(OR($C9="",$B$2="",$D$2=0),0,IF(M$3&lt;0,0,N(INDEX('CURVA PREVISION'!$A$1:$KZ$3000,$C9,10+3*MIN(M$3,$D$2-1)))))</f>
        <v>0</v>
      </c>
      <c r="N9" s="131" t="n">
        <f aca="false">IF(OR($C9="",$B$2="",$D$2=0),0,IF(N$3&lt;0,0,N(INDEX('CURVA PREVISION'!$A$1:$KZ$3000,$C9,10+3*MIN(N$3,$D$2-1)))))</f>
        <v>0</v>
      </c>
      <c r="O9" s="131" t="n">
        <f aca="false">IF(OR($C9="",$B$2="",$D$2=0),0,IF(O$3&lt;0,0,N(INDEX('CURVA PREVISION'!$A$1:$KZ$3000,$C9,10+3*MIN(O$3,$D$2-1)))))</f>
        <v>0</v>
      </c>
      <c r="P9" s="131" t="n">
        <f aca="false">IF(OR($C9="",$B$2="",$D$2=0),0,IF(P$3&lt;0,0,N(INDEX('CURVA PREVISION'!$A$1:$KZ$3000,$C9,10+3*MIN(P$3,$D$2-1)))))</f>
        <v>0</v>
      </c>
      <c r="Q9" s="131" t="n">
        <f aca="false">IF(OR($C9="",$B$2="",$D$2=0),0,IF(Q$3&lt;0,0,N(INDEX('CURVA PREVISION'!$A$1:$KZ$3000,$C9,10+3*MIN(Q$3,$D$2-1)))))</f>
        <v>0</v>
      </c>
      <c r="R9" s="131" t="n">
        <f aca="false">IF(OR($C9="",$B$2="",$D$2=0),0,IF(R$3&lt;0,0,N(INDEX('CURVA PREVISION'!$A$1:$KZ$3000,$C9,10+3*MIN(R$3,$D$2-1)))))</f>
        <v>0</v>
      </c>
      <c r="S9" s="131" t="n">
        <f aca="false">IF(OR($C9="",$B$2="",$D$2=0),0,IF(S$3&lt;0,0,N(INDEX('CURVA PREVISION'!$A$1:$KZ$3000,$C9,10+3*MIN(S$3,$D$2-1)))))</f>
        <v>0</v>
      </c>
      <c r="T9" s="131" t="n">
        <f aca="false">IF(OR($C9="",$B$2="",$D$2=0),0,IF(T$3&lt;0,0,N(INDEX('CURVA PREVISION'!$A$1:$KZ$3000,$C9,10+3*MIN(T$3,$D$2-1)))))</f>
        <v>0</v>
      </c>
      <c r="U9" s="131" t="n">
        <f aca="false">IF(OR($C9="",$B$2="",$D$2=0),0,IF(U$3&lt;0,0,N(INDEX('CURVA PREVISION'!$A$1:$KZ$3000,$C9,10+3*MIN(U$3,$D$2-1)))))</f>
        <v>0</v>
      </c>
      <c r="V9" s="131" t="n">
        <f aca="false">IF(OR($C9="",$B$2="",$D$2=0),0,IF(V$3&lt;0,0,N(INDEX('CURVA PREVISION'!$A$1:$KZ$3000,$C9,10+3*MIN(V$3,$D$2-1)))))</f>
        <v>0</v>
      </c>
      <c r="W9" s="131" t="n">
        <f aca="false">IF(OR($C9="",$B$2="",$D$2=0),0,IF(W$3&lt;0,0,N(INDEX('CURVA PREVISION'!$A$1:$KZ$3000,$C9,10+3*MIN(W$3,$D$2-1)))))</f>
        <v>0</v>
      </c>
      <c r="X9" s="131" t="n">
        <f aca="false">IF(OR($C9="",$B$2="",$D$2=0),0,IF(X$3&lt;0,0,N(INDEX('CURVA PREVISION'!$A$1:$KZ$3000,$C9,10+3*MIN(X$3,$D$2-1)))))</f>
        <v>0</v>
      </c>
      <c r="Y9" s="131" t="n">
        <f aca="false">IF(OR($C9="",$B$2="",$D$2=0),0,IF(Y$3&lt;0,0,N(INDEX('CURVA PREVISION'!$A$1:$KZ$3000,$C9,10+3*MIN(Y$3,$D$2-1)))))</f>
        <v>0</v>
      </c>
      <c r="Z9" s="131" t="n">
        <f aca="false">IF(OR($C9="",$B$2="",$D$2=0),0,IF(Z$3&lt;0,0,N(INDEX('CURVA PREVISION'!$A$1:$KZ$3000,$C9,10+3*MIN(Z$3,$D$2-1)))))</f>
        <v>0</v>
      </c>
      <c r="AA9" s="131" t="n">
        <f aca="false">IF(OR($C9="",$B$2="",$D$2=0),0,IF(AA$3&lt;0,0,N(INDEX('CURVA PREVISION'!$A$1:$KZ$3000,$C9,10+3*MIN(AA$3,$D$2-1)))))</f>
        <v>0</v>
      </c>
      <c r="AB9" s="131" t="n">
        <f aca="false">IF(OR($C9="",$B$2="",$D$2=0),0,IF(AB$3&lt;0,0,N(INDEX('CURVA PREVISION'!$A$1:$KZ$3000,$C9,10+3*MIN(AB$3,$D$2-1)))))</f>
        <v>0</v>
      </c>
      <c r="AC9" s="131" t="n">
        <f aca="false">IF(OR($C9="",$B$2="",$D$2=0),0,IF(AC$3&lt;0,0,N(INDEX('CURVA PREVISION'!$A$1:$KZ$3000,$C9,10+3*MIN(AC$3,$D$2-1)))))</f>
        <v>0</v>
      </c>
      <c r="AD9" s="131" t="n">
        <f aca="false">IF(OR($C9="",$B$2="",$D$2=0),0,IF(AD$3&lt;0,0,N(INDEX('CURVA PREVISION'!$A$1:$KZ$3000,$C9,10+3*MIN(AD$3,$D$2-1)))))</f>
        <v>0</v>
      </c>
      <c r="AE9" s="131" t="n">
        <f aca="false">IF(OR($C9="",$B$2="",$D$2=0),0,IF(AE$3&lt;0,0,N(INDEX('CURVA PREVISION'!$A$1:$KZ$3000,$C9,10+3*MIN(AE$3,$D$2-1)))))</f>
        <v>0</v>
      </c>
      <c r="AF9" s="131" t="n">
        <f aca="false">IF(OR($C9="",$B$2="",$D$2=0),0,IF(AF$3&lt;0,0,N(INDEX('CURVA PREVISION'!$A$1:$KZ$3000,$C9,10+3*MIN(AF$3,$D$2-1)))))</f>
        <v>0</v>
      </c>
      <c r="AG9" s="131" t="n">
        <f aca="false">IF(OR($C9="",$B$2="",$D$2=0),0,IF(AG$3&lt;0,0,N(INDEX('CURVA PREVISION'!$A$1:$KZ$3000,$C9,10+3*MIN(AG$3,$D$2-1)))))</f>
        <v>0</v>
      </c>
      <c r="AH9" s="131" t="n">
        <f aca="false">IF(OR($C9="",$B$2="",$D$2=0),0,IF(AH$3&lt;0,0,N(INDEX('CURVA PREVISION'!$A$1:$KZ$3000,$C9,10+3*MIN(AH$3,$D$2-1)))))</f>
        <v>0</v>
      </c>
      <c r="AI9" s="131" t="n">
        <f aca="false">IF(OR($C9="",$B$2="",$D$2=0),0,IF(AI$3&lt;0,0,N(INDEX('CURVA PREVISION'!$A$1:$KZ$3000,$C9,10+3*MIN(AI$3,$D$2-1)))))</f>
        <v>0</v>
      </c>
      <c r="AJ9" s="131" t="n">
        <f aca="false">IF(OR($C9="",$B$2="",$D$2=0),0,IF(AJ$3&lt;0,0,N(INDEX('CURVA PREVISION'!$A$1:$KZ$3000,$C9,10+3*MIN(AJ$3,$D$2-1)))))</f>
        <v>0</v>
      </c>
      <c r="AK9" s="131" t="n">
        <f aca="false">IF(OR($C9="",$B$2="",$D$2=0),0,IF(AK$3&lt;0,0,N(INDEX('CURVA PREVISION'!$A$1:$KZ$3000,$C9,10+3*MIN(AK$3,$D$2-1)))))</f>
        <v>0</v>
      </c>
      <c r="AL9" s="131" t="n">
        <f aca="false">IF(OR($C9="",$B$2="",$D$2=0),0,IF(AL$3&lt;0,0,N(INDEX('CURVA PREVISION'!$A$1:$KZ$3000,$C9,10+3*MIN(AL$3,$D$2-1)))))</f>
        <v>0</v>
      </c>
      <c r="AM9" s="131" t="n">
        <f aca="false">IF(OR($C9="",$B$2="",$D$2=0),0,IF(AM$3&lt;0,0,N(INDEX('CURVA PREVISION'!$A$1:$KZ$3000,$C9,10+3*MIN(AM$3,$D$2-1)))))</f>
        <v>0</v>
      </c>
      <c r="AN9" s="131" t="n">
        <f aca="false">IF(OR($C9="",$B$2="",$D$2=0),0,IF(AN$3&lt;0,0,N(INDEX('CURVA PREVISION'!$A$1:$KZ$3000,$C9,10+3*MIN(AN$3,$D$2-1)))))</f>
        <v>0</v>
      </c>
      <c r="AO9" s="131" t="n">
        <f aca="false">IF(OR($C9="",$B$2="",$D$2=0),0,IF(AO$3&lt;0,0,N(INDEX('CURVA PREVISION'!$A$1:$KZ$3000,$C9,10+3*MIN(AO$3,$D$2-1)))))</f>
        <v>0</v>
      </c>
      <c r="AP9" s="131" t="n">
        <f aca="false">IF(OR($C9="",$B$2="",$D$2=0),0,IF(AP$3&lt;0,0,N(INDEX('CURVA PREVISION'!$A$1:$KZ$3000,$C9,10+3*MIN(AP$3,$D$2-1)))))</f>
        <v>0</v>
      </c>
      <c r="AQ9" s="131" t="n">
        <f aca="false">IF(OR($C9="",$B$2="",$D$2=0),0,IF(AQ$3&lt;0,0,N(INDEX('CURVA PREVISION'!$A$1:$KZ$3000,$C9,10+3*MIN(AQ$3,$D$2-1)))))</f>
        <v>0</v>
      </c>
      <c r="AR9" s="131" t="n">
        <f aca="false">IF(OR($C9="",$B$2="",$D$2=0),0,IF(AR$3&lt;0,0,N(INDEX('CURVA PREVISION'!$A$1:$KZ$3000,$C9,10+3*MIN(AR$3,$D$2-1)))))</f>
        <v>0</v>
      </c>
      <c r="AS9" s="131" t="n">
        <f aca="false">IF(OR($C9="",$B$2="",$D$2=0),0,IF(AS$3&lt;0,0,N(INDEX('CURVA PREVISION'!$A$1:$KZ$3000,$C9,10+3*MIN(AS$3,$D$2-1)))))</f>
        <v>0</v>
      </c>
      <c r="AT9" s="131" t="n">
        <f aca="false">IF(OR($C9="",$B$2="",$D$2=0),0,IF(AT$3&lt;0,0,N(INDEX('CURVA PREVISION'!$A$1:$KZ$3000,$C9,10+3*MIN(AT$3,$D$2-1)))))</f>
        <v>0</v>
      </c>
      <c r="AU9" s="131" t="n">
        <f aca="false">IF(OR($C9="",$B$2="",$D$2=0),0,IF(AU$3&lt;0,0,N(INDEX('CURVA PREVISION'!$A$1:$KZ$3000,$C9,10+3*MIN(AU$3,$D$2-1)))))</f>
        <v>0</v>
      </c>
      <c r="AV9" s="131" t="n">
        <f aca="false">IF(OR($C9="",$B$2="",$D$2=0),0,IF(AV$3&lt;0,0,N(INDEX('CURVA PREVISION'!$A$1:$KZ$3000,$C9,10+3*MIN(AV$3,$D$2-1)))))</f>
        <v>0</v>
      </c>
      <c r="AW9" s="131" t="n">
        <f aca="false">IF(OR($C9="",$B$2="",$D$2=0),0,IF(AW$3&lt;0,0,N(INDEX('CURVA PREVISION'!$A$1:$KZ$3000,$C9,10+3*MIN(AW$3,$D$2-1)))))</f>
        <v>0</v>
      </c>
      <c r="AX9" s="131" t="n">
        <f aca="false">IF(OR($C9="",$B$2="",$D$2=0),0,IF(AX$3&lt;0,0,N(INDEX('CURVA PREVISION'!$A$1:$KZ$3000,$C9,10+3*MIN(AX$3,$D$2-1)))))</f>
        <v>0</v>
      </c>
      <c r="AY9" s="131" t="n">
        <f aca="false">IF(OR($C9="",$B$2="",$D$2=0),0,IF(AY$3&lt;0,0,N(INDEX('CURVA PREVISION'!$A$1:$KZ$3000,$C9,10+3*MIN(AY$3,$D$2-1)))))</f>
        <v>0</v>
      </c>
      <c r="AZ9" s="131" t="n">
        <f aca="false">IF(OR($C9="",$B$2="",$D$2=0),0,IF(AZ$3&lt;0,0,N(INDEX('CURVA PREVISION'!$A$1:$KZ$3000,$C9,10+3*MIN(AZ$3,$D$2-1)))))</f>
        <v>0</v>
      </c>
      <c r="BA9" s="131" t="n">
        <f aca="false">IF(OR($C9="",$B$2="",$D$2=0),0,IF(BA$3&lt;0,0,N(INDEX('CURVA PREVISION'!$A$1:$KZ$3000,$C9,10+3*MIN(BA$3,$D$2-1)))))</f>
        <v>0</v>
      </c>
      <c r="BB9" s="131" t="n">
        <f aca="false">IF(OR($C9="",$B$2="",$D$2=0),0,IF(BB$3&lt;0,0,N(INDEX('CURVA PREVISION'!$A$1:$KZ$3000,$C9,10+3*MIN(BB$3,$D$2-1)))))</f>
        <v>0</v>
      </c>
      <c r="BC9" s="131" t="n">
        <f aca="false">IF(OR($C9="",$B$2="",$D$2=0),0,IF(BC$3&lt;0,0,N(INDEX('CURVA PREVISION'!$A$1:$KZ$3000,$C9,10+3*MIN(BC$3,$D$2-1)))))</f>
        <v>0</v>
      </c>
      <c r="BD9" s="131" t="n">
        <f aca="false">IF(OR($C9="",$B$2="",$D$2=0),0,IF(BD$3&lt;0,0,N(INDEX('CURVA PREVISION'!$A$1:$KZ$3000,$C9,10+3*MIN(BD$3,$D$2-1)))))</f>
        <v>0</v>
      </c>
      <c r="BE9" s="131" t="n">
        <f aca="false">IF(OR($C9="",$B$2="",$D$2=0),0,IF(BE$3&lt;0,0,N(INDEX('CURVA PREVISION'!$A$1:$KZ$3000,$C9,10+3*MIN(BE$3,$D$2-1)))))</f>
        <v>0</v>
      </c>
      <c r="BF9" s="131" t="n">
        <f aca="false">IF(OR($C9="",$B$2="",$D$2=0),0,IF(BF$3&lt;0,0,N(INDEX('CURVA PREVISION'!$A$1:$KZ$3000,$C9,10+3*MIN(BF$3,$D$2-1)))))</f>
        <v>0</v>
      </c>
      <c r="BG9" s="131" t="n">
        <f aca="false">IF(OR($C9="",$B$2="",$D$2=0),0,IF(BG$3&lt;0,0,N(INDEX('CURVA PREVISION'!$A$1:$KZ$3000,$C9,10+3*MIN(BG$3,$D$2-1)))))</f>
        <v>0</v>
      </c>
      <c r="BH9" s="131" t="n">
        <f aca="false">IF(OR($C9="",$B$2="",$D$2=0),0,IF(BH$3&lt;0,0,N(INDEX('CURVA PREVISION'!$A$1:$KZ$3000,$C9,10+3*MIN(BH$3,$D$2-1)))))</f>
        <v>0</v>
      </c>
      <c r="BI9" s="131" t="n">
        <f aca="false">IF(OR($C9="",$B$2="",$D$2=0),0,IF(BI$3&lt;0,0,N(INDEX('CURVA PREVISION'!$A$1:$KZ$3000,$C9,10+3*MIN(BI$3,$D$2-1)))))</f>
        <v>0</v>
      </c>
      <c r="BJ9" s="131" t="n">
        <f aca="false">IF(OR($C9="",$B$2="",$D$2=0),0,IF(BJ$3&lt;0,0,N(INDEX('CURVA PREVISION'!$A$1:$KZ$3000,$C9,10+3*MIN(BJ$3,$D$2-1)))))</f>
        <v>0</v>
      </c>
      <c r="BK9" s="131" t="n">
        <f aca="false">IF(OR($C9="",$B$2="",$D$2=0),0,IF(BK$3&lt;0,0,N(INDEX('CURVA PREVISION'!$A$1:$KZ$3000,$C9,10+3*MIN(BK$3,$D$2-1)))))</f>
        <v>0</v>
      </c>
      <c r="BL9" s="131" t="n">
        <f aca="false">IF(OR($C9="",$B$2="",$D$2=0),0,IF(BL$3&lt;0,0,N(INDEX('CURVA PREVISION'!$A$1:$KZ$3000,$C9,10+3*MIN(BL$3,$D$2-1)))))</f>
        <v>0</v>
      </c>
      <c r="BM9" s="131" t="n">
        <f aca="false">IF(OR($C9="",$B$2="",$D$2=0),0,IF(BM$3&lt;0,0,N(INDEX('CURVA PREVISION'!$A$1:$KZ$3000,$C9,10+3*MIN(BM$3,$D$2-1)))))</f>
        <v>0</v>
      </c>
      <c r="BN9" s="131" t="n">
        <f aca="false">IF(OR($C9="",$B$2="",$D$2=0),0,IF(BN$3&lt;0,0,N(INDEX('CURVA PREVISION'!$A$1:$KZ$3000,$C9,10+3*MIN(BN$3,$D$2-1)))))</f>
        <v>0</v>
      </c>
      <c r="BO9" s="131" t="n">
        <f aca="false">IF(OR($C9="",$B$2="",$D$2=0),0,IF(BO$3&lt;0,0,N(INDEX('CURVA PREVISION'!$A$1:$KZ$3000,$C9,10+3*MIN(BO$3,$D$2-1)))))</f>
        <v>0</v>
      </c>
      <c r="BP9" s="131" t="n">
        <f aca="false">IF(OR($C9="",$B$2="",$D$2=0),0,IF(BP$3&lt;0,0,N(INDEX('CURVA PREVISION'!$A$1:$KZ$3000,$C9,10+3*MIN(BP$3,$D$2-1)))))</f>
        <v>0</v>
      </c>
      <c r="BQ9" s="131" t="n">
        <f aca="false">IF(OR($C9="",$B$2="",$D$2=0),0,IF(BQ$3&lt;0,0,N(INDEX('CURVA PREVISION'!$A$1:$KZ$3000,$C9,10+3*MIN(BQ$3,$D$2-1)))))</f>
        <v>0</v>
      </c>
      <c r="BR9" s="131" t="n">
        <f aca="false">IF(OR($C9="",$B$2="",$D$2=0),0,IF(BR$3&lt;0,0,N(INDEX('CURVA PREVISION'!$A$1:$KZ$3000,$C9,10+3*MIN(BR$3,$D$2-1)))))</f>
        <v>0</v>
      </c>
      <c r="BS9" s="131" t="n">
        <f aca="false">IF(OR($C9="",$B$2="",$D$2=0),0,IF(BS$3&lt;0,0,N(INDEX('CURVA PREVISION'!$A$1:$KZ$3000,$C9,10+3*MIN(BS$3,$D$2-1)))))</f>
        <v>0</v>
      </c>
      <c r="BT9" s="131" t="n">
        <f aca="false">IF(OR($C9="",$B$2="",$D$2=0),0,IF(BT$3&lt;0,0,N(INDEX('CURVA PREVISION'!$A$1:$KZ$3000,$C9,10+3*MIN(BT$3,$D$2-1)))))</f>
        <v>0</v>
      </c>
      <c r="BU9" s="131" t="n">
        <f aca="false">IF(OR($C9="",$B$2="",$D$2=0),0,IF(BU$3&lt;0,0,N(INDEX('CURVA PREVISION'!$A$1:$KZ$3000,$C9,10+3*MIN(BU$3,$D$2-1)))))</f>
        <v>0</v>
      </c>
      <c r="BV9" s="131" t="n">
        <f aca="false">IF(OR($C9="",$B$2="",$D$2=0),0,IF(BV$3&lt;0,0,N(INDEX('CURVA PREVISION'!$A$1:$KZ$3000,$C9,10+3*MIN(BV$3,$D$2-1)))))</f>
        <v>0</v>
      </c>
      <c r="BW9" s="131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73</v>
      </c>
      <c r="D10" s="131" t="n">
        <f aca="false">IF(OR($C10="",$B$2="",$D$2=0),0,IF(D$3&lt;0,0,N(INDEX('CURVA PREVISION'!$A$1:$KZ$3000,$C10,10+3*MIN(D$3,$D$2-1)))))</f>
        <v>0</v>
      </c>
      <c r="E10" s="131" t="n">
        <f aca="false">IF(OR($C10="",$B$2="",$D$2=0),0,IF(E$3&lt;0,0,N(INDEX('CURVA PREVISION'!$A$1:$KZ$3000,$C10,10+3*MIN(E$3,$D$2-1)))))</f>
        <v>0</v>
      </c>
      <c r="F10" s="131" t="n">
        <f aca="false">IF(OR($C10="",$B$2="",$D$2=0),0,IF(F$3&lt;0,0,N(INDEX('CURVA PREVISION'!$A$1:$KZ$3000,$C10,10+3*MIN(F$3,$D$2-1)))))</f>
        <v>0</v>
      </c>
      <c r="G10" s="131" t="n">
        <f aca="false">IF(OR($C10="",$B$2="",$D$2=0),0,IF(G$3&lt;0,0,N(INDEX('CURVA PREVISION'!$A$1:$KZ$3000,$C10,10+3*MIN(G$3,$D$2-1)))))</f>
        <v>0</v>
      </c>
      <c r="H10" s="131" t="n">
        <f aca="false">IF(OR($C10="",$B$2="",$D$2=0),0,IF(H$3&lt;0,0,N(INDEX('CURVA PREVISION'!$A$1:$KZ$3000,$C10,10+3*MIN(H$3,$D$2-1)))))</f>
        <v>0</v>
      </c>
      <c r="I10" s="131" t="n">
        <f aca="false">IF(OR($C10="",$B$2="",$D$2=0),0,IF(I$3&lt;0,0,N(INDEX('CURVA PREVISION'!$A$1:$KZ$3000,$C10,10+3*MIN(I$3,$D$2-1)))))</f>
        <v>0</v>
      </c>
      <c r="J10" s="131" t="n">
        <f aca="false">IF(OR($C10="",$B$2="",$D$2=0),0,IF(J$3&lt;0,0,N(INDEX('CURVA PREVISION'!$A$1:$KZ$3000,$C10,10+3*MIN(J$3,$D$2-1)))))</f>
        <v>0</v>
      </c>
      <c r="K10" s="131" t="n">
        <f aca="false">IF(OR($C10="",$B$2="",$D$2=0),0,IF(K$3&lt;0,0,N(INDEX('CURVA PREVISION'!$A$1:$KZ$3000,$C10,10+3*MIN(K$3,$D$2-1)))))</f>
        <v>0</v>
      </c>
      <c r="L10" s="131" t="n">
        <f aca="false">IF(OR($C10="",$B$2="",$D$2=0),0,IF(L$3&lt;0,0,N(INDEX('CURVA PREVISION'!$A$1:$KZ$3000,$C10,10+3*MIN(L$3,$D$2-1)))))</f>
        <v>0</v>
      </c>
      <c r="M10" s="131" t="n">
        <f aca="false">IF(OR($C10="",$B$2="",$D$2=0),0,IF(M$3&lt;0,0,N(INDEX('CURVA PREVISION'!$A$1:$KZ$3000,$C10,10+3*MIN(M$3,$D$2-1)))))</f>
        <v>0</v>
      </c>
      <c r="N10" s="131" t="n">
        <f aca="false">IF(OR($C10="",$B$2="",$D$2=0),0,IF(N$3&lt;0,0,N(INDEX('CURVA PREVISION'!$A$1:$KZ$3000,$C10,10+3*MIN(N$3,$D$2-1)))))</f>
        <v>0</v>
      </c>
      <c r="O10" s="131" t="n">
        <f aca="false">IF(OR($C10="",$B$2="",$D$2=0),0,IF(O$3&lt;0,0,N(INDEX('CURVA PREVISION'!$A$1:$KZ$3000,$C10,10+3*MIN(O$3,$D$2-1)))))</f>
        <v>0</v>
      </c>
      <c r="P10" s="131" t="n">
        <f aca="false">IF(OR($C10="",$B$2="",$D$2=0),0,IF(P$3&lt;0,0,N(INDEX('CURVA PREVISION'!$A$1:$KZ$3000,$C10,10+3*MIN(P$3,$D$2-1)))))</f>
        <v>0</v>
      </c>
      <c r="Q10" s="131" t="n">
        <f aca="false">IF(OR($C10="",$B$2="",$D$2=0),0,IF(Q$3&lt;0,0,N(INDEX('CURVA PREVISION'!$A$1:$KZ$3000,$C10,10+3*MIN(Q$3,$D$2-1)))))</f>
        <v>0</v>
      </c>
      <c r="R10" s="131" t="n">
        <f aca="false">IF(OR($C10="",$B$2="",$D$2=0),0,IF(R$3&lt;0,0,N(INDEX('CURVA PREVISION'!$A$1:$KZ$3000,$C10,10+3*MIN(R$3,$D$2-1)))))</f>
        <v>0</v>
      </c>
      <c r="S10" s="131" t="n">
        <f aca="false">IF(OR($C10="",$B$2="",$D$2=0),0,IF(S$3&lt;0,0,N(INDEX('CURVA PREVISION'!$A$1:$KZ$3000,$C10,10+3*MIN(S$3,$D$2-1)))))</f>
        <v>0</v>
      </c>
      <c r="T10" s="131" t="n">
        <f aca="false">IF(OR($C10="",$B$2="",$D$2=0),0,IF(T$3&lt;0,0,N(INDEX('CURVA PREVISION'!$A$1:$KZ$3000,$C10,10+3*MIN(T$3,$D$2-1)))))</f>
        <v>0</v>
      </c>
      <c r="U10" s="131" t="n">
        <f aca="false">IF(OR($C10="",$B$2="",$D$2=0),0,IF(U$3&lt;0,0,N(INDEX('CURVA PREVISION'!$A$1:$KZ$3000,$C10,10+3*MIN(U$3,$D$2-1)))))</f>
        <v>0</v>
      </c>
      <c r="V10" s="131" t="n">
        <f aca="false">IF(OR($C10="",$B$2="",$D$2=0),0,IF(V$3&lt;0,0,N(INDEX('CURVA PREVISION'!$A$1:$KZ$3000,$C10,10+3*MIN(V$3,$D$2-1)))))</f>
        <v>0</v>
      </c>
      <c r="W10" s="131" t="n">
        <f aca="false">IF(OR($C10="",$B$2="",$D$2=0),0,IF(W$3&lt;0,0,N(INDEX('CURVA PREVISION'!$A$1:$KZ$3000,$C10,10+3*MIN(W$3,$D$2-1)))))</f>
        <v>0</v>
      </c>
      <c r="X10" s="131" t="n">
        <f aca="false">IF(OR($C10="",$B$2="",$D$2=0),0,IF(X$3&lt;0,0,N(INDEX('CURVA PREVISION'!$A$1:$KZ$3000,$C10,10+3*MIN(X$3,$D$2-1)))))</f>
        <v>0</v>
      </c>
      <c r="Y10" s="131" t="n">
        <f aca="false">IF(OR($C10="",$B$2="",$D$2=0),0,IF(Y$3&lt;0,0,N(INDEX('CURVA PREVISION'!$A$1:$KZ$3000,$C10,10+3*MIN(Y$3,$D$2-1)))))</f>
        <v>0</v>
      </c>
      <c r="Z10" s="131" t="n">
        <f aca="false">IF(OR($C10="",$B$2="",$D$2=0),0,IF(Z$3&lt;0,0,N(INDEX('CURVA PREVISION'!$A$1:$KZ$3000,$C10,10+3*MIN(Z$3,$D$2-1)))))</f>
        <v>0</v>
      </c>
      <c r="AA10" s="131" t="n">
        <f aca="false">IF(OR($C10="",$B$2="",$D$2=0),0,IF(AA$3&lt;0,0,N(INDEX('CURVA PREVISION'!$A$1:$KZ$3000,$C10,10+3*MIN(AA$3,$D$2-1)))))</f>
        <v>0</v>
      </c>
      <c r="AB10" s="131" t="n">
        <f aca="false">IF(OR($C10="",$B$2="",$D$2=0),0,IF(AB$3&lt;0,0,N(INDEX('CURVA PREVISION'!$A$1:$KZ$3000,$C10,10+3*MIN(AB$3,$D$2-1)))))</f>
        <v>0</v>
      </c>
      <c r="AC10" s="131" t="n">
        <f aca="false">IF(OR($C10="",$B$2="",$D$2=0),0,IF(AC$3&lt;0,0,N(INDEX('CURVA PREVISION'!$A$1:$KZ$3000,$C10,10+3*MIN(AC$3,$D$2-1)))))</f>
        <v>0</v>
      </c>
      <c r="AD10" s="131" t="n">
        <f aca="false">IF(OR($C10="",$B$2="",$D$2=0),0,IF(AD$3&lt;0,0,N(INDEX('CURVA PREVISION'!$A$1:$KZ$3000,$C10,10+3*MIN(AD$3,$D$2-1)))))</f>
        <v>0</v>
      </c>
      <c r="AE10" s="131" t="n">
        <f aca="false">IF(OR($C10="",$B$2="",$D$2=0),0,IF(AE$3&lt;0,0,N(INDEX('CURVA PREVISION'!$A$1:$KZ$3000,$C10,10+3*MIN(AE$3,$D$2-1)))))</f>
        <v>0</v>
      </c>
      <c r="AF10" s="131" t="n">
        <f aca="false">IF(OR($C10="",$B$2="",$D$2=0),0,IF(AF$3&lt;0,0,N(INDEX('CURVA PREVISION'!$A$1:$KZ$3000,$C10,10+3*MIN(AF$3,$D$2-1)))))</f>
        <v>0</v>
      </c>
      <c r="AG10" s="131" t="n">
        <f aca="false">IF(OR($C10="",$B$2="",$D$2=0),0,IF(AG$3&lt;0,0,N(INDEX('CURVA PREVISION'!$A$1:$KZ$3000,$C10,10+3*MIN(AG$3,$D$2-1)))))</f>
        <v>0</v>
      </c>
      <c r="AH10" s="131" t="n">
        <f aca="false">IF(OR($C10="",$B$2="",$D$2=0),0,IF(AH$3&lt;0,0,N(INDEX('CURVA PREVISION'!$A$1:$KZ$3000,$C10,10+3*MIN(AH$3,$D$2-1)))))</f>
        <v>0</v>
      </c>
      <c r="AI10" s="131" t="n">
        <f aca="false">IF(OR($C10="",$B$2="",$D$2=0),0,IF(AI$3&lt;0,0,N(INDEX('CURVA PREVISION'!$A$1:$KZ$3000,$C10,10+3*MIN(AI$3,$D$2-1)))))</f>
        <v>0</v>
      </c>
      <c r="AJ10" s="131" t="n">
        <f aca="false">IF(OR($C10="",$B$2="",$D$2=0),0,IF(AJ$3&lt;0,0,N(INDEX('CURVA PREVISION'!$A$1:$KZ$3000,$C10,10+3*MIN(AJ$3,$D$2-1)))))</f>
        <v>0</v>
      </c>
      <c r="AK10" s="131" t="n">
        <f aca="false">IF(OR($C10="",$B$2="",$D$2=0),0,IF(AK$3&lt;0,0,N(INDEX('CURVA PREVISION'!$A$1:$KZ$3000,$C10,10+3*MIN(AK$3,$D$2-1)))))</f>
        <v>0</v>
      </c>
      <c r="AL10" s="131" t="n">
        <f aca="false">IF(OR($C10="",$B$2="",$D$2=0),0,IF(AL$3&lt;0,0,N(INDEX('CURVA PREVISION'!$A$1:$KZ$3000,$C10,10+3*MIN(AL$3,$D$2-1)))))</f>
        <v>0</v>
      </c>
      <c r="AM10" s="131" t="n">
        <f aca="false">IF(OR($C10="",$B$2="",$D$2=0),0,IF(AM$3&lt;0,0,N(INDEX('CURVA PREVISION'!$A$1:$KZ$3000,$C10,10+3*MIN(AM$3,$D$2-1)))))</f>
        <v>0</v>
      </c>
      <c r="AN10" s="131" t="n">
        <f aca="false">IF(OR($C10="",$B$2="",$D$2=0),0,IF(AN$3&lt;0,0,N(INDEX('CURVA PREVISION'!$A$1:$KZ$3000,$C10,10+3*MIN(AN$3,$D$2-1)))))</f>
        <v>0</v>
      </c>
      <c r="AO10" s="131" t="n">
        <f aca="false">IF(OR($C10="",$B$2="",$D$2=0),0,IF(AO$3&lt;0,0,N(INDEX('CURVA PREVISION'!$A$1:$KZ$3000,$C10,10+3*MIN(AO$3,$D$2-1)))))</f>
        <v>0</v>
      </c>
      <c r="AP10" s="131" t="n">
        <f aca="false">IF(OR($C10="",$B$2="",$D$2=0),0,IF(AP$3&lt;0,0,N(INDEX('CURVA PREVISION'!$A$1:$KZ$3000,$C10,10+3*MIN(AP$3,$D$2-1)))))</f>
        <v>0</v>
      </c>
      <c r="AQ10" s="131" t="n">
        <f aca="false">IF(OR($C10="",$B$2="",$D$2=0),0,IF(AQ$3&lt;0,0,N(INDEX('CURVA PREVISION'!$A$1:$KZ$3000,$C10,10+3*MIN(AQ$3,$D$2-1)))))</f>
        <v>0</v>
      </c>
      <c r="AR10" s="131" t="n">
        <f aca="false">IF(OR($C10="",$B$2="",$D$2=0),0,IF(AR$3&lt;0,0,N(INDEX('CURVA PREVISION'!$A$1:$KZ$3000,$C10,10+3*MIN(AR$3,$D$2-1)))))</f>
        <v>0</v>
      </c>
      <c r="AS10" s="131" t="n">
        <f aca="false">IF(OR($C10="",$B$2="",$D$2=0),0,IF(AS$3&lt;0,0,N(INDEX('CURVA PREVISION'!$A$1:$KZ$3000,$C10,10+3*MIN(AS$3,$D$2-1)))))</f>
        <v>0</v>
      </c>
      <c r="AT10" s="131" t="n">
        <f aca="false">IF(OR($C10="",$B$2="",$D$2=0),0,IF(AT$3&lt;0,0,N(INDEX('CURVA PREVISION'!$A$1:$KZ$3000,$C10,10+3*MIN(AT$3,$D$2-1)))))</f>
        <v>0</v>
      </c>
      <c r="AU10" s="131" t="n">
        <f aca="false">IF(OR($C10="",$B$2="",$D$2=0),0,IF(AU$3&lt;0,0,N(INDEX('CURVA PREVISION'!$A$1:$KZ$3000,$C10,10+3*MIN(AU$3,$D$2-1)))))</f>
        <v>0</v>
      </c>
      <c r="AV10" s="131" t="n">
        <f aca="false">IF(OR($C10="",$B$2="",$D$2=0),0,IF(AV$3&lt;0,0,N(INDEX('CURVA PREVISION'!$A$1:$KZ$3000,$C10,10+3*MIN(AV$3,$D$2-1)))))</f>
        <v>0</v>
      </c>
      <c r="AW10" s="131" t="n">
        <f aca="false">IF(OR($C10="",$B$2="",$D$2=0),0,IF(AW$3&lt;0,0,N(INDEX('CURVA PREVISION'!$A$1:$KZ$3000,$C10,10+3*MIN(AW$3,$D$2-1)))))</f>
        <v>0</v>
      </c>
      <c r="AX10" s="131" t="n">
        <f aca="false">IF(OR($C10="",$B$2="",$D$2=0),0,IF(AX$3&lt;0,0,N(INDEX('CURVA PREVISION'!$A$1:$KZ$3000,$C10,10+3*MIN(AX$3,$D$2-1)))))</f>
        <v>0</v>
      </c>
      <c r="AY10" s="131" t="n">
        <f aca="false">IF(OR($C10="",$B$2="",$D$2=0),0,IF(AY$3&lt;0,0,N(INDEX('CURVA PREVISION'!$A$1:$KZ$3000,$C10,10+3*MIN(AY$3,$D$2-1)))))</f>
        <v>0</v>
      </c>
      <c r="AZ10" s="131" t="n">
        <f aca="false">IF(OR($C10="",$B$2="",$D$2=0),0,IF(AZ$3&lt;0,0,N(INDEX('CURVA PREVISION'!$A$1:$KZ$3000,$C10,10+3*MIN(AZ$3,$D$2-1)))))</f>
        <v>0</v>
      </c>
      <c r="BA10" s="131" t="n">
        <f aca="false">IF(OR($C10="",$B$2="",$D$2=0),0,IF(BA$3&lt;0,0,N(INDEX('CURVA PREVISION'!$A$1:$KZ$3000,$C10,10+3*MIN(BA$3,$D$2-1)))))</f>
        <v>0</v>
      </c>
      <c r="BB10" s="131" t="n">
        <f aca="false">IF(OR($C10="",$B$2="",$D$2=0),0,IF(BB$3&lt;0,0,N(INDEX('CURVA PREVISION'!$A$1:$KZ$3000,$C10,10+3*MIN(BB$3,$D$2-1)))))</f>
        <v>0</v>
      </c>
      <c r="BC10" s="131" t="n">
        <f aca="false">IF(OR($C10="",$B$2="",$D$2=0),0,IF(BC$3&lt;0,0,N(INDEX('CURVA PREVISION'!$A$1:$KZ$3000,$C10,10+3*MIN(BC$3,$D$2-1)))))</f>
        <v>0</v>
      </c>
      <c r="BD10" s="131" t="n">
        <f aca="false">IF(OR($C10="",$B$2="",$D$2=0),0,IF(BD$3&lt;0,0,N(INDEX('CURVA PREVISION'!$A$1:$KZ$3000,$C10,10+3*MIN(BD$3,$D$2-1)))))</f>
        <v>0</v>
      </c>
      <c r="BE10" s="131" t="n">
        <f aca="false">IF(OR($C10="",$B$2="",$D$2=0),0,IF(BE$3&lt;0,0,N(INDEX('CURVA PREVISION'!$A$1:$KZ$3000,$C10,10+3*MIN(BE$3,$D$2-1)))))</f>
        <v>0</v>
      </c>
      <c r="BF10" s="131" t="n">
        <f aca="false">IF(OR($C10="",$B$2="",$D$2=0),0,IF(BF$3&lt;0,0,N(INDEX('CURVA PREVISION'!$A$1:$KZ$3000,$C10,10+3*MIN(BF$3,$D$2-1)))))</f>
        <v>0</v>
      </c>
      <c r="BG10" s="131" t="n">
        <f aca="false">IF(OR($C10="",$B$2="",$D$2=0),0,IF(BG$3&lt;0,0,N(INDEX('CURVA PREVISION'!$A$1:$KZ$3000,$C10,10+3*MIN(BG$3,$D$2-1)))))</f>
        <v>0</v>
      </c>
      <c r="BH10" s="131" t="n">
        <f aca="false">IF(OR($C10="",$B$2="",$D$2=0),0,IF(BH$3&lt;0,0,N(INDEX('CURVA PREVISION'!$A$1:$KZ$3000,$C10,10+3*MIN(BH$3,$D$2-1)))))</f>
        <v>0</v>
      </c>
      <c r="BI10" s="131" t="n">
        <f aca="false">IF(OR($C10="",$B$2="",$D$2=0),0,IF(BI$3&lt;0,0,N(INDEX('CURVA PREVISION'!$A$1:$KZ$3000,$C10,10+3*MIN(BI$3,$D$2-1)))))</f>
        <v>0</v>
      </c>
      <c r="BJ10" s="131" t="n">
        <f aca="false">IF(OR($C10="",$B$2="",$D$2=0),0,IF(BJ$3&lt;0,0,N(INDEX('CURVA PREVISION'!$A$1:$KZ$3000,$C10,10+3*MIN(BJ$3,$D$2-1)))))</f>
        <v>0</v>
      </c>
      <c r="BK10" s="131" t="n">
        <f aca="false">IF(OR($C10="",$B$2="",$D$2=0),0,IF(BK$3&lt;0,0,N(INDEX('CURVA PREVISION'!$A$1:$KZ$3000,$C10,10+3*MIN(BK$3,$D$2-1)))))</f>
        <v>0</v>
      </c>
      <c r="BL10" s="131" t="n">
        <f aca="false">IF(OR($C10="",$B$2="",$D$2=0),0,IF(BL$3&lt;0,0,N(INDEX('CURVA PREVISION'!$A$1:$KZ$3000,$C10,10+3*MIN(BL$3,$D$2-1)))))</f>
        <v>0</v>
      </c>
      <c r="BM10" s="131" t="n">
        <f aca="false">IF(OR($C10="",$B$2="",$D$2=0),0,IF(BM$3&lt;0,0,N(INDEX('CURVA PREVISION'!$A$1:$KZ$3000,$C10,10+3*MIN(BM$3,$D$2-1)))))</f>
        <v>0</v>
      </c>
      <c r="BN10" s="131" t="n">
        <f aca="false">IF(OR($C10="",$B$2="",$D$2=0),0,IF(BN$3&lt;0,0,N(INDEX('CURVA PREVISION'!$A$1:$KZ$3000,$C10,10+3*MIN(BN$3,$D$2-1)))))</f>
        <v>0</v>
      </c>
      <c r="BO10" s="131" t="n">
        <f aca="false">IF(OR($C10="",$B$2="",$D$2=0),0,IF(BO$3&lt;0,0,N(INDEX('CURVA PREVISION'!$A$1:$KZ$3000,$C10,10+3*MIN(BO$3,$D$2-1)))))</f>
        <v>0</v>
      </c>
      <c r="BP10" s="131" t="n">
        <f aca="false">IF(OR($C10="",$B$2="",$D$2=0),0,IF(BP$3&lt;0,0,N(INDEX('CURVA PREVISION'!$A$1:$KZ$3000,$C10,10+3*MIN(BP$3,$D$2-1)))))</f>
        <v>0</v>
      </c>
      <c r="BQ10" s="131" t="n">
        <f aca="false">IF(OR($C10="",$B$2="",$D$2=0),0,IF(BQ$3&lt;0,0,N(INDEX('CURVA PREVISION'!$A$1:$KZ$3000,$C10,10+3*MIN(BQ$3,$D$2-1)))))</f>
        <v>0</v>
      </c>
      <c r="BR10" s="131" t="n">
        <f aca="false">IF(OR($C10="",$B$2="",$D$2=0),0,IF(BR$3&lt;0,0,N(INDEX('CURVA PREVISION'!$A$1:$KZ$3000,$C10,10+3*MIN(BR$3,$D$2-1)))))</f>
        <v>0</v>
      </c>
      <c r="BS10" s="131" t="n">
        <f aca="false">IF(OR($C10="",$B$2="",$D$2=0),0,IF(BS$3&lt;0,0,N(INDEX('CURVA PREVISION'!$A$1:$KZ$3000,$C10,10+3*MIN(BS$3,$D$2-1)))))</f>
        <v>0</v>
      </c>
      <c r="BT10" s="131" t="n">
        <f aca="false">IF(OR($C10="",$B$2="",$D$2=0),0,IF(BT$3&lt;0,0,N(INDEX('CURVA PREVISION'!$A$1:$KZ$3000,$C10,10+3*MIN(BT$3,$D$2-1)))))</f>
        <v>0</v>
      </c>
      <c r="BU10" s="131" t="n">
        <f aca="false">IF(OR($C10="",$B$2="",$D$2=0),0,IF(BU$3&lt;0,0,N(INDEX('CURVA PREVISION'!$A$1:$KZ$3000,$C10,10+3*MIN(BU$3,$D$2-1)))))</f>
        <v>0</v>
      </c>
      <c r="BV10" s="131" t="n">
        <f aca="false">IF(OR($C10="",$B$2="",$D$2=0),0,IF(BV$3&lt;0,0,N(INDEX('CURVA PREVISION'!$A$1:$KZ$3000,$C10,10+3*MIN(BV$3,$D$2-1)))))</f>
        <v>0</v>
      </c>
      <c r="BW10" s="131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78</v>
      </c>
      <c r="D11" s="131" t="n">
        <f aca="false">IF(OR($C11="",$B$2="",$D$2=0),0,IF(D$3&lt;0,0,N(INDEX('CURVA PREVISION'!$A$1:$KZ$3000,$C11,10+3*MIN(D$3,$D$2-1)))))</f>
        <v>0</v>
      </c>
      <c r="E11" s="131" t="n">
        <f aca="false">IF(OR($C11="",$B$2="",$D$2=0),0,IF(E$3&lt;0,0,N(INDEX('CURVA PREVISION'!$A$1:$KZ$3000,$C11,10+3*MIN(E$3,$D$2-1)))))</f>
        <v>0</v>
      </c>
      <c r="F11" s="131" t="n">
        <f aca="false">IF(OR($C11="",$B$2="",$D$2=0),0,IF(F$3&lt;0,0,N(INDEX('CURVA PREVISION'!$A$1:$KZ$3000,$C11,10+3*MIN(F$3,$D$2-1)))))</f>
        <v>0</v>
      </c>
      <c r="G11" s="131" t="n">
        <f aca="false">IF(OR($C11="",$B$2="",$D$2=0),0,IF(G$3&lt;0,0,N(INDEX('CURVA PREVISION'!$A$1:$KZ$3000,$C11,10+3*MIN(G$3,$D$2-1)))))</f>
        <v>0</v>
      </c>
      <c r="H11" s="131" t="n">
        <f aca="false">IF(OR($C11="",$B$2="",$D$2=0),0,IF(H$3&lt;0,0,N(INDEX('CURVA PREVISION'!$A$1:$KZ$3000,$C11,10+3*MIN(H$3,$D$2-1)))))</f>
        <v>0</v>
      </c>
      <c r="I11" s="131" t="n">
        <f aca="false">IF(OR($C11="",$B$2="",$D$2=0),0,IF(I$3&lt;0,0,N(INDEX('CURVA PREVISION'!$A$1:$KZ$3000,$C11,10+3*MIN(I$3,$D$2-1)))))</f>
        <v>0</v>
      </c>
      <c r="J11" s="131" t="n">
        <f aca="false">IF(OR($C11="",$B$2="",$D$2=0),0,IF(J$3&lt;0,0,N(INDEX('CURVA PREVISION'!$A$1:$KZ$3000,$C11,10+3*MIN(J$3,$D$2-1)))))</f>
        <v>0</v>
      </c>
      <c r="K11" s="131" t="n">
        <f aca="false">IF(OR($C11="",$B$2="",$D$2=0),0,IF(K$3&lt;0,0,N(INDEX('CURVA PREVISION'!$A$1:$KZ$3000,$C11,10+3*MIN(K$3,$D$2-1)))))</f>
        <v>0</v>
      </c>
      <c r="L11" s="131" t="n">
        <f aca="false">IF(OR($C11="",$B$2="",$D$2=0),0,IF(L$3&lt;0,0,N(INDEX('CURVA PREVISION'!$A$1:$KZ$3000,$C11,10+3*MIN(L$3,$D$2-1)))))</f>
        <v>0</v>
      </c>
      <c r="M11" s="131" t="n">
        <f aca="false">IF(OR($C11="",$B$2="",$D$2=0),0,IF(M$3&lt;0,0,N(INDEX('CURVA PREVISION'!$A$1:$KZ$3000,$C11,10+3*MIN(M$3,$D$2-1)))))</f>
        <v>0</v>
      </c>
      <c r="N11" s="131" t="n">
        <f aca="false">IF(OR($C11="",$B$2="",$D$2=0),0,IF(N$3&lt;0,0,N(INDEX('CURVA PREVISION'!$A$1:$KZ$3000,$C11,10+3*MIN(N$3,$D$2-1)))))</f>
        <v>0</v>
      </c>
      <c r="O11" s="131" t="n">
        <f aca="false">IF(OR($C11="",$B$2="",$D$2=0),0,IF(O$3&lt;0,0,N(INDEX('CURVA PREVISION'!$A$1:$KZ$3000,$C11,10+3*MIN(O$3,$D$2-1)))))</f>
        <v>0</v>
      </c>
      <c r="P11" s="131" t="n">
        <f aca="false">IF(OR($C11="",$B$2="",$D$2=0),0,IF(P$3&lt;0,0,N(INDEX('CURVA PREVISION'!$A$1:$KZ$3000,$C11,10+3*MIN(P$3,$D$2-1)))))</f>
        <v>0</v>
      </c>
      <c r="Q11" s="131" t="n">
        <f aca="false">IF(OR($C11="",$B$2="",$D$2=0),0,IF(Q$3&lt;0,0,N(INDEX('CURVA PREVISION'!$A$1:$KZ$3000,$C11,10+3*MIN(Q$3,$D$2-1)))))</f>
        <v>0</v>
      </c>
      <c r="R11" s="131" t="n">
        <f aca="false">IF(OR($C11="",$B$2="",$D$2=0),0,IF(R$3&lt;0,0,N(INDEX('CURVA PREVISION'!$A$1:$KZ$3000,$C11,10+3*MIN(R$3,$D$2-1)))))</f>
        <v>0</v>
      </c>
      <c r="S11" s="131" t="n">
        <f aca="false">IF(OR($C11="",$B$2="",$D$2=0),0,IF(S$3&lt;0,0,N(INDEX('CURVA PREVISION'!$A$1:$KZ$3000,$C11,10+3*MIN(S$3,$D$2-1)))))</f>
        <v>0</v>
      </c>
      <c r="T11" s="131" t="n">
        <f aca="false">IF(OR($C11="",$B$2="",$D$2=0),0,IF(T$3&lt;0,0,N(INDEX('CURVA PREVISION'!$A$1:$KZ$3000,$C11,10+3*MIN(T$3,$D$2-1)))))</f>
        <v>0</v>
      </c>
      <c r="U11" s="131" t="n">
        <f aca="false">IF(OR($C11="",$B$2="",$D$2=0),0,IF(U$3&lt;0,0,N(INDEX('CURVA PREVISION'!$A$1:$KZ$3000,$C11,10+3*MIN(U$3,$D$2-1)))))</f>
        <v>0</v>
      </c>
      <c r="V11" s="131" t="n">
        <f aca="false">IF(OR($C11="",$B$2="",$D$2=0),0,IF(V$3&lt;0,0,N(INDEX('CURVA PREVISION'!$A$1:$KZ$3000,$C11,10+3*MIN(V$3,$D$2-1)))))</f>
        <v>0</v>
      </c>
      <c r="W11" s="131" t="n">
        <f aca="false">IF(OR($C11="",$B$2="",$D$2=0),0,IF(W$3&lt;0,0,N(INDEX('CURVA PREVISION'!$A$1:$KZ$3000,$C11,10+3*MIN(W$3,$D$2-1)))))</f>
        <v>0</v>
      </c>
      <c r="X11" s="131" t="n">
        <f aca="false">IF(OR($C11="",$B$2="",$D$2=0),0,IF(X$3&lt;0,0,N(INDEX('CURVA PREVISION'!$A$1:$KZ$3000,$C11,10+3*MIN(X$3,$D$2-1)))))</f>
        <v>0</v>
      </c>
      <c r="Y11" s="131" t="n">
        <f aca="false">IF(OR($C11="",$B$2="",$D$2=0),0,IF(Y$3&lt;0,0,N(INDEX('CURVA PREVISION'!$A$1:$KZ$3000,$C11,10+3*MIN(Y$3,$D$2-1)))))</f>
        <v>0</v>
      </c>
      <c r="Z11" s="131" t="n">
        <f aca="false">IF(OR($C11="",$B$2="",$D$2=0),0,IF(Z$3&lt;0,0,N(INDEX('CURVA PREVISION'!$A$1:$KZ$3000,$C11,10+3*MIN(Z$3,$D$2-1)))))</f>
        <v>0</v>
      </c>
      <c r="AA11" s="131" t="n">
        <f aca="false">IF(OR($C11="",$B$2="",$D$2=0),0,IF(AA$3&lt;0,0,N(INDEX('CURVA PREVISION'!$A$1:$KZ$3000,$C11,10+3*MIN(AA$3,$D$2-1)))))</f>
        <v>0</v>
      </c>
      <c r="AB11" s="131" t="n">
        <f aca="false">IF(OR($C11="",$B$2="",$D$2=0),0,IF(AB$3&lt;0,0,N(INDEX('CURVA PREVISION'!$A$1:$KZ$3000,$C11,10+3*MIN(AB$3,$D$2-1)))))</f>
        <v>0</v>
      </c>
      <c r="AC11" s="131" t="n">
        <f aca="false">IF(OR($C11="",$B$2="",$D$2=0),0,IF(AC$3&lt;0,0,N(INDEX('CURVA PREVISION'!$A$1:$KZ$3000,$C11,10+3*MIN(AC$3,$D$2-1)))))</f>
        <v>0</v>
      </c>
      <c r="AD11" s="131" t="n">
        <f aca="false">IF(OR($C11="",$B$2="",$D$2=0),0,IF(AD$3&lt;0,0,N(INDEX('CURVA PREVISION'!$A$1:$KZ$3000,$C11,10+3*MIN(AD$3,$D$2-1)))))</f>
        <v>0</v>
      </c>
      <c r="AE11" s="131" t="n">
        <f aca="false">IF(OR($C11="",$B$2="",$D$2=0),0,IF(AE$3&lt;0,0,N(INDEX('CURVA PREVISION'!$A$1:$KZ$3000,$C11,10+3*MIN(AE$3,$D$2-1)))))</f>
        <v>0</v>
      </c>
      <c r="AF11" s="131" t="n">
        <f aca="false">IF(OR($C11="",$B$2="",$D$2=0),0,IF(AF$3&lt;0,0,N(INDEX('CURVA PREVISION'!$A$1:$KZ$3000,$C11,10+3*MIN(AF$3,$D$2-1)))))</f>
        <v>0</v>
      </c>
      <c r="AG11" s="131" t="n">
        <f aca="false">IF(OR($C11="",$B$2="",$D$2=0),0,IF(AG$3&lt;0,0,N(INDEX('CURVA PREVISION'!$A$1:$KZ$3000,$C11,10+3*MIN(AG$3,$D$2-1)))))</f>
        <v>0</v>
      </c>
      <c r="AH11" s="131" t="n">
        <f aca="false">IF(OR($C11="",$B$2="",$D$2=0),0,IF(AH$3&lt;0,0,N(INDEX('CURVA PREVISION'!$A$1:$KZ$3000,$C11,10+3*MIN(AH$3,$D$2-1)))))</f>
        <v>0</v>
      </c>
      <c r="AI11" s="131" t="n">
        <f aca="false">IF(OR($C11="",$B$2="",$D$2=0),0,IF(AI$3&lt;0,0,N(INDEX('CURVA PREVISION'!$A$1:$KZ$3000,$C11,10+3*MIN(AI$3,$D$2-1)))))</f>
        <v>0</v>
      </c>
      <c r="AJ11" s="131" t="n">
        <f aca="false">IF(OR($C11="",$B$2="",$D$2=0),0,IF(AJ$3&lt;0,0,N(INDEX('CURVA PREVISION'!$A$1:$KZ$3000,$C11,10+3*MIN(AJ$3,$D$2-1)))))</f>
        <v>0</v>
      </c>
      <c r="AK11" s="131" t="n">
        <f aca="false">IF(OR($C11="",$B$2="",$D$2=0),0,IF(AK$3&lt;0,0,N(INDEX('CURVA PREVISION'!$A$1:$KZ$3000,$C11,10+3*MIN(AK$3,$D$2-1)))))</f>
        <v>0</v>
      </c>
      <c r="AL11" s="131" t="n">
        <f aca="false">IF(OR($C11="",$B$2="",$D$2=0),0,IF(AL$3&lt;0,0,N(INDEX('CURVA PREVISION'!$A$1:$KZ$3000,$C11,10+3*MIN(AL$3,$D$2-1)))))</f>
        <v>0</v>
      </c>
      <c r="AM11" s="131" t="n">
        <f aca="false">IF(OR($C11="",$B$2="",$D$2=0),0,IF(AM$3&lt;0,0,N(INDEX('CURVA PREVISION'!$A$1:$KZ$3000,$C11,10+3*MIN(AM$3,$D$2-1)))))</f>
        <v>0</v>
      </c>
      <c r="AN11" s="131" t="n">
        <f aca="false">IF(OR($C11="",$B$2="",$D$2=0),0,IF(AN$3&lt;0,0,N(INDEX('CURVA PREVISION'!$A$1:$KZ$3000,$C11,10+3*MIN(AN$3,$D$2-1)))))</f>
        <v>0</v>
      </c>
      <c r="AO11" s="131" t="n">
        <f aca="false">IF(OR($C11="",$B$2="",$D$2=0),0,IF(AO$3&lt;0,0,N(INDEX('CURVA PREVISION'!$A$1:$KZ$3000,$C11,10+3*MIN(AO$3,$D$2-1)))))</f>
        <v>0</v>
      </c>
      <c r="AP11" s="131" t="n">
        <f aca="false">IF(OR($C11="",$B$2="",$D$2=0),0,IF(AP$3&lt;0,0,N(INDEX('CURVA PREVISION'!$A$1:$KZ$3000,$C11,10+3*MIN(AP$3,$D$2-1)))))</f>
        <v>0</v>
      </c>
      <c r="AQ11" s="131" t="n">
        <f aca="false">IF(OR($C11="",$B$2="",$D$2=0),0,IF(AQ$3&lt;0,0,N(INDEX('CURVA PREVISION'!$A$1:$KZ$3000,$C11,10+3*MIN(AQ$3,$D$2-1)))))</f>
        <v>0</v>
      </c>
      <c r="AR11" s="131" t="n">
        <f aca="false">IF(OR($C11="",$B$2="",$D$2=0),0,IF(AR$3&lt;0,0,N(INDEX('CURVA PREVISION'!$A$1:$KZ$3000,$C11,10+3*MIN(AR$3,$D$2-1)))))</f>
        <v>0</v>
      </c>
      <c r="AS11" s="131" t="n">
        <f aca="false">IF(OR($C11="",$B$2="",$D$2=0),0,IF(AS$3&lt;0,0,N(INDEX('CURVA PREVISION'!$A$1:$KZ$3000,$C11,10+3*MIN(AS$3,$D$2-1)))))</f>
        <v>0</v>
      </c>
      <c r="AT11" s="131" t="n">
        <f aca="false">IF(OR($C11="",$B$2="",$D$2=0),0,IF(AT$3&lt;0,0,N(INDEX('CURVA PREVISION'!$A$1:$KZ$3000,$C11,10+3*MIN(AT$3,$D$2-1)))))</f>
        <v>0</v>
      </c>
      <c r="AU11" s="131" t="n">
        <f aca="false">IF(OR($C11="",$B$2="",$D$2=0),0,IF(AU$3&lt;0,0,N(INDEX('CURVA PREVISION'!$A$1:$KZ$3000,$C11,10+3*MIN(AU$3,$D$2-1)))))</f>
        <v>0</v>
      </c>
      <c r="AV11" s="131" t="n">
        <f aca="false">IF(OR($C11="",$B$2="",$D$2=0),0,IF(AV$3&lt;0,0,N(INDEX('CURVA PREVISION'!$A$1:$KZ$3000,$C11,10+3*MIN(AV$3,$D$2-1)))))</f>
        <v>0</v>
      </c>
      <c r="AW11" s="131" t="n">
        <f aca="false">IF(OR($C11="",$B$2="",$D$2=0),0,IF(AW$3&lt;0,0,N(INDEX('CURVA PREVISION'!$A$1:$KZ$3000,$C11,10+3*MIN(AW$3,$D$2-1)))))</f>
        <v>0</v>
      </c>
      <c r="AX11" s="131" t="n">
        <f aca="false">IF(OR($C11="",$B$2="",$D$2=0),0,IF(AX$3&lt;0,0,N(INDEX('CURVA PREVISION'!$A$1:$KZ$3000,$C11,10+3*MIN(AX$3,$D$2-1)))))</f>
        <v>0</v>
      </c>
      <c r="AY11" s="131" t="n">
        <f aca="false">IF(OR($C11="",$B$2="",$D$2=0),0,IF(AY$3&lt;0,0,N(INDEX('CURVA PREVISION'!$A$1:$KZ$3000,$C11,10+3*MIN(AY$3,$D$2-1)))))</f>
        <v>0</v>
      </c>
      <c r="AZ11" s="131" t="n">
        <f aca="false">IF(OR($C11="",$B$2="",$D$2=0),0,IF(AZ$3&lt;0,0,N(INDEX('CURVA PREVISION'!$A$1:$KZ$3000,$C11,10+3*MIN(AZ$3,$D$2-1)))))</f>
        <v>0</v>
      </c>
      <c r="BA11" s="131" t="n">
        <f aca="false">IF(OR($C11="",$B$2="",$D$2=0),0,IF(BA$3&lt;0,0,N(INDEX('CURVA PREVISION'!$A$1:$KZ$3000,$C11,10+3*MIN(BA$3,$D$2-1)))))</f>
        <v>0</v>
      </c>
      <c r="BB11" s="131" t="n">
        <f aca="false">IF(OR($C11="",$B$2="",$D$2=0),0,IF(BB$3&lt;0,0,N(INDEX('CURVA PREVISION'!$A$1:$KZ$3000,$C11,10+3*MIN(BB$3,$D$2-1)))))</f>
        <v>0</v>
      </c>
      <c r="BC11" s="131" t="n">
        <f aca="false">IF(OR($C11="",$B$2="",$D$2=0),0,IF(BC$3&lt;0,0,N(INDEX('CURVA PREVISION'!$A$1:$KZ$3000,$C11,10+3*MIN(BC$3,$D$2-1)))))</f>
        <v>0</v>
      </c>
      <c r="BD11" s="131" t="n">
        <f aca="false">IF(OR($C11="",$B$2="",$D$2=0),0,IF(BD$3&lt;0,0,N(INDEX('CURVA PREVISION'!$A$1:$KZ$3000,$C11,10+3*MIN(BD$3,$D$2-1)))))</f>
        <v>0</v>
      </c>
      <c r="BE11" s="131" t="n">
        <f aca="false">IF(OR($C11="",$B$2="",$D$2=0),0,IF(BE$3&lt;0,0,N(INDEX('CURVA PREVISION'!$A$1:$KZ$3000,$C11,10+3*MIN(BE$3,$D$2-1)))))</f>
        <v>0</v>
      </c>
      <c r="BF11" s="131" t="n">
        <f aca="false">IF(OR($C11="",$B$2="",$D$2=0),0,IF(BF$3&lt;0,0,N(INDEX('CURVA PREVISION'!$A$1:$KZ$3000,$C11,10+3*MIN(BF$3,$D$2-1)))))</f>
        <v>0</v>
      </c>
      <c r="BG11" s="131" t="n">
        <f aca="false">IF(OR($C11="",$B$2="",$D$2=0),0,IF(BG$3&lt;0,0,N(INDEX('CURVA PREVISION'!$A$1:$KZ$3000,$C11,10+3*MIN(BG$3,$D$2-1)))))</f>
        <v>0</v>
      </c>
      <c r="BH11" s="131" t="n">
        <f aca="false">IF(OR($C11="",$B$2="",$D$2=0),0,IF(BH$3&lt;0,0,N(INDEX('CURVA PREVISION'!$A$1:$KZ$3000,$C11,10+3*MIN(BH$3,$D$2-1)))))</f>
        <v>0</v>
      </c>
      <c r="BI11" s="131" t="n">
        <f aca="false">IF(OR($C11="",$B$2="",$D$2=0),0,IF(BI$3&lt;0,0,N(INDEX('CURVA PREVISION'!$A$1:$KZ$3000,$C11,10+3*MIN(BI$3,$D$2-1)))))</f>
        <v>0</v>
      </c>
      <c r="BJ11" s="131" t="n">
        <f aca="false">IF(OR($C11="",$B$2="",$D$2=0),0,IF(BJ$3&lt;0,0,N(INDEX('CURVA PREVISION'!$A$1:$KZ$3000,$C11,10+3*MIN(BJ$3,$D$2-1)))))</f>
        <v>0</v>
      </c>
      <c r="BK11" s="131" t="n">
        <f aca="false">IF(OR($C11="",$B$2="",$D$2=0),0,IF(BK$3&lt;0,0,N(INDEX('CURVA PREVISION'!$A$1:$KZ$3000,$C11,10+3*MIN(BK$3,$D$2-1)))))</f>
        <v>0</v>
      </c>
      <c r="BL11" s="131" t="n">
        <f aca="false">IF(OR($C11="",$B$2="",$D$2=0),0,IF(BL$3&lt;0,0,N(INDEX('CURVA PREVISION'!$A$1:$KZ$3000,$C11,10+3*MIN(BL$3,$D$2-1)))))</f>
        <v>0</v>
      </c>
      <c r="BM11" s="131" t="n">
        <f aca="false">IF(OR($C11="",$B$2="",$D$2=0),0,IF(BM$3&lt;0,0,N(INDEX('CURVA PREVISION'!$A$1:$KZ$3000,$C11,10+3*MIN(BM$3,$D$2-1)))))</f>
        <v>0</v>
      </c>
      <c r="BN11" s="131" t="n">
        <f aca="false">IF(OR($C11="",$B$2="",$D$2=0),0,IF(BN$3&lt;0,0,N(INDEX('CURVA PREVISION'!$A$1:$KZ$3000,$C11,10+3*MIN(BN$3,$D$2-1)))))</f>
        <v>0</v>
      </c>
      <c r="BO11" s="131" t="n">
        <f aca="false">IF(OR($C11="",$B$2="",$D$2=0),0,IF(BO$3&lt;0,0,N(INDEX('CURVA PREVISION'!$A$1:$KZ$3000,$C11,10+3*MIN(BO$3,$D$2-1)))))</f>
        <v>0</v>
      </c>
      <c r="BP11" s="131" t="n">
        <f aca="false">IF(OR($C11="",$B$2="",$D$2=0),0,IF(BP$3&lt;0,0,N(INDEX('CURVA PREVISION'!$A$1:$KZ$3000,$C11,10+3*MIN(BP$3,$D$2-1)))))</f>
        <v>0</v>
      </c>
      <c r="BQ11" s="131" t="n">
        <f aca="false">IF(OR($C11="",$B$2="",$D$2=0),0,IF(BQ$3&lt;0,0,N(INDEX('CURVA PREVISION'!$A$1:$KZ$3000,$C11,10+3*MIN(BQ$3,$D$2-1)))))</f>
        <v>0</v>
      </c>
      <c r="BR11" s="131" t="n">
        <f aca="false">IF(OR($C11="",$B$2="",$D$2=0),0,IF(BR$3&lt;0,0,N(INDEX('CURVA PREVISION'!$A$1:$KZ$3000,$C11,10+3*MIN(BR$3,$D$2-1)))))</f>
        <v>0</v>
      </c>
      <c r="BS11" s="131" t="n">
        <f aca="false">IF(OR($C11="",$B$2="",$D$2=0),0,IF(BS$3&lt;0,0,N(INDEX('CURVA PREVISION'!$A$1:$KZ$3000,$C11,10+3*MIN(BS$3,$D$2-1)))))</f>
        <v>0</v>
      </c>
      <c r="BT11" s="131" t="n">
        <f aca="false">IF(OR($C11="",$B$2="",$D$2=0),0,IF(BT$3&lt;0,0,N(INDEX('CURVA PREVISION'!$A$1:$KZ$3000,$C11,10+3*MIN(BT$3,$D$2-1)))))</f>
        <v>0</v>
      </c>
      <c r="BU11" s="131" t="n">
        <f aca="false">IF(OR($C11="",$B$2="",$D$2=0),0,IF(BU$3&lt;0,0,N(INDEX('CURVA PREVISION'!$A$1:$KZ$3000,$C11,10+3*MIN(BU$3,$D$2-1)))))</f>
        <v>0</v>
      </c>
      <c r="BV11" s="131" t="n">
        <f aca="false">IF(OR($C11="",$B$2="",$D$2=0),0,IF(BV$3&lt;0,0,N(INDEX('CURVA PREVISION'!$A$1:$KZ$3000,$C11,10+3*MIN(BV$3,$D$2-1)))))</f>
        <v>0</v>
      </c>
      <c r="BW11" s="131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84</v>
      </c>
      <c r="D12" s="131" t="n">
        <f aca="false">IF(OR($C12="",$B$2="",$D$2=0),0,IF(D$3&lt;0,0,N(INDEX('CURVA PREVISION'!$A$1:$KZ$3000,$C12,10+3*MIN(D$3,$D$2-1)))))</f>
        <v>0</v>
      </c>
      <c r="E12" s="131" t="n">
        <f aca="false">IF(OR($C12="",$B$2="",$D$2=0),0,IF(E$3&lt;0,0,N(INDEX('CURVA PREVISION'!$A$1:$KZ$3000,$C12,10+3*MIN(E$3,$D$2-1)))))</f>
        <v>0</v>
      </c>
      <c r="F12" s="131" t="n">
        <f aca="false">IF(OR($C12="",$B$2="",$D$2=0),0,IF(F$3&lt;0,0,N(INDEX('CURVA PREVISION'!$A$1:$KZ$3000,$C12,10+3*MIN(F$3,$D$2-1)))))</f>
        <v>0</v>
      </c>
      <c r="G12" s="131" t="n">
        <f aca="false">IF(OR($C12="",$B$2="",$D$2=0),0,IF(G$3&lt;0,0,N(INDEX('CURVA PREVISION'!$A$1:$KZ$3000,$C12,10+3*MIN(G$3,$D$2-1)))))</f>
        <v>0</v>
      </c>
      <c r="H12" s="131" t="n">
        <f aca="false">IF(OR($C12="",$B$2="",$D$2=0),0,IF(H$3&lt;0,0,N(INDEX('CURVA PREVISION'!$A$1:$KZ$3000,$C12,10+3*MIN(H$3,$D$2-1)))))</f>
        <v>0</v>
      </c>
      <c r="I12" s="131" t="n">
        <f aca="false">IF(OR($C12="",$B$2="",$D$2=0),0,IF(I$3&lt;0,0,N(INDEX('CURVA PREVISION'!$A$1:$KZ$3000,$C12,10+3*MIN(I$3,$D$2-1)))))</f>
        <v>0</v>
      </c>
      <c r="J12" s="131" t="n">
        <f aca="false">IF(OR($C12="",$B$2="",$D$2=0),0,IF(J$3&lt;0,0,N(INDEX('CURVA PREVISION'!$A$1:$KZ$3000,$C12,10+3*MIN(J$3,$D$2-1)))))</f>
        <v>0</v>
      </c>
      <c r="K12" s="131" t="n">
        <f aca="false">IF(OR($C12="",$B$2="",$D$2=0),0,IF(K$3&lt;0,0,N(INDEX('CURVA PREVISION'!$A$1:$KZ$3000,$C12,10+3*MIN(K$3,$D$2-1)))))</f>
        <v>0</v>
      </c>
      <c r="L12" s="131" t="n">
        <f aca="false">IF(OR($C12="",$B$2="",$D$2=0),0,IF(L$3&lt;0,0,N(INDEX('CURVA PREVISION'!$A$1:$KZ$3000,$C12,10+3*MIN(L$3,$D$2-1)))))</f>
        <v>0</v>
      </c>
      <c r="M12" s="131" t="n">
        <f aca="false">IF(OR($C12="",$B$2="",$D$2=0),0,IF(M$3&lt;0,0,N(INDEX('CURVA PREVISION'!$A$1:$KZ$3000,$C12,10+3*MIN(M$3,$D$2-1)))))</f>
        <v>0</v>
      </c>
      <c r="N12" s="131" t="n">
        <f aca="false">IF(OR($C12="",$B$2="",$D$2=0),0,IF(N$3&lt;0,0,N(INDEX('CURVA PREVISION'!$A$1:$KZ$3000,$C12,10+3*MIN(N$3,$D$2-1)))))</f>
        <v>0</v>
      </c>
      <c r="O12" s="131" t="n">
        <f aca="false">IF(OR($C12="",$B$2="",$D$2=0),0,IF(O$3&lt;0,0,N(INDEX('CURVA PREVISION'!$A$1:$KZ$3000,$C12,10+3*MIN(O$3,$D$2-1)))))</f>
        <v>0</v>
      </c>
      <c r="P12" s="131" t="n">
        <f aca="false">IF(OR($C12="",$B$2="",$D$2=0),0,IF(P$3&lt;0,0,N(INDEX('CURVA PREVISION'!$A$1:$KZ$3000,$C12,10+3*MIN(P$3,$D$2-1)))))</f>
        <v>0</v>
      </c>
      <c r="Q12" s="131" t="n">
        <f aca="false">IF(OR($C12="",$B$2="",$D$2=0),0,IF(Q$3&lt;0,0,N(INDEX('CURVA PREVISION'!$A$1:$KZ$3000,$C12,10+3*MIN(Q$3,$D$2-1)))))</f>
        <v>0</v>
      </c>
      <c r="R12" s="131" t="n">
        <f aca="false">IF(OR($C12="",$B$2="",$D$2=0),0,IF(R$3&lt;0,0,N(INDEX('CURVA PREVISION'!$A$1:$KZ$3000,$C12,10+3*MIN(R$3,$D$2-1)))))</f>
        <v>0</v>
      </c>
      <c r="S12" s="131" t="n">
        <f aca="false">IF(OR($C12="",$B$2="",$D$2=0),0,IF(S$3&lt;0,0,N(INDEX('CURVA PREVISION'!$A$1:$KZ$3000,$C12,10+3*MIN(S$3,$D$2-1)))))</f>
        <v>0</v>
      </c>
      <c r="T12" s="131" t="n">
        <f aca="false">IF(OR($C12="",$B$2="",$D$2=0),0,IF(T$3&lt;0,0,N(INDEX('CURVA PREVISION'!$A$1:$KZ$3000,$C12,10+3*MIN(T$3,$D$2-1)))))</f>
        <v>0</v>
      </c>
      <c r="U12" s="131" t="n">
        <f aca="false">IF(OR($C12="",$B$2="",$D$2=0),0,IF(U$3&lt;0,0,N(INDEX('CURVA PREVISION'!$A$1:$KZ$3000,$C12,10+3*MIN(U$3,$D$2-1)))))</f>
        <v>0</v>
      </c>
      <c r="V12" s="131" t="n">
        <f aca="false">IF(OR($C12="",$B$2="",$D$2=0),0,IF(V$3&lt;0,0,N(INDEX('CURVA PREVISION'!$A$1:$KZ$3000,$C12,10+3*MIN(V$3,$D$2-1)))))</f>
        <v>0</v>
      </c>
      <c r="W12" s="131" t="n">
        <f aca="false">IF(OR($C12="",$B$2="",$D$2=0),0,IF(W$3&lt;0,0,N(INDEX('CURVA PREVISION'!$A$1:$KZ$3000,$C12,10+3*MIN(W$3,$D$2-1)))))</f>
        <v>0</v>
      </c>
      <c r="X12" s="131" t="n">
        <f aca="false">IF(OR($C12="",$B$2="",$D$2=0),0,IF(X$3&lt;0,0,N(INDEX('CURVA PREVISION'!$A$1:$KZ$3000,$C12,10+3*MIN(X$3,$D$2-1)))))</f>
        <v>0</v>
      </c>
      <c r="Y12" s="131" t="n">
        <f aca="false">IF(OR($C12="",$B$2="",$D$2=0),0,IF(Y$3&lt;0,0,N(INDEX('CURVA PREVISION'!$A$1:$KZ$3000,$C12,10+3*MIN(Y$3,$D$2-1)))))</f>
        <v>0</v>
      </c>
      <c r="Z12" s="131" t="n">
        <f aca="false">IF(OR($C12="",$B$2="",$D$2=0),0,IF(Z$3&lt;0,0,N(INDEX('CURVA PREVISION'!$A$1:$KZ$3000,$C12,10+3*MIN(Z$3,$D$2-1)))))</f>
        <v>0</v>
      </c>
      <c r="AA12" s="131" t="n">
        <f aca="false">IF(OR($C12="",$B$2="",$D$2=0),0,IF(AA$3&lt;0,0,N(INDEX('CURVA PREVISION'!$A$1:$KZ$3000,$C12,10+3*MIN(AA$3,$D$2-1)))))</f>
        <v>0</v>
      </c>
      <c r="AB12" s="131" t="n">
        <f aca="false">IF(OR($C12="",$B$2="",$D$2=0),0,IF(AB$3&lt;0,0,N(INDEX('CURVA PREVISION'!$A$1:$KZ$3000,$C12,10+3*MIN(AB$3,$D$2-1)))))</f>
        <v>0</v>
      </c>
      <c r="AC12" s="131" t="n">
        <f aca="false">IF(OR($C12="",$B$2="",$D$2=0),0,IF(AC$3&lt;0,0,N(INDEX('CURVA PREVISION'!$A$1:$KZ$3000,$C12,10+3*MIN(AC$3,$D$2-1)))))</f>
        <v>0</v>
      </c>
      <c r="AD12" s="131" t="n">
        <f aca="false">IF(OR($C12="",$B$2="",$D$2=0),0,IF(AD$3&lt;0,0,N(INDEX('CURVA PREVISION'!$A$1:$KZ$3000,$C12,10+3*MIN(AD$3,$D$2-1)))))</f>
        <v>0</v>
      </c>
      <c r="AE12" s="131" t="n">
        <f aca="false">IF(OR($C12="",$B$2="",$D$2=0),0,IF(AE$3&lt;0,0,N(INDEX('CURVA PREVISION'!$A$1:$KZ$3000,$C12,10+3*MIN(AE$3,$D$2-1)))))</f>
        <v>0</v>
      </c>
      <c r="AF12" s="131" t="n">
        <f aca="false">IF(OR($C12="",$B$2="",$D$2=0),0,IF(AF$3&lt;0,0,N(INDEX('CURVA PREVISION'!$A$1:$KZ$3000,$C12,10+3*MIN(AF$3,$D$2-1)))))</f>
        <v>0</v>
      </c>
      <c r="AG12" s="131" t="n">
        <f aca="false">IF(OR($C12="",$B$2="",$D$2=0),0,IF(AG$3&lt;0,0,N(INDEX('CURVA PREVISION'!$A$1:$KZ$3000,$C12,10+3*MIN(AG$3,$D$2-1)))))</f>
        <v>0</v>
      </c>
      <c r="AH12" s="131" t="n">
        <f aca="false">IF(OR($C12="",$B$2="",$D$2=0),0,IF(AH$3&lt;0,0,N(INDEX('CURVA PREVISION'!$A$1:$KZ$3000,$C12,10+3*MIN(AH$3,$D$2-1)))))</f>
        <v>0</v>
      </c>
      <c r="AI12" s="131" t="n">
        <f aca="false">IF(OR($C12="",$B$2="",$D$2=0),0,IF(AI$3&lt;0,0,N(INDEX('CURVA PREVISION'!$A$1:$KZ$3000,$C12,10+3*MIN(AI$3,$D$2-1)))))</f>
        <v>0</v>
      </c>
      <c r="AJ12" s="131" t="n">
        <f aca="false">IF(OR($C12="",$B$2="",$D$2=0),0,IF(AJ$3&lt;0,0,N(INDEX('CURVA PREVISION'!$A$1:$KZ$3000,$C12,10+3*MIN(AJ$3,$D$2-1)))))</f>
        <v>0</v>
      </c>
      <c r="AK12" s="131" t="n">
        <f aca="false">IF(OR($C12="",$B$2="",$D$2=0),0,IF(AK$3&lt;0,0,N(INDEX('CURVA PREVISION'!$A$1:$KZ$3000,$C12,10+3*MIN(AK$3,$D$2-1)))))</f>
        <v>0</v>
      </c>
      <c r="AL12" s="131" t="n">
        <f aca="false">IF(OR($C12="",$B$2="",$D$2=0),0,IF(AL$3&lt;0,0,N(INDEX('CURVA PREVISION'!$A$1:$KZ$3000,$C12,10+3*MIN(AL$3,$D$2-1)))))</f>
        <v>0</v>
      </c>
      <c r="AM12" s="131" t="n">
        <f aca="false">IF(OR($C12="",$B$2="",$D$2=0),0,IF(AM$3&lt;0,0,N(INDEX('CURVA PREVISION'!$A$1:$KZ$3000,$C12,10+3*MIN(AM$3,$D$2-1)))))</f>
        <v>0</v>
      </c>
      <c r="AN12" s="131" t="n">
        <f aca="false">IF(OR($C12="",$B$2="",$D$2=0),0,IF(AN$3&lt;0,0,N(INDEX('CURVA PREVISION'!$A$1:$KZ$3000,$C12,10+3*MIN(AN$3,$D$2-1)))))</f>
        <v>0</v>
      </c>
      <c r="AO12" s="131" t="n">
        <f aca="false">IF(OR($C12="",$B$2="",$D$2=0),0,IF(AO$3&lt;0,0,N(INDEX('CURVA PREVISION'!$A$1:$KZ$3000,$C12,10+3*MIN(AO$3,$D$2-1)))))</f>
        <v>0</v>
      </c>
      <c r="AP12" s="131" t="n">
        <f aca="false">IF(OR($C12="",$B$2="",$D$2=0),0,IF(AP$3&lt;0,0,N(INDEX('CURVA PREVISION'!$A$1:$KZ$3000,$C12,10+3*MIN(AP$3,$D$2-1)))))</f>
        <v>0</v>
      </c>
      <c r="AQ12" s="131" t="n">
        <f aca="false">IF(OR($C12="",$B$2="",$D$2=0),0,IF(AQ$3&lt;0,0,N(INDEX('CURVA PREVISION'!$A$1:$KZ$3000,$C12,10+3*MIN(AQ$3,$D$2-1)))))</f>
        <v>0</v>
      </c>
      <c r="AR12" s="131" t="n">
        <f aca="false">IF(OR($C12="",$B$2="",$D$2=0),0,IF(AR$3&lt;0,0,N(INDEX('CURVA PREVISION'!$A$1:$KZ$3000,$C12,10+3*MIN(AR$3,$D$2-1)))))</f>
        <v>0</v>
      </c>
      <c r="AS12" s="131" t="n">
        <f aca="false">IF(OR($C12="",$B$2="",$D$2=0),0,IF(AS$3&lt;0,0,N(INDEX('CURVA PREVISION'!$A$1:$KZ$3000,$C12,10+3*MIN(AS$3,$D$2-1)))))</f>
        <v>0</v>
      </c>
      <c r="AT12" s="131" t="n">
        <f aca="false">IF(OR($C12="",$B$2="",$D$2=0),0,IF(AT$3&lt;0,0,N(INDEX('CURVA PREVISION'!$A$1:$KZ$3000,$C12,10+3*MIN(AT$3,$D$2-1)))))</f>
        <v>0</v>
      </c>
      <c r="AU12" s="131" t="n">
        <f aca="false">IF(OR($C12="",$B$2="",$D$2=0),0,IF(AU$3&lt;0,0,N(INDEX('CURVA PREVISION'!$A$1:$KZ$3000,$C12,10+3*MIN(AU$3,$D$2-1)))))</f>
        <v>0</v>
      </c>
      <c r="AV12" s="131" t="n">
        <f aca="false">IF(OR($C12="",$B$2="",$D$2=0),0,IF(AV$3&lt;0,0,N(INDEX('CURVA PREVISION'!$A$1:$KZ$3000,$C12,10+3*MIN(AV$3,$D$2-1)))))</f>
        <v>0</v>
      </c>
      <c r="AW12" s="131" t="n">
        <f aca="false">IF(OR($C12="",$B$2="",$D$2=0),0,IF(AW$3&lt;0,0,N(INDEX('CURVA PREVISION'!$A$1:$KZ$3000,$C12,10+3*MIN(AW$3,$D$2-1)))))</f>
        <v>0</v>
      </c>
      <c r="AX12" s="131" t="n">
        <f aca="false">IF(OR($C12="",$B$2="",$D$2=0),0,IF(AX$3&lt;0,0,N(INDEX('CURVA PREVISION'!$A$1:$KZ$3000,$C12,10+3*MIN(AX$3,$D$2-1)))))</f>
        <v>0</v>
      </c>
      <c r="AY12" s="131" t="n">
        <f aca="false">IF(OR($C12="",$B$2="",$D$2=0),0,IF(AY$3&lt;0,0,N(INDEX('CURVA PREVISION'!$A$1:$KZ$3000,$C12,10+3*MIN(AY$3,$D$2-1)))))</f>
        <v>0</v>
      </c>
      <c r="AZ12" s="131" t="n">
        <f aca="false">IF(OR($C12="",$B$2="",$D$2=0),0,IF(AZ$3&lt;0,0,N(INDEX('CURVA PREVISION'!$A$1:$KZ$3000,$C12,10+3*MIN(AZ$3,$D$2-1)))))</f>
        <v>0</v>
      </c>
      <c r="BA12" s="131" t="n">
        <f aca="false">IF(OR($C12="",$B$2="",$D$2=0),0,IF(BA$3&lt;0,0,N(INDEX('CURVA PREVISION'!$A$1:$KZ$3000,$C12,10+3*MIN(BA$3,$D$2-1)))))</f>
        <v>0</v>
      </c>
      <c r="BB12" s="131" t="n">
        <f aca="false">IF(OR($C12="",$B$2="",$D$2=0),0,IF(BB$3&lt;0,0,N(INDEX('CURVA PREVISION'!$A$1:$KZ$3000,$C12,10+3*MIN(BB$3,$D$2-1)))))</f>
        <v>0</v>
      </c>
      <c r="BC12" s="131" t="n">
        <f aca="false">IF(OR($C12="",$B$2="",$D$2=0),0,IF(BC$3&lt;0,0,N(INDEX('CURVA PREVISION'!$A$1:$KZ$3000,$C12,10+3*MIN(BC$3,$D$2-1)))))</f>
        <v>0</v>
      </c>
      <c r="BD12" s="131" t="n">
        <f aca="false">IF(OR($C12="",$B$2="",$D$2=0),0,IF(BD$3&lt;0,0,N(INDEX('CURVA PREVISION'!$A$1:$KZ$3000,$C12,10+3*MIN(BD$3,$D$2-1)))))</f>
        <v>0</v>
      </c>
      <c r="BE12" s="131" t="n">
        <f aca="false">IF(OR($C12="",$B$2="",$D$2=0),0,IF(BE$3&lt;0,0,N(INDEX('CURVA PREVISION'!$A$1:$KZ$3000,$C12,10+3*MIN(BE$3,$D$2-1)))))</f>
        <v>0</v>
      </c>
      <c r="BF12" s="131" t="n">
        <f aca="false">IF(OR($C12="",$B$2="",$D$2=0),0,IF(BF$3&lt;0,0,N(INDEX('CURVA PREVISION'!$A$1:$KZ$3000,$C12,10+3*MIN(BF$3,$D$2-1)))))</f>
        <v>0</v>
      </c>
      <c r="BG12" s="131" t="n">
        <f aca="false">IF(OR($C12="",$B$2="",$D$2=0),0,IF(BG$3&lt;0,0,N(INDEX('CURVA PREVISION'!$A$1:$KZ$3000,$C12,10+3*MIN(BG$3,$D$2-1)))))</f>
        <v>0</v>
      </c>
      <c r="BH12" s="131" t="n">
        <f aca="false">IF(OR($C12="",$B$2="",$D$2=0),0,IF(BH$3&lt;0,0,N(INDEX('CURVA PREVISION'!$A$1:$KZ$3000,$C12,10+3*MIN(BH$3,$D$2-1)))))</f>
        <v>0</v>
      </c>
      <c r="BI12" s="131" t="n">
        <f aca="false">IF(OR($C12="",$B$2="",$D$2=0),0,IF(BI$3&lt;0,0,N(INDEX('CURVA PREVISION'!$A$1:$KZ$3000,$C12,10+3*MIN(BI$3,$D$2-1)))))</f>
        <v>0</v>
      </c>
      <c r="BJ12" s="131" t="n">
        <f aca="false">IF(OR($C12="",$B$2="",$D$2=0),0,IF(BJ$3&lt;0,0,N(INDEX('CURVA PREVISION'!$A$1:$KZ$3000,$C12,10+3*MIN(BJ$3,$D$2-1)))))</f>
        <v>0</v>
      </c>
      <c r="BK12" s="131" t="n">
        <f aca="false">IF(OR($C12="",$B$2="",$D$2=0),0,IF(BK$3&lt;0,0,N(INDEX('CURVA PREVISION'!$A$1:$KZ$3000,$C12,10+3*MIN(BK$3,$D$2-1)))))</f>
        <v>0</v>
      </c>
      <c r="BL12" s="131" t="n">
        <f aca="false">IF(OR($C12="",$B$2="",$D$2=0),0,IF(BL$3&lt;0,0,N(INDEX('CURVA PREVISION'!$A$1:$KZ$3000,$C12,10+3*MIN(BL$3,$D$2-1)))))</f>
        <v>0</v>
      </c>
      <c r="BM12" s="131" t="n">
        <f aca="false">IF(OR($C12="",$B$2="",$D$2=0),0,IF(BM$3&lt;0,0,N(INDEX('CURVA PREVISION'!$A$1:$KZ$3000,$C12,10+3*MIN(BM$3,$D$2-1)))))</f>
        <v>0</v>
      </c>
      <c r="BN12" s="131" t="n">
        <f aca="false">IF(OR($C12="",$B$2="",$D$2=0),0,IF(BN$3&lt;0,0,N(INDEX('CURVA PREVISION'!$A$1:$KZ$3000,$C12,10+3*MIN(BN$3,$D$2-1)))))</f>
        <v>0</v>
      </c>
      <c r="BO12" s="131" t="n">
        <f aca="false">IF(OR($C12="",$B$2="",$D$2=0),0,IF(BO$3&lt;0,0,N(INDEX('CURVA PREVISION'!$A$1:$KZ$3000,$C12,10+3*MIN(BO$3,$D$2-1)))))</f>
        <v>0</v>
      </c>
      <c r="BP12" s="131" t="n">
        <f aca="false">IF(OR($C12="",$B$2="",$D$2=0),0,IF(BP$3&lt;0,0,N(INDEX('CURVA PREVISION'!$A$1:$KZ$3000,$C12,10+3*MIN(BP$3,$D$2-1)))))</f>
        <v>0</v>
      </c>
      <c r="BQ12" s="131" t="n">
        <f aca="false">IF(OR($C12="",$B$2="",$D$2=0),0,IF(BQ$3&lt;0,0,N(INDEX('CURVA PREVISION'!$A$1:$KZ$3000,$C12,10+3*MIN(BQ$3,$D$2-1)))))</f>
        <v>0</v>
      </c>
      <c r="BR12" s="131" t="n">
        <f aca="false">IF(OR($C12="",$B$2="",$D$2=0),0,IF(BR$3&lt;0,0,N(INDEX('CURVA PREVISION'!$A$1:$KZ$3000,$C12,10+3*MIN(BR$3,$D$2-1)))))</f>
        <v>0</v>
      </c>
      <c r="BS12" s="131" t="n">
        <f aca="false">IF(OR($C12="",$B$2="",$D$2=0),0,IF(BS$3&lt;0,0,N(INDEX('CURVA PREVISION'!$A$1:$KZ$3000,$C12,10+3*MIN(BS$3,$D$2-1)))))</f>
        <v>0</v>
      </c>
      <c r="BT12" s="131" t="n">
        <f aca="false">IF(OR($C12="",$B$2="",$D$2=0),0,IF(BT$3&lt;0,0,N(INDEX('CURVA PREVISION'!$A$1:$KZ$3000,$C12,10+3*MIN(BT$3,$D$2-1)))))</f>
        <v>0</v>
      </c>
      <c r="BU12" s="131" t="n">
        <f aca="false">IF(OR($C12="",$B$2="",$D$2=0),0,IF(BU$3&lt;0,0,N(INDEX('CURVA PREVISION'!$A$1:$KZ$3000,$C12,10+3*MIN(BU$3,$D$2-1)))))</f>
        <v>0</v>
      </c>
      <c r="BV12" s="131" t="n">
        <f aca="false">IF(OR($C12="",$B$2="",$D$2=0),0,IF(BV$3&lt;0,0,N(INDEX('CURVA PREVISION'!$A$1:$KZ$3000,$C12,10+3*MIN(BV$3,$D$2-1)))))</f>
        <v>0</v>
      </c>
      <c r="BW12" s="131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89</v>
      </c>
      <c r="D13" s="131" t="n">
        <f aca="false">IF(OR($C13="",$B$2="",$D$2=0),0,IF(D$3&lt;0,0,N(INDEX('CURVA PREVISION'!$A$1:$KZ$3000,$C13,10+3*MIN(D$3,$D$2-1)))))</f>
        <v>0</v>
      </c>
      <c r="E13" s="131" t="n">
        <f aca="false">IF(OR($C13="",$B$2="",$D$2=0),0,IF(E$3&lt;0,0,N(INDEX('CURVA PREVISION'!$A$1:$KZ$3000,$C13,10+3*MIN(E$3,$D$2-1)))))</f>
        <v>0</v>
      </c>
      <c r="F13" s="131" t="n">
        <f aca="false">IF(OR($C13="",$B$2="",$D$2=0),0,IF(F$3&lt;0,0,N(INDEX('CURVA PREVISION'!$A$1:$KZ$3000,$C13,10+3*MIN(F$3,$D$2-1)))))</f>
        <v>0</v>
      </c>
      <c r="G13" s="131" t="n">
        <f aca="false">IF(OR($C13="",$B$2="",$D$2=0),0,IF(G$3&lt;0,0,N(INDEX('CURVA PREVISION'!$A$1:$KZ$3000,$C13,10+3*MIN(G$3,$D$2-1)))))</f>
        <v>0</v>
      </c>
      <c r="H13" s="131" t="n">
        <f aca="false">IF(OR($C13="",$B$2="",$D$2=0),0,IF(H$3&lt;0,0,N(INDEX('CURVA PREVISION'!$A$1:$KZ$3000,$C13,10+3*MIN(H$3,$D$2-1)))))</f>
        <v>0</v>
      </c>
      <c r="I13" s="131" t="n">
        <f aca="false">IF(OR($C13="",$B$2="",$D$2=0),0,IF(I$3&lt;0,0,N(INDEX('CURVA PREVISION'!$A$1:$KZ$3000,$C13,10+3*MIN(I$3,$D$2-1)))))</f>
        <v>0</v>
      </c>
      <c r="J13" s="131" t="n">
        <f aca="false">IF(OR($C13="",$B$2="",$D$2=0),0,IF(J$3&lt;0,0,N(INDEX('CURVA PREVISION'!$A$1:$KZ$3000,$C13,10+3*MIN(J$3,$D$2-1)))))</f>
        <v>0</v>
      </c>
      <c r="K13" s="131" t="n">
        <f aca="false">IF(OR($C13="",$B$2="",$D$2=0),0,IF(K$3&lt;0,0,N(INDEX('CURVA PREVISION'!$A$1:$KZ$3000,$C13,10+3*MIN(K$3,$D$2-1)))))</f>
        <v>0</v>
      </c>
      <c r="L13" s="131" t="n">
        <f aca="false">IF(OR($C13="",$B$2="",$D$2=0),0,IF(L$3&lt;0,0,N(INDEX('CURVA PREVISION'!$A$1:$KZ$3000,$C13,10+3*MIN(L$3,$D$2-1)))))</f>
        <v>0</v>
      </c>
      <c r="M13" s="131" t="n">
        <f aca="false">IF(OR($C13="",$B$2="",$D$2=0),0,IF(M$3&lt;0,0,N(INDEX('CURVA PREVISION'!$A$1:$KZ$3000,$C13,10+3*MIN(M$3,$D$2-1)))))</f>
        <v>0</v>
      </c>
      <c r="N13" s="131" t="n">
        <f aca="false">IF(OR($C13="",$B$2="",$D$2=0),0,IF(N$3&lt;0,0,N(INDEX('CURVA PREVISION'!$A$1:$KZ$3000,$C13,10+3*MIN(N$3,$D$2-1)))))</f>
        <v>0</v>
      </c>
      <c r="O13" s="131" t="n">
        <f aca="false">IF(OR($C13="",$B$2="",$D$2=0),0,IF(O$3&lt;0,0,N(INDEX('CURVA PREVISION'!$A$1:$KZ$3000,$C13,10+3*MIN(O$3,$D$2-1)))))</f>
        <v>0</v>
      </c>
      <c r="P13" s="131" t="n">
        <f aca="false">IF(OR($C13="",$B$2="",$D$2=0),0,IF(P$3&lt;0,0,N(INDEX('CURVA PREVISION'!$A$1:$KZ$3000,$C13,10+3*MIN(P$3,$D$2-1)))))</f>
        <v>0</v>
      </c>
      <c r="Q13" s="131" t="n">
        <f aca="false">IF(OR($C13="",$B$2="",$D$2=0),0,IF(Q$3&lt;0,0,N(INDEX('CURVA PREVISION'!$A$1:$KZ$3000,$C13,10+3*MIN(Q$3,$D$2-1)))))</f>
        <v>0</v>
      </c>
      <c r="R13" s="131" t="n">
        <f aca="false">IF(OR($C13="",$B$2="",$D$2=0),0,IF(R$3&lt;0,0,N(INDEX('CURVA PREVISION'!$A$1:$KZ$3000,$C13,10+3*MIN(R$3,$D$2-1)))))</f>
        <v>0</v>
      </c>
      <c r="S13" s="131" t="n">
        <f aca="false">IF(OR($C13="",$B$2="",$D$2=0),0,IF(S$3&lt;0,0,N(INDEX('CURVA PREVISION'!$A$1:$KZ$3000,$C13,10+3*MIN(S$3,$D$2-1)))))</f>
        <v>0</v>
      </c>
      <c r="T13" s="131" t="n">
        <f aca="false">IF(OR($C13="",$B$2="",$D$2=0),0,IF(T$3&lt;0,0,N(INDEX('CURVA PREVISION'!$A$1:$KZ$3000,$C13,10+3*MIN(T$3,$D$2-1)))))</f>
        <v>0</v>
      </c>
      <c r="U13" s="131" t="n">
        <f aca="false">IF(OR($C13="",$B$2="",$D$2=0),0,IF(U$3&lt;0,0,N(INDEX('CURVA PREVISION'!$A$1:$KZ$3000,$C13,10+3*MIN(U$3,$D$2-1)))))</f>
        <v>0</v>
      </c>
      <c r="V13" s="131" t="n">
        <f aca="false">IF(OR($C13="",$B$2="",$D$2=0),0,IF(V$3&lt;0,0,N(INDEX('CURVA PREVISION'!$A$1:$KZ$3000,$C13,10+3*MIN(V$3,$D$2-1)))))</f>
        <v>0</v>
      </c>
      <c r="W13" s="131" t="n">
        <f aca="false">IF(OR($C13="",$B$2="",$D$2=0),0,IF(W$3&lt;0,0,N(INDEX('CURVA PREVISION'!$A$1:$KZ$3000,$C13,10+3*MIN(W$3,$D$2-1)))))</f>
        <v>0</v>
      </c>
      <c r="X13" s="131" t="n">
        <f aca="false">IF(OR($C13="",$B$2="",$D$2=0),0,IF(X$3&lt;0,0,N(INDEX('CURVA PREVISION'!$A$1:$KZ$3000,$C13,10+3*MIN(X$3,$D$2-1)))))</f>
        <v>0</v>
      </c>
      <c r="Y13" s="131" t="n">
        <f aca="false">IF(OR($C13="",$B$2="",$D$2=0),0,IF(Y$3&lt;0,0,N(INDEX('CURVA PREVISION'!$A$1:$KZ$3000,$C13,10+3*MIN(Y$3,$D$2-1)))))</f>
        <v>0</v>
      </c>
      <c r="Z13" s="131" t="n">
        <f aca="false">IF(OR($C13="",$B$2="",$D$2=0),0,IF(Z$3&lt;0,0,N(INDEX('CURVA PREVISION'!$A$1:$KZ$3000,$C13,10+3*MIN(Z$3,$D$2-1)))))</f>
        <v>0</v>
      </c>
      <c r="AA13" s="131" t="n">
        <f aca="false">IF(OR($C13="",$B$2="",$D$2=0),0,IF(AA$3&lt;0,0,N(INDEX('CURVA PREVISION'!$A$1:$KZ$3000,$C13,10+3*MIN(AA$3,$D$2-1)))))</f>
        <v>0</v>
      </c>
      <c r="AB13" s="131" t="n">
        <f aca="false">IF(OR($C13="",$B$2="",$D$2=0),0,IF(AB$3&lt;0,0,N(INDEX('CURVA PREVISION'!$A$1:$KZ$3000,$C13,10+3*MIN(AB$3,$D$2-1)))))</f>
        <v>0</v>
      </c>
      <c r="AC13" s="131" t="n">
        <f aca="false">IF(OR($C13="",$B$2="",$D$2=0),0,IF(AC$3&lt;0,0,N(INDEX('CURVA PREVISION'!$A$1:$KZ$3000,$C13,10+3*MIN(AC$3,$D$2-1)))))</f>
        <v>0</v>
      </c>
      <c r="AD13" s="131" t="n">
        <f aca="false">IF(OR($C13="",$B$2="",$D$2=0),0,IF(AD$3&lt;0,0,N(INDEX('CURVA PREVISION'!$A$1:$KZ$3000,$C13,10+3*MIN(AD$3,$D$2-1)))))</f>
        <v>0</v>
      </c>
      <c r="AE13" s="131" t="n">
        <f aca="false">IF(OR($C13="",$B$2="",$D$2=0),0,IF(AE$3&lt;0,0,N(INDEX('CURVA PREVISION'!$A$1:$KZ$3000,$C13,10+3*MIN(AE$3,$D$2-1)))))</f>
        <v>0</v>
      </c>
      <c r="AF13" s="131" t="n">
        <f aca="false">IF(OR($C13="",$B$2="",$D$2=0),0,IF(AF$3&lt;0,0,N(INDEX('CURVA PREVISION'!$A$1:$KZ$3000,$C13,10+3*MIN(AF$3,$D$2-1)))))</f>
        <v>0</v>
      </c>
      <c r="AG13" s="131" t="n">
        <f aca="false">IF(OR($C13="",$B$2="",$D$2=0),0,IF(AG$3&lt;0,0,N(INDEX('CURVA PREVISION'!$A$1:$KZ$3000,$C13,10+3*MIN(AG$3,$D$2-1)))))</f>
        <v>0</v>
      </c>
      <c r="AH13" s="131" t="n">
        <f aca="false">IF(OR($C13="",$B$2="",$D$2=0),0,IF(AH$3&lt;0,0,N(INDEX('CURVA PREVISION'!$A$1:$KZ$3000,$C13,10+3*MIN(AH$3,$D$2-1)))))</f>
        <v>0</v>
      </c>
      <c r="AI13" s="131" t="n">
        <f aca="false">IF(OR($C13="",$B$2="",$D$2=0),0,IF(AI$3&lt;0,0,N(INDEX('CURVA PREVISION'!$A$1:$KZ$3000,$C13,10+3*MIN(AI$3,$D$2-1)))))</f>
        <v>0</v>
      </c>
      <c r="AJ13" s="131" t="n">
        <f aca="false">IF(OR($C13="",$B$2="",$D$2=0),0,IF(AJ$3&lt;0,0,N(INDEX('CURVA PREVISION'!$A$1:$KZ$3000,$C13,10+3*MIN(AJ$3,$D$2-1)))))</f>
        <v>0</v>
      </c>
      <c r="AK13" s="131" t="n">
        <f aca="false">IF(OR($C13="",$B$2="",$D$2=0),0,IF(AK$3&lt;0,0,N(INDEX('CURVA PREVISION'!$A$1:$KZ$3000,$C13,10+3*MIN(AK$3,$D$2-1)))))</f>
        <v>0</v>
      </c>
      <c r="AL13" s="131" t="n">
        <f aca="false">IF(OR($C13="",$B$2="",$D$2=0),0,IF(AL$3&lt;0,0,N(INDEX('CURVA PREVISION'!$A$1:$KZ$3000,$C13,10+3*MIN(AL$3,$D$2-1)))))</f>
        <v>0</v>
      </c>
      <c r="AM13" s="131" t="n">
        <f aca="false">IF(OR($C13="",$B$2="",$D$2=0),0,IF(AM$3&lt;0,0,N(INDEX('CURVA PREVISION'!$A$1:$KZ$3000,$C13,10+3*MIN(AM$3,$D$2-1)))))</f>
        <v>0</v>
      </c>
      <c r="AN13" s="131" t="n">
        <f aca="false">IF(OR($C13="",$B$2="",$D$2=0),0,IF(AN$3&lt;0,0,N(INDEX('CURVA PREVISION'!$A$1:$KZ$3000,$C13,10+3*MIN(AN$3,$D$2-1)))))</f>
        <v>0</v>
      </c>
      <c r="AO13" s="131" t="n">
        <f aca="false">IF(OR($C13="",$B$2="",$D$2=0),0,IF(AO$3&lt;0,0,N(INDEX('CURVA PREVISION'!$A$1:$KZ$3000,$C13,10+3*MIN(AO$3,$D$2-1)))))</f>
        <v>0</v>
      </c>
      <c r="AP13" s="131" t="n">
        <f aca="false">IF(OR($C13="",$B$2="",$D$2=0),0,IF(AP$3&lt;0,0,N(INDEX('CURVA PREVISION'!$A$1:$KZ$3000,$C13,10+3*MIN(AP$3,$D$2-1)))))</f>
        <v>0</v>
      </c>
      <c r="AQ13" s="131" t="n">
        <f aca="false">IF(OR($C13="",$B$2="",$D$2=0),0,IF(AQ$3&lt;0,0,N(INDEX('CURVA PREVISION'!$A$1:$KZ$3000,$C13,10+3*MIN(AQ$3,$D$2-1)))))</f>
        <v>0</v>
      </c>
      <c r="AR13" s="131" t="n">
        <f aca="false">IF(OR($C13="",$B$2="",$D$2=0),0,IF(AR$3&lt;0,0,N(INDEX('CURVA PREVISION'!$A$1:$KZ$3000,$C13,10+3*MIN(AR$3,$D$2-1)))))</f>
        <v>0</v>
      </c>
      <c r="AS13" s="131" t="n">
        <f aca="false">IF(OR($C13="",$B$2="",$D$2=0),0,IF(AS$3&lt;0,0,N(INDEX('CURVA PREVISION'!$A$1:$KZ$3000,$C13,10+3*MIN(AS$3,$D$2-1)))))</f>
        <v>0</v>
      </c>
      <c r="AT13" s="131" t="n">
        <f aca="false">IF(OR($C13="",$B$2="",$D$2=0),0,IF(AT$3&lt;0,0,N(INDEX('CURVA PREVISION'!$A$1:$KZ$3000,$C13,10+3*MIN(AT$3,$D$2-1)))))</f>
        <v>0</v>
      </c>
      <c r="AU13" s="131" t="n">
        <f aca="false">IF(OR($C13="",$B$2="",$D$2=0),0,IF(AU$3&lt;0,0,N(INDEX('CURVA PREVISION'!$A$1:$KZ$3000,$C13,10+3*MIN(AU$3,$D$2-1)))))</f>
        <v>0</v>
      </c>
      <c r="AV13" s="131" t="n">
        <f aca="false">IF(OR($C13="",$B$2="",$D$2=0),0,IF(AV$3&lt;0,0,N(INDEX('CURVA PREVISION'!$A$1:$KZ$3000,$C13,10+3*MIN(AV$3,$D$2-1)))))</f>
        <v>0</v>
      </c>
      <c r="AW13" s="131" t="n">
        <f aca="false">IF(OR($C13="",$B$2="",$D$2=0),0,IF(AW$3&lt;0,0,N(INDEX('CURVA PREVISION'!$A$1:$KZ$3000,$C13,10+3*MIN(AW$3,$D$2-1)))))</f>
        <v>0</v>
      </c>
      <c r="AX13" s="131" t="n">
        <f aca="false">IF(OR($C13="",$B$2="",$D$2=0),0,IF(AX$3&lt;0,0,N(INDEX('CURVA PREVISION'!$A$1:$KZ$3000,$C13,10+3*MIN(AX$3,$D$2-1)))))</f>
        <v>0</v>
      </c>
      <c r="AY13" s="131" t="n">
        <f aca="false">IF(OR($C13="",$B$2="",$D$2=0),0,IF(AY$3&lt;0,0,N(INDEX('CURVA PREVISION'!$A$1:$KZ$3000,$C13,10+3*MIN(AY$3,$D$2-1)))))</f>
        <v>0</v>
      </c>
      <c r="AZ13" s="131" t="n">
        <f aca="false">IF(OR($C13="",$B$2="",$D$2=0),0,IF(AZ$3&lt;0,0,N(INDEX('CURVA PREVISION'!$A$1:$KZ$3000,$C13,10+3*MIN(AZ$3,$D$2-1)))))</f>
        <v>0</v>
      </c>
      <c r="BA13" s="131" t="n">
        <f aca="false">IF(OR($C13="",$B$2="",$D$2=0),0,IF(BA$3&lt;0,0,N(INDEX('CURVA PREVISION'!$A$1:$KZ$3000,$C13,10+3*MIN(BA$3,$D$2-1)))))</f>
        <v>0</v>
      </c>
      <c r="BB13" s="131" t="n">
        <f aca="false">IF(OR($C13="",$B$2="",$D$2=0),0,IF(BB$3&lt;0,0,N(INDEX('CURVA PREVISION'!$A$1:$KZ$3000,$C13,10+3*MIN(BB$3,$D$2-1)))))</f>
        <v>0</v>
      </c>
      <c r="BC13" s="131" t="n">
        <f aca="false">IF(OR($C13="",$B$2="",$D$2=0),0,IF(BC$3&lt;0,0,N(INDEX('CURVA PREVISION'!$A$1:$KZ$3000,$C13,10+3*MIN(BC$3,$D$2-1)))))</f>
        <v>0</v>
      </c>
      <c r="BD13" s="131" t="n">
        <f aca="false">IF(OR($C13="",$B$2="",$D$2=0),0,IF(BD$3&lt;0,0,N(INDEX('CURVA PREVISION'!$A$1:$KZ$3000,$C13,10+3*MIN(BD$3,$D$2-1)))))</f>
        <v>0</v>
      </c>
      <c r="BE13" s="131" t="n">
        <f aca="false">IF(OR($C13="",$B$2="",$D$2=0),0,IF(BE$3&lt;0,0,N(INDEX('CURVA PREVISION'!$A$1:$KZ$3000,$C13,10+3*MIN(BE$3,$D$2-1)))))</f>
        <v>0</v>
      </c>
      <c r="BF13" s="131" t="n">
        <f aca="false">IF(OR($C13="",$B$2="",$D$2=0),0,IF(BF$3&lt;0,0,N(INDEX('CURVA PREVISION'!$A$1:$KZ$3000,$C13,10+3*MIN(BF$3,$D$2-1)))))</f>
        <v>0</v>
      </c>
      <c r="BG13" s="131" t="n">
        <f aca="false">IF(OR($C13="",$B$2="",$D$2=0),0,IF(BG$3&lt;0,0,N(INDEX('CURVA PREVISION'!$A$1:$KZ$3000,$C13,10+3*MIN(BG$3,$D$2-1)))))</f>
        <v>0</v>
      </c>
      <c r="BH13" s="131" t="n">
        <f aca="false">IF(OR($C13="",$B$2="",$D$2=0),0,IF(BH$3&lt;0,0,N(INDEX('CURVA PREVISION'!$A$1:$KZ$3000,$C13,10+3*MIN(BH$3,$D$2-1)))))</f>
        <v>0</v>
      </c>
      <c r="BI13" s="131" t="n">
        <f aca="false">IF(OR($C13="",$B$2="",$D$2=0),0,IF(BI$3&lt;0,0,N(INDEX('CURVA PREVISION'!$A$1:$KZ$3000,$C13,10+3*MIN(BI$3,$D$2-1)))))</f>
        <v>0</v>
      </c>
      <c r="BJ13" s="131" t="n">
        <f aca="false">IF(OR($C13="",$B$2="",$D$2=0),0,IF(BJ$3&lt;0,0,N(INDEX('CURVA PREVISION'!$A$1:$KZ$3000,$C13,10+3*MIN(BJ$3,$D$2-1)))))</f>
        <v>0</v>
      </c>
      <c r="BK13" s="131" t="n">
        <f aca="false">IF(OR($C13="",$B$2="",$D$2=0),0,IF(BK$3&lt;0,0,N(INDEX('CURVA PREVISION'!$A$1:$KZ$3000,$C13,10+3*MIN(BK$3,$D$2-1)))))</f>
        <v>0</v>
      </c>
      <c r="BL13" s="131" t="n">
        <f aca="false">IF(OR($C13="",$B$2="",$D$2=0),0,IF(BL$3&lt;0,0,N(INDEX('CURVA PREVISION'!$A$1:$KZ$3000,$C13,10+3*MIN(BL$3,$D$2-1)))))</f>
        <v>0</v>
      </c>
      <c r="BM13" s="131" t="n">
        <f aca="false">IF(OR($C13="",$B$2="",$D$2=0),0,IF(BM$3&lt;0,0,N(INDEX('CURVA PREVISION'!$A$1:$KZ$3000,$C13,10+3*MIN(BM$3,$D$2-1)))))</f>
        <v>0</v>
      </c>
      <c r="BN13" s="131" t="n">
        <f aca="false">IF(OR($C13="",$B$2="",$D$2=0),0,IF(BN$3&lt;0,0,N(INDEX('CURVA PREVISION'!$A$1:$KZ$3000,$C13,10+3*MIN(BN$3,$D$2-1)))))</f>
        <v>0</v>
      </c>
      <c r="BO13" s="131" t="n">
        <f aca="false">IF(OR($C13="",$B$2="",$D$2=0),0,IF(BO$3&lt;0,0,N(INDEX('CURVA PREVISION'!$A$1:$KZ$3000,$C13,10+3*MIN(BO$3,$D$2-1)))))</f>
        <v>0</v>
      </c>
      <c r="BP13" s="131" t="n">
        <f aca="false">IF(OR($C13="",$B$2="",$D$2=0),0,IF(BP$3&lt;0,0,N(INDEX('CURVA PREVISION'!$A$1:$KZ$3000,$C13,10+3*MIN(BP$3,$D$2-1)))))</f>
        <v>0</v>
      </c>
      <c r="BQ13" s="131" t="n">
        <f aca="false">IF(OR($C13="",$B$2="",$D$2=0),0,IF(BQ$3&lt;0,0,N(INDEX('CURVA PREVISION'!$A$1:$KZ$3000,$C13,10+3*MIN(BQ$3,$D$2-1)))))</f>
        <v>0</v>
      </c>
      <c r="BR13" s="131" t="n">
        <f aca="false">IF(OR($C13="",$B$2="",$D$2=0),0,IF(BR$3&lt;0,0,N(INDEX('CURVA PREVISION'!$A$1:$KZ$3000,$C13,10+3*MIN(BR$3,$D$2-1)))))</f>
        <v>0</v>
      </c>
      <c r="BS13" s="131" t="n">
        <f aca="false">IF(OR($C13="",$B$2="",$D$2=0),0,IF(BS$3&lt;0,0,N(INDEX('CURVA PREVISION'!$A$1:$KZ$3000,$C13,10+3*MIN(BS$3,$D$2-1)))))</f>
        <v>0</v>
      </c>
      <c r="BT13" s="131" t="n">
        <f aca="false">IF(OR($C13="",$B$2="",$D$2=0),0,IF(BT$3&lt;0,0,N(INDEX('CURVA PREVISION'!$A$1:$KZ$3000,$C13,10+3*MIN(BT$3,$D$2-1)))))</f>
        <v>0</v>
      </c>
      <c r="BU13" s="131" t="n">
        <f aca="false">IF(OR($C13="",$B$2="",$D$2=0),0,IF(BU$3&lt;0,0,N(INDEX('CURVA PREVISION'!$A$1:$KZ$3000,$C13,10+3*MIN(BU$3,$D$2-1)))))</f>
        <v>0</v>
      </c>
      <c r="BV13" s="131" t="n">
        <f aca="false">IF(OR($C13="",$B$2="",$D$2=0),0,IF(BV$3&lt;0,0,N(INDEX('CURVA PREVISION'!$A$1:$KZ$3000,$C13,10+3*MIN(BV$3,$D$2-1)))))</f>
        <v>0</v>
      </c>
      <c r="BW13" s="131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105</v>
      </c>
      <c r="D14" s="131" t="n">
        <f aca="false">IF(OR($C14="",$B$2="",$D$2=0),0,IF(D$3&lt;0,0,N(INDEX('CURVA PREVISION'!$A$1:$KZ$3000,$C14,10+3*MIN(D$3,$D$2-1)))))</f>
        <v>0</v>
      </c>
      <c r="E14" s="131" t="n">
        <f aca="false">IF(OR($C14="",$B$2="",$D$2=0),0,IF(E$3&lt;0,0,N(INDEX('CURVA PREVISION'!$A$1:$KZ$3000,$C14,10+3*MIN(E$3,$D$2-1)))))</f>
        <v>0</v>
      </c>
      <c r="F14" s="131" t="n">
        <f aca="false">IF(OR($C14="",$B$2="",$D$2=0),0,IF(F$3&lt;0,0,N(INDEX('CURVA PREVISION'!$A$1:$KZ$3000,$C14,10+3*MIN(F$3,$D$2-1)))))</f>
        <v>0</v>
      </c>
      <c r="G14" s="131" t="n">
        <f aca="false">IF(OR($C14="",$B$2="",$D$2=0),0,IF(G$3&lt;0,0,N(INDEX('CURVA PREVISION'!$A$1:$KZ$3000,$C14,10+3*MIN(G$3,$D$2-1)))))</f>
        <v>0</v>
      </c>
      <c r="H14" s="131" t="n">
        <f aca="false">IF(OR($C14="",$B$2="",$D$2=0),0,IF(H$3&lt;0,0,N(INDEX('CURVA PREVISION'!$A$1:$KZ$3000,$C14,10+3*MIN(H$3,$D$2-1)))))</f>
        <v>0</v>
      </c>
      <c r="I14" s="131" t="n">
        <f aca="false">IF(OR($C14="",$B$2="",$D$2=0),0,IF(I$3&lt;0,0,N(INDEX('CURVA PREVISION'!$A$1:$KZ$3000,$C14,10+3*MIN(I$3,$D$2-1)))))</f>
        <v>0</v>
      </c>
      <c r="J14" s="131" t="n">
        <f aca="false">IF(OR($C14="",$B$2="",$D$2=0),0,IF(J$3&lt;0,0,N(INDEX('CURVA PREVISION'!$A$1:$KZ$3000,$C14,10+3*MIN(J$3,$D$2-1)))))</f>
        <v>0</v>
      </c>
      <c r="K14" s="131" t="n">
        <f aca="false">IF(OR($C14="",$B$2="",$D$2=0),0,IF(K$3&lt;0,0,N(INDEX('CURVA PREVISION'!$A$1:$KZ$3000,$C14,10+3*MIN(K$3,$D$2-1)))))</f>
        <v>0</v>
      </c>
      <c r="L14" s="131" t="n">
        <f aca="false">IF(OR($C14="",$B$2="",$D$2=0),0,IF(L$3&lt;0,0,N(INDEX('CURVA PREVISION'!$A$1:$KZ$3000,$C14,10+3*MIN(L$3,$D$2-1)))))</f>
        <v>0</v>
      </c>
      <c r="M14" s="131" t="n">
        <f aca="false">IF(OR($C14="",$B$2="",$D$2=0),0,IF(M$3&lt;0,0,N(INDEX('CURVA PREVISION'!$A$1:$KZ$3000,$C14,10+3*MIN(M$3,$D$2-1)))))</f>
        <v>0</v>
      </c>
      <c r="N14" s="131" t="n">
        <f aca="false">IF(OR($C14="",$B$2="",$D$2=0),0,IF(N$3&lt;0,0,N(INDEX('CURVA PREVISION'!$A$1:$KZ$3000,$C14,10+3*MIN(N$3,$D$2-1)))))</f>
        <v>0</v>
      </c>
      <c r="O14" s="131" t="n">
        <f aca="false">IF(OR($C14="",$B$2="",$D$2=0),0,IF(O$3&lt;0,0,N(INDEX('CURVA PREVISION'!$A$1:$KZ$3000,$C14,10+3*MIN(O$3,$D$2-1)))))</f>
        <v>0</v>
      </c>
      <c r="P14" s="131" t="n">
        <f aca="false">IF(OR($C14="",$B$2="",$D$2=0),0,IF(P$3&lt;0,0,N(INDEX('CURVA PREVISION'!$A$1:$KZ$3000,$C14,10+3*MIN(P$3,$D$2-1)))))</f>
        <v>0</v>
      </c>
      <c r="Q14" s="131" t="n">
        <f aca="false">IF(OR($C14="",$B$2="",$D$2=0),0,IF(Q$3&lt;0,0,N(INDEX('CURVA PREVISION'!$A$1:$KZ$3000,$C14,10+3*MIN(Q$3,$D$2-1)))))</f>
        <v>0</v>
      </c>
      <c r="R14" s="131" t="n">
        <f aca="false">IF(OR($C14="",$B$2="",$D$2=0),0,IF(R$3&lt;0,0,N(INDEX('CURVA PREVISION'!$A$1:$KZ$3000,$C14,10+3*MIN(R$3,$D$2-1)))))</f>
        <v>0</v>
      </c>
      <c r="S14" s="131" t="n">
        <f aca="false">IF(OR($C14="",$B$2="",$D$2=0),0,IF(S$3&lt;0,0,N(INDEX('CURVA PREVISION'!$A$1:$KZ$3000,$C14,10+3*MIN(S$3,$D$2-1)))))</f>
        <v>0</v>
      </c>
      <c r="T14" s="131" t="n">
        <f aca="false">IF(OR($C14="",$B$2="",$D$2=0),0,IF(T$3&lt;0,0,N(INDEX('CURVA PREVISION'!$A$1:$KZ$3000,$C14,10+3*MIN(T$3,$D$2-1)))))</f>
        <v>0</v>
      </c>
      <c r="U14" s="131" t="n">
        <f aca="false">IF(OR($C14="",$B$2="",$D$2=0),0,IF(U$3&lt;0,0,N(INDEX('CURVA PREVISION'!$A$1:$KZ$3000,$C14,10+3*MIN(U$3,$D$2-1)))))</f>
        <v>0</v>
      </c>
      <c r="V14" s="131" t="n">
        <f aca="false">IF(OR($C14="",$B$2="",$D$2=0),0,IF(V$3&lt;0,0,N(INDEX('CURVA PREVISION'!$A$1:$KZ$3000,$C14,10+3*MIN(V$3,$D$2-1)))))</f>
        <v>0</v>
      </c>
      <c r="W14" s="131" t="n">
        <f aca="false">IF(OR($C14="",$B$2="",$D$2=0),0,IF(W$3&lt;0,0,N(INDEX('CURVA PREVISION'!$A$1:$KZ$3000,$C14,10+3*MIN(W$3,$D$2-1)))))</f>
        <v>0</v>
      </c>
      <c r="X14" s="131" t="n">
        <f aca="false">IF(OR($C14="",$B$2="",$D$2=0),0,IF(X$3&lt;0,0,N(INDEX('CURVA PREVISION'!$A$1:$KZ$3000,$C14,10+3*MIN(X$3,$D$2-1)))))</f>
        <v>0</v>
      </c>
      <c r="Y14" s="131" t="n">
        <f aca="false">IF(OR($C14="",$B$2="",$D$2=0),0,IF(Y$3&lt;0,0,N(INDEX('CURVA PREVISION'!$A$1:$KZ$3000,$C14,10+3*MIN(Y$3,$D$2-1)))))</f>
        <v>0</v>
      </c>
      <c r="Z14" s="131" t="n">
        <f aca="false">IF(OR($C14="",$B$2="",$D$2=0),0,IF(Z$3&lt;0,0,N(INDEX('CURVA PREVISION'!$A$1:$KZ$3000,$C14,10+3*MIN(Z$3,$D$2-1)))))</f>
        <v>0</v>
      </c>
      <c r="AA14" s="131" t="n">
        <f aca="false">IF(OR($C14="",$B$2="",$D$2=0),0,IF(AA$3&lt;0,0,N(INDEX('CURVA PREVISION'!$A$1:$KZ$3000,$C14,10+3*MIN(AA$3,$D$2-1)))))</f>
        <v>0</v>
      </c>
      <c r="AB14" s="131" t="n">
        <f aca="false">IF(OR($C14="",$B$2="",$D$2=0),0,IF(AB$3&lt;0,0,N(INDEX('CURVA PREVISION'!$A$1:$KZ$3000,$C14,10+3*MIN(AB$3,$D$2-1)))))</f>
        <v>0</v>
      </c>
      <c r="AC14" s="131" t="n">
        <f aca="false">IF(OR($C14="",$B$2="",$D$2=0),0,IF(AC$3&lt;0,0,N(INDEX('CURVA PREVISION'!$A$1:$KZ$3000,$C14,10+3*MIN(AC$3,$D$2-1)))))</f>
        <v>0</v>
      </c>
      <c r="AD14" s="131" t="n">
        <f aca="false">IF(OR($C14="",$B$2="",$D$2=0),0,IF(AD$3&lt;0,0,N(INDEX('CURVA PREVISION'!$A$1:$KZ$3000,$C14,10+3*MIN(AD$3,$D$2-1)))))</f>
        <v>0</v>
      </c>
      <c r="AE14" s="131" t="n">
        <f aca="false">IF(OR($C14="",$B$2="",$D$2=0),0,IF(AE$3&lt;0,0,N(INDEX('CURVA PREVISION'!$A$1:$KZ$3000,$C14,10+3*MIN(AE$3,$D$2-1)))))</f>
        <v>0</v>
      </c>
      <c r="AF14" s="131" t="n">
        <f aca="false">IF(OR($C14="",$B$2="",$D$2=0),0,IF(AF$3&lt;0,0,N(INDEX('CURVA PREVISION'!$A$1:$KZ$3000,$C14,10+3*MIN(AF$3,$D$2-1)))))</f>
        <v>0</v>
      </c>
      <c r="AG14" s="131" t="n">
        <f aca="false">IF(OR($C14="",$B$2="",$D$2=0),0,IF(AG$3&lt;0,0,N(INDEX('CURVA PREVISION'!$A$1:$KZ$3000,$C14,10+3*MIN(AG$3,$D$2-1)))))</f>
        <v>0</v>
      </c>
      <c r="AH14" s="131" t="n">
        <f aca="false">IF(OR($C14="",$B$2="",$D$2=0),0,IF(AH$3&lt;0,0,N(INDEX('CURVA PREVISION'!$A$1:$KZ$3000,$C14,10+3*MIN(AH$3,$D$2-1)))))</f>
        <v>0</v>
      </c>
      <c r="AI14" s="131" t="n">
        <f aca="false">IF(OR($C14="",$B$2="",$D$2=0),0,IF(AI$3&lt;0,0,N(INDEX('CURVA PREVISION'!$A$1:$KZ$3000,$C14,10+3*MIN(AI$3,$D$2-1)))))</f>
        <v>0</v>
      </c>
      <c r="AJ14" s="131" t="n">
        <f aca="false">IF(OR($C14="",$B$2="",$D$2=0),0,IF(AJ$3&lt;0,0,N(INDEX('CURVA PREVISION'!$A$1:$KZ$3000,$C14,10+3*MIN(AJ$3,$D$2-1)))))</f>
        <v>0</v>
      </c>
      <c r="AK14" s="131" t="n">
        <f aca="false">IF(OR($C14="",$B$2="",$D$2=0),0,IF(AK$3&lt;0,0,N(INDEX('CURVA PREVISION'!$A$1:$KZ$3000,$C14,10+3*MIN(AK$3,$D$2-1)))))</f>
        <v>0</v>
      </c>
      <c r="AL14" s="131" t="n">
        <f aca="false">IF(OR($C14="",$B$2="",$D$2=0),0,IF(AL$3&lt;0,0,N(INDEX('CURVA PREVISION'!$A$1:$KZ$3000,$C14,10+3*MIN(AL$3,$D$2-1)))))</f>
        <v>0</v>
      </c>
      <c r="AM14" s="131" t="n">
        <f aca="false">IF(OR($C14="",$B$2="",$D$2=0),0,IF(AM$3&lt;0,0,N(INDEX('CURVA PREVISION'!$A$1:$KZ$3000,$C14,10+3*MIN(AM$3,$D$2-1)))))</f>
        <v>0</v>
      </c>
      <c r="AN14" s="131" t="n">
        <f aca="false">IF(OR($C14="",$B$2="",$D$2=0),0,IF(AN$3&lt;0,0,N(INDEX('CURVA PREVISION'!$A$1:$KZ$3000,$C14,10+3*MIN(AN$3,$D$2-1)))))</f>
        <v>0</v>
      </c>
      <c r="AO14" s="131" t="n">
        <f aca="false">IF(OR($C14="",$B$2="",$D$2=0),0,IF(AO$3&lt;0,0,N(INDEX('CURVA PREVISION'!$A$1:$KZ$3000,$C14,10+3*MIN(AO$3,$D$2-1)))))</f>
        <v>0</v>
      </c>
      <c r="AP14" s="131" t="n">
        <f aca="false">IF(OR($C14="",$B$2="",$D$2=0),0,IF(AP$3&lt;0,0,N(INDEX('CURVA PREVISION'!$A$1:$KZ$3000,$C14,10+3*MIN(AP$3,$D$2-1)))))</f>
        <v>0</v>
      </c>
      <c r="AQ14" s="131" t="n">
        <f aca="false">IF(OR($C14="",$B$2="",$D$2=0),0,IF(AQ$3&lt;0,0,N(INDEX('CURVA PREVISION'!$A$1:$KZ$3000,$C14,10+3*MIN(AQ$3,$D$2-1)))))</f>
        <v>0</v>
      </c>
      <c r="AR14" s="131" t="n">
        <f aca="false">IF(OR($C14="",$B$2="",$D$2=0),0,IF(AR$3&lt;0,0,N(INDEX('CURVA PREVISION'!$A$1:$KZ$3000,$C14,10+3*MIN(AR$3,$D$2-1)))))</f>
        <v>0</v>
      </c>
      <c r="AS14" s="131" t="n">
        <f aca="false">IF(OR($C14="",$B$2="",$D$2=0),0,IF(AS$3&lt;0,0,N(INDEX('CURVA PREVISION'!$A$1:$KZ$3000,$C14,10+3*MIN(AS$3,$D$2-1)))))</f>
        <v>0</v>
      </c>
      <c r="AT14" s="131" t="n">
        <f aca="false">IF(OR($C14="",$B$2="",$D$2=0),0,IF(AT$3&lt;0,0,N(INDEX('CURVA PREVISION'!$A$1:$KZ$3000,$C14,10+3*MIN(AT$3,$D$2-1)))))</f>
        <v>0</v>
      </c>
      <c r="AU14" s="131" t="n">
        <f aca="false">IF(OR($C14="",$B$2="",$D$2=0),0,IF(AU$3&lt;0,0,N(INDEX('CURVA PREVISION'!$A$1:$KZ$3000,$C14,10+3*MIN(AU$3,$D$2-1)))))</f>
        <v>0</v>
      </c>
      <c r="AV14" s="131" t="n">
        <f aca="false">IF(OR($C14="",$B$2="",$D$2=0),0,IF(AV$3&lt;0,0,N(INDEX('CURVA PREVISION'!$A$1:$KZ$3000,$C14,10+3*MIN(AV$3,$D$2-1)))))</f>
        <v>0</v>
      </c>
      <c r="AW14" s="131" t="n">
        <f aca="false">IF(OR($C14="",$B$2="",$D$2=0),0,IF(AW$3&lt;0,0,N(INDEX('CURVA PREVISION'!$A$1:$KZ$3000,$C14,10+3*MIN(AW$3,$D$2-1)))))</f>
        <v>0</v>
      </c>
      <c r="AX14" s="131" t="n">
        <f aca="false">IF(OR($C14="",$B$2="",$D$2=0),0,IF(AX$3&lt;0,0,N(INDEX('CURVA PREVISION'!$A$1:$KZ$3000,$C14,10+3*MIN(AX$3,$D$2-1)))))</f>
        <v>0</v>
      </c>
      <c r="AY14" s="131" t="n">
        <f aca="false">IF(OR($C14="",$B$2="",$D$2=0),0,IF(AY$3&lt;0,0,N(INDEX('CURVA PREVISION'!$A$1:$KZ$3000,$C14,10+3*MIN(AY$3,$D$2-1)))))</f>
        <v>0</v>
      </c>
      <c r="AZ14" s="131" t="n">
        <f aca="false">IF(OR($C14="",$B$2="",$D$2=0),0,IF(AZ$3&lt;0,0,N(INDEX('CURVA PREVISION'!$A$1:$KZ$3000,$C14,10+3*MIN(AZ$3,$D$2-1)))))</f>
        <v>0</v>
      </c>
      <c r="BA14" s="131" t="n">
        <f aca="false">IF(OR($C14="",$B$2="",$D$2=0),0,IF(BA$3&lt;0,0,N(INDEX('CURVA PREVISION'!$A$1:$KZ$3000,$C14,10+3*MIN(BA$3,$D$2-1)))))</f>
        <v>0</v>
      </c>
      <c r="BB14" s="131" t="n">
        <f aca="false">IF(OR($C14="",$B$2="",$D$2=0),0,IF(BB$3&lt;0,0,N(INDEX('CURVA PREVISION'!$A$1:$KZ$3000,$C14,10+3*MIN(BB$3,$D$2-1)))))</f>
        <v>0</v>
      </c>
      <c r="BC14" s="131" t="n">
        <f aca="false">IF(OR($C14="",$B$2="",$D$2=0),0,IF(BC$3&lt;0,0,N(INDEX('CURVA PREVISION'!$A$1:$KZ$3000,$C14,10+3*MIN(BC$3,$D$2-1)))))</f>
        <v>0</v>
      </c>
      <c r="BD14" s="131" t="n">
        <f aca="false">IF(OR($C14="",$B$2="",$D$2=0),0,IF(BD$3&lt;0,0,N(INDEX('CURVA PREVISION'!$A$1:$KZ$3000,$C14,10+3*MIN(BD$3,$D$2-1)))))</f>
        <v>0</v>
      </c>
      <c r="BE14" s="131" t="n">
        <f aca="false">IF(OR($C14="",$B$2="",$D$2=0),0,IF(BE$3&lt;0,0,N(INDEX('CURVA PREVISION'!$A$1:$KZ$3000,$C14,10+3*MIN(BE$3,$D$2-1)))))</f>
        <v>0</v>
      </c>
      <c r="BF14" s="131" t="n">
        <f aca="false">IF(OR($C14="",$B$2="",$D$2=0),0,IF(BF$3&lt;0,0,N(INDEX('CURVA PREVISION'!$A$1:$KZ$3000,$C14,10+3*MIN(BF$3,$D$2-1)))))</f>
        <v>0</v>
      </c>
      <c r="BG14" s="131" t="n">
        <f aca="false">IF(OR($C14="",$B$2="",$D$2=0),0,IF(BG$3&lt;0,0,N(INDEX('CURVA PREVISION'!$A$1:$KZ$3000,$C14,10+3*MIN(BG$3,$D$2-1)))))</f>
        <v>0</v>
      </c>
      <c r="BH14" s="131" t="n">
        <f aca="false">IF(OR($C14="",$B$2="",$D$2=0),0,IF(BH$3&lt;0,0,N(INDEX('CURVA PREVISION'!$A$1:$KZ$3000,$C14,10+3*MIN(BH$3,$D$2-1)))))</f>
        <v>0</v>
      </c>
      <c r="BI14" s="131" t="n">
        <f aca="false">IF(OR($C14="",$B$2="",$D$2=0),0,IF(BI$3&lt;0,0,N(INDEX('CURVA PREVISION'!$A$1:$KZ$3000,$C14,10+3*MIN(BI$3,$D$2-1)))))</f>
        <v>0</v>
      </c>
      <c r="BJ14" s="131" t="n">
        <f aca="false">IF(OR($C14="",$B$2="",$D$2=0),0,IF(BJ$3&lt;0,0,N(INDEX('CURVA PREVISION'!$A$1:$KZ$3000,$C14,10+3*MIN(BJ$3,$D$2-1)))))</f>
        <v>0</v>
      </c>
      <c r="BK14" s="131" t="n">
        <f aca="false">IF(OR($C14="",$B$2="",$D$2=0),0,IF(BK$3&lt;0,0,N(INDEX('CURVA PREVISION'!$A$1:$KZ$3000,$C14,10+3*MIN(BK$3,$D$2-1)))))</f>
        <v>0</v>
      </c>
      <c r="BL14" s="131" t="n">
        <f aca="false">IF(OR($C14="",$B$2="",$D$2=0),0,IF(BL$3&lt;0,0,N(INDEX('CURVA PREVISION'!$A$1:$KZ$3000,$C14,10+3*MIN(BL$3,$D$2-1)))))</f>
        <v>0</v>
      </c>
      <c r="BM14" s="131" t="n">
        <f aca="false">IF(OR($C14="",$B$2="",$D$2=0),0,IF(BM$3&lt;0,0,N(INDEX('CURVA PREVISION'!$A$1:$KZ$3000,$C14,10+3*MIN(BM$3,$D$2-1)))))</f>
        <v>0</v>
      </c>
      <c r="BN14" s="131" t="n">
        <f aca="false">IF(OR($C14="",$B$2="",$D$2=0),0,IF(BN$3&lt;0,0,N(INDEX('CURVA PREVISION'!$A$1:$KZ$3000,$C14,10+3*MIN(BN$3,$D$2-1)))))</f>
        <v>0</v>
      </c>
      <c r="BO14" s="131" t="n">
        <f aca="false">IF(OR($C14="",$B$2="",$D$2=0),0,IF(BO$3&lt;0,0,N(INDEX('CURVA PREVISION'!$A$1:$KZ$3000,$C14,10+3*MIN(BO$3,$D$2-1)))))</f>
        <v>0</v>
      </c>
      <c r="BP14" s="131" t="n">
        <f aca="false">IF(OR($C14="",$B$2="",$D$2=0),0,IF(BP$3&lt;0,0,N(INDEX('CURVA PREVISION'!$A$1:$KZ$3000,$C14,10+3*MIN(BP$3,$D$2-1)))))</f>
        <v>0</v>
      </c>
      <c r="BQ14" s="131" t="n">
        <f aca="false">IF(OR($C14="",$B$2="",$D$2=0),0,IF(BQ$3&lt;0,0,N(INDEX('CURVA PREVISION'!$A$1:$KZ$3000,$C14,10+3*MIN(BQ$3,$D$2-1)))))</f>
        <v>0</v>
      </c>
      <c r="BR14" s="131" t="n">
        <f aca="false">IF(OR($C14="",$B$2="",$D$2=0),0,IF(BR$3&lt;0,0,N(INDEX('CURVA PREVISION'!$A$1:$KZ$3000,$C14,10+3*MIN(BR$3,$D$2-1)))))</f>
        <v>0</v>
      </c>
      <c r="BS14" s="131" t="n">
        <f aca="false">IF(OR($C14="",$B$2="",$D$2=0),0,IF(BS$3&lt;0,0,N(INDEX('CURVA PREVISION'!$A$1:$KZ$3000,$C14,10+3*MIN(BS$3,$D$2-1)))))</f>
        <v>0</v>
      </c>
      <c r="BT14" s="131" t="n">
        <f aca="false">IF(OR($C14="",$B$2="",$D$2=0),0,IF(BT$3&lt;0,0,N(INDEX('CURVA PREVISION'!$A$1:$KZ$3000,$C14,10+3*MIN(BT$3,$D$2-1)))))</f>
        <v>0</v>
      </c>
      <c r="BU14" s="131" t="n">
        <f aca="false">IF(OR($C14="",$B$2="",$D$2=0),0,IF(BU$3&lt;0,0,N(INDEX('CURVA PREVISION'!$A$1:$KZ$3000,$C14,10+3*MIN(BU$3,$D$2-1)))))</f>
        <v>0</v>
      </c>
      <c r="BV14" s="131" t="n">
        <f aca="false">IF(OR($C14="",$B$2="",$D$2=0),0,IF(BV$3&lt;0,0,N(INDEX('CURVA PREVISION'!$A$1:$KZ$3000,$C14,10+3*MIN(BV$3,$D$2-1)))))</f>
        <v>0</v>
      </c>
      <c r="BW14" s="131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151</v>
      </c>
      <c r="D15" s="131" t="n">
        <f aca="false">IF(OR($C15="",$B$2="",$D$2=0),0,IF(D$3&lt;0,0,N(INDEX('CURVA PREVISION'!$A$1:$KZ$3000,$C15,10+3*MIN(D$3,$D$2-1)))))</f>
        <v>0</v>
      </c>
      <c r="E15" s="131" t="n">
        <f aca="false">IF(OR($C15="",$B$2="",$D$2=0),0,IF(E$3&lt;0,0,N(INDEX('CURVA PREVISION'!$A$1:$KZ$3000,$C15,10+3*MIN(E$3,$D$2-1)))))</f>
        <v>0</v>
      </c>
      <c r="F15" s="131" t="n">
        <f aca="false">IF(OR($C15="",$B$2="",$D$2=0),0,IF(F$3&lt;0,0,N(INDEX('CURVA PREVISION'!$A$1:$KZ$3000,$C15,10+3*MIN(F$3,$D$2-1)))))</f>
        <v>0</v>
      </c>
      <c r="G15" s="131" t="n">
        <f aca="false">IF(OR($C15="",$B$2="",$D$2=0),0,IF(G$3&lt;0,0,N(INDEX('CURVA PREVISION'!$A$1:$KZ$3000,$C15,10+3*MIN(G$3,$D$2-1)))))</f>
        <v>0</v>
      </c>
      <c r="H15" s="131" t="n">
        <f aca="false">IF(OR($C15="",$B$2="",$D$2=0),0,IF(H$3&lt;0,0,N(INDEX('CURVA PREVISION'!$A$1:$KZ$3000,$C15,10+3*MIN(H$3,$D$2-1)))))</f>
        <v>0</v>
      </c>
      <c r="I15" s="131" t="n">
        <f aca="false">IF(OR($C15="",$B$2="",$D$2=0),0,IF(I$3&lt;0,0,N(INDEX('CURVA PREVISION'!$A$1:$KZ$3000,$C15,10+3*MIN(I$3,$D$2-1)))))</f>
        <v>0</v>
      </c>
      <c r="J15" s="131" t="n">
        <f aca="false">IF(OR($C15="",$B$2="",$D$2=0),0,IF(J$3&lt;0,0,N(INDEX('CURVA PREVISION'!$A$1:$KZ$3000,$C15,10+3*MIN(J$3,$D$2-1)))))</f>
        <v>0</v>
      </c>
      <c r="K15" s="131" t="n">
        <f aca="false">IF(OR($C15="",$B$2="",$D$2=0),0,IF(K$3&lt;0,0,N(INDEX('CURVA PREVISION'!$A$1:$KZ$3000,$C15,10+3*MIN(K$3,$D$2-1)))))</f>
        <v>0</v>
      </c>
      <c r="L15" s="131" t="n">
        <f aca="false">IF(OR($C15="",$B$2="",$D$2=0),0,IF(L$3&lt;0,0,N(INDEX('CURVA PREVISION'!$A$1:$KZ$3000,$C15,10+3*MIN(L$3,$D$2-1)))))</f>
        <v>0</v>
      </c>
      <c r="M15" s="131" t="n">
        <f aca="false">IF(OR($C15="",$B$2="",$D$2=0),0,IF(M$3&lt;0,0,N(INDEX('CURVA PREVISION'!$A$1:$KZ$3000,$C15,10+3*MIN(M$3,$D$2-1)))))</f>
        <v>0</v>
      </c>
      <c r="N15" s="131" t="n">
        <f aca="false">IF(OR($C15="",$B$2="",$D$2=0),0,IF(N$3&lt;0,0,N(INDEX('CURVA PREVISION'!$A$1:$KZ$3000,$C15,10+3*MIN(N$3,$D$2-1)))))</f>
        <v>0</v>
      </c>
      <c r="O15" s="131" t="n">
        <f aca="false">IF(OR($C15="",$B$2="",$D$2=0),0,IF(O$3&lt;0,0,N(INDEX('CURVA PREVISION'!$A$1:$KZ$3000,$C15,10+3*MIN(O$3,$D$2-1)))))</f>
        <v>0</v>
      </c>
      <c r="P15" s="131" t="n">
        <f aca="false">IF(OR($C15="",$B$2="",$D$2=0),0,IF(P$3&lt;0,0,N(INDEX('CURVA PREVISION'!$A$1:$KZ$3000,$C15,10+3*MIN(P$3,$D$2-1)))))</f>
        <v>0</v>
      </c>
      <c r="Q15" s="131" t="n">
        <f aca="false">IF(OR($C15="",$B$2="",$D$2=0),0,IF(Q$3&lt;0,0,N(INDEX('CURVA PREVISION'!$A$1:$KZ$3000,$C15,10+3*MIN(Q$3,$D$2-1)))))</f>
        <v>0</v>
      </c>
      <c r="R15" s="131" t="n">
        <f aca="false">IF(OR($C15="",$B$2="",$D$2=0),0,IF(R$3&lt;0,0,N(INDEX('CURVA PREVISION'!$A$1:$KZ$3000,$C15,10+3*MIN(R$3,$D$2-1)))))</f>
        <v>0</v>
      </c>
      <c r="S15" s="131" t="n">
        <f aca="false">IF(OR($C15="",$B$2="",$D$2=0),0,IF(S$3&lt;0,0,N(INDEX('CURVA PREVISION'!$A$1:$KZ$3000,$C15,10+3*MIN(S$3,$D$2-1)))))</f>
        <v>0</v>
      </c>
      <c r="T15" s="131" t="n">
        <f aca="false">IF(OR($C15="",$B$2="",$D$2=0),0,IF(T$3&lt;0,0,N(INDEX('CURVA PREVISION'!$A$1:$KZ$3000,$C15,10+3*MIN(T$3,$D$2-1)))))</f>
        <v>0</v>
      </c>
      <c r="U15" s="131" t="n">
        <f aca="false">IF(OR($C15="",$B$2="",$D$2=0),0,IF(U$3&lt;0,0,N(INDEX('CURVA PREVISION'!$A$1:$KZ$3000,$C15,10+3*MIN(U$3,$D$2-1)))))</f>
        <v>0</v>
      </c>
      <c r="V15" s="131" t="n">
        <f aca="false">IF(OR($C15="",$B$2="",$D$2=0),0,IF(V$3&lt;0,0,N(INDEX('CURVA PREVISION'!$A$1:$KZ$3000,$C15,10+3*MIN(V$3,$D$2-1)))))</f>
        <v>0</v>
      </c>
      <c r="W15" s="131" t="n">
        <f aca="false">IF(OR($C15="",$B$2="",$D$2=0),0,IF(W$3&lt;0,0,N(INDEX('CURVA PREVISION'!$A$1:$KZ$3000,$C15,10+3*MIN(W$3,$D$2-1)))))</f>
        <v>0</v>
      </c>
      <c r="X15" s="131" t="n">
        <f aca="false">IF(OR($C15="",$B$2="",$D$2=0),0,IF(X$3&lt;0,0,N(INDEX('CURVA PREVISION'!$A$1:$KZ$3000,$C15,10+3*MIN(X$3,$D$2-1)))))</f>
        <v>0</v>
      </c>
      <c r="Y15" s="131" t="n">
        <f aca="false">IF(OR($C15="",$B$2="",$D$2=0),0,IF(Y$3&lt;0,0,N(INDEX('CURVA PREVISION'!$A$1:$KZ$3000,$C15,10+3*MIN(Y$3,$D$2-1)))))</f>
        <v>0</v>
      </c>
      <c r="Z15" s="131" t="n">
        <f aca="false">IF(OR($C15="",$B$2="",$D$2=0),0,IF(Z$3&lt;0,0,N(INDEX('CURVA PREVISION'!$A$1:$KZ$3000,$C15,10+3*MIN(Z$3,$D$2-1)))))</f>
        <v>0</v>
      </c>
      <c r="AA15" s="131" t="n">
        <f aca="false">IF(OR($C15="",$B$2="",$D$2=0),0,IF(AA$3&lt;0,0,N(INDEX('CURVA PREVISION'!$A$1:$KZ$3000,$C15,10+3*MIN(AA$3,$D$2-1)))))</f>
        <v>0</v>
      </c>
      <c r="AB15" s="131" t="n">
        <f aca="false">IF(OR($C15="",$B$2="",$D$2=0),0,IF(AB$3&lt;0,0,N(INDEX('CURVA PREVISION'!$A$1:$KZ$3000,$C15,10+3*MIN(AB$3,$D$2-1)))))</f>
        <v>0</v>
      </c>
      <c r="AC15" s="131" t="n">
        <f aca="false">IF(OR($C15="",$B$2="",$D$2=0),0,IF(AC$3&lt;0,0,N(INDEX('CURVA PREVISION'!$A$1:$KZ$3000,$C15,10+3*MIN(AC$3,$D$2-1)))))</f>
        <v>0</v>
      </c>
      <c r="AD15" s="131" t="n">
        <f aca="false">IF(OR($C15="",$B$2="",$D$2=0),0,IF(AD$3&lt;0,0,N(INDEX('CURVA PREVISION'!$A$1:$KZ$3000,$C15,10+3*MIN(AD$3,$D$2-1)))))</f>
        <v>0</v>
      </c>
      <c r="AE15" s="131" t="n">
        <f aca="false">IF(OR($C15="",$B$2="",$D$2=0),0,IF(AE$3&lt;0,0,N(INDEX('CURVA PREVISION'!$A$1:$KZ$3000,$C15,10+3*MIN(AE$3,$D$2-1)))))</f>
        <v>0</v>
      </c>
      <c r="AF15" s="131" t="n">
        <f aca="false">IF(OR($C15="",$B$2="",$D$2=0),0,IF(AF$3&lt;0,0,N(INDEX('CURVA PREVISION'!$A$1:$KZ$3000,$C15,10+3*MIN(AF$3,$D$2-1)))))</f>
        <v>0</v>
      </c>
      <c r="AG15" s="131" t="n">
        <f aca="false">IF(OR($C15="",$B$2="",$D$2=0),0,IF(AG$3&lt;0,0,N(INDEX('CURVA PREVISION'!$A$1:$KZ$3000,$C15,10+3*MIN(AG$3,$D$2-1)))))</f>
        <v>0</v>
      </c>
      <c r="AH15" s="131" t="n">
        <f aca="false">IF(OR($C15="",$B$2="",$D$2=0),0,IF(AH$3&lt;0,0,N(INDEX('CURVA PREVISION'!$A$1:$KZ$3000,$C15,10+3*MIN(AH$3,$D$2-1)))))</f>
        <v>0</v>
      </c>
      <c r="AI15" s="131" t="n">
        <f aca="false">IF(OR($C15="",$B$2="",$D$2=0),0,IF(AI$3&lt;0,0,N(INDEX('CURVA PREVISION'!$A$1:$KZ$3000,$C15,10+3*MIN(AI$3,$D$2-1)))))</f>
        <v>0</v>
      </c>
      <c r="AJ15" s="131" t="n">
        <f aca="false">IF(OR($C15="",$B$2="",$D$2=0),0,IF(AJ$3&lt;0,0,N(INDEX('CURVA PREVISION'!$A$1:$KZ$3000,$C15,10+3*MIN(AJ$3,$D$2-1)))))</f>
        <v>0</v>
      </c>
      <c r="AK15" s="131" t="n">
        <f aca="false">IF(OR($C15="",$B$2="",$D$2=0),0,IF(AK$3&lt;0,0,N(INDEX('CURVA PREVISION'!$A$1:$KZ$3000,$C15,10+3*MIN(AK$3,$D$2-1)))))</f>
        <v>0</v>
      </c>
      <c r="AL15" s="131" t="n">
        <f aca="false">IF(OR($C15="",$B$2="",$D$2=0),0,IF(AL$3&lt;0,0,N(INDEX('CURVA PREVISION'!$A$1:$KZ$3000,$C15,10+3*MIN(AL$3,$D$2-1)))))</f>
        <v>0</v>
      </c>
      <c r="AM15" s="131" t="n">
        <f aca="false">IF(OR($C15="",$B$2="",$D$2=0),0,IF(AM$3&lt;0,0,N(INDEX('CURVA PREVISION'!$A$1:$KZ$3000,$C15,10+3*MIN(AM$3,$D$2-1)))))</f>
        <v>0</v>
      </c>
      <c r="AN15" s="131" t="n">
        <f aca="false">IF(OR($C15="",$B$2="",$D$2=0),0,IF(AN$3&lt;0,0,N(INDEX('CURVA PREVISION'!$A$1:$KZ$3000,$C15,10+3*MIN(AN$3,$D$2-1)))))</f>
        <v>0</v>
      </c>
      <c r="AO15" s="131" t="n">
        <f aca="false">IF(OR($C15="",$B$2="",$D$2=0),0,IF(AO$3&lt;0,0,N(INDEX('CURVA PREVISION'!$A$1:$KZ$3000,$C15,10+3*MIN(AO$3,$D$2-1)))))</f>
        <v>0</v>
      </c>
      <c r="AP15" s="131" t="n">
        <f aca="false">IF(OR($C15="",$B$2="",$D$2=0),0,IF(AP$3&lt;0,0,N(INDEX('CURVA PREVISION'!$A$1:$KZ$3000,$C15,10+3*MIN(AP$3,$D$2-1)))))</f>
        <v>0</v>
      </c>
      <c r="AQ15" s="131" t="n">
        <f aca="false">IF(OR($C15="",$B$2="",$D$2=0),0,IF(AQ$3&lt;0,0,N(INDEX('CURVA PREVISION'!$A$1:$KZ$3000,$C15,10+3*MIN(AQ$3,$D$2-1)))))</f>
        <v>0</v>
      </c>
      <c r="AR15" s="131" t="n">
        <f aca="false">IF(OR($C15="",$B$2="",$D$2=0),0,IF(AR$3&lt;0,0,N(INDEX('CURVA PREVISION'!$A$1:$KZ$3000,$C15,10+3*MIN(AR$3,$D$2-1)))))</f>
        <v>0</v>
      </c>
      <c r="AS15" s="131" t="n">
        <f aca="false">IF(OR($C15="",$B$2="",$D$2=0),0,IF(AS$3&lt;0,0,N(INDEX('CURVA PREVISION'!$A$1:$KZ$3000,$C15,10+3*MIN(AS$3,$D$2-1)))))</f>
        <v>0</v>
      </c>
      <c r="AT15" s="131" t="n">
        <f aca="false">IF(OR($C15="",$B$2="",$D$2=0),0,IF(AT$3&lt;0,0,N(INDEX('CURVA PREVISION'!$A$1:$KZ$3000,$C15,10+3*MIN(AT$3,$D$2-1)))))</f>
        <v>0</v>
      </c>
      <c r="AU15" s="131" t="n">
        <f aca="false">IF(OR($C15="",$B$2="",$D$2=0),0,IF(AU$3&lt;0,0,N(INDEX('CURVA PREVISION'!$A$1:$KZ$3000,$C15,10+3*MIN(AU$3,$D$2-1)))))</f>
        <v>0</v>
      </c>
      <c r="AV15" s="131" t="n">
        <f aca="false">IF(OR($C15="",$B$2="",$D$2=0),0,IF(AV$3&lt;0,0,N(INDEX('CURVA PREVISION'!$A$1:$KZ$3000,$C15,10+3*MIN(AV$3,$D$2-1)))))</f>
        <v>0</v>
      </c>
      <c r="AW15" s="131" t="n">
        <f aca="false">IF(OR($C15="",$B$2="",$D$2=0),0,IF(AW$3&lt;0,0,N(INDEX('CURVA PREVISION'!$A$1:$KZ$3000,$C15,10+3*MIN(AW$3,$D$2-1)))))</f>
        <v>0</v>
      </c>
      <c r="AX15" s="131" t="n">
        <f aca="false">IF(OR($C15="",$B$2="",$D$2=0),0,IF(AX$3&lt;0,0,N(INDEX('CURVA PREVISION'!$A$1:$KZ$3000,$C15,10+3*MIN(AX$3,$D$2-1)))))</f>
        <v>0</v>
      </c>
      <c r="AY15" s="131" t="n">
        <f aca="false">IF(OR($C15="",$B$2="",$D$2=0),0,IF(AY$3&lt;0,0,N(INDEX('CURVA PREVISION'!$A$1:$KZ$3000,$C15,10+3*MIN(AY$3,$D$2-1)))))</f>
        <v>0</v>
      </c>
      <c r="AZ15" s="131" t="n">
        <f aca="false">IF(OR($C15="",$B$2="",$D$2=0),0,IF(AZ$3&lt;0,0,N(INDEX('CURVA PREVISION'!$A$1:$KZ$3000,$C15,10+3*MIN(AZ$3,$D$2-1)))))</f>
        <v>0</v>
      </c>
      <c r="BA15" s="131" t="n">
        <f aca="false">IF(OR($C15="",$B$2="",$D$2=0),0,IF(BA$3&lt;0,0,N(INDEX('CURVA PREVISION'!$A$1:$KZ$3000,$C15,10+3*MIN(BA$3,$D$2-1)))))</f>
        <v>0</v>
      </c>
      <c r="BB15" s="131" t="n">
        <f aca="false">IF(OR($C15="",$B$2="",$D$2=0),0,IF(BB$3&lt;0,0,N(INDEX('CURVA PREVISION'!$A$1:$KZ$3000,$C15,10+3*MIN(BB$3,$D$2-1)))))</f>
        <v>0</v>
      </c>
      <c r="BC15" s="131" t="n">
        <f aca="false">IF(OR($C15="",$B$2="",$D$2=0),0,IF(BC$3&lt;0,0,N(INDEX('CURVA PREVISION'!$A$1:$KZ$3000,$C15,10+3*MIN(BC$3,$D$2-1)))))</f>
        <v>0</v>
      </c>
      <c r="BD15" s="131" t="n">
        <f aca="false">IF(OR($C15="",$B$2="",$D$2=0),0,IF(BD$3&lt;0,0,N(INDEX('CURVA PREVISION'!$A$1:$KZ$3000,$C15,10+3*MIN(BD$3,$D$2-1)))))</f>
        <v>0</v>
      </c>
      <c r="BE15" s="131" t="n">
        <f aca="false">IF(OR($C15="",$B$2="",$D$2=0),0,IF(BE$3&lt;0,0,N(INDEX('CURVA PREVISION'!$A$1:$KZ$3000,$C15,10+3*MIN(BE$3,$D$2-1)))))</f>
        <v>0</v>
      </c>
      <c r="BF15" s="131" t="n">
        <f aca="false">IF(OR($C15="",$B$2="",$D$2=0),0,IF(BF$3&lt;0,0,N(INDEX('CURVA PREVISION'!$A$1:$KZ$3000,$C15,10+3*MIN(BF$3,$D$2-1)))))</f>
        <v>0</v>
      </c>
      <c r="BG15" s="131" t="n">
        <f aca="false">IF(OR($C15="",$B$2="",$D$2=0),0,IF(BG$3&lt;0,0,N(INDEX('CURVA PREVISION'!$A$1:$KZ$3000,$C15,10+3*MIN(BG$3,$D$2-1)))))</f>
        <v>0</v>
      </c>
      <c r="BH15" s="131" t="n">
        <f aca="false">IF(OR($C15="",$B$2="",$D$2=0),0,IF(BH$3&lt;0,0,N(INDEX('CURVA PREVISION'!$A$1:$KZ$3000,$C15,10+3*MIN(BH$3,$D$2-1)))))</f>
        <v>0</v>
      </c>
      <c r="BI15" s="131" t="n">
        <f aca="false">IF(OR($C15="",$B$2="",$D$2=0),0,IF(BI$3&lt;0,0,N(INDEX('CURVA PREVISION'!$A$1:$KZ$3000,$C15,10+3*MIN(BI$3,$D$2-1)))))</f>
        <v>0</v>
      </c>
      <c r="BJ15" s="131" t="n">
        <f aca="false">IF(OR($C15="",$B$2="",$D$2=0),0,IF(BJ$3&lt;0,0,N(INDEX('CURVA PREVISION'!$A$1:$KZ$3000,$C15,10+3*MIN(BJ$3,$D$2-1)))))</f>
        <v>0</v>
      </c>
      <c r="BK15" s="131" t="n">
        <f aca="false">IF(OR($C15="",$B$2="",$D$2=0),0,IF(BK$3&lt;0,0,N(INDEX('CURVA PREVISION'!$A$1:$KZ$3000,$C15,10+3*MIN(BK$3,$D$2-1)))))</f>
        <v>0</v>
      </c>
      <c r="BL15" s="131" t="n">
        <f aca="false">IF(OR($C15="",$B$2="",$D$2=0),0,IF(BL$3&lt;0,0,N(INDEX('CURVA PREVISION'!$A$1:$KZ$3000,$C15,10+3*MIN(BL$3,$D$2-1)))))</f>
        <v>0</v>
      </c>
      <c r="BM15" s="131" t="n">
        <f aca="false">IF(OR($C15="",$B$2="",$D$2=0),0,IF(BM$3&lt;0,0,N(INDEX('CURVA PREVISION'!$A$1:$KZ$3000,$C15,10+3*MIN(BM$3,$D$2-1)))))</f>
        <v>0</v>
      </c>
      <c r="BN15" s="131" t="n">
        <f aca="false">IF(OR($C15="",$B$2="",$D$2=0),0,IF(BN$3&lt;0,0,N(INDEX('CURVA PREVISION'!$A$1:$KZ$3000,$C15,10+3*MIN(BN$3,$D$2-1)))))</f>
        <v>0</v>
      </c>
      <c r="BO15" s="131" t="n">
        <f aca="false">IF(OR($C15="",$B$2="",$D$2=0),0,IF(BO$3&lt;0,0,N(INDEX('CURVA PREVISION'!$A$1:$KZ$3000,$C15,10+3*MIN(BO$3,$D$2-1)))))</f>
        <v>0</v>
      </c>
      <c r="BP15" s="131" t="n">
        <f aca="false">IF(OR($C15="",$B$2="",$D$2=0),0,IF(BP$3&lt;0,0,N(INDEX('CURVA PREVISION'!$A$1:$KZ$3000,$C15,10+3*MIN(BP$3,$D$2-1)))))</f>
        <v>0</v>
      </c>
      <c r="BQ15" s="131" t="n">
        <f aca="false">IF(OR($C15="",$B$2="",$D$2=0),0,IF(BQ$3&lt;0,0,N(INDEX('CURVA PREVISION'!$A$1:$KZ$3000,$C15,10+3*MIN(BQ$3,$D$2-1)))))</f>
        <v>0</v>
      </c>
      <c r="BR15" s="131" t="n">
        <f aca="false">IF(OR($C15="",$B$2="",$D$2=0),0,IF(BR$3&lt;0,0,N(INDEX('CURVA PREVISION'!$A$1:$KZ$3000,$C15,10+3*MIN(BR$3,$D$2-1)))))</f>
        <v>0</v>
      </c>
      <c r="BS15" s="131" t="n">
        <f aca="false">IF(OR($C15="",$B$2="",$D$2=0),0,IF(BS$3&lt;0,0,N(INDEX('CURVA PREVISION'!$A$1:$KZ$3000,$C15,10+3*MIN(BS$3,$D$2-1)))))</f>
        <v>0</v>
      </c>
      <c r="BT15" s="131" t="n">
        <f aca="false">IF(OR($C15="",$B$2="",$D$2=0),0,IF(BT$3&lt;0,0,N(INDEX('CURVA PREVISION'!$A$1:$KZ$3000,$C15,10+3*MIN(BT$3,$D$2-1)))))</f>
        <v>0</v>
      </c>
      <c r="BU15" s="131" t="n">
        <f aca="false">IF(OR($C15="",$B$2="",$D$2=0),0,IF(BU$3&lt;0,0,N(INDEX('CURVA PREVISION'!$A$1:$KZ$3000,$C15,10+3*MIN(BU$3,$D$2-1)))))</f>
        <v>0</v>
      </c>
      <c r="BV15" s="131" t="n">
        <f aca="false">IF(OR($C15="",$B$2="",$D$2=0),0,IF(BV$3&lt;0,0,N(INDEX('CURVA PREVISION'!$A$1:$KZ$3000,$C15,10+3*MIN(BV$3,$D$2-1)))))</f>
        <v>0</v>
      </c>
      <c r="BW15" s="131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1" t="n">
        <f aca="false">IF(OR($C16="",$B$2="",$D$2=0),0,IF(D$3&lt;0,0,N(INDEX('CURVA PREVISION'!$A$1:$KZ$3000,$C16,10+3*MIN(D$3,$D$2-1)))))</f>
        <v>0</v>
      </c>
      <c r="E16" s="131" t="n">
        <f aca="false">IF(OR($C16="",$B$2="",$D$2=0),0,IF(E$3&lt;0,0,N(INDEX('CURVA PREVISION'!$A$1:$KZ$3000,$C16,10+3*MIN(E$3,$D$2-1)))))</f>
        <v>0</v>
      </c>
      <c r="F16" s="131" t="n">
        <f aca="false">IF(OR($C16="",$B$2="",$D$2=0),0,IF(F$3&lt;0,0,N(INDEX('CURVA PREVISION'!$A$1:$KZ$3000,$C16,10+3*MIN(F$3,$D$2-1)))))</f>
        <v>0</v>
      </c>
      <c r="G16" s="131" t="n">
        <f aca="false">IF(OR($C16="",$B$2="",$D$2=0),0,IF(G$3&lt;0,0,N(INDEX('CURVA PREVISION'!$A$1:$KZ$3000,$C16,10+3*MIN(G$3,$D$2-1)))))</f>
        <v>0</v>
      </c>
      <c r="H16" s="131" t="n">
        <f aca="false">IF(OR($C16="",$B$2="",$D$2=0),0,IF(H$3&lt;0,0,N(INDEX('CURVA PREVISION'!$A$1:$KZ$3000,$C16,10+3*MIN(H$3,$D$2-1)))))</f>
        <v>0</v>
      </c>
      <c r="I16" s="131" t="n">
        <f aca="false">IF(OR($C16="",$B$2="",$D$2=0),0,IF(I$3&lt;0,0,N(INDEX('CURVA PREVISION'!$A$1:$KZ$3000,$C16,10+3*MIN(I$3,$D$2-1)))))</f>
        <v>0</v>
      </c>
      <c r="J16" s="131" t="n">
        <f aca="false">IF(OR($C16="",$B$2="",$D$2=0),0,IF(J$3&lt;0,0,N(INDEX('CURVA PREVISION'!$A$1:$KZ$3000,$C16,10+3*MIN(J$3,$D$2-1)))))</f>
        <v>15.31</v>
      </c>
      <c r="K16" s="131" t="n">
        <f aca="false">IF(OR($C16="",$B$2="",$D$2=0),0,IF(K$3&lt;0,0,N(INDEX('CURVA PREVISION'!$A$1:$KZ$3000,$C16,10+3*MIN(K$3,$D$2-1)))))</f>
        <v>100</v>
      </c>
      <c r="L16" s="131" t="n">
        <f aca="false">IF(OR($C16="",$B$2="",$D$2=0),0,IF(L$3&lt;0,0,N(INDEX('CURVA PREVISION'!$A$1:$KZ$3000,$C16,10+3*MIN(L$3,$D$2-1)))))</f>
        <v>100</v>
      </c>
      <c r="M16" s="131" t="n">
        <f aca="false">IF(OR($C16="",$B$2="",$D$2=0),0,IF(M$3&lt;0,0,N(INDEX('CURVA PREVISION'!$A$1:$KZ$3000,$C16,10+3*MIN(M$3,$D$2-1)))))</f>
        <v>100</v>
      </c>
      <c r="N16" s="131" t="n">
        <f aca="false">IF(OR($C16="",$B$2="",$D$2=0),0,IF(N$3&lt;0,0,N(INDEX('CURVA PREVISION'!$A$1:$KZ$3000,$C16,10+3*MIN(N$3,$D$2-1)))))</f>
        <v>100</v>
      </c>
      <c r="O16" s="131" t="n">
        <f aca="false">IF(OR($C16="",$B$2="",$D$2=0),0,IF(O$3&lt;0,0,N(INDEX('CURVA PREVISION'!$A$1:$KZ$3000,$C16,10+3*MIN(O$3,$D$2-1)))))</f>
        <v>100</v>
      </c>
      <c r="P16" s="131" t="n">
        <f aca="false">IF(OR($C16="",$B$2="",$D$2=0),0,IF(P$3&lt;0,0,N(INDEX('CURVA PREVISION'!$A$1:$KZ$3000,$C16,10+3*MIN(P$3,$D$2-1)))))</f>
        <v>100</v>
      </c>
      <c r="Q16" s="131" t="n">
        <f aca="false">IF(OR($C16="",$B$2="",$D$2=0),0,IF(Q$3&lt;0,0,N(INDEX('CURVA PREVISION'!$A$1:$KZ$3000,$C16,10+3*MIN(Q$3,$D$2-1)))))</f>
        <v>100</v>
      </c>
      <c r="R16" s="131" t="n">
        <f aca="false">IF(OR($C16="",$B$2="",$D$2=0),0,IF(R$3&lt;0,0,N(INDEX('CURVA PREVISION'!$A$1:$KZ$3000,$C16,10+3*MIN(R$3,$D$2-1)))))</f>
        <v>100</v>
      </c>
      <c r="S16" s="131" t="n">
        <f aca="false">IF(OR($C16="",$B$2="",$D$2=0),0,IF(S$3&lt;0,0,N(INDEX('CURVA PREVISION'!$A$1:$KZ$3000,$C16,10+3*MIN(S$3,$D$2-1)))))</f>
        <v>100</v>
      </c>
      <c r="T16" s="131" t="n">
        <f aca="false">IF(OR($C16="",$B$2="",$D$2=0),0,IF(T$3&lt;0,0,N(INDEX('CURVA PREVISION'!$A$1:$KZ$3000,$C16,10+3*MIN(T$3,$D$2-1)))))</f>
        <v>100</v>
      </c>
      <c r="U16" s="131" t="n">
        <f aca="false">IF(OR($C16="",$B$2="",$D$2=0),0,IF(U$3&lt;0,0,N(INDEX('CURVA PREVISION'!$A$1:$KZ$3000,$C16,10+3*MIN(U$3,$D$2-1)))))</f>
        <v>100</v>
      </c>
      <c r="V16" s="131" t="n">
        <f aca="false">IF(OR($C16="",$B$2="",$D$2=0),0,IF(V$3&lt;0,0,N(INDEX('CURVA PREVISION'!$A$1:$KZ$3000,$C16,10+3*MIN(V$3,$D$2-1)))))</f>
        <v>100</v>
      </c>
      <c r="W16" s="131" t="n">
        <f aca="false">IF(OR($C16="",$B$2="",$D$2=0),0,IF(W$3&lt;0,0,N(INDEX('CURVA PREVISION'!$A$1:$KZ$3000,$C16,10+3*MIN(W$3,$D$2-1)))))</f>
        <v>100</v>
      </c>
      <c r="X16" s="131" t="n">
        <f aca="false">IF(OR($C16="",$B$2="",$D$2=0),0,IF(X$3&lt;0,0,N(INDEX('CURVA PREVISION'!$A$1:$KZ$3000,$C16,10+3*MIN(X$3,$D$2-1)))))</f>
        <v>100</v>
      </c>
      <c r="Y16" s="131" t="n">
        <f aca="false">IF(OR($C16="",$B$2="",$D$2=0),0,IF(Y$3&lt;0,0,N(INDEX('CURVA PREVISION'!$A$1:$KZ$3000,$C16,10+3*MIN(Y$3,$D$2-1)))))</f>
        <v>100</v>
      </c>
      <c r="Z16" s="131" t="n">
        <f aca="false">IF(OR($C16="",$B$2="",$D$2=0),0,IF(Z$3&lt;0,0,N(INDEX('CURVA PREVISION'!$A$1:$KZ$3000,$C16,10+3*MIN(Z$3,$D$2-1)))))</f>
        <v>100</v>
      </c>
      <c r="AA16" s="131" t="n">
        <f aca="false">IF(OR($C16="",$B$2="",$D$2=0),0,IF(AA$3&lt;0,0,N(INDEX('CURVA PREVISION'!$A$1:$KZ$3000,$C16,10+3*MIN(AA$3,$D$2-1)))))</f>
        <v>100</v>
      </c>
      <c r="AB16" s="131" t="n">
        <f aca="false">IF(OR($C16="",$B$2="",$D$2=0),0,IF(AB$3&lt;0,0,N(INDEX('CURVA PREVISION'!$A$1:$KZ$3000,$C16,10+3*MIN(AB$3,$D$2-1)))))</f>
        <v>100</v>
      </c>
      <c r="AC16" s="131" t="n">
        <f aca="false">IF(OR($C16="",$B$2="",$D$2=0),0,IF(AC$3&lt;0,0,N(INDEX('CURVA PREVISION'!$A$1:$KZ$3000,$C16,10+3*MIN(AC$3,$D$2-1)))))</f>
        <v>100</v>
      </c>
      <c r="AD16" s="131" t="n">
        <f aca="false">IF(OR($C16="",$B$2="",$D$2=0),0,IF(AD$3&lt;0,0,N(INDEX('CURVA PREVISION'!$A$1:$KZ$3000,$C16,10+3*MIN(AD$3,$D$2-1)))))</f>
        <v>100</v>
      </c>
      <c r="AE16" s="131" t="n">
        <f aca="false">IF(OR($C16="",$B$2="",$D$2=0),0,IF(AE$3&lt;0,0,N(INDEX('CURVA PREVISION'!$A$1:$KZ$3000,$C16,10+3*MIN(AE$3,$D$2-1)))))</f>
        <v>100</v>
      </c>
      <c r="AF16" s="131" t="n">
        <f aca="false">IF(OR($C16="",$B$2="",$D$2=0),0,IF(AF$3&lt;0,0,N(INDEX('CURVA PREVISION'!$A$1:$KZ$3000,$C16,10+3*MIN(AF$3,$D$2-1)))))</f>
        <v>100</v>
      </c>
      <c r="AG16" s="131" t="n">
        <f aca="false">IF(OR($C16="",$B$2="",$D$2=0),0,IF(AG$3&lt;0,0,N(INDEX('CURVA PREVISION'!$A$1:$KZ$3000,$C16,10+3*MIN(AG$3,$D$2-1)))))</f>
        <v>100</v>
      </c>
      <c r="AH16" s="131" t="n">
        <f aca="false">IF(OR($C16="",$B$2="",$D$2=0),0,IF(AH$3&lt;0,0,N(INDEX('CURVA PREVISION'!$A$1:$KZ$3000,$C16,10+3*MIN(AH$3,$D$2-1)))))</f>
        <v>100</v>
      </c>
      <c r="AI16" s="131" t="n">
        <f aca="false">IF(OR($C16="",$B$2="",$D$2=0),0,IF(AI$3&lt;0,0,N(INDEX('CURVA PREVISION'!$A$1:$KZ$3000,$C16,10+3*MIN(AI$3,$D$2-1)))))</f>
        <v>100</v>
      </c>
      <c r="AJ16" s="131" t="n">
        <f aca="false">IF(OR($C16="",$B$2="",$D$2=0),0,IF(AJ$3&lt;0,0,N(INDEX('CURVA PREVISION'!$A$1:$KZ$3000,$C16,10+3*MIN(AJ$3,$D$2-1)))))</f>
        <v>100</v>
      </c>
      <c r="AK16" s="131" t="n">
        <f aca="false">IF(OR($C16="",$B$2="",$D$2=0),0,IF(AK$3&lt;0,0,N(INDEX('CURVA PREVISION'!$A$1:$KZ$3000,$C16,10+3*MIN(AK$3,$D$2-1)))))</f>
        <v>100</v>
      </c>
      <c r="AL16" s="131" t="n">
        <f aca="false">IF(OR($C16="",$B$2="",$D$2=0),0,IF(AL$3&lt;0,0,N(INDEX('CURVA PREVISION'!$A$1:$KZ$3000,$C16,10+3*MIN(AL$3,$D$2-1)))))</f>
        <v>100</v>
      </c>
      <c r="AM16" s="131" t="n">
        <f aca="false">IF(OR($C16="",$B$2="",$D$2=0),0,IF(AM$3&lt;0,0,N(INDEX('CURVA PREVISION'!$A$1:$KZ$3000,$C16,10+3*MIN(AM$3,$D$2-1)))))</f>
        <v>100</v>
      </c>
      <c r="AN16" s="131" t="n">
        <f aca="false">IF(OR($C16="",$B$2="",$D$2=0),0,IF(AN$3&lt;0,0,N(INDEX('CURVA PREVISION'!$A$1:$KZ$3000,$C16,10+3*MIN(AN$3,$D$2-1)))))</f>
        <v>100</v>
      </c>
      <c r="AO16" s="131" t="n">
        <f aca="false">IF(OR($C16="",$B$2="",$D$2=0),0,IF(AO$3&lt;0,0,N(INDEX('CURVA PREVISION'!$A$1:$KZ$3000,$C16,10+3*MIN(AO$3,$D$2-1)))))</f>
        <v>100</v>
      </c>
      <c r="AP16" s="131" t="n">
        <f aca="false">IF(OR($C16="",$B$2="",$D$2=0),0,IF(AP$3&lt;0,0,N(INDEX('CURVA PREVISION'!$A$1:$KZ$3000,$C16,10+3*MIN(AP$3,$D$2-1)))))</f>
        <v>100</v>
      </c>
      <c r="AQ16" s="131" t="n">
        <f aca="false">IF(OR($C16="",$B$2="",$D$2=0),0,IF(AQ$3&lt;0,0,N(INDEX('CURVA PREVISION'!$A$1:$KZ$3000,$C16,10+3*MIN(AQ$3,$D$2-1)))))</f>
        <v>100</v>
      </c>
      <c r="AR16" s="131" t="n">
        <f aca="false">IF(OR($C16="",$B$2="",$D$2=0),0,IF(AR$3&lt;0,0,N(INDEX('CURVA PREVISION'!$A$1:$KZ$3000,$C16,10+3*MIN(AR$3,$D$2-1)))))</f>
        <v>100</v>
      </c>
      <c r="AS16" s="131" t="n">
        <f aca="false">IF(OR($C16="",$B$2="",$D$2=0),0,IF(AS$3&lt;0,0,N(INDEX('CURVA PREVISION'!$A$1:$KZ$3000,$C16,10+3*MIN(AS$3,$D$2-1)))))</f>
        <v>100</v>
      </c>
      <c r="AT16" s="131" t="n">
        <f aca="false">IF(OR($C16="",$B$2="",$D$2=0),0,IF(AT$3&lt;0,0,N(INDEX('CURVA PREVISION'!$A$1:$KZ$3000,$C16,10+3*MIN(AT$3,$D$2-1)))))</f>
        <v>100</v>
      </c>
      <c r="AU16" s="131" t="n">
        <f aca="false">IF(OR($C16="",$B$2="",$D$2=0),0,IF(AU$3&lt;0,0,N(INDEX('CURVA PREVISION'!$A$1:$KZ$3000,$C16,10+3*MIN(AU$3,$D$2-1)))))</f>
        <v>100</v>
      </c>
      <c r="AV16" s="131" t="n">
        <f aca="false">IF(OR($C16="",$B$2="",$D$2=0),0,IF(AV$3&lt;0,0,N(INDEX('CURVA PREVISION'!$A$1:$KZ$3000,$C16,10+3*MIN(AV$3,$D$2-1)))))</f>
        <v>100</v>
      </c>
      <c r="AW16" s="131" t="n">
        <f aca="false">IF(OR($C16="",$B$2="",$D$2=0),0,IF(AW$3&lt;0,0,N(INDEX('CURVA PREVISION'!$A$1:$KZ$3000,$C16,10+3*MIN(AW$3,$D$2-1)))))</f>
        <v>100</v>
      </c>
      <c r="AX16" s="131" t="n">
        <f aca="false">IF(OR($C16="",$B$2="",$D$2=0),0,IF(AX$3&lt;0,0,N(INDEX('CURVA PREVISION'!$A$1:$KZ$3000,$C16,10+3*MIN(AX$3,$D$2-1)))))</f>
        <v>100</v>
      </c>
      <c r="AY16" s="131" t="n">
        <f aca="false">IF(OR($C16="",$B$2="",$D$2=0),0,IF(AY$3&lt;0,0,N(INDEX('CURVA PREVISION'!$A$1:$KZ$3000,$C16,10+3*MIN(AY$3,$D$2-1)))))</f>
        <v>100</v>
      </c>
      <c r="AZ16" s="131" t="n">
        <f aca="false">IF(OR($C16="",$B$2="",$D$2=0),0,IF(AZ$3&lt;0,0,N(INDEX('CURVA PREVISION'!$A$1:$KZ$3000,$C16,10+3*MIN(AZ$3,$D$2-1)))))</f>
        <v>100</v>
      </c>
      <c r="BA16" s="131" t="n">
        <f aca="false">IF(OR($C16="",$B$2="",$D$2=0),0,IF(BA$3&lt;0,0,N(INDEX('CURVA PREVISION'!$A$1:$KZ$3000,$C16,10+3*MIN(BA$3,$D$2-1)))))</f>
        <v>100</v>
      </c>
      <c r="BB16" s="131" t="n">
        <f aca="false">IF(OR($C16="",$B$2="",$D$2=0),0,IF(BB$3&lt;0,0,N(INDEX('CURVA PREVISION'!$A$1:$KZ$3000,$C16,10+3*MIN(BB$3,$D$2-1)))))</f>
        <v>100</v>
      </c>
      <c r="BC16" s="131" t="n">
        <f aca="false">IF(OR($C16="",$B$2="",$D$2=0),0,IF(BC$3&lt;0,0,N(INDEX('CURVA PREVISION'!$A$1:$KZ$3000,$C16,10+3*MIN(BC$3,$D$2-1)))))</f>
        <v>100</v>
      </c>
      <c r="BD16" s="131" t="n">
        <f aca="false">IF(OR($C16="",$B$2="",$D$2=0),0,IF(BD$3&lt;0,0,N(INDEX('CURVA PREVISION'!$A$1:$KZ$3000,$C16,10+3*MIN(BD$3,$D$2-1)))))</f>
        <v>100</v>
      </c>
      <c r="BE16" s="131" t="n">
        <f aca="false">IF(OR($C16="",$B$2="",$D$2=0),0,IF(BE$3&lt;0,0,N(INDEX('CURVA PREVISION'!$A$1:$KZ$3000,$C16,10+3*MIN(BE$3,$D$2-1)))))</f>
        <v>100</v>
      </c>
      <c r="BF16" s="131" t="n">
        <f aca="false">IF(OR($C16="",$B$2="",$D$2=0),0,IF(BF$3&lt;0,0,N(INDEX('CURVA PREVISION'!$A$1:$KZ$3000,$C16,10+3*MIN(BF$3,$D$2-1)))))</f>
        <v>100</v>
      </c>
      <c r="BG16" s="131" t="n">
        <f aca="false">IF(OR($C16="",$B$2="",$D$2=0),0,IF(BG$3&lt;0,0,N(INDEX('CURVA PREVISION'!$A$1:$KZ$3000,$C16,10+3*MIN(BG$3,$D$2-1)))))</f>
        <v>100</v>
      </c>
      <c r="BH16" s="131" t="n">
        <f aca="false">IF(OR($C16="",$B$2="",$D$2=0),0,IF(BH$3&lt;0,0,N(INDEX('CURVA PREVISION'!$A$1:$KZ$3000,$C16,10+3*MIN(BH$3,$D$2-1)))))</f>
        <v>100</v>
      </c>
      <c r="BI16" s="131" t="n">
        <f aca="false">IF(OR($C16="",$B$2="",$D$2=0),0,IF(BI$3&lt;0,0,N(INDEX('CURVA PREVISION'!$A$1:$KZ$3000,$C16,10+3*MIN(BI$3,$D$2-1)))))</f>
        <v>100</v>
      </c>
      <c r="BJ16" s="131" t="n">
        <f aca="false">IF(OR($C16="",$B$2="",$D$2=0),0,IF(BJ$3&lt;0,0,N(INDEX('CURVA PREVISION'!$A$1:$KZ$3000,$C16,10+3*MIN(BJ$3,$D$2-1)))))</f>
        <v>100</v>
      </c>
      <c r="BK16" s="131" t="n">
        <f aca="false">IF(OR($C16="",$B$2="",$D$2=0),0,IF(BK$3&lt;0,0,N(INDEX('CURVA PREVISION'!$A$1:$KZ$3000,$C16,10+3*MIN(BK$3,$D$2-1)))))</f>
        <v>100</v>
      </c>
      <c r="BL16" s="131" t="n">
        <f aca="false">IF(OR($C16="",$B$2="",$D$2=0),0,IF(BL$3&lt;0,0,N(INDEX('CURVA PREVISION'!$A$1:$KZ$3000,$C16,10+3*MIN(BL$3,$D$2-1)))))</f>
        <v>100</v>
      </c>
      <c r="BM16" s="131" t="n">
        <f aca="false">IF(OR($C16="",$B$2="",$D$2=0),0,IF(BM$3&lt;0,0,N(INDEX('CURVA PREVISION'!$A$1:$KZ$3000,$C16,10+3*MIN(BM$3,$D$2-1)))))</f>
        <v>100</v>
      </c>
      <c r="BN16" s="131" t="n">
        <f aca="false">IF(OR($C16="",$B$2="",$D$2=0),0,IF(BN$3&lt;0,0,N(INDEX('CURVA PREVISION'!$A$1:$KZ$3000,$C16,10+3*MIN(BN$3,$D$2-1)))))</f>
        <v>100</v>
      </c>
      <c r="BO16" s="131" t="n">
        <f aca="false">IF(OR($C16="",$B$2="",$D$2=0),0,IF(BO$3&lt;0,0,N(INDEX('CURVA PREVISION'!$A$1:$KZ$3000,$C16,10+3*MIN(BO$3,$D$2-1)))))</f>
        <v>100</v>
      </c>
      <c r="BP16" s="131" t="n">
        <f aca="false">IF(OR($C16="",$B$2="",$D$2=0),0,IF(BP$3&lt;0,0,N(INDEX('CURVA PREVISION'!$A$1:$KZ$3000,$C16,10+3*MIN(BP$3,$D$2-1)))))</f>
        <v>100</v>
      </c>
      <c r="BQ16" s="131" t="n">
        <f aca="false">IF(OR($C16="",$B$2="",$D$2=0),0,IF(BQ$3&lt;0,0,N(INDEX('CURVA PREVISION'!$A$1:$KZ$3000,$C16,10+3*MIN(BQ$3,$D$2-1)))))</f>
        <v>100</v>
      </c>
      <c r="BR16" s="131" t="n">
        <f aca="false">IF(OR($C16="",$B$2="",$D$2=0),0,IF(BR$3&lt;0,0,N(INDEX('CURVA PREVISION'!$A$1:$KZ$3000,$C16,10+3*MIN(BR$3,$D$2-1)))))</f>
        <v>100</v>
      </c>
      <c r="BS16" s="131" t="n">
        <f aca="false">IF(OR($C16="",$B$2="",$D$2=0),0,IF(BS$3&lt;0,0,N(INDEX('CURVA PREVISION'!$A$1:$KZ$3000,$C16,10+3*MIN(BS$3,$D$2-1)))))</f>
        <v>100</v>
      </c>
      <c r="BT16" s="131" t="n">
        <f aca="false">IF(OR($C16="",$B$2="",$D$2=0),0,IF(BT$3&lt;0,0,N(INDEX('CURVA PREVISION'!$A$1:$KZ$3000,$C16,10+3*MIN(BT$3,$D$2-1)))))</f>
        <v>100</v>
      </c>
      <c r="BU16" s="131" t="n">
        <f aca="false">IF(OR($C16="",$B$2="",$D$2=0),0,IF(BU$3&lt;0,0,N(INDEX('CURVA PREVISION'!$A$1:$KZ$3000,$C16,10+3*MIN(BU$3,$D$2-1)))))</f>
        <v>100</v>
      </c>
      <c r="BV16" s="131" t="n">
        <f aca="false">IF(OR($C16="",$B$2="",$D$2=0),0,IF(BV$3&lt;0,0,N(INDEX('CURVA PREVISION'!$A$1:$KZ$3000,$C16,10+3*MIN(BV$3,$D$2-1)))))</f>
        <v>100</v>
      </c>
      <c r="BW16" s="131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1" t="n">
        <f aca="false">IF(OR($C17="",$B$2="",$D$2=0),0,IF(D$3&lt;0,0,N(INDEX('CURVA PREVISION'!$A$1:$KZ$3000,$C17,10+3*MIN(D$3,$D$2-1)))))</f>
        <v>0</v>
      </c>
      <c r="E17" s="131" t="n">
        <f aca="false">IF(OR($C17="",$B$2="",$D$2=0),0,IF(E$3&lt;0,0,N(INDEX('CURVA PREVISION'!$A$1:$KZ$3000,$C17,10+3*MIN(E$3,$D$2-1)))))</f>
        <v>0</v>
      </c>
      <c r="F17" s="131" t="n">
        <f aca="false">IF(OR($C17="",$B$2="",$D$2=0),0,IF(F$3&lt;0,0,N(INDEX('CURVA PREVISION'!$A$1:$KZ$3000,$C17,10+3*MIN(F$3,$D$2-1)))))</f>
        <v>0</v>
      </c>
      <c r="G17" s="131" t="n">
        <f aca="false">IF(OR($C17="",$B$2="",$D$2=0),0,IF(G$3&lt;0,0,N(INDEX('CURVA PREVISION'!$A$1:$KZ$3000,$C17,10+3*MIN(G$3,$D$2-1)))))</f>
        <v>0</v>
      </c>
      <c r="H17" s="131" t="n">
        <f aca="false">IF(OR($C17="",$B$2="",$D$2=0),0,IF(H$3&lt;0,0,N(INDEX('CURVA PREVISION'!$A$1:$KZ$3000,$C17,10+3*MIN(H$3,$D$2-1)))))</f>
        <v>0</v>
      </c>
      <c r="I17" s="131" t="n">
        <f aca="false">IF(OR($C17="",$B$2="",$D$2=0),0,IF(I$3&lt;0,0,N(INDEX('CURVA PREVISION'!$A$1:$KZ$3000,$C17,10+3*MIN(I$3,$D$2-1)))))</f>
        <v>0</v>
      </c>
      <c r="J17" s="131" t="n">
        <f aca="false">IF(OR($C17="",$B$2="",$D$2=0),0,IF(J$3&lt;0,0,N(INDEX('CURVA PREVISION'!$A$1:$KZ$3000,$C17,10+3*MIN(J$3,$D$2-1)))))</f>
        <v>0</v>
      </c>
      <c r="K17" s="131" t="n">
        <f aca="false">IF(OR($C17="",$B$2="",$D$2=0),0,IF(K$3&lt;0,0,N(INDEX('CURVA PREVISION'!$A$1:$KZ$3000,$C17,10+3*MIN(K$3,$D$2-1)))))</f>
        <v>32.58</v>
      </c>
      <c r="L17" s="131" t="n">
        <f aca="false">IF(OR($C17="",$B$2="",$D$2=0),0,IF(L$3&lt;0,0,N(INDEX('CURVA PREVISION'!$A$1:$KZ$3000,$C17,10+3*MIN(L$3,$D$2-1)))))</f>
        <v>68.78</v>
      </c>
      <c r="M17" s="131" t="n">
        <f aca="false">IF(OR($C17="",$B$2="",$D$2=0),0,IF(M$3&lt;0,0,N(INDEX('CURVA PREVISION'!$A$1:$KZ$3000,$C17,10+3*MIN(M$3,$D$2-1)))))</f>
        <v>72.62</v>
      </c>
      <c r="N17" s="131" t="n">
        <f aca="false">IF(OR($C17="",$B$2="",$D$2=0),0,IF(N$3&lt;0,0,N(INDEX('CURVA PREVISION'!$A$1:$KZ$3000,$C17,10+3*MIN(N$3,$D$2-1)))))</f>
        <v>77.3</v>
      </c>
      <c r="O17" s="131" t="n">
        <f aca="false">IF(OR($C17="",$B$2="",$D$2=0),0,IF(O$3&lt;0,0,N(INDEX('CURVA PREVISION'!$A$1:$KZ$3000,$C17,10+3*MIN(O$3,$D$2-1)))))</f>
        <v>77.3</v>
      </c>
      <c r="P17" s="131" t="n">
        <f aca="false">IF(OR($C17="",$B$2="",$D$2=0),0,IF(P$3&lt;0,0,N(INDEX('CURVA PREVISION'!$A$1:$KZ$3000,$C17,10+3*MIN(P$3,$D$2-1)))))</f>
        <v>77.3</v>
      </c>
      <c r="Q17" s="131" t="n">
        <f aca="false">IF(OR($C17="",$B$2="",$D$2=0),0,IF(Q$3&lt;0,0,N(INDEX('CURVA PREVISION'!$A$1:$KZ$3000,$C17,10+3*MIN(Q$3,$D$2-1)))))</f>
        <v>77.3</v>
      </c>
      <c r="R17" s="131" t="n">
        <f aca="false">IF(OR($C17="",$B$2="",$D$2=0),0,IF(R$3&lt;0,0,N(INDEX('CURVA PREVISION'!$A$1:$KZ$3000,$C17,10+3*MIN(R$3,$D$2-1)))))</f>
        <v>77.3</v>
      </c>
      <c r="S17" s="131" t="n">
        <f aca="false">IF(OR($C17="",$B$2="",$D$2=0),0,IF(S$3&lt;0,0,N(INDEX('CURVA PREVISION'!$A$1:$KZ$3000,$C17,10+3*MIN(S$3,$D$2-1)))))</f>
        <v>77.3</v>
      </c>
      <c r="T17" s="131" t="n">
        <f aca="false">IF(OR($C17="",$B$2="",$D$2=0),0,IF(T$3&lt;0,0,N(INDEX('CURVA PREVISION'!$A$1:$KZ$3000,$C17,10+3*MIN(T$3,$D$2-1)))))</f>
        <v>77.3</v>
      </c>
      <c r="U17" s="131" t="n">
        <f aca="false">IF(OR($C17="",$B$2="",$D$2=0),0,IF(U$3&lt;0,0,N(INDEX('CURVA PREVISION'!$A$1:$KZ$3000,$C17,10+3*MIN(U$3,$D$2-1)))))</f>
        <v>77.3</v>
      </c>
      <c r="V17" s="131" t="n">
        <f aca="false">IF(OR($C17="",$B$2="",$D$2=0),0,IF(V$3&lt;0,0,N(INDEX('CURVA PREVISION'!$A$1:$KZ$3000,$C17,10+3*MIN(V$3,$D$2-1)))))</f>
        <v>77.3</v>
      </c>
      <c r="W17" s="131" t="n">
        <f aca="false">IF(OR($C17="",$B$2="",$D$2=0),0,IF(W$3&lt;0,0,N(INDEX('CURVA PREVISION'!$A$1:$KZ$3000,$C17,10+3*MIN(W$3,$D$2-1)))))</f>
        <v>77.3</v>
      </c>
      <c r="X17" s="131" t="n">
        <f aca="false">IF(OR($C17="",$B$2="",$D$2=0),0,IF(X$3&lt;0,0,N(INDEX('CURVA PREVISION'!$A$1:$KZ$3000,$C17,10+3*MIN(X$3,$D$2-1)))))</f>
        <v>77.3</v>
      </c>
      <c r="Y17" s="131" t="n">
        <f aca="false">IF(OR($C17="",$B$2="",$D$2=0),0,IF(Y$3&lt;0,0,N(INDEX('CURVA PREVISION'!$A$1:$KZ$3000,$C17,10+3*MIN(Y$3,$D$2-1)))))</f>
        <v>77.3</v>
      </c>
      <c r="Z17" s="131" t="n">
        <f aca="false">IF(OR($C17="",$B$2="",$D$2=0),0,IF(Z$3&lt;0,0,N(INDEX('CURVA PREVISION'!$A$1:$KZ$3000,$C17,10+3*MIN(Z$3,$D$2-1)))))</f>
        <v>83.42</v>
      </c>
      <c r="AA17" s="131" t="n">
        <f aca="false">IF(OR($C17="",$B$2="",$D$2=0),0,IF(AA$3&lt;0,0,N(INDEX('CURVA PREVISION'!$A$1:$KZ$3000,$C17,10+3*MIN(AA$3,$D$2-1)))))</f>
        <v>95.87</v>
      </c>
      <c r="AB17" s="131" t="n">
        <f aca="false">IF(OR($C17="",$B$2="",$D$2=0),0,IF(AB$3&lt;0,0,N(INDEX('CURVA PREVISION'!$A$1:$KZ$3000,$C17,10+3*MIN(AB$3,$D$2-1)))))</f>
        <v>97.07</v>
      </c>
      <c r="AC17" s="131" t="n">
        <f aca="false">IF(OR($C17="",$B$2="",$D$2=0),0,IF(AC$3&lt;0,0,N(INDEX('CURVA PREVISION'!$A$1:$KZ$3000,$C17,10+3*MIN(AC$3,$D$2-1)))))</f>
        <v>97.07</v>
      </c>
      <c r="AD17" s="131" t="n">
        <f aca="false">IF(OR($C17="",$B$2="",$D$2=0),0,IF(AD$3&lt;0,0,N(INDEX('CURVA PREVISION'!$A$1:$KZ$3000,$C17,10+3*MIN(AD$3,$D$2-1)))))</f>
        <v>97.07</v>
      </c>
      <c r="AE17" s="131" t="n">
        <f aca="false">IF(OR($C17="",$B$2="",$D$2=0),0,IF(AE$3&lt;0,0,N(INDEX('CURVA PREVISION'!$A$1:$KZ$3000,$C17,10+3*MIN(AE$3,$D$2-1)))))</f>
        <v>97.07</v>
      </c>
      <c r="AF17" s="131" t="n">
        <f aca="false">IF(OR($C17="",$B$2="",$D$2=0),0,IF(AF$3&lt;0,0,N(INDEX('CURVA PREVISION'!$A$1:$KZ$3000,$C17,10+3*MIN(AF$3,$D$2-1)))))</f>
        <v>99.07</v>
      </c>
      <c r="AG17" s="131" t="n">
        <f aca="false">IF(OR($C17="",$B$2="",$D$2=0),0,IF(AG$3&lt;0,0,N(INDEX('CURVA PREVISION'!$A$1:$KZ$3000,$C17,10+3*MIN(AG$3,$D$2-1)))))</f>
        <v>100</v>
      </c>
      <c r="AH17" s="131" t="n">
        <f aca="false">IF(OR($C17="",$B$2="",$D$2=0),0,IF(AH$3&lt;0,0,N(INDEX('CURVA PREVISION'!$A$1:$KZ$3000,$C17,10+3*MIN(AH$3,$D$2-1)))))</f>
        <v>100</v>
      </c>
      <c r="AI17" s="131" t="n">
        <f aca="false">IF(OR($C17="",$B$2="",$D$2=0),0,IF(AI$3&lt;0,0,N(INDEX('CURVA PREVISION'!$A$1:$KZ$3000,$C17,10+3*MIN(AI$3,$D$2-1)))))</f>
        <v>100</v>
      </c>
      <c r="AJ17" s="131" t="n">
        <f aca="false">IF(OR($C17="",$B$2="",$D$2=0),0,IF(AJ$3&lt;0,0,N(INDEX('CURVA PREVISION'!$A$1:$KZ$3000,$C17,10+3*MIN(AJ$3,$D$2-1)))))</f>
        <v>100</v>
      </c>
      <c r="AK17" s="131" t="n">
        <f aca="false">IF(OR($C17="",$B$2="",$D$2=0),0,IF(AK$3&lt;0,0,N(INDEX('CURVA PREVISION'!$A$1:$KZ$3000,$C17,10+3*MIN(AK$3,$D$2-1)))))</f>
        <v>100</v>
      </c>
      <c r="AL17" s="131" t="n">
        <f aca="false">IF(OR($C17="",$B$2="",$D$2=0),0,IF(AL$3&lt;0,0,N(INDEX('CURVA PREVISION'!$A$1:$KZ$3000,$C17,10+3*MIN(AL$3,$D$2-1)))))</f>
        <v>100</v>
      </c>
      <c r="AM17" s="131" t="n">
        <f aca="false">IF(OR($C17="",$B$2="",$D$2=0),0,IF(AM$3&lt;0,0,N(INDEX('CURVA PREVISION'!$A$1:$KZ$3000,$C17,10+3*MIN(AM$3,$D$2-1)))))</f>
        <v>100</v>
      </c>
      <c r="AN17" s="131" t="n">
        <f aca="false">IF(OR($C17="",$B$2="",$D$2=0),0,IF(AN$3&lt;0,0,N(INDEX('CURVA PREVISION'!$A$1:$KZ$3000,$C17,10+3*MIN(AN$3,$D$2-1)))))</f>
        <v>100</v>
      </c>
      <c r="AO17" s="131" t="n">
        <f aca="false">IF(OR($C17="",$B$2="",$D$2=0),0,IF(AO$3&lt;0,0,N(INDEX('CURVA PREVISION'!$A$1:$KZ$3000,$C17,10+3*MIN(AO$3,$D$2-1)))))</f>
        <v>100</v>
      </c>
      <c r="AP17" s="131" t="n">
        <f aca="false">IF(OR($C17="",$B$2="",$D$2=0),0,IF(AP$3&lt;0,0,N(INDEX('CURVA PREVISION'!$A$1:$KZ$3000,$C17,10+3*MIN(AP$3,$D$2-1)))))</f>
        <v>100</v>
      </c>
      <c r="AQ17" s="131" t="n">
        <f aca="false">IF(OR($C17="",$B$2="",$D$2=0),0,IF(AQ$3&lt;0,0,N(INDEX('CURVA PREVISION'!$A$1:$KZ$3000,$C17,10+3*MIN(AQ$3,$D$2-1)))))</f>
        <v>100</v>
      </c>
      <c r="AR17" s="131" t="n">
        <f aca="false">IF(OR($C17="",$B$2="",$D$2=0),0,IF(AR$3&lt;0,0,N(INDEX('CURVA PREVISION'!$A$1:$KZ$3000,$C17,10+3*MIN(AR$3,$D$2-1)))))</f>
        <v>100</v>
      </c>
      <c r="AS17" s="131" t="n">
        <f aca="false">IF(OR($C17="",$B$2="",$D$2=0),0,IF(AS$3&lt;0,0,N(INDEX('CURVA PREVISION'!$A$1:$KZ$3000,$C17,10+3*MIN(AS$3,$D$2-1)))))</f>
        <v>100</v>
      </c>
      <c r="AT17" s="131" t="n">
        <f aca="false">IF(OR($C17="",$B$2="",$D$2=0),0,IF(AT$3&lt;0,0,N(INDEX('CURVA PREVISION'!$A$1:$KZ$3000,$C17,10+3*MIN(AT$3,$D$2-1)))))</f>
        <v>100</v>
      </c>
      <c r="AU17" s="131" t="n">
        <f aca="false">IF(OR($C17="",$B$2="",$D$2=0),0,IF(AU$3&lt;0,0,N(INDEX('CURVA PREVISION'!$A$1:$KZ$3000,$C17,10+3*MIN(AU$3,$D$2-1)))))</f>
        <v>100</v>
      </c>
      <c r="AV17" s="131" t="n">
        <f aca="false">IF(OR($C17="",$B$2="",$D$2=0),0,IF(AV$3&lt;0,0,N(INDEX('CURVA PREVISION'!$A$1:$KZ$3000,$C17,10+3*MIN(AV$3,$D$2-1)))))</f>
        <v>100</v>
      </c>
      <c r="AW17" s="131" t="n">
        <f aca="false">IF(OR($C17="",$B$2="",$D$2=0),0,IF(AW$3&lt;0,0,N(INDEX('CURVA PREVISION'!$A$1:$KZ$3000,$C17,10+3*MIN(AW$3,$D$2-1)))))</f>
        <v>100</v>
      </c>
      <c r="AX17" s="131" t="n">
        <f aca="false">IF(OR($C17="",$B$2="",$D$2=0),0,IF(AX$3&lt;0,0,N(INDEX('CURVA PREVISION'!$A$1:$KZ$3000,$C17,10+3*MIN(AX$3,$D$2-1)))))</f>
        <v>100</v>
      </c>
      <c r="AY17" s="131" t="n">
        <f aca="false">IF(OR($C17="",$B$2="",$D$2=0),0,IF(AY$3&lt;0,0,N(INDEX('CURVA PREVISION'!$A$1:$KZ$3000,$C17,10+3*MIN(AY$3,$D$2-1)))))</f>
        <v>100</v>
      </c>
      <c r="AZ17" s="131" t="n">
        <f aca="false">IF(OR($C17="",$B$2="",$D$2=0),0,IF(AZ$3&lt;0,0,N(INDEX('CURVA PREVISION'!$A$1:$KZ$3000,$C17,10+3*MIN(AZ$3,$D$2-1)))))</f>
        <v>100</v>
      </c>
      <c r="BA17" s="131" t="n">
        <f aca="false">IF(OR($C17="",$B$2="",$D$2=0),0,IF(BA$3&lt;0,0,N(INDEX('CURVA PREVISION'!$A$1:$KZ$3000,$C17,10+3*MIN(BA$3,$D$2-1)))))</f>
        <v>100</v>
      </c>
      <c r="BB17" s="131" t="n">
        <f aca="false">IF(OR($C17="",$B$2="",$D$2=0),0,IF(BB$3&lt;0,0,N(INDEX('CURVA PREVISION'!$A$1:$KZ$3000,$C17,10+3*MIN(BB$3,$D$2-1)))))</f>
        <v>100</v>
      </c>
      <c r="BC17" s="131" t="n">
        <f aca="false">IF(OR($C17="",$B$2="",$D$2=0),0,IF(BC$3&lt;0,0,N(INDEX('CURVA PREVISION'!$A$1:$KZ$3000,$C17,10+3*MIN(BC$3,$D$2-1)))))</f>
        <v>100</v>
      </c>
      <c r="BD17" s="131" t="n">
        <f aca="false">IF(OR($C17="",$B$2="",$D$2=0),0,IF(BD$3&lt;0,0,N(INDEX('CURVA PREVISION'!$A$1:$KZ$3000,$C17,10+3*MIN(BD$3,$D$2-1)))))</f>
        <v>100</v>
      </c>
      <c r="BE17" s="131" t="n">
        <f aca="false">IF(OR($C17="",$B$2="",$D$2=0),0,IF(BE$3&lt;0,0,N(INDEX('CURVA PREVISION'!$A$1:$KZ$3000,$C17,10+3*MIN(BE$3,$D$2-1)))))</f>
        <v>100</v>
      </c>
      <c r="BF17" s="131" t="n">
        <f aca="false">IF(OR($C17="",$B$2="",$D$2=0),0,IF(BF$3&lt;0,0,N(INDEX('CURVA PREVISION'!$A$1:$KZ$3000,$C17,10+3*MIN(BF$3,$D$2-1)))))</f>
        <v>100</v>
      </c>
      <c r="BG17" s="131" t="n">
        <f aca="false">IF(OR($C17="",$B$2="",$D$2=0),0,IF(BG$3&lt;0,0,N(INDEX('CURVA PREVISION'!$A$1:$KZ$3000,$C17,10+3*MIN(BG$3,$D$2-1)))))</f>
        <v>100</v>
      </c>
      <c r="BH17" s="131" t="n">
        <f aca="false">IF(OR($C17="",$B$2="",$D$2=0),0,IF(BH$3&lt;0,0,N(INDEX('CURVA PREVISION'!$A$1:$KZ$3000,$C17,10+3*MIN(BH$3,$D$2-1)))))</f>
        <v>100</v>
      </c>
      <c r="BI17" s="131" t="n">
        <f aca="false">IF(OR($C17="",$B$2="",$D$2=0),0,IF(BI$3&lt;0,0,N(INDEX('CURVA PREVISION'!$A$1:$KZ$3000,$C17,10+3*MIN(BI$3,$D$2-1)))))</f>
        <v>100</v>
      </c>
      <c r="BJ17" s="131" t="n">
        <f aca="false">IF(OR($C17="",$B$2="",$D$2=0),0,IF(BJ$3&lt;0,0,N(INDEX('CURVA PREVISION'!$A$1:$KZ$3000,$C17,10+3*MIN(BJ$3,$D$2-1)))))</f>
        <v>100</v>
      </c>
      <c r="BK17" s="131" t="n">
        <f aca="false">IF(OR($C17="",$B$2="",$D$2=0),0,IF(BK$3&lt;0,0,N(INDEX('CURVA PREVISION'!$A$1:$KZ$3000,$C17,10+3*MIN(BK$3,$D$2-1)))))</f>
        <v>100</v>
      </c>
      <c r="BL17" s="131" t="n">
        <f aca="false">IF(OR($C17="",$B$2="",$D$2=0),0,IF(BL$3&lt;0,0,N(INDEX('CURVA PREVISION'!$A$1:$KZ$3000,$C17,10+3*MIN(BL$3,$D$2-1)))))</f>
        <v>100</v>
      </c>
      <c r="BM17" s="131" t="n">
        <f aca="false">IF(OR($C17="",$B$2="",$D$2=0),0,IF(BM$3&lt;0,0,N(INDEX('CURVA PREVISION'!$A$1:$KZ$3000,$C17,10+3*MIN(BM$3,$D$2-1)))))</f>
        <v>100</v>
      </c>
      <c r="BN17" s="131" t="n">
        <f aca="false">IF(OR($C17="",$B$2="",$D$2=0),0,IF(BN$3&lt;0,0,N(INDEX('CURVA PREVISION'!$A$1:$KZ$3000,$C17,10+3*MIN(BN$3,$D$2-1)))))</f>
        <v>100</v>
      </c>
      <c r="BO17" s="131" t="n">
        <f aca="false">IF(OR($C17="",$B$2="",$D$2=0),0,IF(BO$3&lt;0,0,N(INDEX('CURVA PREVISION'!$A$1:$KZ$3000,$C17,10+3*MIN(BO$3,$D$2-1)))))</f>
        <v>100</v>
      </c>
      <c r="BP17" s="131" t="n">
        <f aca="false">IF(OR($C17="",$B$2="",$D$2=0),0,IF(BP$3&lt;0,0,N(INDEX('CURVA PREVISION'!$A$1:$KZ$3000,$C17,10+3*MIN(BP$3,$D$2-1)))))</f>
        <v>100</v>
      </c>
      <c r="BQ17" s="131" t="n">
        <f aca="false">IF(OR($C17="",$B$2="",$D$2=0),0,IF(BQ$3&lt;0,0,N(INDEX('CURVA PREVISION'!$A$1:$KZ$3000,$C17,10+3*MIN(BQ$3,$D$2-1)))))</f>
        <v>100</v>
      </c>
      <c r="BR17" s="131" t="n">
        <f aca="false">IF(OR($C17="",$B$2="",$D$2=0),0,IF(BR$3&lt;0,0,N(INDEX('CURVA PREVISION'!$A$1:$KZ$3000,$C17,10+3*MIN(BR$3,$D$2-1)))))</f>
        <v>100</v>
      </c>
      <c r="BS17" s="131" t="n">
        <f aca="false">IF(OR($C17="",$B$2="",$D$2=0),0,IF(BS$3&lt;0,0,N(INDEX('CURVA PREVISION'!$A$1:$KZ$3000,$C17,10+3*MIN(BS$3,$D$2-1)))))</f>
        <v>100</v>
      </c>
      <c r="BT17" s="131" t="n">
        <f aca="false">IF(OR($C17="",$B$2="",$D$2=0),0,IF(BT$3&lt;0,0,N(INDEX('CURVA PREVISION'!$A$1:$KZ$3000,$C17,10+3*MIN(BT$3,$D$2-1)))))</f>
        <v>100</v>
      </c>
      <c r="BU17" s="131" t="n">
        <f aca="false">IF(OR($C17="",$B$2="",$D$2=0),0,IF(BU$3&lt;0,0,N(INDEX('CURVA PREVISION'!$A$1:$KZ$3000,$C17,10+3*MIN(BU$3,$D$2-1)))))</f>
        <v>100</v>
      </c>
      <c r="BV17" s="131" t="n">
        <f aca="false">IF(OR($C17="",$B$2="",$D$2=0),0,IF(BV$3&lt;0,0,N(INDEX('CURVA PREVISION'!$A$1:$KZ$3000,$C17,10+3*MIN(BV$3,$D$2-1)))))</f>
        <v>100</v>
      </c>
      <c r="BW17" s="131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275</v>
      </c>
      <c r="D18" s="131" t="n">
        <f aca="false">IF(OR($C18="",$B$2="",$D$2=0),0,IF(D$3&lt;0,0,N(INDEX('CURVA PREVISION'!$A$1:$KZ$3000,$C18,10+3*MIN(D$3,$D$2-1)))))</f>
        <v>0</v>
      </c>
      <c r="E18" s="131" t="n">
        <f aca="false">IF(OR($C18="",$B$2="",$D$2=0),0,IF(E$3&lt;0,0,N(INDEX('CURVA PREVISION'!$A$1:$KZ$3000,$C18,10+3*MIN(E$3,$D$2-1)))))</f>
        <v>0</v>
      </c>
      <c r="F18" s="131" t="n">
        <f aca="false">IF(OR($C18="",$B$2="",$D$2=0),0,IF(F$3&lt;0,0,N(INDEX('CURVA PREVISION'!$A$1:$KZ$3000,$C18,10+3*MIN(F$3,$D$2-1)))))</f>
        <v>0</v>
      </c>
      <c r="G18" s="131" t="n">
        <f aca="false">IF(OR($C18="",$B$2="",$D$2=0),0,IF(G$3&lt;0,0,N(INDEX('CURVA PREVISION'!$A$1:$KZ$3000,$C18,10+3*MIN(G$3,$D$2-1)))))</f>
        <v>0</v>
      </c>
      <c r="H18" s="131" t="n">
        <f aca="false">IF(OR($C18="",$B$2="",$D$2=0),0,IF(H$3&lt;0,0,N(INDEX('CURVA PREVISION'!$A$1:$KZ$3000,$C18,10+3*MIN(H$3,$D$2-1)))))</f>
        <v>0</v>
      </c>
      <c r="I18" s="131" t="n">
        <f aca="false">IF(OR($C18="",$B$2="",$D$2=0),0,IF(I$3&lt;0,0,N(INDEX('CURVA PREVISION'!$A$1:$KZ$3000,$C18,10+3*MIN(I$3,$D$2-1)))))</f>
        <v>0</v>
      </c>
      <c r="J18" s="131" t="n">
        <f aca="false">IF(OR($C18="",$B$2="",$D$2=0),0,IF(J$3&lt;0,0,N(INDEX('CURVA PREVISION'!$A$1:$KZ$3000,$C18,10+3*MIN(J$3,$D$2-1)))))</f>
        <v>0</v>
      </c>
      <c r="K18" s="131" t="n">
        <f aca="false">IF(OR($C18="",$B$2="",$D$2=0),0,IF(K$3&lt;0,0,N(INDEX('CURVA PREVISION'!$A$1:$KZ$3000,$C18,10+3*MIN(K$3,$D$2-1)))))</f>
        <v>0</v>
      </c>
      <c r="L18" s="131" t="n">
        <f aca="false">IF(OR($C18="",$B$2="",$D$2=0),0,IF(L$3&lt;0,0,N(INDEX('CURVA PREVISION'!$A$1:$KZ$3000,$C18,10+3*MIN(L$3,$D$2-1)))))</f>
        <v>0</v>
      </c>
      <c r="M18" s="131" t="n">
        <f aca="false">IF(OR($C18="",$B$2="",$D$2=0),0,IF(M$3&lt;0,0,N(INDEX('CURVA PREVISION'!$A$1:$KZ$3000,$C18,10+3*MIN(M$3,$D$2-1)))))</f>
        <v>0</v>
      </c>
      <c r="N18" s="131" t="n">
        <f aca="false">IF(OR($C18="",$B$2="",$D$2=0),0,IF(N$3&lt;0,0,N(INDEX('CURVA PREVISION'!$A$1:$KZ$3000,$C18,10+3*MIN(N$3,$D$2-1)))))</f>
        <v>0</v>
      </c>
      <c r="O18" s="131" t="n">
        <f aca="false">IF(OR($C18="",$B$2="",$D$2=0),0,IF(O$3&lt;0,0,N(INDEX('CURVA PREVISION'!$A$1:$KZ$3000,$C18,10+3*MIN(O$3,$D$2-1)))))</f>
        <v>0</v>
      </c>
      <c r="P18" s="131" t="n">
        <f aca="false">IF(OR($C18="",$B$2="",$D$2=0),0,IF(P$3&lt;0,0,N(INDEX('CURVA PREVISION'!$A$1:$KZ$3000,$C18,10+3*MIN(P$3,$D$2-1)))))</f>
        <v>0</v>
      </c>
      <c r="Q18" s="131" t="n">
        <f aca="false">IF(OR($C18="",$B$2="",$D$2=0),0,IF(Q$3&lt;0,0,N(INDEX('CURVA PREVISION'!$A$1:$KZ$3000,$C18,10+3*MIN(Q$3,$D$2-1)))))</f>
        <v>0</v>
      </c>
      <c r="R18" s="131" t="n">
        <f aca="false">IF(OR($C18="",$B$2="",$D$2=0),0,IF(R$3&lt;0,0,N(INDEX('CURVA PREVISION'!$A$1:$KZ$3000,$C18,10+3*MIN(R$3,$D$2-1)))))</f>
        <v>0</v>
      </c>
      <c r="S18" s="131" t="n">
        <f aca="false">IF(OR($C18="",$B$2="",$D$2=0),0,IF(S$3&lt;0,0,N(INDEX('CURVA PREVISION'!$A$1:$KZ$3000,$C18,10+3*MIN(S$3,$D$2-1)))))</f>
        <v>47.53</v>
      </c>
      <c r="T18" s="131" t="n">
        <f aca="false">IF(OR($C18="",$B$2="",$D$2=0),0,IF(T$3&lt;0,0,N(INDEX('CURVA PREVISION'!$A$1:$KZ$3000,$C18,10+3*MIN(T$3,$D$2-1)))))</f>
        <v>86</v>
      </c>
      <c r="U18" s="131" t="n">
        <f aca="false">IF(OR($C18="",$B$2="",$D$2=0),0,IF(U$3&lt;0,0,N(INDEX('CURVA PREVISION'!$A$1:$KZ$3000,$C18,10+3*MIN(U$3,$D$2-1)))))</f>
        <v>86</v>
      </c>
      <c r="V18" s="131" t="n">
        <f aca="false">IF(OR($C18="",$B$2="",$D$2=0),0,IF(V$3&lt;0,0,N(INDEX('CURVA PREVISION'!$A$1:$KZ$3000,$C18,10+3*MIN(V$3,$D$2-1)))))</f>
        <v>86</v>
      </c>
      <c r="W18" s="131" t="n">
        <f aca="false">IF(OR($C18="",$B$2="",$D$2=0),0,IF(W$3&lt;0,0,N(INDEX('CURVA PREVISION'!$A$1:$KZ$3000,$C18,10+3*MIN(W$3,$D$2-1)))))</f>
        <v>86</v>
      </c>
      <c r="X18" s="131" t="n">
        <f aca="false">IF(OR($C18="",$B$2="",$D$2=0),0,IF(X$3&lt;0,0,N(INDEX('CURVA PREVISION'!$A$1:$KZ$3000,$C18,10+3*MIN(X$3,$D$2-1)))))</f>
        <v>86</v>
      </c>
      <c r="Y18" s="131" t="n">
        <f aca="false">IF(OR($C18="",$B$2="",$D$2=0),0,IF(Y$3&lt;0,0,N(INDEX('CURVA PREVISION'!$A$1:$KZ$3000,$C18,10+3*MIN(Y$3,$D$2-1)))))</f>
        <v>94.5</v>
      </c>
      <c r="Z18" s="131" t="n">
        <f aca="false">IF(OR($C18="",$B$2="",$D$2=0),0,IF(Z$3&lt;0,0,N(INDEX('CURVA PREVISION'!$A$1:$KZ$3000,$C18,10+3*MIN(Z$3,$D$2-1)))))</f>
        <v>100</v>
      </c>
      <c r="AA18" s="131" t="n">
        <f aca="false">IF(OR($C18="",$B$2="",$D$2=0),0,IF(AA$3&lt;0,0,N(INDEX('CURVA PREVISION'!$A$1:$KZ$3000,$C18,10+3*MIN(AA$3,$D$2-1)))))</f>
        <v>100</v>
      </c>
      <c r="AB18" s="131" t="n">
        <f aca="false">IF(OR($C18="",$B$2="",$D$2=0),0,IF(AB$3&lt;0,0,N(INDEX('CURVA PREVISION'!$A$1:$KZ$3000,$C18,10+3*MIN(AB$3,$D$2-1)))))</f>
        <v>100</v>
      </c>
      <c r="AC18" s="131" t="n">
        <f aca="false">IF(OR($C18="",$B$2="",$D$2=0),0,IF(AC$3&lt;0,0,N(INDEX('CURVA PREVISION'!$A$1:$KZ$3000,$C18,10+3*MIN(AC$3,$D$2-1)))))</f>
        <v>100</v>
      </c>
      <c r="AD18" s="131" t="n">
        <f aca="false">IF(OR($C18="",$B$2="",$D$2=0),0,IF(AD$3&lt;0,0,N(INDEX('CURVA PREVISION'!$A$1:$KZ$3000,$C18,10+3*MIN(AD$3,$D$2-1)))))</f>
        <v>100</v>
      </c>
      <c r="AE18" s="131" t="n">
        <f aca="false">IF(OR($C18="",$B$2="",$D$2=0),0,IF(AE$3&lt;0,0,N(INDEX('CURVA PREVISION'!$A$1:$KZ$3000,$C18,10+3*MIN(AE$3,$D$2-1)))))</f>
        <v>100</v>
      </c>
      <c r="AF18" s="131" t="n">
        <f aca="false">IF(OR($C18="",$B$2="",$D$2=0),0,IF(AF$3&lt;0,0,N(INDEX('CURVA PREVISION'!$A$1:$KZ$3000,$C18,10+3*MIN(AF$3,$D$2-1)))))</f>
        <v>100</v>
      </c>
      <c r="AG18" s="131" t="n">
        <f aca="false">IF(OR($C18="",$B$2="",$D$2=0),0,IF(AG$3&lt;0,0,N(INDEX('CURVA PREVISION'!$A$1:$KZ$3000,$C18,10+3*MIN(AG$3,$D$2-1)))))</f>
        <v>100</v>
      </c>
      <c r="AH18" s="131" t="n">
        <f aca="false">IF(OR($C18="",$B$2="",$D$2=0),0,IF(AH$3&lt;0,0,N(INDEX('CURVA PREVISION'!$A$1:$KZ$3000,$C18,10+3*MIN(AH$3,$D$2-1)))))</f>
        <v>100</v>
      </c>
      <c r="AI18" s="131" t="n">
        <f aca="false">IF(OR($C18="",$B$2="",$D$2=0),0,IF(AI$3&lt;0,0,N(INDEX('CURVA PREVISION'!$A$1:$KZ$3000,$C18,10+3*MIN(AI$3,$D$2-1)))))</f>
        <v>100</v>
      </c>
      <c r="AJ18" s="131" t="n">
        <f aca="false">IF(OR($C18="",$B$2="",$D$2=0),0,IF(AJ$3&lt;0,0,N(INDEX('CURVA PREVISION'!$A$1:$KZ$3000,$C18,10+3*MIN(AJ$3,$D$2-1)))))</f>
        <v>100</v>
      </c>
      <c r="AK18" s="131" t="n">
        <f aca="false">IF(OR($C18="",$B$2="",$D$2=0),0,IF(AK$3&lt;0,0,N(INDEX('CURVA PREVISION'!$A$1:$KZ$3000,$C18,10+3*MIN(AK$3,$D$2-1)))))</f>
        <v>100</v>
      </c>
      <c r="AL18" s="131" t="n">
        <f aca="false">IF(OR($C18="",$B$2="",$D$2=0),0,IF(AL$3&lt;0,0,N(INDEX('CURVA PREVISION'!$A$1:$KZ$3000,$C18,10+3*MIN(AL$3,$D$2-1)))))</f>
        <v>100</v>
      </c>
      <c r="AM18" s="131" t="n">
        <f aca="false">IF(OR($C18="",$B$2="",$D$2=0),0,IF(AM$3&lt;0,0,N(INDEX('CURVA PREVISION'!$A$1:$KZ$3000,$C18,10+3*MIN(AM$3,$D$2-1)))))</f>
        <v>100</v>
      </c>
      <c r="AN18" s="131" t="n">
        <f aca="false">IF(OR($C18="",$B$2="",$D$2=0),0,IF(AN$3&lt;0,0,N(INDEX('CURVA PREVISION'!$A$1:$KZ$3000,$C18,10+3*MIN(AN$3,$D$2-1)))))</f>
        <v>100</v>
      </c>
      <c r="AO18" s="131" t="n">
        <f aca="false">IF(OR($C18="",$B$2="",$D$2=0),0,IF(AO$3&lt;0,0,N(INDEX('CURVA PREVISION'!$A$1:$KZ$3000,$C18,10+3*MIN(AO$3,$D$2-1)))))</f>
        <v>100</v>
      </c>
      <c r="AP18" s="131" t="n">
        <f aca="false">IF(OR($C18="",$B$2="",$D$2=0),0,IF(AP$3&lt;0,0,N(INDEX('CURVA PREVISION'!$A$1:$KZ$3000,$C18,10+3*MIN(AP$3,$D$2-1)))))</f>
        <v>100</v>
      </c>
      <c r="AQ18" s="131" t="n">
        <f aca="false">IF(OR($C18="",$B$2="",$D$2=0),0,IF(AQ$3&lt;0,0,N(INDEX('CURVA PREVISION'!$A$1:$KZ$3000,$C18,10+3*MIN(AQ$3,$D$2-1)))))</f>
        <v>100</v>
      </c>
      <c r="AR18" s="131" t="n">
        <f aca="false">IF(OR($C18="",$B$2="",$D$2=0),0,IF(AR$3&lt;0,0,N(INDEX('CURVA PREVISION'!$A$1:$KZ$3000,$C18,10+3*MIN(AR$3,$D$2-1)))))</f>
        <v>100</v>
      </c>
      <c r="AS18" s="131" t="n">
        <f aca="false">IF(OR($C18="",$B$2="",$D$2=0),0,IF(AS$3&lt;0,0,N(INDEX('CURVA PREVISION'!$A$1:$KZ$3000,$C18,10+3*MIN(AS$3,$D$2-1)))))</f>
        <v>100</v>
      </c>
      <c r="AT18" s="131" t="n">
        <f aca="false">IF(OR($C18="",$B$2="",$D$2=0),0,IF(AT$3&lt;0,0,N(INDEX('CURVA PREVISION'!$A$1:$KZ$3000,$C18,10+3*MIN(AT$3,$D$2-1)))))</f>
        <v>100</v>
      </c>
      <c r="AU18" s="131" t="n">
        <f aca="false">IF(OR($C18="",$B$2="",$D$2=0),0,IF(AU$3&lt;0,0,N(INDEX('CURVA PREVISION'!$A$1:$KZ$3000,$C18,10+3*MIN(AU$3,$D$2-1)))))</f>
        <v>100</v>
      </c>
      <c r="AV18" s="131" t="n">
        <f aca="false">IF(OR($C18="",$B$2="",$D$2=0),0,IF(AV$3&lt;0,0,N(INDEX('CURVA PREVISION'!$A$1:$KZ$3000,$C18,10+3*MIN(AV$3,$D$2-1)))))</f>
        <v>100</v>
      </c>
      <c r="AW18" s="131" t="n">
        <f aca="false">IF(OR($C18="",$B$2="",$D$2=0),0,IF(AW$3&lt;0,0,N(INDEX('CURVA PREVISION'!$A$1:$KZ$3000,$C18,10+3*MIN(AW$3,$D$2-1)))))</f>
        <v>100</v>
      </c>
      <c r="AX18" s="131" t="n">
        <f aca="false">IF(OR($C18="",$B$2="",$D$2=0),0,IF(AX$3&lt;0,0,N(INDEX('CURVA PREVISION'!$A$1:$KZ$3000,$C18,10+3*MIN(AX$3,$D$2-1)))))</f>
        <v>100</v>
      </c>
      <c r="AY18" s="131" t="n">
        <f aca="false">IF(OR($C18="",$B$2="",$D$2=0),0,IF(AY$3&lt;0,0,N(INDEX('CURVA PREVISION'!$A$1:$KZ$3000,$C18,10+3*MIN(AY$3,$D$2-1)))))</f>
        <v>100</v>
      </c>
      <c r="AZ18" s="131" t="n">
        <f aca="false">IF(OR($C18="",$B$2="",$D$2=0),0,IF(AZ$3&lt;0,0,N(INDEX('CURVA PREVISION'!$A$1:$KZ$3000,$C18,10+3*MIN(AZ$3,$D$2-1)))))</f>
        <v>100</v>
      </c>
      <c r="BA18" s="131" t="n">
        <f aca="false">IF(OR($C18="",$B$2="",$D$2=0),0,IF(BA$3&lt;0,0,N(INDEX('CURVA PREVISION'!$A$1:$KZ$3000,$C18,10+3*MIN(BA$3,$D$2-1)))))</f>
        <v>100</v>
      </c>
      <c r="BB18" s="131" t="n">
        <f aca="false">IF(OR($C18="",$B$2="",$D$2=0),0,IF(BB$3&lt;0,0,N(INDEX('CURVA PREVISION'!$A$1:$KZ$3000,$C18,10+3*MIN(BB$3,$D$2-1)))))</f>
        <v>100</v>
      </c>
      <c r="BC18" s="131" t="n">
        <f aca="false">IF(OR($C18="",$B$2="",$D$2=0),0,IF(BC$3&lt;0,0,N(INDEX('CURVA PREVISION'!$A$1:$KZ$3000,$C18,10+3*MIN(BC$3,$D$2-1)))))</f>
        <v>100</v>
      </c>
      <c r="BD18" s="131" t="n">
        <f aca="false">IF(OR($C18="",$B$2="",$D$2=0),0,IF(BD$3&lt;0,0,N(INDEX('CURVA PREVISION'!$A$1:$KZ$3000,$C18,10+3*MIN(BD$3,$D$2-1)))))</f>
        <v>100</v>
      </c>
      <c r="BE18" s="131" t="n">
        <f aca="false">IF(OR($C18="",$B$2="",$D$2=0),0,IF(BE$3&lt;0,0,N(INDEX('CURVA PREVISION'!$A$1:$KZ$3000,$C18,10+3*MIN(BE$3,$D$2-1)))))</f>
        <v>100</v>
      </c>
      <c r="BF18" s="131" t="n">
        <f aca="false">IF(OR($C18="",$B$2="",$D$2=0),0,IF(BF$3&lt;0,0,N(INDEX('CURVA PREVISION'!$A$1:$KZ$3000,$C18,10+3*MIN(BF$3,$D$2-1)))))</f>
        <v>100</v>
      </c>
      <c r="BG18" s="131" t="n">
        <f aca="false">IF(OR($C18="",$B$2="",$D$2=0),0,IF(BG$3&lt;0,0,N(INDEX('CURVA PREVISION'!$A$1:$KZ$3000,$C18,10+3*MIN(BG$3,$D$2-1)))))</f>
        <v>100</v>
      </c>
      <c r="BH18" s="131" t="n">
        <f aca="false">IF(OR($C18="",$B$2="",$D$2=0),0,IF(BH$3&lt;0,0,N(INDEX('CURVA PREVISION'!$A$1:$KZ$3000,$C18,10+3*MIN(BH$3,$D$2-1)))))</f>
        <v>100</v>
      </c>
      <c r="BI18" s="131" t="n">
        <f aca="false">IF(OR($C18="",$B$2="",$D$2=0),0,IF(BI$3&lt;0,0,N(INDEX('CURVA PREVISION'!$A$1:$KZ$3000,$C18,10+3*MIN(BI$3,$D$2-1)))))</f>
        <v>100</v>
      </c>
      <c r="BJ18" s="131" t="n">
        <f aca="false">IF(OR($C18="",$B$2="",$D$2=0),0,IF(BJ$3&lt;0,0,N(INDEX('CURVA PREVISION'!$A$1:$KZ$3000,$C18,10+3*MIN(BJ$3,$D$2-1)))))</f>
        <v>100</v>
      </c>
      <c r="BK18" s="131" t="n">
        <f aca="false">IF(OR($C18="",$B$2="",$D$2=0),0,IF(BK$3&lt;0,0,N(INDEX('CURVA PREVISION'!$A$1:$KZ$3000,$C18,10+3*MIN(BK$3,$D$2-1)))))</f>
        <v>100</v>
      </c>
      <c r="BL18" s="131" t="n">
        <f aca="false">IF(OR($C18="",$B$2="",$D$2=0),0,IF(BL$3&lt;0,0,N(INDEX('CURVA PREVISION'!$A$1:$KZ$3000,$C18,10+3*MIN(BL$3,$D$2-1)))))</f>
        <v>100</v>
      </c>
      <c r="BM18" s="131" t="n">
        <f aca="false">IF(OR($C18="",$B$2="",$D$2=0),0,IF(BM$3&lt;0,0,N(INDEX('CURVA PREVISION'!$A$1:$KZ$3000,$C18,10+3*MIN(BM$3,$D$2-1)))))</f>
        <v>100</v>
      </c>
      <c r="BN18" s="131" t="n">
        <f aca="false">IF(OR($C18="",$B$2="",$D$2=0),0,IF(BN$3&lt;0,0,N(INDEX('CURVA PREVISION'!$A$1:$KZ$3000,$C18,10+3*MIN(BN$3,$D$2-1)))))</f>
        <v>100</v>
      </c>
      <c r="BO18" s="131" t="n">
        <f aca="false">IF(OR($C18="",$B$2="",$D$2=0),0,IF(BO$3&lt;0,0,N(INDEX('CURVA PREVISION'!$A$1:$KZ$3000,$C18,10+3*MIN(BO$3,$D$2-1)))))</f>
        <v>100</v>
      </c>
      <c r="BP18" s="131" t="n">
        <f aca="false">IF(OR($C18="",$B$2="",$D$2=0),0,IF(BP$3&lt;0,0,N(INDEX('CURVA PREVISION'!$A$1:$KZ$3000,$C18,10+3*MIN(BP$3,$D$2-1)))))</f>
        <v>100</v>
      </c>
      <c r="BQ18" s="131" t="n">
        <f aca="false">IF(OR($C18="",$B$2="",$D$2=0),0,IF(BQ$3&lt;0,0,N(INDEX('CURVA PREVISION'!$A$1:$KZ$3000,$C18,10+3*MIN(BQ$3,$D$2-1)))))</f>
        <v>100</v>
      </c>
      <c r="BR18" s="131" t="n">
        <f aca="false">IF(OR($C18="",$B$2="",$D$2=0),0,IF(BR$3&lt;0,0,N(INDEX('CURVA PREVISION'!$A$1:$KZ$3000,$C18,10+3*MIN(BR$3,$D$2-1)))))</f>
        <v>100</v>
      </c>
      <c r="BS18" s="131" t="n">
        <f aca="false">IF(OR($C18="",$B$2="",$D$2=0),0,IF(BS$3&lt;0,0,N(INDEX('CURVA PREVISION'!$A$1:$KZ$3000,$C18,10+3*MIN(BS$3,$D$2-1)))))</f>
        <v>100</v>
      </c>
      <c r="BT18" s="131" t="n">
        <f aca="false">IF(OR($C18="",$B$2="",$D$2=0),0,IF(BT$3&lt;0,0,N(INDEX('CURVA PREVISION'!$A$1:$KZ$3000,$C18,10+3*MIN(BT$3,$D$2-1)))))</f>
        <v>100</v>
      </c>
      <c r="BU18" s="131" t="n">
        <f aca="false">IF(OR($C18="",$B$2="",$D$2=0),0,IF(BU$3&lt;0,0,N(INDEX('CURVA PREVISION'!$A$1:$KZ$3000,$C18,10+3*MIN(BU$3,$D$2-1)))))</f>
        <v>100</v>
      </c>
      <c r="BV18" s="131" t="n">
        <f aca="false">IF(OR($C18="",$B$2="",$D$2=0),0,IF(BV$3&lt;0,0,N(INDEX('CURVA PREVISION'!$A$1:$KZ$3000,$C18,10+3*MIN(BV$3,$D$2-1)))))</f>
        <v>100</v>
      </c>
      <c r="BW18" s="131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286</v>
      </c>
      <c r="D19" s="131" t="n">
        <f aca="false">IF(OR($C19="",$B$2="",$D$2=0),0,IF(D$3&lt;0,0,N(INDEX('CURVA PREVISION'!$A$1:$KZ$3000,$C19,10+3*MIN(D$3,$D$2-1)))))</f>
        <v>0</v>
      </c>
      <c r="E19" s="131" t="n">
        <f aca="false">IF(OR($C19="",$B$2="",$D$2=0),0,IF(E$3&lt;0,0,N(INDEX('CURVA PREVISION'!$A$1:$KZ$3000,$C19,10+3*MIN(E$3,$D$2-1)))))</f>
        <v>0</v>
      </c>
      <c r="F19" s="131" t="n">
        <f aca="false">IF(OR($C19="",$B$2="",$D$2=0),0,IF(F$3&lt;0,0,N(INDEX('CURVA PREVISION'!$A$1:$KZ$3000,$C19,10+3*MIN(F$3,$D$2-1)))))</f>
        <v>0</v>
      </c>
      <c r="G19" s="131" t="n">
        <f aca="false">IF(OR($C19="",$B$2="",$D$2=0),0,IF(G$3&lt;0,0,N(INDEX('CURVA PREVISION'!$A$1:$KZ$3000,$C19,10+3*MIN(G$3,$D$2-1)))))</f>
        <v>0</v>
      </c>
      <c r="H19" s="131" t="n">
        <f aca="false">IF(OR($C19="",$B$2="",$D$2=0),0,IF(H$3&lt;0,0,N(INDEX('CURVA PREVISION'!$A$1:$KZ$3000,$C19,10+3*MIN(H$3,$D$2-1)))))</f>
        <v>0</v>
      </c>
      <c r="I19" s="131" t="n">
        <f aca="false">IF(OR($C19="",$B$2="",$D$2=0),0,IF(I$3&lt;0,0,N(INDEX('CURVA PREVISION'!$A$1:$KZ$3000,$C19,10+3*MIN(I$3,$D$2-1)))))</f>
        <v>0</v>
      </c>
      <c r="J19" s="131" t="n">
        <f aca="false">IF(OR($C19="",$B$2="",$D$2=0),0,IF(J$3&lt;0,0,N(INDEX('CURVA PREVISION'!$A$1:$KZ$3000,$C19,10+3*MIN(J$3,$D$2-1)))))</f>
        <v>0</v>
      </c>
      <c r="K19" s="131" t="n">
        <f aca="false">IF(OR($C19="",$B$2="",$D$2=0),0,IF(K$3&lt;0,0,N(INDEX('CURVA PREVISION'!$A$1:$KZ$3000,$C19,10+3*MIN(K$3,$D$2-1)))))</f>
        <v>0</v>
      </c>
      <c r="L19" s="131" t="n">
        <f aca="false">IF(OR($C19="",$B$2="",$D$2=0),0,IF(L$3&lt;0,0,N(INDEX('CURVA PREVISION'!$A$1:$KZ$3000,$C19,10+3*MIN(L$3,$D$2-1)))))</f>
        <v>0</v>
      </c>
      <c r="M19" s="131" t="n">
        <f aca="false">IF(OR($C19="",$B$2="",$D$2=0),0,IF(M$3&lt;0,0,N(INDEX('CURVA PREVISION'!$A$1:$KZ$3000,$C19,10+3*MIN(M$3,$D$2-1)))))</f>
        <v>0</v>
      </c>
      <c r="N19" s="131" t="n">
        <f aca="false">IF(OR($C19="",$B$2="",$D$2=0),0,IF(N$3&lt;0,0,N(INDEX('CURVA PREVISION'!$A$1:$KZ$3000,$C19,10+3*MIN(N$3,$D$2-1)))))</f>
        <v>17.44</v>
      </c>
      <c r="O19" s="131" t="n">
        <f aca="false">IF(OR($C19="",$B$2="",$D$2=0),0,IF(O$3&lt;0,0,N(INDEX('CURVA PREVISION'!$A$1:$KZ$3000,$C19,10+3*MIN(O$3,$D$2-1)))))</f>
        <v>39.53</v>
      </c>
      <c r="P19" s="131" t="n">
        <f aca="false">IF(OR($C19="",$B$2="",$D$2=0),0,IF(P$3&lt;0,0,N(INDEX('CURVA PREVISION'!$A$1:$KZ$3000,$C19,10+3*MIN(P$3,$D$2-1)))))</f>
        <v>55.81</v>
      </c>
      <c r="Q19" s="131" t="n">
        <f aca="false">IF(OR($C19="",$B$2="",$D$2=0),0,IF(Q$3&lt;0,0,N(INDEX('CURVA PREVISION'!$A$1:$KZ$3000,$C19,10+3*MIN(Q$3,$D$2-1)))))</f>
        <v>79.07</v>
      </c>
      <c r="R19" s="131" t="n">
        <f aca="false">IF(OR($C19="",$B$2="",$D$2=0),0,IF(R$3&lt;0,0,N(INDEX('CURVA PREVISION'!$A$1:$KZ$3000,$C19,10+3*MIN(R$3,$D$2-1)))))</f>
        <v>99.53</v>
      </c>
      <c r="S19" s="131" t="n">
        <f aca="false">IF(OR($C19="",$B$2="",$D$2=0),0,IF(S$3&lt;0,0,N(INDEX('CURVA PREVISION'!$A$1:$KZ$3000,$C19,10+3*MIN(S$3,$D$2-1)))))</f>
        <v>100</v>
      </c>
      <c r="T19" s="131" t="n">
        <f aca="false">IF(OR($C19="",$B$2="",$D$2=0),0,IF(T$3&lt;0,0,N(INDEX('CURVA PREVISION'!$A$1:$KZ$3000,$C19,10+3*MIN(T$3,$D$2-1)))))</f>
        <v>100</v>
      </c>
      <c r="U19" s="131" t="n">
        <f aca="false">IF(OR($C19="",$B$2="",$D$2=0),0,IF(U$3&lt;0,0,N(INDEX('CURVA PREVISION'!$A$1:$KZ$3000,$C19,10+3*MIN(U$3,$D$2-1)))))</f>
        <v>100</v>
      </c>
      <c r="V19" s="131" t="n">
        <f aca="false">IF(OR($C19="",$B$2="",$D$2=0),0,IF(V$3&lt;0,0,N(INDEX('CURVA PREVISION'!$A$1:$KZ$3000,$C19,10+3*MIN(V$3,$D$2-1)))))</f>
        <v>100</v>
      </c>
      <c r="W19" s="131" t="n">
        <f aca="false">IF(OR($C19="",$B$2="",$D$2=0),0,IF(W$3&lt;0,0,N(INDEX('CURVA PREVISION'!$A$1:$KZ$3000,$C19,10+3*MIN(W$3,$D$2-1)))))</f>
        <v>100</v>
      </c>
      <c r="X19" s="131" t="n">
        <f aca="false">IF(OR($C19="",$B$2="",$D$2=0),0,IF(X$3&lt;0,0,N(INDEX('CURVA PREVISION'!$A$1:$KZ$3000,$C19,10+3*MIN(X$3,$D$2-1)))))</f>
        <v>100</v>
      </c>
      <c r="Y19" s="131" t="n">
        <f aca="false">IF(OR($C19="",$B$2="",$D$2=0),0,IF(Y$3&lt;0,0,N(INDEX('CURVA PREVISION'!$A$1:$KZ$3000,$C19,10+3*MIN(Y$3,$D$2-1)))))</f>
        <v>100</v>
      </c>
      <c r="Z19" s="131" t="n">
        <f aca="false">IF(OR($C19="",$B$2="",$D$2=0),0,IF(Z$3&lt;0,0,N(INDEX('CURVA PREVISION'!$A$1:$KZ$3000,$C19,10+3*MIN(Z$3,$D$2-1)))))</f>
        <v>100</v>
      </c>
      <c r="AA19" s="131" t="n">
        <f aca="false">IF(OR($C19="",$B$2="",$D$2=0),0,IF(AA$3&lt;0,0,N(INDEX('CURVA PREVISION'!$A$1:$KZ$3000,$C19,10+3*MIN(AA$3,$D$2-1)))))</f>
        <v>100</v>
      </c>
      <c r="AB19" s="131" t="n">
        <f aca="false">IF(OR($C19="",$B$2="",$D$2=0),0,IF(AB$3&lt;0,0,N(INDEX('CURVA PREVISION'!$A$1:$KZ$3000,$C19,10+3*MIN(AB$3,$D$2-1)))))</f>
        <v>100</v>
      </c>
      <c r="AC19" s="131" t="n">
        <f aca="false">IF(OR($C19="",$B$2="",$D$2=0),0,IF(AC$3&lt;0,0,N(INDEX('CURVA PREVISION'!$A$1:$KZ$3000,$C19,10+3*MIN(AC$3,$D$2-1)))))</f>
        <v>100</v>
      </c>
      <c r="AD19" s="131" t="n">
        <f aca="false">IF(OR($C19="",$B$2="",$D$2=0),0,IF(AD$3&lt;0,0,N(INDEX('CURVA PREVISION'!$A$1:$KZ$3000,$C19,10+3*MIN(AD$3,$D$2-1)))))</f>
        <v>100</v>
      </c>
      <c r="AE19" s="131" t="n">
        <f aca="false">IF(OR($C19="",$B$2="",$D$2=0),0,IF(AE$3&lt;0,0,N(INDEX('CURVA PREVISION'!$A$1:$KZ$3000,$C19,10+3*MIN(AE$3,$D$2-1)))))</f>
        <v>100</v>
      </c>
      <c r="AF19" s="131" t="n">
        <f aca="false">IF(OR($C19="",$B$2="",$D$2=0),0,IF(AF$3&lt;0,0,N(INDEX('CURVA PREVISION'!$A$1:$KZ$3000,$C19,10+3*MIN(AF$3,$D$2-1)))))</f>
        <v>100</v>
      </c>
      <c r="AG19" s="131" t="n">
        <f aca="false">IF(OR($C19="",$B$2="",$D$2=0),0,IF(AG$3&lt;0,0,N(INDEX('CURVA PREVISION'!$A$1:$KZ$3000,$C19,10+3*MIN(AG$3,$D$2-1)))))</f>
        <v>100</v>
      </c>
      <c r="AH19" s="131" t="n">
        <f aca="false">IF(OR($C19="",$B$2="",$D$2=0),0,IF(AH$3&lt;0,0,N(INDEX('CURVA PREVISION'!$A$1:$KZ$3000,$C19,10+3*MIN(AH$3,$D$2-1)))))</f>
        <v>100</v>
      </c>
      <c r="AI19" s="131" t="n">
        <f aca="false">IF(OR($C19="",$B$2="",$D$2=0),0,IF(AI$3&lt;0,0,N(INDEX('CURVA PREVISION'!$A$1:$KZ$3000,$C19,10+3*MIN(AI$3,$D$2-1)))))</f>
        <v>100</v>
      </c>
      <c r="AJ19" s="131" t="n">
        <f aca="false">IF(OR($C19="",$B$2="",$D$2=0),0,IF(AJ$3&lt;0,0,N(INDEX('CURVA PREVISION'!$A$1:$KZ$3000,$C19,10+3*MIN(AJ$3,$D$2-1)))))</f>
        <v>100</v>
      </c>
      <c r="AK19" s="131" t="n">
        <f aca="false">IF(OR($C19="",$B$2="",$D$2=0),0,IF(AK$3&lt;0,0,N(INDEX('CURVA PREVISION'!$A$1:$KZ$3000,$C19,10+3*MIN(AK$3,$D$2-1)))))</f>
        <v>100</v>
      </c>
      <c r="AL19" s="131" t="n">
        <f aca="false">IF(OR($C19="",$B$2="",$D$2=0),0,IF(AL$3&lt;0,0,N(INDEX('CURVA PREVISION'!$A$1:$KZ$3000,$C19,10+3*MIN(AL$3,$D$2-1)))))</f>
        <v>100</v>
      </c>
      <c r="AM19" s="131" t="n">
        <f aca="false">IF(OR($C19="",$B$2="",$D$2=0),0,IF(AM$3&lt;0,0,N(INDEX('CURVA PREVISION'!$A$1:$KZ$3000,$C19,10+3*MIN(AM$3,$D$2-1)))))</f>
        <v>100</v>
      </c>
      <c r="AN19" s="131" t="n">
        <f aca="false">IF(OR($C19="",$B$2="",$D$2=0),0,IF(AN$3&lt;0,0,N(INDEX('CURVA PREVISION'!$A$1:$KZ$3000,$C19,10+3*MIN(AN$3,$D$2-1)))))</f>
        <v>100</v>
      </c>
      <c r="AO19" s="131" t="n">
        <f aca="false">IF(OR($C19="",$B$2="",$D$2=0),0,IF(AO$3&lt;0,0,N(INDEX('CURVA PREVISION'!$A$1:$KZ$3000,$C19,10+3*MIN(AO$3,$D$2-1)))))</f>
        <v>100</v>
      </c>
      <c r="AP19" s="131" t="n">
        <f aca="false">IF(OR($C19="",$B$2="",$D$2=0),0,IF(AP$3&lt;0,0,N(INDEX('CURVA PREVISION'!$A$1:$KZ$3000,$C19,10+3*MIN(AP$3,$D$2-1)))))</f>
        <v>100</v>
      </c>
      <c r="AQ19" s="131" t="n">
        <f aca="false">IF(OR($C19="",$B$2="",$D$2=0),0,IF(AQ$3&lt;0,0,N(INDEX('CURVA PREVISION'!$A$1:$KZ$3000,$C19,10+3*MIN(AQ$3,$D$2-1)))))</f>
        <v>100</v>
      </c>
      <c r="AR19" s="131" t="n">
        <f aca="false">IF(OR($C19="",$B$2="",$D$2=0),0,IF(AR$3&lt;0,0,N(INDEX('CURVA PREVISION'!$A$1:$KZ$3000,$C19,10+3*MIN(AR$3,$D$2-1)))))</f>
        <v>100</v>
      </c>
      <c r="AS19" s="131" t="n">
        <f aca="false">IF(OR($C19="",$B$2="",$D$2=0),0,IF(AS$3&lt;0,0,N(INDEX('CURVA PREVISION'!$A$1:$KZ$3000,$C19,10+3*MIN(AS$3,$D$2-1)))))</f>
        <v>100</v>
      </c>
      <c r="AT19" s="131" t="n">
        <f aca="false">IF(OR($C19="",$B$2="",$D$2=0),0,IF(AT$3&lt;0,0,N(INDEX('CURVA PREVISION'!$A$1:$KZ$3000,$C19,10+3*MIN(AT$3,$D$2-1)))))</f>
        <v>100</v>
      </c>
      <c r="AU19" s="131" t="n">
        <f aca="false">IF(OR($C19="",$B$2="",$D$2=0),0,IF(AU$3&lt;0,0,N(INDEX('CURVA PREVISION'!$A$1:$KZ$3000,$C19,10+3*MIN(AU$3,$D$2-1)))))</f>
        <v>100</v>
      </c>
      <c r="AV19" s="131" t="n">
        <f aca="false">IF(OR($C19="",$B$2="",$D$2=0),0,IF(AV$3&lt;0,0,N(INDEX('CURVA PREVISION'!$A$1:$KZ$3000,$C19,10+3*MIN(AV$3,$D$2-1)))))</f>
        <v>100</v>
      </c>
      <c r="AW19" s="131" t="n">
        <f aca="false">IF(OR($C19="",$B$2="",$D$2=0),0,IF(AW$3&lt;0,0,N(INDEX('CURVA PREVISION'!$A$1:$KZ$3000,$C19,10+3*MIN(AW$3,$D$2-1)))))</f>
        <v>100</v>
      </c>
      <c r="AX19" s="131" t="n">
        <f aca="false">IF(OR($C19="",$B$2="",$D$2=0),0,IF(AX$3&lt;0,0,N(INDEX('CURVA PREVISION'!$A$1:$KZ$3000,$C19,10+3*MIN(AX$3,$D$2-1)))))</f>
        <v>100</v>
      </c>
      <c r="AY19" s="131" t="n">
        <f aca="false">IF(OR($C19="",$B$2="",$D$2=0),0,IF(AY$3&lt;0,0,N(INDEX('CURVA PREVISION'!$A$1:$KZ$3000,$C19,10+3*MIN(AY$3,$D$2-1)))))</f>
        <v>100</v>
      </c>
      <c r="AZ19" s="131" t="n">
        <f aca="false">IF(OR($C19="",$B$2="",$D$2=0),0,IF(AZ$3&lt;0,0,N(INDEX('CURVA PREVISION'!$A$1:$KZ$3000,$C19,10+3*MIN(AZ$3,$D$2-1)))))</f>
        <v>100</v>
      </c>
      <c r="BA19" s="131" t="n">
        <f aca="false">IF(OR($C19="",$B$2="",$D$2=0),0,IF(BA$3&lt;0,0,N(INDEX('CURVA PREVISION'!$A$1:$KZ$3000,$C19,10+3*MIN(BA$3,$D$2-1)))))</f>
        <v>100</v>
      </c>
      <c r="BB19" s="131" t="n">
        <f aca="false">IF(OR($C19="",$B$2="",$D$2=0),0,IF(BB$3&lt;0,0,N(INDEX('CURVA PREVISION'!$A$1:$KZ$3000,$C19,10+3*MIN(BB$3,$D$2-1)))))</f>
        <v>100</v>
      </c>
      <c r="BC19" s="131" t="n">
        <f aca="false">IF(OR($C19="",$B$2="",$D$2=0),0,IF(BC$3&lt;0,0,N(INDEX('CURVA PREVISION'!$A$1:$KZ$3000,$C19,10+3*MIN(BC$3,$D$2-1)))))</f>
        <v>100</v>
      </c>
      <c r="BD19" s="131" t="n">
        <f aca="false">IF(OR($C19="",$B$2="",$D$2=0),0,IF(BD$3&lt;0,0,N(INDEX('CURVA PREVISION'!$A$1:$KZ$3000,$C19,10+3*MIN(BD$3,$D$2-1)))))</f>
        <v>100</v>
      </c>
      <c r="BE19" s="131" t="n">
        <f aca="false">IF(OR($C19="",$B$2="",$D$2=0),0,IF(BE$3&lt;0,0,N(INDEX('CURVA PREVISION'!$A$1:$KZ$3000,$C19,10+3*MIN(BE$3,$D$2-1)))))</f>
        <v>100</v>
      </c>
      <c r="BF19" s="131" t="n">
        <f aca="false">IF(OR($C19="",$B$2="",$D$2=0),0,IF(BF$3&lt;0,0,N(INDEX('CURVA PREVISION'!$A$1:$KZ$3000,$C19,10+3*MIN(BF$3,$D$2-1)))))</f>
        <v>100</v>
      </c>
      <c r="BG19" s="131" t="n">
        <f aca="false">IF(OR($C19="",$B$2="",$D$2=0),0,IF(BG$3&lt;0,0,N(INDEX('CURVA PREVISION'!$A$1:$KZ$3000,$C19,10+3*MIN(BG$3,$D$2-1)))))</f>
        <v>100</v>
      </c>
      <c r="BH19" s="131" t="n">
        <f aca="false">IF(OR($C19="",$B$2="",$D$2=0),0,IF(BH$3&lt;0,0,N(INDEX('CURVA PREVISION'!$A$1:$KZ$3000,$C19,10+3*MIN(BH$3,$D$2-1)))))</f>
        <v>100</v>
      </c>
      <c r="BI19" s="131" t="n">
        <f aca="false">IF(OR($C19="",$B$2="",$D$2=0),0,IF(BI$3&lt;0,0,N(INDEX('CURVA PREVISION'!$A$1:$KZ$3000,$C19,10+3*MIN(BI$3,$D$2-1)))))</f>
        <v>100</v>
      </c>
      <c r="BJ19" s="131" t="n">
        <f aca="false">IF(OR($C19="",$B$2="",$D$2=0),0,IF(BJ$3&lt;0,0,N(INDEX('CURVA PREVISION'!$A$1:$KZ$3000,$C19,10+3*MIN(BJ$3,$D$2-1)))))</f>
        <v>100</v>
      </c>
      <c r="BK19" s="131" t="n">
        <f aca="false">IF(OR($C19="",$B$2="",$D$2=0),0,IF(BK$3&lt;0,0,N(INDEX('CURVA PREVISION'!$A$1:$KZ$3000,$C19,10+3*MIN(BK$3,$D$2-1)))))</f>
        <v>100</v>
      </c>
      <c r="BL19" s="131" t="n">
        <f aca="false">IF(OR($C19="",$B$2="",$D$2=0),0,IF(BL$3&lt;0,0,N(INDEX('CURVA PREVISION'!$A$1:$KZ$3000,$C19,10+3*MIN(BL$3,$D$2-1)))))</f>
        <v>100</v>
      </c>
      <c r="BM19" s="131" t="n">
        <f aca="false">IF(OR($C19="",$B$2="",$D$2=0),0,IF(BM$3&lt;0,0,N(INDEX('CURVA PREVISION'!$A$1:$KZ$3000,$C19,10+3*MIN(BM$3,$D$2-1)))))</f>
        <v>100</v>
      </c>
      <c r="BN19" s="131" t="n">
        <f aca="false">IF(OR($C19="",$B$2="",$D$2=0),0,IF(BN$3&lt;0,0,N(INDEX('CURVA PREVISION'!$A$1:$KZ$3000,$C19,10+3*MIN(BN$3,$D$2-1)))))</f>
        <v>100</v>
      </c>
      <c r="BO19" s="131" t="n">
        <f aca="false">IF(OR($C19="",$B$2="",$D$2=0),0,IF(BO$3&lt;0,0,N(INDEX('CURVA PREVISION'!$A$1:$KZ$3000,$C19,10+3*MIN(BO$3,$D$2-1)))))</f>
        <v>100</v>
      </c>
      <c r="BP19" s="131" t="n">
        <f aca="false">IF(OR($C19="",$B$2="",$D$2=0),0,IF(BP$3&lt;0,0,N(INDEX('CURVA PREVISION'!$A$1:$KZ$3000,$C19,10+3*MIN(BP$3,$D$2-1)))))</f>
        <v>100</v>
      </c>
      <c r="BQ19" s="131" t="n">
        <f aca="false">IF(OR($C19="",$B$2="",$D$2=0),0,IF(BQ$3&lt;0,0,N(INDEX('CURVA PREVISION'!$A$1:$KZ$3000,$C19,10+3*MIN(BQ$3,$D$2-1)))))</f>
        <v>100</v>
      </c>
      <c r="BR19" s="131" t="n">
        <f aca="false">IF(OR($C19="",$B$2="",$D$2=0),0,IF(BR$3&lt;0,0,N(INDEX('CURVA PREVISION'!$A$1:$KZ$3000,$C19,10+3*MIN(BR$3,$D$2-1)))))</f>
        <v>100</v>
      </c>
      <c r="BS19" s="131" t="n">
        <f aca="false">IF(OR($C19="",$B$2="",$D$2=0),0,IF(BS$3&lt;0,0,N(INDEX('CURVA PREVISION'!$A$1:$KZ$3000,$C19,10+3*MIN(BS$3,$D$2-1)))))</f>
        <v>100</v>
      </c>
      <c r="BT19" s="131" t="n">
        <f aca="false">IF(OR($C19="",$B$2="",$D$2=0),0,IF(BT$3&lt;0,0,N(INDEX('CURVA PREVISION'!$A$1:$KZ$3000,$C19,10+3*MIN(BT$3,$D$2-1)))))</f>
        <v>100</v>
      </c>
      <c r="BU19" s="131" t="n">
        <f aca="false">IF(OR($C19="",$B$2="",$D$2=0),0,IF(BU$3&lt;0,0,N(INDEX('CURVA PREVISION'!$A$1:$KZ$3000,$C19,10+3*MIN(BU$3,$D$2-1)))))</f>
        <v>100</v>
      </c>
      <c r="BV19" s="131" t="n">
        <f aca="false">IF(OR($C19="",$B$2="",$D$2=0),0,IF(BV$3&lt;0,0,N(INDEX('CURVA PREVISION'!$A$1:$KZ$3000,$C19,10+3*MIN(BV$3,$D$2-1)))))</f>
        <v>100</v>
      </c>
      <c r="BW19" s="131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317</v>
      </c>
      <c r="D20" s="131" t="n">
        <f aca="false">IF(OR($C20="",$B$2="",$D$2=0),0,IF(D$3&lt;0,0,N(INDEX('CURVA PREVISION'!$A$1:$KZ$3000,$C20,10+3*MIN(D$3,$D$2-1)))))</f>
        <v>0</v>
      </c>
      <c r="E20" s="131" t="n">
        <f aca="false">IF(OR($C20="",$B$2="",$D$2=0),0,IF(E$3&lt;0,0,N(INDEX('CURVA PREVISION'!$A$1:$KZ$3000,$C20,10+3*MIN(E$3,$D$2-1)))))</f>
        <v>0</v>
      </c>
      <c r="F20" s="131" t="n">
        <f aca="false">IF(OR($C20="",$B$2="",$D$2=0),0,IF(F$3&lt;0,0,N(INDEX('CURVA PREVISION'!$A$1:$KZ$3000,$C20,10+3*MIN(F$3,$D$2-1)))))</f>
        <v>0</v>
      </c>
      <c r="G20" s="131" t="n">
        <f aca="false">IF(OR($C20="",$B$2="",$D$2=0),0,IF(G$3&lt;0,0,N(INDEX('CURVA PREVISION'!$A$1:$KZ$3000,$C20,10+3*MIN(G$3,$D$2-1)))))</f>
        <v>0</v>
      </c>
      <c r="H20" s="131" t="n">
        <f aca="false">IF(OR($C20="",$B$2="",$D$2=0),0,IF(H$3&lt;0,0,N(INDEX('CURVA PREVISION'!$A$1:$KZ$3000,$C20,10+3*MIN(H$3,$D$2-1)))))</f>
        <v>0</v>
      </c>
      <c r="I20" s="131" t="n">
        <f aca="false">IF(OR($C20="",$B$2="",$D$2=0),0,IF(I$3&lt;0,0,N(INDEX('CURVA PREVISION'!$A$1:$KZ$3000,$C20,10+3*MIN(I$3,$D$2-1)))))</f>
        <v>0</v>
      </c>
      <c r="J20" s="131" t="n">
        <f aca="false">IF(OR($C20="",$B$2="",$D$2=0),0,IF(J$3&lt;0,0,N(INDEX('CURVA PREVISION'!$A$1:$KZ$3000,$C20,10+3*MIN(J$3,$D$2-1)))))</f>
        <v>0</v>
      </c>
      <c r="K20" s="131" t="n">
        <f aca="false">IF(OR($C20="",$B$2="",$D$2=0),0,IF(K$3&lt;0,0,N(INDEX('CURVA PREVISION'!$A$1:$KZ$3000,$C20,10+3*MIN(K$3,$D$2-1)))))</f>
        <v>0</v>
      </c>
      <c r="L20" s="131" t="n">
        <f aca="false">IF(OR($C20="",$B$2="",$D$2=0),0,IF(L$3&lt;0,0,N(INDEX('CURVA PREVISION'!$A$1:$KZ$3000,$C20,10+3*MIN(L$3,$D$2-1)))))</f>
        <v>0</v>
      </c>
      <c r="M20" s="131" t="n">
        <f aca="false">IF(OR($C20="",$B$2="",$D$2=0),0,IF(M$3&lt;0,0,N(INDEX('CURVA PREVISION'!$A$1:$KZ$3000,$C20,10+3*MIN(M$3,$D$2-1)))))</f>
        <v>0</v>
      </c>
      <c r="N20" s="131" t="n">
        <f aca="false">IF(OR($C20="",$B$2="",$D$2=0),0,IF(N$3&lt;0,0,N(INDEX('CURVA PREVISION'!$A$1:$KZ$3000,$C20,10+3*MIN(N$3,$D$2-1)))))</f>
        <v>0</v>
      </c>
      <c r="O20" s="131" t="n">
        <f aca="false">IF(OR($C20="",$B$2="",$D$2=0),0,IF(O$3&lt;0,0,N(INDEX('CURVA PREVISION'!$A$1:$KZ$3000,$C20,10+3*MIN(O$3,$D$2-1)))))</f>
        <v>0</v>
      </c>
      <c r="P20" s="131" t="n">
        <f aca="false">IF(OR($C20="",$B$2="",$D$2=0),0,IF(P$3&lt;0,0,N(INDEX('CURVA PREVISION'!$A$1:$KZ$3000,$C20,10+3*MIN(P$3,$D$2-1)))))</f>
        <v>0</v>
      </c>
      <c r="Q20" s="131" t="n">
        <f aca="false">IF(OR($C20="",$B$2="",$D$2=0),0,IF(Q$3&lt;0,0,N(INDEX('CURVA PREVISION'!$A$1:$KZ$3000,$C20,10+3*MIN(Q$3,$D$2-1)))))</f>
        <v>0</v>
      </c>
      <c r="R20" s="131" t="n">
        <f aca="false">IF(OR($C20="",$B$2="",$D$2=0),0,IF(R$3&lt;0,0,N(INDEX('CURVA PREVISION'!$A$1:$KZ$3000,$C20,10+3*MIN(R$3,$D$2-1)))))</f>
        <v>0</v>
      </c>
      <c r="S20" s="131" t="n">
        <f aca="false">IF(OR($C20="",$B$2="",$D$2=0),0,IF(S$3&lt;0,0,N(INDEX('CURVA PREVISION'!$A$1:$KZ$3000,$C20,10+3*MIN(S$3,$D$2-1)))))</f>
        <v>0</v>
      </c>
      <c r="T20" s="131" t="n">
        <f aca="false">IF(OR($C20="",$B$2="",$D$2=0),0,IF(T$3&lt;0,0,N(INDEX('CURVA PREVISION'!$A$1:$KZ$3000,$C20,10+3*MIN(T$3,$D$2-1)))))</f>
        <v>12.28</v>
      </c>
      <c r="U20" s="131" t="n">
        <f aca="false">IF(OR($C20="",$B$2="",$D$2=0),0,IF(U$3&lt;0,0,N(INDEX('CURVA PREVISION'!$A$1:$KZ$3000,$C20,10+3*MIN(U$3,$D$2-1)))))</f>
        <v>31.16</v>
      </c>
      <c r="V20" s="131" t="n">
        <f aca="false">IF(OR($C20="",$B$2="",$D$2=0),0,IF(V$3&lt;0,0,N(INDEX('CURVA PREVISION'!$A$1:$KZ$3000,$C20,10+3*MIN(V$3,$D$2-1)))))</f>
        <v>50.99</v>
      </c>
      <c r="W20" s="131" t="n">
        <f aca="false">IF(OR($C20="",$B$2="",$D$2=0),0,IF(W$3&lt;0,0,N(INDEX('CURVA PREVISION'!$A$1:$KZ$3000,$C20,10+3*MIN(W$3,$D$2-1)))))</f>
        <v>72.71</v>
      </c>
      <c r="X20" s="131" t="n">
        <f aca="false">IF(OR($C20="",$B$2="",$D$2=0),0,IF(X$3&lt;0,0,N(INDEX('CURVA PREVISION'!$A$1:$KZ$3000,$C20,10+3*MIN(X$3,$D$2-1)))))</f>
        <v>77.44</v>
      </c>
      <c r="Y20" s="131" t="n">
        <f aca="false">IF(OR($C20="",$B$2="",$D$2=0),0,IF(Y$3&lt;0,0,N(INDEX('CURVA PREVISION'!$A$1:$KZ$3000,$C20,10+3*MIN(Y$3,$D$2-1)))))</f>
        <v>77.44</v>
      </c>
      <c r="Z20" s="131" t="n">
        <f aca="false">IF(OR($C20="",$B$2="",$D$2=0),0,IF(Z$3&lt;0,0,N(INDEX('CURVA PREVISION'!$A$1:$KZ$3000,$C20,10+3*MIN(Z$3,$D$2-1)))))</f>
        <v>77.44</v>
      </c>
      <c r="AA20" s="131" t="n">
        <f aca="false">IF(OR($C20="",$B$2="",$D$2=0),0,IF(AA$3&lt;0,0,N(INDEX('CURVA PREVISION'!$A$1:$KZ$3000,$C20,10+3*MIN(AA$3,$D$2-1)))))</f>
        <v>77.44</v>
      </c>
      <c r="AB20" s="131" t="n">
        <f aca="false">IF(OR($C20="",$B$2="",$D$2=0),0,IF(AB$3&lt;0,0,N(INDEX('CURVA PREVISION'!$A$1:$KZ$3000,$C20,10+3*MIN(AB$3,$D$2-1)))))</f>
        <v>77.44</v>
      </c>
      <c r="AC20" s="131" t="n">
        <f aca="false">IF(OR($C20="",$B$2="",$D$2=0),0,IF(AC$3&lt;0,0,N(INDEX('CURVA PREVISION'!$A$1:$KZ$3000,$C20,10+3*MIN(AC$3,$D$2-1)))))</f>
        <v>77.44</v>
      </c>
      <c r="AD20" s="131" t="n">
        <f aca="false">IF(OR($C20="",$B$2="",$D$2=0),0,IF(AD$3&lt;0,0,N(INDEX('CURVA PREVISION'!$A$1:$KZ$3000,$C20,10+3*MIN(AD$3,$D$2-1)))))</f>
        <v>86.22</v>
      </c>
      <c r="AE20" s="131" t="n">
        <f aca="false">IF(OR($C20="",$B$2="",$D$2=0),0,IF(AE$3&lt;0,0,N(INDEX('CURVA PREVISION'!$A$1:$KZ$3000,$C20,10+3*MIN(AE$3,$D$2-1)))))</f>
        <v>91.37</v>
      </c>
      <c r="AF20" s="131" t="n">
        <f aca="false">IF(OR($C20="",$B$2="",$D$2=0),0,IF(AF$3&lt;0,0,N(INDEX('CURVA PREVISION'!$A$1:$KZ$3000,$C20,10+3*MIN(AF$3,$D$2-1)))))</f>
        <v>93.84</v>
      </c>
      <c r="AG20" s="131" t="n">
        <f aca="false">IF(OR($C20="",$B$2="",$D$2=0),0,IF(AG$3&lt;0,0,N(INDEX('CURVA PREVISION'!$A$1:$KZ$3000,$C20,10+3*MIN(AG$3,$D$2-1)))))</f>
        <v>93.84</v>
      </c>
      <c r="AH20" s="131" t="n">
        <f aca="false">IF(OR($C20="",$B$2="",$D$2=0),0,IF(AH$3&lt;0,0,N(INDEX('CURVA PREVISION'!$A$1:$KZ$3000,$C20,10+3*MIN(AH$3,$D$2-1)))))</f>
        <v>93.84</v>
      </c>
      <c r="AI20" s="131" t="n">
        <f aca="false">IF(OR($C20="",$B$2="",$D$2=0),0,IF(AI$3&lt;0,0,N(INDEX('CURVA PREVISION'!$A$1:$KZ$3000,$C20,10+3*MIN(AI$3,$D$2-1)))))</f>
        <v>93.84</v>
      </c>
      <c r="AJ20" s="131" t="n">
        <f aca="false">IF(OR($C20="",$B$2="",$D$2=0),0,IF(AJ$3&lt;0,0,N(INDEX('CURVA PREVISION'!$A$1:$KZ$3000,$C20,10+3*MIN(AJ$3,$D$2-1)))))</f>
        <v>93.84</v>
      </c>
      <c r="AK20" s="131" t="n">
        <f aca="false">IF(OR($C20="",$B$2="",$D$2=0),0,IF(AK$3&lt;0,0,N(INDEX('CURVA PREVISION'!$A$1:$KZ$3000,$C20,10+3*MIN(AK$3,$D$2-1)))))</f>
        <v>93.84</v>
      </c>
      <c r="AL20" s="131" t="n">
        <f aca="false">IF(OR($C20="",$B$2="",$D$2=0),0,IF(AL$3&lt;0,0,N(INDEX('CURVA PREVISION'!$A$1:$KZ$3000,$C20,10+3*MIN(AL$3,$D$2-1)))))</f>
        <v>95.52</v>
      </c>
      <c r="AM20" s="131" t="n">
        <f aca="false">IF(OR($C20="",$B$2="",$D$2=0),0,IF(AM$3&lt;0,0,N(INDEX('CURVA PREVISION'!$A$1:$KZ$3000,$C20,10+3*MIN(AM$3,$D$2-1)))))</f>
        <v>99.25</v>
      </c>
      <c r="AN20" s="131" t="n">
        <f aca="false">IF(OR($C20="",$B$2="",$D$2=0),0,IF(AN$3&lt;0,0,N(INDEX('CURVA PREVISION'!$A$1:$KZ$3000,$C20,10+3*MIN(AN$3,$D$2-1)))))</f>
        <v>100</v>
      </c>
      <c r="AO20" s="131" t="n">
        <f aca="false">IF(OR($C20="",$B$2="",$D$2=0),0,IF(AO$3&lt;0,0,N(INDEX('CURVA PREVISION'!$A$1:$KZ$3000,$C20,10+3*MIN(AO$3,$D$2-1)))))</f>
        <v>100</v>
      </c>
      <c r="AP20" s="131" t="n">
        <f aca="false">IF(OR($C20="",$B$2="",$D$2=0),0,IF(AP$3&lt;0,0,N(INDEX('CURVA PREVISION'!$A$1:$KZ$3000,$C20,10+3*MIN(AP$3,$D$2-1)))))</f>
        <v>100</v>
      </c>
      <c r="AQ20" s="131" t="n">
        <f aca="false">IF(OR($C20="",$B$2="",$D$2=0),0,IF(AQ$3&lt;0,0,N(INDEX('CURVA PREVISION'!$A$1:$KZ$3000,$C20,10+3*MIN(AQ$3,$D$2-1)))))</f>
        <v>100</v>
      </c>
      <c r="AR20" s="131" t="n">
        <f aca="false">IF(OR($C20="",$B$2="",$D$2=0),0,IF(AR$3&lt;0,0,N(INDEX('CURVA PREVISION'!$A$1:$KZ$3000,$C20,10+3*MIN(AR$3,$D$2-1)))))</f>
        <v>100</v>
      </c>
      <c r="AS20" s="131" t="n">
        <f aca="false">IF(OR($C20="",$B$2="",$D$2=0),0,IF(AS$3&lt;0,0,N(INDEX('CURVA PREVISION'!$A$1:$KZ$3000,$C20,10+3*MIN(AS$3,$D$2-1)))))</f>
        <v>100</v>
      </c>
      <c r="AT20" s="131" t="n">
        <f aca="false">IF(OR($C20="",$B$2="",$D$2=0),0,IF(AT$3&lt;0,0,N(INDEX('CURVA PREVISION'!$A$1:$KZ$3000,$C20,10+3*MIN(AT$3,$D$2-1)))))</f>
        <v>100</v>
      </c>
      <c r="AU20" s="131" t="n">
        <f aca="false">IF(OR($C20="",$B$2="",$D$2=0),0,IF(AU$3&lt;0,0,N(INDEX('CURVA PREVISION'!$A$1:$KZ$3000,$C20,10+3*MIN(AU$3,$D$2-1)))))</f>
        <v>100</v>
      </c>
      <c r="AV20" s="131" t="n">
        <f aca="false">IF(OR($C20="",$B$2="",$D$2=0),0,IF(AV$3&lt;0,0,N(INDEX('CURVA PREVISION'!$A$1:$KZ$3000,$C20,10+3*MIN(AV$3,$D$2-1)))))</f>
        <v>100</v>
      </c>
      <c r="AW20" s="131" t="n">
        <f aca="false">IF(OR($C20="",$B$2="",$D$2=0),0,IF(AW$3&lt;0,0,N(INDEX('CURVA PREVISION'!$A$1:$KZ$3000,$C20,10+3*MIN(AW$3,$D$2-1)))))</f>
        <v>100</v>
      </c>
      <c r="AX20" s="131" t="n">
        <f aca="false">IF(OR($C20="",$B$2="",$D$2=0),0,IF(AX$3&lt;0,0,N(INDEX('CURVA PREVISION'!$A$1:$KZ$3000,$C20,10+3*MIN(AX$3,$D$2-1)))))</f>
        <v>100</v>
      </c>
      <c r="AY20" s="131" t="n">
        <f aca="false">IF(OR($C20="",$B$2="",$D$2=0),0,IF(AY$3&lt;0,0,N(INDEX('CURVA PREVISION'!$A$1:$KZ$3000,$C20,10+3*MIN(AY$3,$D$2-1)))))</f>
        <v>100</v>
      </c>
      <c r="AZ20" s="131" t="n">
        <f aca="false">IF(OR($C20="",$B$2="",$D$2=0),0,IF(AZ$3&lt;0,0,N(INDEX('CURVA PREVISION'!$A$1:$KZ$3000,$C20,10+3*MIN(AZ$3,$D$2-1)))))</f>
        <v>100</v>
      </c>
      <c r="BA20" s="131" t="n">
        <f aca="false">IF(OR($C20="",$B$2="",$D$2=0),0,IF(BA$3&lt;0,0,N(INDEX('CURVA PREVISION'!$A$1:$KZ$3000,$C20,10+3*MIN(BA$3,$D$2-1)))))</f>
        <v>100</v>
      </c>
      <c r="BB20" s="131" t="n">
        <f aca="false">IF(OR($C20="",$B$2="",$D$2=0),0,IF(BB$3&lt;0,0,N(INDEX('CURVA PREVISION'!$A$1:$KZ$3000,$C20,10+3*MIN(BB$3,$D$2-1)))))</f>
        <v>100</v>
      </c>
      <c r="BC20" s="131" t="n">
        <f aca="false">IF(OR($C20="",$B$2="",$D$2=0),0,IF(BC$3&lt;0,0,N(INDEX('CURVA PREVISION'!$A$1:$KZ$3000,$C20,10+3*MIN(BC$3,$D$2-1)))))</f>
        <v>100</v>
      </c>
      <c r="BD20" s="131" t="n">
        <f aca="false">IF(OR($C20="",$B$2="",$D$2=0),0,IF(BD$3&lt;0,0,N(INDEX('CURVA PREVISION'!$A$1:$KZ$3000,$C20,10+3*MIN(BD$3,$D$2-1)))))</f>
        <v>100</v>
      </c>
      <c r="BE20" s="131" t="n">
        <f aca="false">IF(OR($C20="",$B$2="",$D$2=0),0,IF(BE$3&lt;0,0,N(INDEX('CURVA PREVISION'!$A$1:$KZ$3000,$C20,10+3*MIN(BE$3,$D$2-1)))))</f>
        <v>100</v>
      </c>
      <c r="BF20" s="131" t="n">
        <f aca="false">IF(OR($C20="",$B$2="",$D$2=0),0,IF(BF$3&lt;0,0,N(INDEX('CURVA PREVISION'!$A$1:$KZ$3000,$C20,10+3*MIN(BF$3,$D$2-1)))))</f>
        <v>100</v>
      </c>
      <c r="BG20" s="131" t="n">
        <f aca="false">IF(OR($C20="",$B$2="",$D$2=0),0,IF(BG$3&lt;0,0,N(INDEX('CURVA PREVISION'!$A$1:$KZ$3000,$C20,10+3*MIN(BG$3,$D$2-1)))))</f>
        <v>100</v>
      </c>
      <c r="BH20" s="131" t="n">
        <f aca="false">IF(OR($C20="",$B$2="",$D$2=0),0,IF(BH$3&lt;0,0,N(INDEX('CURVA PREVISION'!$A$1:$KZ$3000,$C20,10+3*MIN(BH$3,$D$2-1)))))</f>
        <v>100</v>
      </c>
      <c r="BI20" s="131" t="n">
        <f aca="false">IF(OR($C20="",$B$2="",$D$2=0),0,IF(BI$3&lt;0,0,N(INDEX('CURVA PREVISION'!$A$1:$KZ$3000,$C20,10+3*MIN(BI$3,$D$2-1)))))</f>
        <v>100</v>
      </c>
      <c r="BJ20" s="131" t="n">
        <f aca="false">IF(OR($C20="",$B$2="",$D$2=0),0,IF(BJ$3&lt;0,0,N(INDEX('CURVA PREVISION'!$A$1:$KZ$3000,$C20,10+3*MIN(BJ$3,$D$2-1)))))</f>
        <v>100</v>
      </c>
      <c r="BK20" s="131" t="n">
        <f aca="false">IF(OR($C20="",$B$2="",$D$2=0),0,IF(BK$3&lt;0,0,N(INDEX('CURVA PREVISION'!$A$1:$KZ$3000,$C20,10+3*MIN(BK$3,$D$2-1)))))</f>
        <v>100</v>
      </c>
      <c r="BL20" s="131" t="n">
        <f aca="false">IF(OR($C20="",$B$2="",$D$2=0),0,IF(BL$3&lt;0,0,N(INDEX('CURVA PREVISION'!$A$1:$KZ$3000,$C20,10+3*MIN(BL$3,$D$2-1)))))</f>
        <v>100</v>
      </c>
      <c r="BM20" s="131" t="n">
        <f aca="false">IF(OR($C20="",$B$2="",$D$2=0),0,IF(BM$3&lt;0,0,N(INDEX('CURVA PREVISION'!$A$1:$KZ$3000,$C20,10+3*MIN(BM$3,$D$2-1)))))</f>
        <v>100</v>
      </c>
      <c r="BN20" s="131" t="n">
        <f aca="false">IF(OR($C20="",$B$2="",$D$2=0),0,IF(BN$3&lt;0,0,N(INDEX('CURVA PREVISION'!$A$1:$KZ$3000,$C20,10+3*MIN(BN$3,$D$2-1)))))</f>
        <v>100</v>
      </c>
      <c r="BO20" s="131" t="n">
        <f aca="false">IF(OR($C20="",$B$2="",$D$2=0),0,IF(BO$3&lt;0,0,N(INDEX('CURVA PREVISION'!$A$1:$KZ$3000,$C20,10+3*MIN(BO$3,$D$2-1)))))</f>
        <v>100</v>
      </c>
      <c r="BP20" s="131" t="n">
        <f aca="false">IF(OR($C20="",$B$2="",$D$2=0),0,IF(BP$3&lt;0,0,N(INDEX('CURVA PREVISION'!$A$1:$KZ$3000,$C20,10+3*MIN(BP$3,$D$2-1)))))</f>
        <v>100</v>
      </c>
      <c r="BQ20" s="131" t="n">
        <f aca="false">IF(OR($C20="",$B$2="",$D$2=0),0,IF(BQ$3&lt;0,0,N(INDEX('CURVA PREVISION'!$A$1:$KZ$3000,$C20,10+3*MIN(BQ$3,$D$2-1)))))</f>
        <v>100</v>
      </c>
      <c r="BR20" s="131" t="n">
        <f aca="false">IF(OR($C20="",$B$2="",$D$2=0),0,IF(BR$3&lt;0,0,N(INDEX('CURVA PREVISION'!$A$1:$KZ$3000,$C20,10+3*MIN(BR$3,$D$2-1)))))</f>
        <v>100</v>
      </c>
      <c r="BS20" s="131" t="n">
        <f aca="false">IF(OR($C20="",$B$2="",$D$2=0),0,IF(BS$3&lt;0,0,N(INDEX('CURVA PREVISION'!$A$1:$KZ$3000,$C20,10+3*MIN(BS$3,$D$2-1)))))</f>
        <v>100</v>
      </c>
      <c r="BT20" s="131" t="n">
        <f aca="false">IF(OR($C20="",$B$2="",$D$2=0),0,IF(BT$3&lt;0,0,N(INDEX('CURVA PREVISION'!$A$1:$KZ$3000,$C20,10+3*MIN(BT$3,$D$2-1)))))</f>
        <v>100</v>
      </c>
      <c r="BU20" s="131" t="n">
        <f aca="false">IF(OR($C20="",$B$2="",$D$2=0),0,IF(BU$3&lt;0,0,N(INDEX('CURVA PREVISION'!$A$1:$KZ$3000,$C20,10+3*MIN(BU$3,$D$2-1)))))</f>
        <v>100</v>
      </c>
      <c r="BV20" s="131" t="n">
        <f aca="false">IF(OR($C20="",$B$2="",$D$2=0),0,IF(BV$3&lt;0,0,N(INDEX('CURVA PREVISION'!$A$1:$KZ$3000,$C20,10+3*MIN(BV$3,$D$2-1)))))</f>
        <v>100</v>
      </c>
      <c r="BW20" s="131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339</v>
      </c>
      <c r="D21" s="131" t="n">
        <f aca="false">IF(OR($C21="",$B$2="",$D$2=0),0,IF(D$3&lt;0,0,N(INDEX('CURVA PREVISION'!$A$1:$KZ$3000,$C21,10+3*MIN(D$3,$D$2-1)))))</f>
        <v>0</v>
      </c>
      <c r="E21" s="131" t="n">
        <f aca="false">IF(OR($C21="",$B$2="",$D$2=0),0,IF(E$3&lt;0,0,N(INDEX('CURVA PREVISION'!$A$1:$KZ$3000,$C21,10+3*MIN(E$3,$D$2-1)))))</f>
        <v>0</v>
      </c>
      <c r="F21" s="131" t="n">
        <f aca="false">IF(OR($C21="",$B$2="",$D$2=0),0,IF(F$3&lt;0,0,N(INDEX('CURVA PREVISION'!$A$1:$KZ$3000,$C21,10+3*MIN(F$3,$D$2-1)))))</f>
        <v>0</v>
      </c>
      <c r="G21" s="131" t="n">
        <f aca="false">IF(OR($C21="",$B$2="",$D$2=0),0,IF(G$3&lt;0,0,N(INDEX('CURVA PREVISION'!$A$1:$KZ$3000,$C21,10+3*MIN(G$3,$D$2-1)))))</f>
        <v>0</v>
      </c>
      <c r="H21" s="131" t="n">
        <f aca="false">IF(OR($C21="",$B$2="",$D$2=0),0,IF(H$3&lt;0,0,N(INDEX('CURVA PREVISION'!$A$1:$KZ$3000,$C21,10+3*MIN(H$3,$D$2-1)))))</f>
        <v>0</v>
      </c>
      <c r="I21" s="131" t="n">
        <f aca="false">IF(OR($C21="",$B$2="",$D$2=0),0,IF(I$3&lt;0,0,N(INDEX('CURVA PREVISION'!$A$1:$KZ$3000,$C21,10+3*MIN(I$3,$D$2-1)))))</f>
        <v>0</v>
      </c>
      <c r="J21" s="131" t="n">
        <f aca="false">IF(OR($C21="",$B$2="",$D$2=0),0,IF(J$3&lt;0,0,N(INDEX('CURVA PREVISION'!$A$1:$KZ$3000,$C21,10+3*MIN(J$3,$D$2-1)))))</f>
        <v>0</v>
      </c>
      <c r="K21" s="131" t="n">
        <f aca="false">IF(OR($C21="",$B$2="",$D$2=0),0,IF(K$3&lt;0,0,N(INDEX('CURVA PREVISION'!$A$1:$KZ$3000,$C21,10+3*MIN(K$3,$D$2-1)))))</f>
        <v>0</v>
      </c>
      <c r="L21" s="131" t="n">
        <f aca="false">IF(OR($C21="",$B$2="",$D$2=0),0,IF(L$3&lt;0,0,N(INDEX('CURVA PREVISION'!$A$1:$KZ$3000,$C21,10+3*MIN(L$3,$D$2-1)))))</f>
        <v>0</v>
      </c>
      <c r="M21" s="131" t="n">
        <f aca="false">IF(OR($C21="",$B$2="",$D$2=0),0,IF(M$3&lt;0,0,N(INDEX('CURVA PREVISION'!$A$1:$KZ$3000,$C21,10+3*MIN(M$3,$D$2-1)))))</f>
        <v>0</v>
      </c>
      <c r="N21" s="131" t="n">
        <f aca="false">IF(OR($C21="",$B$2="",$D$2=0),0,IF(N$3&lt;0,0,N(INDEX('CURVA PREVISION'!$A$1:$KZ$3000,$C21,10+3*MIN(N$3,$D$2-1)))))</f>
        <v>0</v>
      </c>
      <c r="O21" s="131" t="n">
        <f aca="false">IF(OR($C21="",$B$2="",$D$2=0),0,IF(O$3&lt;0,0,N(INDEX('CURVA PREVISION'!$A$1:$KZ$3000,$C21,10+3*MIN(O$3,$D$2-1)))))</f>
        <v>0</v>
      </c>
      <c r="P21" s="131" t="n">
        <f aca="false">IF(OR($C21="",$B$2="",$D$2=0),0,IF(P$3&lt;0,0,N(INDEX('CURVA PREVISION'!$A$1:$KZ$3000,$C21,10+3*MIN(P$3,$D$2-1)))))</f>
        <v>0</v>
      </c>
      <c r="Q21" s="131" t="n">
        <f aca="false">IF(OR($C21="",$B$2="",$D$2=0),0,IF(Q$3&lt;0,0,N(INDEX('CURVA PREVISION'!$A$1:$KZ$3000,$C21,10+3*MIN(Q$3,$D$2-1)))))</f>
        <v>0</v>
      </c>
      <c r="R21" s="131" t="n">
        <f aca="false">IF(OR($C21="",$B$2="",$D$2=0),0,IF(R$3&lt;0,0,N(INDEX('CURVA PREVISION'!$A$1:$KZ$3000,$C21,10+3*MIN(R$3,$D$2-1)))))</f>
        <v>0</v>
      </c>
      <c r="S21" s="131" t="n">
        <f aca="false">IF(OR($C21="",$B$2="",$D$2=0),0,IF(S$3&lt;0,0,N(INDEX('CURVA PREVISION'!$A$1:$KZ$3000,$C21,10+3*MIN(S$3,$D$2-1)))))</f>
        <v>0</v>
      </c>
      <c r="T21" s="131" t="n">
        <f aca="false">IF(OR($C21="",$B$2="",$D$2=0),0,IF(T$3&lt;0,0,N(INDEX('CURVA PREVISION'!$A$1:$KZ$3000,$C21,10+3*MIN(T$3,$D$2-1)))))</f>
        <v>0</v>
      </c>
      <c r="U21" s="131" t="n">
        <f aca="false">IF(OR($C21="",$B$2="",$D$2=0),0,IF(U$3&lt;0,0,N(INDEX('CURVA PREVISION'!$A$1:$KZ$3000,$C21,10+3*MIN(U$3,$D$2-1)))))</f>
        <v>0</v>
      </c>
      <c r="V21" s="131" t="n">
        <f aca="false">IF(OR($C21="",$B$2="",$D$2=0),0,IF(V$3&lt;0,0,N(INDEX('CURVA PREVISION'!$A$1:$KZ$3000,$C21,10+3*MIN(V$3,$D$2-1)))))</f>
        <v>0.81</v>
      </c>
      <c r="W21" s="131" t="n">
        <f aca="false">IF(OR($C21="",$B$2="",$D$2=0),0,IF(W$3&lt;0,0,N(INDEX('CURVA PREVISION'!$A$1:$KZ$3000,$C21,10+3*MIN(W$3,$D$2-1)))))</f>
        <v>2.36</v>
      </c>
      <c r="X21" s="131" t="n">
        <f aca="false">IF(OR($C21="",$B$2="",$D$2=0),0,IF(X$3&lt;0,0,N(INDEX('CURVA PREVISION'!$A$1:$KZ$3000,$C21,10+3*MIN(X$3,$D$2-1)))))</f>
        <v>9.75</v>
      </c>
      <c r="Y21" s="131" t="n">
        <f aca="false">IF(OR($C21="",$B$2="",$D$2=0),0,IF(Y$3&lt;0,0,N(INDEX('CURVA PREVISION'!$A$1:$KZ$3000,$C21,10+3*MIN(Y$3,$D$2-1)))))</f>
        <v>14.82</v>
      </c>
      <c r="Z21" s="131" t="n">
        <f aca="false">IF(OR($C21="",$B$2="",$D$2=0),0,IF(Z$3&lt;0,0,N(INDEX('CURVA PREVISION'!$A$1:$KZ$3000,$C21,10+3*MIN(Z$3,$D$2-1)))))</f>
        <v>20.19</v>
      </c>
      <c r="AA21" s="131" t="n">
        <f aca="false">IF(OR($C21="",$B$2="",$D$2=0),0,IF(AA$3&lt;0,0,N(INDEX('CURVA PREVISION'!$A$1:$KZ$3000,$C21,10+3*MIN(AA$3,$D$2-1)))))</f>
        <v>25.29</v>
      </c>
      <c r="AB21" s="131" t="n">
        <f aca="false">IF(OR($C21="",$B$2="",$D$2=0),0,IF(AB$3&lt;0,0,N(INDEX('CURVA PREVISION'!$A$1:$KZ$3000,$C21,10+3*MIN(AB$3,$D$2-1)))))</f>
        <v>29.8</v>
      </c>
      <c r="AC21" s="131" t="n">
        <f aca="false">IF(OR($C21="",$B$2="",$D$2=0),0,IF(AC$3&lt;0,0,N(INDEX('CURVA PREVISION'!$A$1:$KZ$3000,$C21,10+3*MIN(AC$3,$D$2-1)))))</f>
        <v>36.05</v>
      </c>
      <c r="AD21" s="131" t="n">
        <f aca="false">IF(OR($C21="",$B$2="",$D$2=0),0,IF(AD$3&lt;0,0,N(INDEX('CURVA PREVISION'!$A$1:$KZ$3000,$C21,10+3*MIN(AD$3,$D$2-1)))))</f>
        <v>40.96</v>
      </c>
      <c r="AE21" s="131" t="n">
        <f aca="false">IF(OR($C21="",$B$2="",$D$2=0),0,IF(AE$3&lt;0,0,N(INDEX('CURVA PREVISION'!$A$1:$KZ$3000,$C21,10+3*MIN(AE$3,$D$2-1)))))</f>
        <v>46.13</v>
      </c>
      <c r="AF21" s="131" t="n">
        <f aca="false">IF(OR($C21="",$B$2="",$D$2=0),0,IF(AF$3&lt;0,0,N(INDEX('CURVA PREVISION'!$A$1:$KZ$3000,$C21,10+3*MIN(AF$3,$D$2-1)))))</f>
        <v>52.15</v>
      </c>
      <c r="AG21" s="131" t="n">
        <f aca="false">IF(OR($C21="",$B$2="",$D$2=0),0,IF(AG$3&lt;0,0,N(INDEX('CURVA PREVISION'!$A$1:$KZ$3000,$C21,10+3*MIN(AG$3,$D$2-1)))))</f>
        <v>58.09</v>
      </c>
      <c r="AH21" s="131" t="n">
        <f aca="false">IF(OR($C21="",$B$2="",$D$2=0),0,IF(AH$3&lt;0,0,N(INDEX('CURVA PREVISION'!$A$1:$KZ$3000,$C21,10+3*MIN(AH$3,$D$2-1)))))</f>
        <v>64.66</v>
      </c>
      <c r="AI21" s="131" t="n">
        <f aca="false">IF(OR($C21="",$B$2="",$D$2=0),0,IF(AI$3&lt;0,0,N(INDEX('CURVA PREVISION'!$A$1:$KZ$3000,$C21,10+3*MIN(AI$3,$D$2-1)))))</f>
        <v>70.45</v>
      </c>
      <c r="AJ21" s="131" t="n">
        <f aca="false">IF(OR($C21="",$B$2="",$D$2=0),0,IF(AJ$3&lt;0,0,N(INDEX('CURVA PREVISION'!$A$1:$KZ$3000,$C21,10+3*MIN(AJ$3,$D$2-1)))))</f>
        <v>76.94</v>
      </c>
      <c r="AK21" s="131" t="n">
        <f aca="false">IF(OR($C21="",$B$2="",$D$2=0),0,IF(AK$3&lt;0,0,N(INDEX('CURVA PREVISION'!$A$1:$KZ$3000,$C21,10+3*MIN(AK$3,$D$2-1)))))</f>
        <v>82.63</v>
      </c>
      <c r="AL21" s="131" t="n">
        <f aca="false">IF(OR($C21="",$B$2="",$D$2=0),0,IF(AL$3&lt;0,0,N(INDEX('CURVA PREVISION'!$A$1:$KZ$3000,$C21,10+3*MIN(AL$3,$D$2-1)))))</f>
        <v>88.36</v>
      </c>
      <c r="AM21" s="131" t="n">
        <f aca="false">IF(OR($C21="",$B$2="",$D$2=0),0,IF(AM$3&lt;0,0,N(INDEX('CURVA PREVISION'!$A$1:$KZ$3000,$C21,10+3*MIN(AM$3,$D$2-1)))))</f>
        <v>93.31</v>
      </c>
      <c r="AN21" s="131" t="n">
        <f aca="false">IF(OR($C21="",$B$2="",$D$2=0),0,IF(AN$3&lt;0,0,N(INDEX('CURVA PREVISION'!$A$1:$KZ$3000,$C21,10+3*MIN(AN$3,$D$2-1)))))</f>
        <v>96.62</v>
      </c>
      <c r="AO21" s="131" t="n">
        <f aca="false">IF(OR($C21="",$B$2="",$D$2=0),0,IF(AO$3&lt;0,0,N(INDEX('CURVA PREVISION'!$A$1:$KZ$3000,$C21,10+3*MIN(AO$3,$D$2-1)))))</f>
        <v>99.08</v>
      </c>
      <c r="AP21" s="131" t="n">
        <f aca="false">IF(OR($C21="",$B$2="",$D$2=0),0,IF(AP$3&lt;0,0,N(INDEX('CURVA PREVISION'!$A$1:$KZ$3000,$C21,10+3*MIN(AP$3,$D$2-1)))))</f>
        <v>100</v>
      </c>
      <c r="AQ21" s="131" t="n">
        <f aca="false">IF(OR($C21="",$B$2="",$D$2=0),0,IF(AQ$3&lt;0,0,N(INDEX('CURVA PREVISION'!$A$1:$KZ$3000,$C21,10+3*MIN(AQ$3,$D$2-1)))))</f>
        <v>100</v>
      </c>
      <c r="AR21" s="131" t="n">
        <f aca="false">IF(OR($C21="",$B$2="",$D$2=0),0,IF(AR$3&lt;0,0,N(INDEX('CURVA PREVISION'!$A$1:$KZ$3000,$C21,10+3*MIN(AR$3,$D$2-1)))))</f>
        <v>100</v>
      </c>
      <c r="AS21" s="131" t="n">
        <f aca="false">IF(OR($C21="",$B$2="",$D$2=0),0,IF(AS$3&lt;0,0,N(INDEX('CURVA PREVISION'!$A$1:$KZ$3000,$C21,10+3*MIN(AS$3,$D$2-1)))))</f>
        <v>100</v>
      </c>
      <c r="AT21" s="131" t="n">
        <f aca="false">IF(OR($C21="",$B$2="",$D$2=0),0,IF(AT$3&lt;0,0,N(INDEX('CURVA PREVISION'!$A$1:$KZ$3000,$C21,10+3*MIN(AT$3,$D$2-1)))))</f>
        <v>100</v>
      </c>
      <c r="AU21" s="131" t="n">
        <f aca="false">IF(OR($C21="",$B$2="",$D$2=0),0,IF(AU$3&lt;0,0,N(INDEX('CURVA PREVISION'!$A$1:$KZ$3000,$C21,10+3*MIN(AU$3,$D$2-1)))))</f>
        <v>100</v>
      </c>
      <c r="AV21" s="131" t="n">
        <f aca="false">IF(OR($C21="",$B$2="",$D$2=0),0,IF(AV$3&lt;0,0,N(INDEX('CURVA PREVISION'!$A$1:$KZ$3000,$C21,10+3*MIN(AV$3,$D$2-1)))))</f>
        <v>100</v>
      </c>
      <c r="AW21" s="131" t="n">
        <f aca="false">IF(OR($C21="",$B$2="",$D$2=0),0,IF(AW$3&lt;0,0,N(INDEX('CURVA PREVISION'!$A$1:$KZ$3000,$C21,10+3*MIN(AW$3,$D$2-1)))))</f>
        <v>100</v>
      </c>
      <c r="AX21" s="131" t="n">
        <f aca="false">IF(OR($C21="",$B$2="",$D$2=0),0,IF(AX$3&lt;0,0,N(INDEX('CURVA PREVISION'!$A$1:$KZ$3000,$C21,10+3*MIN(AX$3,$D$2-1)))))</f>
        <v>100</v>
      </c>
      <c r="AY21" s="131" t="n">
        <f aca="false">IF(OR($C21="",$B$2="",$D$2=0),0,IF(AY$3&lt;0,0,N(INDEX('CURVA PREVISION'!$A$1:$KZ$3000,$C21,10+3*MIN(AY$3,$D$2-1)))))</f>
        <v>100</v>
      </c>
      <c r="AZ21" s="131" t="n">
        <f aca="false">IF(OR($C21="",$B$2="",$D$2=0),0,IF(AZ$3&lt;0,0,N(INDEX('CURVA PREVISION'!$A$1:$KZ$3000,$C21,10+3*MIN(AZ$3,$D$2-1)))))</f>
        <v>100</v>
      </c>
      <c r="BA21" s="131" t="n">
        <f aca="false">IF(OR($C21="",$B$2="",$D$2=0),0,IF(BA$3&lt;0,0,N(INDEX('CURVA PREVISION'!$A$1:$KZ$3000,$C21,10+3*MIN(BA$3,$D$2-1)))))</f>
        <v>100</v>
      </c>
      <c r="BB21" s="131" t="n">
        <f aca="false">IF(OR($C21="",$B$2="",$D$2=0),0,IF(BB$3&lt;0,0,N(INDEX('CURVA PREVISION'!$A$1:$KZ$3000,$C21,10+3*MIN(BB$3,$D$2-1)))))</f>
        <v>100</v>
      </c>
      <c r="BC21" s="131" t="n">
        <f aca="false">IF(OR($C21="",$B$2="",$D$2=0),0,IF(BC$3&lt;0,0,N(INDEX('CURVA PREVISION'!$A$1:$KZ$3000,$C21,10+3*MIN(BC$3,$D$2-1)))))</f>
        <v>100</v>
      </c>
      <c r="BD21" s="131" t="n">
        <f aca="false">IF(OR($C21="",$B$2="",$D$2=0),0,IF(BD$3&lt;0,0,N(INDEX('CURVA PREVISION'!$A$1:$KZ$3000,$C21,10+3*MIN(BD$3,$D$2-1)))))</f>
        <v>100</v>
      </c>
      <c r="BE21" s="131" t="n">
        <f aca="false">IF(OR($C21="",$B$2="",$D$2=0),0,IF(BE$3&lt;0,0,N(INDEX('CURVA PREVISION'!$A$1:$KZ$3000,$C21,10+3*MIN(BE$3,$D$2-1)))))</f>
        <v>100</v>
      </c>
      <c r="BF21" s="131" t="n">
        <f aca="false">IF(OR($C21="",$B$2="",$D$2=0),0,IF(BF$3&lt;0,0,N(INDEX('CURVA PREVISION'!$A$1:$KZ$3000,$C21,10+3*MIN(BF$3,$D$2-1)))))</f>
        <v>100</v>
      </c>
      <c r="BG21" s="131" t="n">
        <f aca="false">IF(OR($C21="",$B$2="",$D$2=0),0,IF(BG$3&lt;0,0,N(INDEX('CURVA PREVISION'!$A$1:$KZ$3000,$C21,10+3*MIN(BG$3,$D$2-1)))))</f>
        <v>100</v>
      </c>
      <c r="BH21" s="131" t="n">
        <f aca="false">IF(OR($C21="",$B$2="",$D$2=0),0,IF(BH$3&lt;0,0,N(INDEX('CURVA PREVISION'!$A$1:$KZ$3000,$C21,10+3*MIN(BH$3,$D$2-1)))))</f>
        <v>100</v>
      </c>
      <c r="BI21" s="131" t="n">
        <f aca="false">IF(OR($C21="",$B$2="",$D$2=0),0,IF(BI$3&lt;0,0,N(INDEX('CURVA PREVISION'!$A$1:$KZ$3000,$C21,10+3*MIN(BI$3,$D$2-1)))))</f>
        <v>100</v>
      </c>
      <c r="BJ21" s="131" t="n">
        <f aca="false">IF(OR($C21="",$B$2="",$D$2=0),0,IF(BJ$3&lt;0,0,N(INDEX('CURVA PREVISION'!$A$1:$KZ$3000,$C21,10+3*MIN(BJ$3,$D$2-1)))))</f>
        <v>100</v>
      </c>
      <c r="BK21" s="131" t="n">
        <f aca="false">IF(OR($C21="",$B$2="",$D$2=0),0,IF(BK$3&lt;0,0,N(INDEX('CURVA PREVISION'!$A$1:$KZ$3000,$C21,10+3*MIN(BK$3,$D$2-1)))))</f>
        <v>100</v>
      </c>
      <c r="BL21" s="131" t="n">
        <f aca="false">IF(OR($C21="",$B$2="",$D$2=0),0,IF(BL$3&lt;0,0,N(INDEX('CURVA PREVISION'!$A$1:$KZ$3000,$C21,10+3*MIN(BL$3,$D$2-1)))))</f>
        <v>100</v>
      </c>
      <c r="BM21" s="131" t="n">
        <f aca="false">IF(OR($C21="",$B$2="",$D$2=0),0,IF(BM$3&lt;0,0,N(INDEX('CURVA PREVISION'!$A$1:$KZ$3000,$C21,10+3*MIN(BM$3,$D$2-1)))))</f>
        <v>100</v>
      </c>
      <c r="BN21" s="131" t="n">
        <f aca="false">IF(OR($C21="",$B$2="",$D$2=0),0,IF(BN$3&lt;0,0,N(INDEX('CURVA PREVISION'!$A$1:$KZ$3000,$C21,10+3*MIN(BN$3,$D$2-1)))))</f>
        <v>100</v>
      </c>
      <c r="BO21" s="131" t="n">
        <f aca="false">IF(OR($C21="",$B$2="",$D$2=0),0,IF(BO$3&lt;0,0,N(INDEX('CURVA PREVISION'!$A$1:$KZ$3000,$C21,10+3*MIN(BO$3,$D$2-1)))))</f>
        <v>100</v>
      </c>
      <c r="BP21" s="131" t="n">
        <f aca="false">IF(OR($C21="",$B$2="",$D$2=0),0,IF(BP$3&lt;0,0,N(INDEX('CURVA PREVISION'!$A$1:$KZ$3000,$C21,10+3*MIN(BP$3,$D$2-1)))))</f>
        <v>100</v>
      </c>
      <c r="BQ21" s="131" t="n">
        <f aca="false">IF(OR($C21="",$B$2="",$D$2=0),0,IF(BQ$3&lt;0,0,N(INDEX('CURVA PREVISION'!$A$1:$KZ$3000,$C21,10+3*MIN(BQ$3,$D$2-1)))))</f>
        <v>100</v>
      </c>
      <c r="BR21" s="131" t="n">
        <f aca="false">IF(OR($C21="",$B$2="",$D$2=0),0,IF(BR$3&lt;0,0,N(INDEX('CURVA PREVISION'!$A$1:$KZ$3000,$C21,10+3*MIN(BR$3,$D$2-1)))))</f>
        <v>100</v>
      </c>
      <c r="BS21" s="131" t="n">
        <f aca="false">IF(OR($C21="",$B$2="",$D$2=0),0,IF(BS$3&lt;0,0,N(INDEX('CURVA PREVISION'!$A$1:$KZ$3000,$C21,10+3*MIN(BS$3,$D$2-1)))))</f>
        <v>100</v>
      </c>
      <c r="BT21" s="131" t="n">
        <f aca="false">IF(OR($C21="",$B$2="",$D$2=0),0,IF(BT$3&lt;0,0,N(INDEX('CURVA PREVISION'!$A$1:$KZ$3000,$C21,10+3*MIN(BT$3,$D$2-1)))))</f>
        <v>100</v>
      </c>
      <c r="BU21" s="131" t="n">
        <f aca="false">IF(OR($C21="",$B$2="",$D$2=0),0,IF(BU$3&lt;0,0,N(INDEX('CURVA PREVISION'!$A$1:$KZ$3000,$C21,10+3*MIN(BU$3,$D$2-1)))))</f>
        <v>100</v>
      </c>
      <c r="BV21" s="131" t="n">
        <f aca="false">IF(OR($C21="",$B$2="",$D$2=0),0,IF(BV$3&lt;0,0,N(INDEX('CURVA PREVISION'!$A$1:$KZ$3000,$C21,10+3*MIN(BV$3,$D$2-1)))))</f>
        <v>100</v>
      </c>
      <c r="BW21" s="131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18</v>
      </c>
      <c r="B22" s="57" t="str">
        <f aca="false">'VALOR POR PL'!D28</f>
        <v>ALVENARIA</v>
      </c>
      <c r="C22" s="64" t="n">
        <f aca="false">IFERROR(MATCH(A22,'CURVA PREVISION'!$B$1:$B$3000,0),"")</f>
        <v>357</v>
      </c>
      <c r="D22" s="131" t="n">
        <f aca="false">IF(OR($C22="",$B$2="",$D$2=0),0,IF(D$3&lt;0,0,N(INDEX('CURVA PREVISION'!$A$1:$KZ$3000,$C22,10+3*MIN(D$3,$D$2-1)))))</f>
        <v>0</v>
      </c>
      <c r="E22" s="131" t="n">
        <f aca="false">IF(OR($C22="",$B$2="",$D$2=0),0,IF(E$3&lt;0,0,N(INDEX('CURVA PREVISION'!$A$1:$KZ$3000,$C22,10+3*MIN(E$3,$D$2-1)))))</f>
        <v>0</v>
      </c>
      <c r="F22" s="131" t="n">
        <f aca="false">IF(OR($C22="",$B$2="",$D$2=0),0,IF(F$3&lt;0,0,N(INDEX('CURVA PREVISION'!$A$1:$KZ$3000,$C22,10+3*MIN(F$3,$D$2-1)))))</f>
        <v>0</v>
      </c>
      <c r="G22" s="131" t="n">
        <f aca="false">IF(OR($C22="",$B$2="",$D$2=0),0,IF(G$3&lt;0,0,N(INDEX('CURVA PREVISION'!$A$1:$KZ$3000,$C22,10+3*MIN(G$3,$D$2-1)))))</f>
        <v>0</v>
      </c>
      <c r="H22" s="131" t="n">
        <f aca="false">IF(OR($C22="",$B$2="",$D$2=0),0,IF(H$3&lt;0,0,N(INDEX('CURVA PREVISION'!$A$1:$KZ$3000,$C22,10+3*MIN(H$3,$D$2-1)))))</f>
        <v>0</v>
      </c>
      <c r="I22" s="131" t="n">
        <f aca="false">IF(OR($C22="",$B$2="",$D$2=0),0,IF(I$3&lt;0,0,N(INDEX('CURVA PREVISION'!$A$1:$KZ$3000,$C22,10+3*MIN(I$3,$D$2-1)))))</f>
        <v>0</v>
      </c>
      <c r="J22" s="131" t="n">
        <f aca="false">IF(OR($C22="",$B$2="",$D$2=0),0,IF(J$3&lt;0,0,N(INDEX('CURVA PREVISION'!$A$1:$KZ$3000,$C22,10+3*MIN(J$3,$D$2-1)))))</f>
        <v>0</v>
      </c>
      <c r="K22" s="131" t="n">
        <f aca="false">IF(OR($C22="",$B$2="",$D$2=0),0,IF(K$3&lt;0,0,N(INDEX('CURVA PREVISION'!$A$1:$KZ$3000,$C22,10+3*MIN(K$3,$D$2-1)))))</f>
        <v>0</v>
      </c>
      <c r="L22" s="131" t="n">
        <f aca="false">IF(OR($C22="",$B$2="",$D$2=0),0,IF(L$3&lt;0,0,N(INDEX('CURVA PREVISION'!$A$1:$KZ$3000,$C22,10+3*MIN(L$3,$D$2-1)))))</f>
        <v>0</v>
      </c>
      <c r="M22" s="131" t="n">
        <f aca="false">IF(OR($C22="",$B$2="",$D$2=0),0,IF(M$3&lt;0,0,N(INDEX('CURVA PREVISION'!$A$1:$KZ$3000,$C22,10+3*MIN(M$3,$D$2-1)))))</f>
        <v>0</v>
      </c>
      <c r="N22" s="131" t="n">
        <f aca="false">IF(OR($C22="",$B$2="",$D$2=0),0,IF(N$3&lt;0,0,N(INDEX('CURVA PREVISION'!$A$1:$KZ$3000,$C22,10+3*MIN(N$3,$D$2-1)))))</f>
        <v>0</v>
      </c>
      <c r="O22" s="131" t="n">
        <f aca="false">IF(OR($C22="",$B$2="",$D$2=0),0,IF(O$3&lt;0,0,N(INDEX('CURVA PREVISION'!$A$1:$KZ$3000,$C22,10+3*MIN(O$3,$D$2-1)))))</f>
        <v>0</v>
      </c>
      <c r="P22" s="131" t="n">
        <f aca="false">IF(OR($C22="",$B$2="",$D$2=0),0,IF(P$3&lt;0,0,N(INDEX('CURVA PREVISION'!$A$1:$KZ$3000,$C22,10+3*MIN(P$3,$D$2-1)))))</f>
        <v>0</v>
      </c>
      <c r="Q22" s="131" t="n">
        <f aca="false">IF(OR($C22="",$B$2="",$D$2=0),0,IF(Q$3&lt;0,0,N(INDEX('CURVA PREVISION'!$A$1:$KZ$3000,$C22,10+3*MIN(Q$3,$D$2-1)))))</f>
        <v>0</v>
      </c>
      <c r="R22" s="131" t="n">
        <f aca="false">IF(OR($C22="",$B$2="",$D$2=0),0,IF(R$3&lt;0,0,N(INDEX('CURVA PREVISION'!$A$1:$KZ$3000,$C22,10+3*MIN(R$3,$D$2-1)))))</f>
        <v>0</v>
      </c>
      <c r="S22" s="131" t="n">
        <f aca="false">IF(OR($C22="",$B$2="",$D$2=0),0,IF(S$3&lt;0,0,N(INDEX('CURVA PREVISION'!$A$1:$KZ$3000,$C22,10+3*MIN(S$3,$D$2-1)))))</f>
        <v>0</v>
      </c>
      <c r="T22" s="131" t="n">
        <f aca="false">IF(OR($C22="",$B$2="",$D$2=0),0,IF(T$3&lt;0,0,N(INDEX('CURVA PREVISION'!$A$1:$KZ$3000,$C22,10+3*MIN(T$3,$D$2-1)))))</f>
        <v>0</v>
      </c>
      <c r="U22" s="131" t="n">
        <f aca="false">IF(OR($C22="",$B$2="",$D$2=0),0,IF(U$3&lt;0,0,N(INDEX('CURVA PREVISION'!$A$1:$KZ$3000,$C22,10+3*MIN(U$3,$D$2-1)))))</f>
        <v>0</v>
      </c>
      <c r="V22" s="131" t="n">
        <f aca="false">IF(OR($C22="",$B$2="",$D$2=0),0,IF(V$3&lt;0,0,N(INDEX('CURVA PREVISION'!$A$1:$KZ$3000,$C22,10+3*MIN(V$3,$D$2-1)))))</f>
        <v>0</v>
      </c>
      <c r="W22" s="131" t="n">
        <f aca="false">IF(OR($C22="",$B$2="",$D$2=0),0,IF(W$3&lt;0,0,N(INDEX('CURVA PREVISION'!$A$1:$KZ$3000,$C22,10+3*MIN(W$3,$D$2-1)))))</f>
        <v>0</v>
      </c>
      <c r="X22" s="131" t="n">
        <f aca="false">IF(OR($C22="",$B$2="",$D$2=0),0,IF(X$3&lt;0,0,N(INDEX('CURVA PREVISION'!$A$1:$KZ$3000,$C22,10+3*MIN(X$3,$D$2-1)))))</f>
        <v>0</v>
      </c>
      <c r="Y22" s="131" t="n">
        <f aca="false">IF(OR($C22="",$B$2="",$D$2=0),0,IF(Y$3&lt;0,0,N(INDEX('CURVA PREVISION'!$A$1:$KZ$3000,$C22,10+3*MIN(Y$3,$D$2-1)))))</f>
        <v>0</v>
      </c>
      <c r="Z22" s="131" t="n">
        <f aca="false">IF(OR($C22="",$B$2="",$D$2=0),0,IF(Z$3&lt;0,0,N(INDEX('CURVA PREVISION'!$A$1:$KZ$3000,$C22,10+3*MIN(Z$3,$D$2-1)))))</f>
        <v>0</v>
      </c>
      <c r="AA22" s="131" t="n">
        <f aca="false">IF(OR($C22="",$B$2="",$D$2=0),0,IF(AA$3&lt;0,0,N(INDEX('CURVA PREVISION'!$A$1:$KZ$3000,$C22,10+3*MIN(AA$3,$D$2-1)))))</f>
        <v>0</v>
      </c>
      <c r="AB22" s="131" t="n">
        <f aca="false">IF(OR($C22="",$B$2="",$D$2=0),0,IF(AB$3&lt;0,0,N(INDEX('CURVA PREVISION'!$A$1:$KZ$3000,$C22,10+3*MIN(AB$3,$D$2-1)))))</f>
        <v>0</v>
      </c>
      <c r="AC22" s="131" t="n">
        <f aca="false">IF(OR($C22="",$B$2="",$D$2=0),0,IF(AC$3&lt;0,0,N(INDEX('CURVA PREVISION'!$A$1:$KZ$3000,$C22,10+3*MIN(AC$3,$D$2-1)))))</f>
        <v>0</v>
      </c>
      <c r="AD22" s="131" t="n">
        <f aca="false">IF(OR($C22="",$B$2="",$D$2=0),0,IF(AD$3&lt;0,0,N(INDEX('CURVA PREVISION'!$A$1:$KZ$3000,$C22,10+3*MIN(AD$3,$D$2-1)))))</f>
        <v>0</v>
      </c>
      <c r="AE22" s="131" t="n">
        <f aca="false">IF(OR($C22="",$B$2="",$D$2=0),0,IF(AE$3&lt;0,0,N(INDEX('CURVA PREVISION'!$A$1:$KZ$3000,$C22,10+3*MIN(AE$3,$D$2-1)))))</f>
        <v>1.11</v>
      </c>
      <c r="AF22" s="131" t="n">
        <f aca="false">IF(OR($C22="",$B$2="",$D$2=0),0,IF(AF$3&lt;0,0,N(INDEX('CURVA PREVISION'!$A$1:$KZ$3000,$C22,10+3*MIN(AF$3,$D$2-1)))))</f>
        <v>4.06</v>
      </c>
      <c r="AG22" s="131" t="n">
        <f aca="false">IF(OR($C22="",$B$2="",$D$2=0),0,IF(AG$3&lt;0,0,N(INDEX('CURVA PREVISION'!$A$1:$KZ$3000,$C22,10+3*MIN(AG$3,$D$2-1)))))</f>
        <v>8.82</v>
      </c>
      <c r="AH22" s="131" t="n">
        <f aca="false">IF(OR($C22="",$B$2="",$D$2=0),0,IF(AH$3&lt;0,0,N(INDEX('CURVA PREVISION'!$A$1:$KZ$3000,$C22,10+3*MIN(AH$3,$D$2-1)))))</f>
        <v>14.34</v>
      </c>
      <c r="AI22" s="131" t="n">
        <f aca="false">IF(OR($C22="",$B$2="",$D$2=0),0,IF(AI$3&lt;0,0,N(INDEX('CURVA PREVISION'!$A$1:$KZ$3000,$C22,10+3*MIN(AI$3,$D$2-1)))))</f>
        <v>20.52</v>
      </c>
      <c r="AJ22" s="131" t="n">
        <f aca="false">IF(OR($C22="",$B$2="",$D$2=0),0,IF(AJ$3&lt;0,0,N(INDEX('CURVA PREVISION'!$A$1:$KZ$3000,$C22,10+3*MIN(AJ$3,$D$2-1)))))</f>
        <v>29.11</v>
      </c>
      <c r="AK22" s="131" t="n">
        <f aca="false">IF(OR($C22="",$B$2="",$D$2=0),0,IF(AK$3&lt;0,0,N(INDEX('CURVA PREVISION'!$A$1:$KZ$3000,$C22,10+3*MIN(AK$3,$D$2-1)))))</f>
        <v>38.66</v>
      </c>
      <c r="AL22" s="131" t="n">
        <f aca="false">IF(OR($C22="",$B$2="",$D$2=0),0,IF(AL$3&lt;0,0,N(INDEX('CURVA PREVISION'!$A$1:$KZ$3000,$C22,10+3*MIN(AL$3,$D$2-1)))))</f>
        <v>49.17</v>
      </c>
      <c r="AM22" s="131" t="n">
        <f aca="false">IF(OR($C22="",$B$2="",$D$2=0),0,IF(AM$3&lt;0,0,N(INDEX('CURVA PREVISION'!$A$1:$KZ$3000,$C22,10+3*MIN(AM$3,$D$2-1)))))</f>
        <v>59.6</v>
      </c>
      <c r="AN22" s="131" t="n">
        <f aca="false">IF(OR($C22="",$B$2="",$D$2=0),0,IF(AN$3&lt;0,0,N(INDEX('CURVA PREVISION'!$A$1:$KZ$3000,$C22,10+3*MIN(AN$3,$D$2-1)))))</f>
        <v>66.84</v>
      </c>
      <c r="AO22" s="131" t="n">
        <f aca="false">IF(OR($C22="",$B$2="",$D$2=0),0,IF(AO$3&lt;0,0,N(INDEX('CURVA PREVISION'!$A$1:$KZ$3000,$C22,10+3*MIN(AO$3,$D$2-1)))))</f>
        <v>74.58</v>
      </c>
      <c r="AP22" s="131" t="n">
        <f aca="false">IF(OR($C22="",$B$2="",$D$2=0),0,IF(AP$3&lt;0,0,N(INDEX('CURVA PREVISION'!$A$1:$KZ$3000,$C22,10+3*MIN(AP$3,$D$2-1)))))</f>
        <v>82.5</v>
      </c>
      <c r="AQ22" s="131" t="n">
        <f aca="false">IF(OR($C22="",$B$2="",$D$2=0),0,IF(AQ$3&lt;0,0,N(INDEX('CURVA PREVISION'!$A$1:$KZ$3000,$C22,10+3*MIN(AQ$3,$D$2-1)))))</f>
        <v>88.86</v>
      </c>
      <c r="AR22" s="131" t="n">
        <f aca="false">IF(OR($C22="",$B$2="",$D$2=0),0,IF(AR$3&lt;0,0,N(INDEX('CURVA PREVISION'!$A$1:$KZ$3000,$C22,10+3*MIN(AR$3,$D$2-1)))))</f>
        <v>93.17</v>
      </c>
      <c r="AS22" s="131" t="n">
        <f aca="false">IF(OR($C22="",$B$2="",$D$2=0),0,IF(AS$3&lt;0,0,N(INDEX('CURVA PREVISION'!$A$1:$KZ$3000,$C22,10+3*MIN(AS$3,$D$2-1)))))</f>
        <v>96.93</v>
      </c>
      <c r="AT22" s="131" t="n">
        <f aca="false">IF(OR($C22="",$B$2="",$D$2=0),0,IF(AT$3&lt;0,0,N(INDEX('CURVA PREVISION'!$A$1:$KZ$3000,$C22,10+3*MIN(AT$3,$D$2-1)))))</f>
        <v>98.03</v>
      </c>
      <c r="AU22" s="131" t="n">
        <f aca="false">IF(OR($C22="",$B$2="",$D$2=0),0,IF(AU$3&lt;0,0,N(INDEX('CURVA PREVISION'!$A$1:$KZ$3000,$C22,10+3*MIN(AU$3,$D$2-1)))))</f>
        <v>99.02</v>
      </c>
      <c r="AV22" s="131" t="n">
        <f aca="false">IF(OR($C22="",$B$2="",$D$2=0),0,IF(AV$3&lt;0,0,N(INDEX('CURVA PREVISION'!$A$1:$KZ$3000,$C22,10+3*MIN(AV$3,$D$2-1)))))</f>
        <v>100</v>
      </c>
      <c r="AW22" s="131" t="n">
        <f aca="false">IF(OR($C22="",$B$2="",$D$2=0),0,IF(AW$3&lt;0,0,N(INDEX('CURVA PREVISION'!$A$1:$KZ$3000,$C22,10+3*MIN(AW$3,$D$2-1)))))</f>
        <v>100</v>
      </c>
      <c r="AX22" s="131" t="n">
        <f aca="false">IF(OR($C22="",$B$2="",$D$2=0),0,IF(AX$3&lt;0,0,N(INDEX('CURVA PREVISION'!$A$1:$KZ$3000,$C22,10+3*MIN(AX$3,$D$2-1)))))</f>
        <v>100</v>
      </c>
      <c r="AY22" s="131" t="n">
        <f aca="false">IF(OR($C22="",$B$2="",$D$2=0),0,IF(AY$3&lt;0,0,N(INDEX('CURVA PREVISION'!$A$1:$KZ$3000,$C22,10+3*MIN(AY$3,$D$2-1)))))</f>
        <v>100</v>
      </c>
      <c r="AZ22" s="131" t="n">
        <f aca="false">IF(OR($C22="",$B$2="",$D$2=0),0,IF(AZ$3&lt;0,0,N(INDEX('CURVA PREVISION'!$A$1:$KZ$3000,$C22,10+3*MIN(AZ$3,$D$2-1)))))</f>
        <v>100</v>
      </c>
      <c r="BA22" s="131" t="n">
        <f aca="false">IF(OR($C22="",$B$2="",$D$2=0),0,IF(BA$3&lt;0,0,N(INDEX('CURVA PREVISION'!$A$1:$KZ$3000,$C22,10+3*MIN(BA$3,$D$2-1)))))</f>
        <v>100</v>
      </c>
      <c r="BB22" s="131" t="n">
        <f aca="false">IF(OR($C22="",$B$2="",$D$2=0),0,IF(BB$3&lt;0,0,N(INDEX('CURVA PREVISION'!$A$1:$KZ$3000,$C22,10+3*MIN(BB$3,$D$2-1)))))</f>
        <v>100</v>
      </c>
      <c r="BC22" s="131" t="n">
        <f aca="false">IF(OR($C22="",$B$2="",$D$2=0),0,IF(BC$3&lt;0,0,N(INDEX('CURVA PREVISION'!$A$1:$KZ$3000,$C22,10+3*MIN(BC$3,$D$2-1)))))</f>
        <v>100</v>
      </c>
      <c r="BD22" s="131" t="n">
        <f aca="false">IF(OR($C22="",$B$2="",$D$2=0),0,IF(BD$3&lt;0,0,N(INDEX('CURVA PREVISION'!$A$1:$KZ$3000,$C22,10+3*MIN(BD$3,$D$2-1)))))</f>
        <v>100</v>
      </c>
      <c r="BE22" s="131" t="n">
        <f aca="false">IF(OR($C22="",$B$2="",$D$2=0),0,IF(BE$3&lt;0,0,N(INDEX('CURVA PREVISION'!$A$1:$KZ$3000,$C22,10+3*MIN(BE$3,$D$2-1)))))</f>
        <v>100</v>
      </c>
      <c r="BF22" s="131" t="n">
        <f aca="false">IF(OR($C22="",$B$2="",$D$2=0),0,IF(BF$3&lt;0,0,N(INDEX('CURVA PREVISION'!$A$1:$KZ$3000,$C22,10+3*MIN(BF$3,$D$2-1)))))</f>
        <v>100</v>
      </c>
      <c r="BG22" s="131" t="n">
        <f aca="false">IF(OR($C22="",$B$2="",$D$2=0),0,IF(BG$3&lt;0,0,N(INDEX('CURVA PREVISION'!$A$1:$KZ$3000,$C22,10+3*MIN(BG$3,$D$2-1)))))</f>
        <v>100</v>
      </c>
      <c r="BH22" s="131" t="n">
        <f aca="false">IF(OR($C22="",$B$2="",$D$2=0),0,IF(BH$3&lt;0,0,N(INDEX('CURVA PREVISION'!$A$1:$KZ$3000,$C22,10+3*MIN(BH$3,$D$2-1)))))</f>
        <v>100</v>
      </c>
      <c r="BI22" s="131" t="n">
        <f aca="false">IF(OR($C22="",$B$2="",$D$2=0),0,IF(BI$3&lt;0,0,N(INDEX('CURVA PREVISION'!$A$1:$KZ$3000,$C22,10+3*MIN(BI$3,$D$2-1)))))</f>
        <v>100</v>
      </c>
      <c r="BJ22" s="131" t="n">
        <f aca="false">IF(OR($C22="",$B$2="",$D$2=0),0,IF(BJ$3&lt;0,0,N(INDEX('CURVA PREVISION'!$A$1:$KZ$3000,$C22,10+3*MIN(BJ$3,$D$2-1)))))</f>
        <v>100</v>
      </c>
      <c r="BK22" s="131" t="n">
        <f aca="false">IF(OR($C22="",$B$2="",$D$2=0),0,IF(BK$3&lt;0,0,N(INDEX('CURVA PREVISION'!$A$1:$KZ$3000,$C22,10+3*MIN(BK$3,$D$2-1)))))</f>
        <v>100</v>
      </c>
      <c r="BL22" s="131" t="n">
        <f aca="false">IF(OR($C22="",$B$2="",$D$2=0),0,IF(BL$3&lt;0,0,N(INDEX('CURVA PREVISION'!$A$1:$KZ$3000,$C22,10+3*MIN(BL$3,$D$2-1)))))</f>
        <v>100</v>
      </c>
      <c r="BM22" s="131" t="n">
        <f aca="false">IF(OR($C22="",$B$2="",$D$2=0),0,IF(BM$3&lt;0,0,N(INDEX('CURVA PREVISION'!$A$1:$KZ$3000,$C22,10+3*MIN(BM$3,$D$2-1)))))</f>
        <v>100</v>
      </c>
      <c r="BN22" s="131" t="n">
        <f aca="false">IF(OR($C22="",$B$2="",$D$2=0),0,IF(BN$3&lt;0,0,N(INDEX('CURVA PREVISION'!$A$1:$KZ$3000,$C22,10+3*MIN(BN$3,$D$2-1)))))</f>
        <v>100</v>
      </c>
      <c r="BO22" s="131" t="n">
        <f aca="false">IF(OR($C22="",$B$2="",$D$2=0),0,IF(BO$3&lt;0,0,N(INDEX('CURVA PREVISION'!$A$1:$KZ$3000,$C22,10+3*MIN(BO$3,$D$2-1)))))</f>
        <v>100</v>
      </c>
      <c r="BP22" s="131" t="n">
        <f aca="false">IF(OR($C22="",$B$2="",$D$2=0),0,IF(BP$3&lt;0,0,N(INDEX('CURVA PREVISION'!$A$1:$KZ$3000,$C22,10+3*MIN(BP$3,$D$2-1)))))</f>
        <v>100</v>
      </c>
      <c r="BQ22" s="131" t="n">
        <f aca="false">IF(OR($C22="",$B$2="",$D$2=0),0,IF(BQ$3&lt;0,0,N(INDEX('CURVA PREVISION'!$A$1:$KZ$3000,$C22,10+3*MIN(BQ$3,$D$2-1)))))</f>
        <v>100</v>
      </c>
      <c r="BR22" s="131" t="n">
        <f aca="false">IF(OR($C22="",$B$2="",$D$2=0),0,IF(BR$3&lt;0,0,N(INDEX('CURVA PREVISION'!$A$1:$KZ$3000,$C22,10+3*MIN(BR$3,$D$2-1)))))</f>
        <v>100</v>
      </c>
      <c r="BS22" s="131" t="n">
        <f aca="false">IF(OR($C22="",$B$2="",$D$2=0),0,IF(BS$3&lt;0,0,N(INDEX('CURVA PREVISION'!$A$1:$KZ$3000,$C22,10+3*MIN(BS$3,$D$2-1)))))</f>
        <v>100</v>
      </c>
      <c r="BT22" s="131" t="n">
        <f aca="false">IF(OR($C22="",$B$2="",$D$2=0),0,IF(BT$3&lt;0,0,N(INDEX('CURVA PREVISION'!$A$1:$KZ$3000,$C22,10+3*MIN(BT$3,$D$2-1)))))</f>
        <v>100</v>
      </c>
      <c r="BU22" s="131" t="n">
        <f aca="false">IF(OR($C22="",$B$2="",$D$2=0),0,IF(BU$3&lt;0,0,N(INDEX('CURVA PREVISION'!$A$1:$KZ$3000,$C22,10+3*MIN(BU$3,$D$2-1)))))</f>
        <v>100</v>
      </c>
      <c r="BV22" s="131" t="n">
        <f aca="false">IF(OR($C22="",$B$2="",$D$2=0),0,IF(BV$3&lt;0,0,N(INDEX('CURVA PREVISION'!$A$1:$KZ$3000,$C22,10+3*MIN(BV$3,$D$2-1)))))</f>
        <v>100</v>
      </c>
      <c r="BW22" s="131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19</v>
      </c>
      <c r="B23" s="57" t="str">
        <f aca="false">'VALOR POR PL'!D29</f>
        <v>IMPERMEABILIZAÇÃO</v>
      </c>
      <c r="C23" s="64" t="n">
        <f aca="false">IFERROR(MATCH(A23,'CURVA PREVISION'!$B$1:$B$3000,0),"")</f>
        <v>399</v>
      </c>
      <c r="D23" s="131" t="n">
        <f aca="false">IF(OR($C23="",$B$2="",$D$2=0),0,IF(D$3&lt;0,0,N(INDEX('CURVA PREVISION'!$A$1:$KZ$3000,$C23,10+3*MIN(D$3,$D$2-1)))))</f>
        <v>0</v>
      </c>
      <c r="E23" s="131" t="n">
        <f aca="false">IF(OR($C23="",$B$2="",$D$2=0),0,IF(E$3&lt;0,0,N(INDEX('CURVA PREVISION'!$A$1:$KZ$3000,$C23,10+3*MIN(E$3,$D$2-1)))))</f>
        <v>0</v>
      </c>
      <c r="F23" s="131" t="n">
        <f aca="false">IF(OR($C23="",$B$2="",$D$2=0),0,IF(F$3&lt;0,0,N(INDEX('CURVA PREVISION'!$A$1:$KZ$3000,$C23,10+3*MIN(F$3,$D$2-1)))))</f>
        <v>0</v>
      </c>
      <c r="G23" s="131" t="n">
        <f aca="false">IF(OR($C23="",$B$2="",$D$2=0),0,IF(G$3&lt;0,0,N(INDEX('CURVA PREVISION'!$A$1:$KZ$3000,$C23,10+3*MIN(G$3,$D$2-1)))))</f>
        <v>0</v>
      </c>
      <c r="H23" s="131" t="n">
        <f aca="false">IF(OR($C23="",$B$2="",$D$2=0),0,IF(H$3&lt;0,0,N(INDEX('CURVA PREVISION'!$A$1:$KZ$3000,$C23,10+3*MIN(H$3,$D$2-1)))))</f>
        <v>0</v>
      </c>
      <c r="I23" s="131" t="n">
        <f aca="false">IF(OR($C23="",$B$2="",$D$2=0),0,IF(I$3&lt;0,0,N(INDEX('CURVA PREVISION'!$A$1:$KZ$3000,$C23,10+3*MIN(I$3,$D$2-1)))))</f>
        <v>0</v>
      </c>
      <c r="J23" s="131" t="n">
        <f aca="false">IF(OR($C23="",$B$2="",$D$2=0),0,IF(J$3&lt;0,0,N(INDEX('CURVA PREVISION'!$A$1:$KZ$3000,$C23,10+3*MIN(J$3,$D$2-1)))))</f>
        <v>0</v>
      </c>
      <c r="K23" s="131" t="n">
        <f aca="false">IF(OR($C23="",$B$2="",$D$2=0),0,IF(K$3&lt;0,0,N(INDEX('CURVA PREVISION'!$A$1:$KZ$3000,$C23,10+3*MIN(K$3,$D$2-1)))))</f>
        <v>0</v>
      </c>
      <c r="L23" s="131" t="n">
        <f aca="false">IF(OR($C23="",$B$2="",$D$2=0),0,IF(L$3&lt;0,0,N(INDEX('CURVA PREVISION'!$A$1:$KZ$3000,$C23,10+3*MIN(L$3,$D$2-1)))))</f>
        <v>0</v>
      </c>
      <c r="M23" s="131" t="n">
        <f aca="false">IF(OR($C23="",$B$2="",$D$2=0),0,IF(M$3&lt;0,0,N(INDEX('CURVA PREVISION'!$A$1:$KZ$3000,$C23,10+3*MIN(M$3,$D$2-1)))))</f>
        <v>0</v>
      </c>
      <c r="N23" s="131" t="n">
        <f aca="false">IF(OR($C23="",$B$2="",$D$2=0),0,IF(N$3&lt;0,0,N(INDEX('CURVA PREVISION'!$A$1:$KZ$3000,$C23,10+3*MIN(N$3,$D$2-1)))))</f>
        <v>0</v>
      </c>
      <c r="O23" s="131" t="n">
        <f aca="false">IF(OR($C23="",$B$2="",$D$2=0),0,IF(O$3&lt;0,0,N(INDEX('CURVA PREVISION'!$A$1:$KZ$3000,$C23,10+3*MIN(O$3,$D$2-1)))))</f>
        <v>0</v>
      </c>
      <c r="P23" s="131" t="n">
        <f aca="false">IF(OR($C23="",$B$2="",$D$2=0),0,IF(P$3&lt;0,0,N(INDEX('CURVA PREVISION'!$A$1:$KZ$3000,$C23,10+3*MIN(P$3,$D$2-1)))))</f>
        <v>0</v>
      </c>
      <c r="Q23" s="131" t="n">
        <f aca="false">IF(OR($C23="",$B$2="",$D$2=0),0,IF(Q$3&lt;0,0,N(INDEX('CURVA PREVISION'!$A$1:$KZ$3000,$C23,10+3*MIN(Q$3,$D$2-1)))))</f>
        <v>0</v>
      </c>
      <c r="R23" s="131" t="n">
        <f aca="false">IF(OR($C23="",$B$2="",$D$2=0),0,IF(R$3&lt;0,0,N(INDEX('CURVA PREVISION'!$A$1:$KZ$3000,$C23,10+3*MIN(R$3,$D$2-1)))))</f>
        <v>0</v>
      </c>
      <c r="S23" s="131" t="n">
        <f aca="false">IF(OR($C23="",$B$2="",$D$2=0),0,IF(S$3&lt;0,0,N(INDEX('CURVA PREVISION'!$A$1:$KZ$3000,$C23,10+3*MIN(S$3,$D$2-1)))))</f>
        <v>0</v>
      </c>
      <c r="T23" s="131" t="n">
        <f aca="false">IF(OR($C23="",$B$2="",$D$2=0),0,IF(T$3&lt;0,0,N(INDEX('CURVA PREVISION'!$A$1:$KZ$3000,$C23,10+3*MIN(T$3,$D$2-1)))))</f>
        <v>0</v>
      </c>
      <c r="U23" s="131" t="n">
        <f aca="false">IF(OR($C23="",$B$2="",$D$2=0),0,IF(U$3&lt;0,0,N(INDEX('CURVA PREVISION'!$A$1:$KZ$3000,$C23,10+3*MIN(U$3,$D$2-1)))))</f>
        <v>0</v>
      </c>
      <c r="V23" s="131" t="n">
        <f aca="false">IF(OR($C23="",$B$2="",$D$2=0),0,IF(V$3&lt;0,0,N(INDEX('CURVA PREVISION'!$A$1:$KZ$3000,$C23,10+3*MIN(V$3,$D$2-1)))))</f>
        <v>0</v>
      </c>
      <c r="W23" s="131" t="n">
        <f aca="false">IF(OR($C23="",$B$2="",$D$2=0),0,IF(W$3&lt;0,0,N(INDEX('CURVA PREVISION'!$A$1:$KZ$3000,$C23,10+3*MIN(W$3,$D$2-1)))))</f>
        <v>0</v>
      </c>
      <c r="X23" s="131" t="n">
        <f aca="false">IF(OR($C23="",$B$2="",$D$2=0),0,IF(X$3&lt;0,0,N(INDEX('CURVA PREVISION'!$A$1:$KZ$3000,$C23,10+3*MIN(X$3,$D$2-1)))))</f>
        <v>0</v>
      </c>
      <c r="Y23" s="131" t="n">
        <f aca="false">IF(OR($C23="",$B$2="",$D$2=0),0,IF(Y$3&lt;0,0,N(INDEX('CURVA PREVISION'!$A$1:$KZ$3000,$C23,10+3*MIN(Y$3,$D$2-1)))))</f>
        <v>0</v>
      </c>
      <c r="Z23" s="131" t="n">
        <f aca="false">IF(OR($C23="",$B$2="",$D$2=0),0,IF(Z$3&lt;0,0,N(INDEX('CURVA PREVISION'!$A$1:$KZ$3000,$C23,10+3*MIN(Z$3,$D$2-1)))))</f>
        <v>0</v>
      </c>
      <c r="AA23" s="131" t="n">
        <f aca="false">IF(OR($C23="",$B$2="",$D$2=0),0,IF(AA$3&lt;0,0,N(INDEX('CURVA PREVISION'!$A$1:$KZ$3000,$C23,10+3*MIN(AA$3,$D$2-1)))))</f>
        <v>0</v>
      </c>
      <c r="AB23" s="131" t="n">
        <f aca="false">IF(OR($C23="",$B$2="",$D$2=0),0,IF(AB$3&lt;0,0,N(INDEX('CURVA PREVISION'!$A$1:$KZ$3000,$C23,10+3*MIN(AB$3,$D$2-1)))))</f>
        <v>0</v>
      </c>
      <c r="AC23" s="131" t="n">
        <f aca="false">IF(OR($C23="",$B$2="",$D$2=0),0,IF(AC$3&lt;0,0,N(INDEX('CURVA PREVISION'!$A$1:$KZ$3000,$C23,10+3*MIN(AC$3,$D$2-1)))))</f>
        <v>0</v>
      </c>
      <c r="AD23" s="131" t="n">
        <f aca="false">IF(OR($C23="",$B$2="",$D$2=0),0,IF(AD$3&lt;0,0,N(INDEX('CURVA PREVISION'!$A$1:$KZ$3000,$C23,10+3*MIN(AD$3,$D$2-1)))))</f>
        <v>0</v>
      </c>
      <c r="AE23" s="131" t="n">
        <f aca="false">IF(OR($C23="",$B$2="",$D$2=0),0,IF(AE$3&lt;0,0,N(INDEX('CURVA PREVISION'!$A$1:$KZ$3000,$C23,10+3*MIN(AE$3,$D$2-1)))))</f>
        <v>0</v>
      </c>
      <c r="AF23" s="131" t="n">
        <f aca="false">IF(OR($C23="",$B$2="",$D$2=0),0,IF(AF$3&lt;0,0,N(INDEX('CURVA PREVISION'!$A$1:$KZ$3000,$C23,10+3*MIN(AF$3,$D$2-1)))))</f>
        <v>0</v>
      </c>
      <c r="AG23" s="131" t="n">
        <f aca="false">IF(OR($C23="",$B$2="",$D$2=0),0,IF(AG$3&lt;0,0,N(INDEX('CURVA PREVISION'!$A$1:$KZ$3000,$C23,10+3*MIN(AG$3,$D$2-1)))))</f>
        <v>0</v>
      </c>
      <c r="AH23" s="131" t="n">
        <f aca="false">IF(OR($C23="",$B$2="",$D$2=0),0,IF(AH$3&lt;0,0,N(INDEX('CURVA PREVISION'!$A$1:$KZ$3000,$C23,10+3*MIN(AH$3,$D$2-1)))))</f>
        <v>0</v>
      </c>
      <c r="AI23" s="131" t="n">
        <f aca="false">IF(OR($C23="",$B$2="",$D$2=0),0,IF(AI$3&lt;0,0,N(INDEX('CURVA PREVISION'!$A$1:$KZ$3000,$C23,10+3*MIN(AI$3,$D$2-1)))))</f>
        <v>0</v>
      </c>
      <c r="AJ23" s="131" t="n">
        <f aca="false">IF(OR($C23="",$B$2="",$D$2=0),0,IF(AJ$3&lt;0,0,N(INDEX('CURVA PREVISION'!$A$1:$KZ$3000,$C23,10+3*MIN(AJ$3,$D$2-1)))))</f>
        <v>3.97</v>
      </c>
      <c r="AK23" s="131" t="n">
        <f aca="false">IF(OR($C23="",$B$2="",$D$2=0),0,IF(AK$3&lt;0,0,N(INDEX('CURVA PREVISION'!$A$1:$KZ$3000,$C23,10+3*MIN(AK$3,$D$2-1)))))</f>
        <v>9.52</v>
      </c>
      <c r="AL23" s="131" t="n">
        <f aca="false">IF(OR($C23="",$B$2="",$D$2=0),0,IF(AL$3&lt;0,0,N(INDEX('CURVA PREVISION'!$A$1:$KZ$3000,$C23,10+3*MIN(AL$3,$D$2-1)))))</f>
        <v>17.2</v>
      </c>
      <c r="AM23" s="131" t="n">
        <f aca="false">IF(OR($C23="",$B$2="",$D$2=0),0,IF(AM$3&lt;0,0,N(INDEX('CURVA PREVISION'!$A$1:$KZ$3000,$C23,10+3*MIN(AM$3,$D$2-1)))))</f>
        <v>24.87</v>
      </c>
      <c r="AN23" s="131" t="n">
        <f aca="false">IF(OR($C23="",$B$2="",$D$2=0),0,IF(AN$3&lt;0,0,N(INDEX('CURVA PREVISION'!$A$1:$KZ$3000,$C23,10+3*MIN(AN$3,$D$2-1)))))</f>
        <v>30.53</v>
      </c>
      <c r="AO23" s="131" t="n">
        <f aca="false">IF(OR($C23="",$B$2="",$D$2=0),0,IF(AO$3&lt;0,0,N(INDEX('CURVA PREVISION'!$A$1:$KZ$3000,$C23,10+3*MIN(AO$3,$D$2-1)))))</f>
        <v>37.04</v>
      </c>
      <c r="AP23" s="131" t="n">
        <f aca="false">IF(OR($C23="",$B$2="",$D$2=0),0,IF(AP$3&lt;0,0,N(INDEX('CURVA PREVISION'!$A$1:$KZ$3000,$C23,10+3*MIN(AP$3,$D$2-1)))))</f>
        <v>43.54</v>
      </c>
      <c r="AQ23" s="131" t="n">
        <f aca="false">IF(OR($C23="",$B$2="",$D$2=0),0,IF(AQ$3&lt;0,0,N(INDEX('CURVA PREVISION'!$A$1:$KZ$3000,$C23,10+3*MIN(AQ$3,$D$2-1)))))</f>
        <v>56.56</v>
      </c>
      <c r="AR23" s="131" t="n">
        <f aca="false">IF(OR($C23="",$B$2="",$D$2=0),0,IF(AR$3&lt;0,0,N(INDEX('CURVA PREVISION'!$A$1:$KZ$3000,$C23,10+3*MIN(AR$3,$D$2-1)))))</f>
        <v>65.38</v>
      </c>
      <c r="AS23" s="131" t="n">
        <f aca="false">IF(OR($C23="",$B$2="",$D$2=0),0,IF(AS$3&lt;0,0,N(INDEX('CURVA PREVISION'!$A$1:$KZ$3000,$C23,10+3*MIN(AS$3,$D$2-1)))))</f>
        <v>81.36</v>
      </c>
      <c r="AT23" s="131" t="n">
        <f aca="false">IF(OR($C23="",$B$2="",$D$2=0),0,IF(AT$3&lt;0,0,N(INDEX('CURVA PREVISION'!$A$1:$KZ$3000,$C23,10+3*MIN(AT$3,$D$2-1)))))</f>
        <v>94.76</v>
      </c>
      <c r="AU23" s="131" t="n">
        <f aca="false">IF(OR($C23="",$B$2="",$D$2=0),0,IF(AU$3&lt;0,0,N(INDEX('CURVA PREVISION'!$A$1:$KZ$3000,$C23,10+3*MIN(AU$3,$D$2-1)))))</f>
        <v>97.62</v>
      </c>
      <c r="AV23" s="131" t="n">
        <f aca="false">IF(OR($C23="",$B$2="",$D$2=0),0,IF(AV$3&lt;0,0,N(INDEX('CURVA PREVISION'!$A$1:$KZ$3000,$C23,10+3*MIN(AV$3,$D$2-1)))))</f>
        <v>99.74</v>
      </c>
      <c r="AW23" s="131" t="n">
        <f aca="false">IF(OR($C23="",$B$2="",$D$2=0),0,IF(AW$3&lt;0,0,N(INDEX('CURVA PREVISION'!$A$1:$KZ$3000,$C23,10+3*MIN(AW$3,$D$2-1)))))</f>
        <v>100</v>
      </c>
      <c r="AX23" s="131" t="n">
        <f aca="false">IF(OR($C23="",$B$2="",$D$2=0),0,IF(AX$3&lt;0,0,N(INDEX('CURVA PREVISION'!$A$1:$KZ$3000,$C23,10+3*MIN(AX$3,$D$2-1)))))</f>
        <v>100</v>
      </c>
      <c r="AY23" s="131" t="n">
        <f aca="false">IF(OR($C23="",$B$2="",$D$2=0),0,IF(AY$3&lt;0,0,N(INDEX('CURVA PREVISION'!$A$1:$KZ$3000,$C23,10+3*MIN(AY$3,$D$2-1)))))</f>
        <v>100</v>
      </c>
      <c r="AZ23" s="131" t="n">
        <f aca="false">IF(OR($C23="",$B$2="",$D$2=0),0,IF(AZ$3&lt;0,0,N(INDEX('CURVA PREVISION'!$A$1:$KZ$3000,$C23,10+3*MIN(AZ$3,$D$2-1)))))</f>
        <v>100</v>
      </c>
      <c r="BA23" s="131" t="n">
        <f aca="false">IF(OR($C23="",$B$2="",$D$2=0),0,IF(BA$3&lt;0,0,N(INDEX('CURVA PREVISION'!$A$1:$KZ$3000,$C23,10+3*MIN(BA$3,$D$2-1)))))</f>
        <v>100</v>
      </c>
      <c r="BB23" s="131" t="n">
        <f aca="false">IF(OR($C23="",$B$2="",$D$2=0),0,IF(BB$3&lt;0,0,N(INDEX('CURVA PREVISION'!$A$1:$KZ$3000,$C23,10+3*MIN(BB$3,$D$2-1)))))</f>
        <v>100</v>
      </c>
      <c r="BC23" s="131" t="n">
        <f aca="false">IF(OR($C23="",$B$2="",$D$2=0),0,IF(BC$3&lt;0,0,N(INDEX('CURVA PREVISION'!$A$1:$KZ$3000,$C23,10+3*MIN(BC$3,$D$2-1)))))</f>
        <v>100</v>
      </c>
      <c r="BD23" s="131" t="n">
        <f aca="false">IF(OR($C23="",$B$2="",$D$2=0),0,IF(BD$3&lt;0,0,N(INDEX('CURVA PREVISION'!$A$1:$KZ$3000,$C23,10+3*MIN(BD$3,$D$2-1)))))</f>
        <v>100</v>
      </c>
      <c r="BE23" s="131" t="n">
        <f aca="false">IF(OR($C23="",$B$2="",$D$2=0),0,IF(BE$3&lt;0,0,N(INDEX('CURVA PREVISION'!$A$1:$KZ$3000,$C23,10+3*MIN(BE$3,$D$2-1)))))</f>
        <v>100</v>
      </c>
      <c r="BF23" s="131" t="n">
        <f aca="false">IF(OR($C23="",$B$2="",$D$2=0),0,IF(BF$3&lt;0,0,N(INDEX('CURVA PREVISION'!$A$1:$KZ$3000,$C23,10+3*MIN(BF$3,$D$2-1)))))</f>
        <v>100</v>
      </c>
      <c r="BG23" s="131" t="n">
        <f aca="false">IF(OR($C23="",$B$2="",$D$2=0),0,IF(BG$3&lt;0,0,N(INDEX('CURVA PREVISION'!$A$1:$KZ$3000,$C23,10+3*MIN(BG$3,$D$2-1)))))</f>
        <v>100</v>
      </c>
      <c r="BH23" s="131" t="n">
        <f aca="false">IF(OR($C23="",$B$2="",$D$2=0),0,IF(BH$3&lt;0,0,N(INDEX('CURVA PREVISION'!$A$1:$KZ$3000,$C23,10+3*MIN(BH$3,$D$2-1)))))</f>
        <v>100</v>
      </c>
      <c r="BI23" s="131" t="n">
        <f aca="false">IF(OR($C23="",$B$2="",$D$2=0),0,IF(BI$3&lt;0,0,N(INDEX('CURVA PREVISION'!$A$1:$KZ$3000,$C23,10+3*MIN(BI$3,$D$2-1)))))</f>
        <v>100</v>
      </c>
      <c r="BJ23" s="131" t="n">
        <f aca="false">IF(OR($C23="",$B$2="",$D$2=0),0,IF(BJ$3&lt;0,0,N(INDEX('CURVA PREVISION'!$A$1:$KZ$3000,$C23,10+3*MIN(BJ$3,$D$2-1)))))</f>
        <v>100</v>
      </c>
      <c r="BK23" s="131" t="n">
        <f aca="false">IF(OR($C23="",$B$2="",$D$2=0),0,IF(BK$3&lt;0,0,N(INDEX('CURVA PREVISION'!$A$1:$KZ$3000,$C23,10+3*MIN(BK$3,$D$2-1)))))</f>
        <v>100</v>
      </c>
      <c r="BL23" s="131" t="n">
        <f aca="false">IF(OR($C23="",$B$2="",$D$2=0),0,IF(BL$3&lt;0,0,N(INDEX('CURVA PREVISION'!$A$1:$KZ$3000,$C23,10+3*MIN(BL$3,$D$2-1)))))</f>
        <v>100</v>
      </c>
      <c r="BM23" s="131" t="n">
        <f aca="false">IF(OR($C23="",$B$2="",$D$2=0),0,IF(BM$3&lt;0,0,N(INDEX('CURVA PREVISION'!$A$1:$KZ$3000,$C23,10+3*MIN(BM$3,$D$2-1)))))</f>
        <v>100</v>
      </c>
      <c r="BN23" s="131" t="n">
        <f aca="false">IF(OR($C23="",$B$2="",$D$2=0),0,IF(BN$3&lt;0,0,N(INDEX('CURVA PREVISION'!$A$1:$KZ$3000,$C23,10+3*MIN(BN$3,$D$2-1)))))</f>
        <v>100</v>
      </c>
      <c r="BO23" s="131" t="n">
        <f aca="false">IF(OR($C23="",$B$2="",$D$2=0),0,IF(BO$3&lt;0,0,N(INDEX('CURVA PREVISION'!$A$1:$KZ$3000,$C23,10+3*MIN(BO$3,$D$2-1)))))</f>
        <v>100</v>
      </c>
      <c r="BP23" s="131" t="n">
        <f aca="false">IF(OR($C23="",$B$2="",$D$2=0),0,IF(BP$3&lt;0,0,N(INDEX('CURVA PREVISION'!$A$1:$KZ$3000,$C23,10+3*MIN(BP$3,$D$2-1)))))</f>
        <v>100</v>
      </c>
      <c r="BQ23" s="131" t="n">
        <f aca="false">IF(OR($C23="",$B$2="",$D$2=0),0,IF(BQ$3&lt;0,0,N(INDEX('CURVA PREVISION'!$A$1:$KZ$3000,$C23,10+3*MIN(BQ$3,$D$2-1)))))</f>
        <v>100</v>
      </c>
      <c r="BR23" s="131" t="n">
        <f aca="false">IF(OR($C23="",$B$2="",$D$2=0),0,IF(BR$3&lt;0,0,N(INDEX('CURVA PREVISION'!$A$1:$KZ$3000,$C23,10+3*MIN(BR$3,$D$2-1)))))</f>
        <v>100</v>
      </c>
      <c r="BS23" s="131" t="n">
        <f aca="false">IF(OR($C23="",$B$2="",$D$2=0),0,IF(BS$3&lt;0,0,N(INDEX('CURVA PREVISION'!$A$1:$KZ$3000,$C23,10+3*MIN(BS$3,$D$2-1)))))</f>
        <v>100</v>
      </c>
      <c r="BT23" s="131" t="n">
        <f aca="false">IF(OR($C23="",$B$2="",$D$2=0),0,IF(BT$3&lt;0,0,N(INDEX('CURVA PREVISION'!$A$1:$KZ$3000,$C23,10+3*MIN(BT$3,$D$2-1)))))</f>
        <v>100</v>
      </c>
      <c r="BU23" s="131" t="n">
        <f aca="false">IF(OR($C23="",$B$2="",$D$2=0),0,IF(BU$3&lt;0,0,N(INDEX('CURVA PREVISION'!$A$1:$KZ$3000,$C23,10+3*MIN(BU$3,$D$2-1)))))</f>
        <v>100</v>
      </c>
      <c r="BV23" s="131" t="n">
        <f aca="false">IF(OR($C23="",$B$2="",$D$2=0),0,IF(BV$3&lt;0,0,N(INDEX('CURVA PREVISION'!$A$1:$KZ$3000,$C23,10+3*MIN(BV$3,$D$2-1)))))</f>
        <v>100</v>
      </c>
      <c r="BW23" s="131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20</v>
      </c>
      <c r="B24" s="57" t="str">
        <f aca="false">'VALOR POR PL'!D30</f>
        <v>INSTALAÇÕES ELÉTRICAS</v>
      </c>
      <c r="C24" s="64" t="n">
        <f aca="false">IFERROR(MATCH(A24,'CURVA PREVISION'!$B$1:$B$3000,0),"")</f>
        <v>478</v>
      </c>
      <c r="D24" s="131" t="n">
        <f aca="false">IF(OR($C24="",$B$2="",$D$2=0),0,IF(D$3&lt;0,0,N(INDEX('CURVA PREVISION'!$A$1:$KZ$3000,$C24,10+3*MIN(D$3,$D$2-1)))))</f>
        <v>0</v>
      </c>
      <c r="E24" s="131" t="n">
        <f aca="false">IF(OR($C24="",$B$2="",$D$2=0),0,IF(E$3&lt;0,0,N(INDEX('CURVA PREVISION'!$A$1:$KZ$3000,$C24,10+3*MIN(E$3,$D$2-1)))))</f>
        <v>0</v>
      </c>
      <c r="F24" s="131" t="n">
        <f aca="false">IF(OR($C24="",$B$2="",$D$2=0),0,IF(F$3&lt;0,0,N(INDEX('CURVA PREVISION'!$A$1:$KZ$3000,$C24,10+3*MIN(F$3,$D$2-1)))))</f>
        <v>0</v>
      </c>
      <c r="G24" s="131" t="n">
        <f aca="false">IF(OR($C24="",$B$2="",$D$2=0),0,IF(G$3&lt;0,0,N(INDEX('CURVA PREVISION'!$A$1:$KZ$3000,$C24,10+3*MIN(G$3,$D$2-1)))))</f>
        <v>0</v>
      </c>
      <c r="H24" s="131" t="n">
        <f aca="false">IF(OR($C24="",$B$2="",$D$2=0),0,IF(H$3&lt;0,0,N(INDEX('CURVA PREVISION'!$A$1:$KZ$3000,$C24,10+3*MIN(H$3,$D$2-1)))))</f>
        <v>0</v>
      </c>
      <c r="I24" s="131" t="n">
        <f aca="false">IF(OR($C24="",$B$2="",$D$2=0),0,IF(I$3&lt;0,0,N(INDEX('CURVA PREVISION'!$A$1:$KZ$3000,$C24,10+3*MIN(I$3,$D$2-1)))))</f>
        <v>0</v>
      </c>
      <c r="J24" s="131" t="n">
        <f aca="false">IF(OR($C24="",$B$2="",$D$2=0),0,IF(J$3&lt;0,0,N(INDEX('CURVA PREVISION'!$A$1:$KZ$3000,$C24,10+3*MIN(J$3,$D$2-1)))))</f>
        <v>0</v>
      </c>
      <c r="K24" s="131" t="n">
        <f aca="false">IF(OR($C24="",$B$2="",$D$2=0),0,IF(K$3&lt;0,0,N(INDEX('CURVA PREVISION'!$A$1:$KZ$3000,$C24,10+3*MIN(K$3,$D$2-1)))))</f>
        <v>0</v>
      </c>
      <c r="L24" s="131" t="n">
        <f aca="false">IF(OR($C24="",$B$2="",$D$2=0),0,IF(L$3&lt;0,0,N(INDEX('CURVA PREVISION'!$A$1:$KZ$3000,$C24,10+3*MIN(L$3,$D$2-1)))))</f>
        <v>0</v>
      </c>
      <c r="M24" s="131" t="n">
        <f aca="false">IF(OR($C24="",$B$2="",$D$2=0),0,IF(M$3&lt;0,0,N(INDEX('CURVA PREVISION'!$A$1:$KZ$3000,$C24,10+3*MIN(M$3,$D$2-1)))))</f>
        <v>0</v>
      </c>
      <c r="N24" s="131" t="n">
        <f aca="false">IF(OR($C24="",$B$2="",$D$2=0),0,IF(N$3&lt;0,0,N(INDEX('CURVA PREVISION'!$A$1:$KZ$3000,$C24,10+3*MIN(N$3,$D$2-1)))))</f>
        <v>0</v>
      </c>
      <c r="O24" s="131" t="n">
        <f aca="false">IF(OR($C24="",$B$2="",$D$2=0),0,IF(O$3&lt;0,0,N(INDEX('CURVA PREVISION'!$A$1:$KZ$3000,$C24,10+3*MIN(O$3,$D$2-1)))))</f>
        <v>0</v>
      </c>
      <c r="P24" s="131" t="n">
        <f aca="false">IF(OR($C24="",$B$2="",$D$2=0),0,IF(P$3&lt;0,0,N(INDEX('CURVA PREVISION'!$A$1:$KZ$3000,$C24,10+3*MIN(P$3,$D$2-1)))))</f>
        <v>0</v>
      </c>
      <c r="Q24" s="131" t="n">
        <f aca="false">IF(OR($C24="",$B$2="",$D$2=0),0,IF(Q$3&lt;0,0,N(INDEX('CURVA PREVISION'!$A$1:$KZ$3000,$C24,10+3*MIN(Q$3,$D$2-1)))))</f>
        <v>0</v>
      </c>
      <c r="R24" s="131" t="n">
        <f aca="false">IF(OR($C24="",$B$2="",$D$2=0),0,IF(R$3&lt;0,0,N(INDEX('CURVA PREVISION'!$A$1:$KZ$3000,$C24,10+3*MIN(R$3,$D$2-1)))))</f>
        <v>0</v>
      </c>
      <c r="S24" s="131" t="n">
        <f aca="false">IF(OR($C24="",$B$2="",$D$2=0),0,IF(S$3&lt;0,0,N(INDEX('CURVA PREVISION'!$A$1:$KZ$3000,$C24,10+3*MIN(S$3,$D$2-1)))))</f>
        <v>0</v>
      </c>
      <c r="T24" s="131" t="n">
        <f aca="false">IF(OR($C24="",$B$2="",$D$2=0),0,IF(T$3&lt;0,0,N(INDEX('CURVA PREVISION'!$A$1:$KZ$3000,$C24,10+3*MIN(T$3,$D$2-1)))))</f>
        <v>0</v>
      </c>
      <c r="U24" s="131" t="n">
        <f aca="false">IF(OR($C24="",$B$2="",$D$2=0),0,IF(U$3&lt;0,0,N(INDEX('CURVA PREVISION'!$A$1:$KZ$3000,$C24,10+3*MIN(U$3,$D$2-1)))))</f>
        <v>0</v>
      </c>
      <c r="V24" s="131" t="n">
        <f aca="false">IF(OR($C24="",$B$2="",$D$2=0),0,IF(V$3&lt;0,0,N(INDEX('CURVA PREVISION'!$A$1:$KZ$3000,$C24,10+3*MIN(V$3,$D$2-1)))))</f>
        <v>0</v>
      </c>
      <c r="W24" s="131" t="n">
        <f aca="false">IF(OR($C24="",$B$2="",$D$2=0),0,IF(W$3&lt;0,0,N(INDEX('CURVA PREVISION'!$A$1:$KZ$3000,$C24,10+3*MIN(W$3,$D$2-1)))))</f>
        <v>0</v>
      </c>
      <c r="X24" s="131" t="n">
        <f aca="false">IF(OR($C24="",$B$2="",$D$2=0),0,IF(X$3&lt;0,0,N(INDEX('CURVA PREVISION'!$A$1:$KZ$3000,$C24,10+3*MIN(X$3,$D$2-1)))))</f>
        <v>0</v>
      </c>
      <c r="Y24" s="131" t="n">
        <f aca="false">IF(OR($C24="",$B$2="",$D$2=0),0,IF(Y$3&lt;0,0,N(INDEX('CURVA PREVISION'!$A$1:$KZ$3000,$C24,10+3*MIN(Y$3,$D$2-1)))))</f>
        <v>0</v>
      </c>
      <c r="Z24" s="131" t="n">
        <f aca="false">IF(OR($C24="",$B$2="",$D$2=0),0,IF(Z$3&lt;0,0,N(INDEX('CURVA PREVISION'!$A$1:$KZ$3000,$C24,10+3*MIN(Z$3,$D$2-1)))))</f>
        <v>0</v>
      </c>
      <c r="AA24" s="131" t="n">
        <f aca="false">IF(OR($C24="",$B$2="",$D$2=0),0,IF(AA$3&lt;0,0,N(INDEX('CURVA PREVISION'!$A$1:$KZ$3000,$C24,10+3*MIN(AA$3,$D$2-1)))))</f>
        <v>0</v>
      </c>
      <c r="AB24" s="131" t="n">
        <f aca="false">IF(OR($C24="",$B$2="",$D$2=0),0,IF(AB$3&lt;0,0,N(INDEX('CURVA PREVISION'!$A$1:$KZ$3000,$C24,10+3*MIN(AB$3,$D$2-1)))))</f>
        <v>0</v>
      </c>
      <c r="AC24" s="131" t="n">
        <f aca="false">IF(OR($C24="",$B$2="",$D$2=0),0,IF(AC$3&lt;0,0,N(INDEX('CURVA PREVISION'!$A$1:$KZ$3000,$C24,10+3*MIN(AC$3,$D$2-1)))))</f>
        <v>2.78</v>
      </c>
      <c r="AD24" s="131" t="n">
        <f aca="false">IF(OR($C24="",$B$2="",$D$2=0),0,IF(AD$3&lt;0,0,N(INDEX('CURVA PREVISION'!$A$1:$KZ$3000,$C24,10+3*MIN(AD$3,$D$2-1)))))</f>
        <v>4.17</v>
      </c>
      <c r="AE24" s="131" t="n">
        <f aca="false">IF(OR($C24="",$B$2="",$D$2=0),0,IF(AE$3&lt;0,0,N(INDEX('CURVA PREVISION'!$A$1:$KZ$3000,$C24,10+3*MIN(AE$3,$D$2-1)))))</f>
        <v>4.17</v>
      </c>
      <c r="AF24" s="131" t="n">
        <f aca="false">IF(OR($C24="",$B$2="",$D$2=0),0,IF(AF$3&lt;0,0,N(INDEX('CURVA PREVISION'!$A$1:$KZ$3000,$C24,10+3*MIN(AF$3,$D$2-1)))))</f>
        <v>4.22</v>
      </c>
      <c r="AG24" s="131" t="n">
        <f aca="false">IF(OR($C24="",$B$2="",$D$2=0),0,IF(AG$3&lt;0,0,N(INDEX('CURVA PREVISION'!$A$1:$KZ$3000,$C24,10+3*MIN(AG$3,$D$2-1)))))</f>
        <v>5.36</v>
      </c>
      <c r="AH24" s="131" t="n">
        <f aca="false">IF(OR($C24="",$B$2="",$D$2=0),0,IF(AH$3&lt;0,0,N(INDEX('CURVA PREVISION'!$A$1:$KZ$3000,$C24,10+3*MIN(AH$3,$D$2-1)))))</f>
        <v>6.88</v>
      </c>
      <c r="AI24" s="131" t="n">
        <f aca="false">IF(OR($C24="",$B$2="",$D$2=0),0,IF(AI$3&lt;0,0,N(INDEX('CURVA PREVISION'!$A$1:$KZ$3000,$C24,10+3*MIN(AI$3,$D$2-1)))))</f>
        <v>10.34</v>
      </c>
      <c r="AJ24" s="131" t="n">
        <f aca="false">IF(OR($C24="",$B$2="",$D$2=0),0,IF(AJ$3&lt;0,0,N(INDEX('CURVA PREVISION'!$A$1:$KZ$3000,$C24,10+3*MIN(AJ$3,$D$2-1)))))</f>
        <v>13.32</v>
      </c>
      <c r="AK24" s="131" t="n">
        <f aca="false">IF(OR($C24="",$B$2="",$D$2=0),0,IF(AK$3&lt;0,0,N(INDEX('CURVA PREVISION'!$A$1:$KZ$3000,$C24,10+3*MIN(AK$3,$D$2-1)))))</f>
        <v>15.84</v>
      </c>
      <c r="AL24" s="131" t="n">
        <f aca="false">IF(OR($C24="",$B$2="",$D$2=0),0,IF(AL$3&lt;0,0,N(INDEX('CURVA PREVISION'!$A$1:$KZ$3000,$C24,10+3*MIN(AL$3,$D$2-1)))))</f>
        <v>20.04</v>
      </c>
      <c r="AM24" s="131" t="n">
        <f aca="false">IF(OR($C24="",$B$2="",$D$2=0),0,IF(AM$3&lt;0,0,N(INDEX('CURVA PREVISION'!$A$1:$KZ$3000,$C24,10+3*MIN(AM$3,$D$2-1)))))</f>
        <v>26.14</v>
      </c>
      <c r="AN24" s="131" t="n">
        <f aca="false">IF(OR($C24="",$B$2="",$D$2=0),0,IF(AN$3&lt;0,0,N(INDEX('CURVA PREVISION'!$A$1:$KZ$3000,$C24,10+3*MIN(AN$3,$D$2-1)))))</f>
        <v>30.26</v>
      </c>
      <c r="AO24" s="131" t="n">
        <f aca="false">IF(OR($C24="",$B$2="",$D$2=0),0,IF(AO$3&lt;0,0,N(INDEX('CURVA PREVISION'!$A$1:$KZ$3000,$C24,10+3*MIN(AO$3,$D$2-1)))))</f>
        <v>39.29</v>
      </c>
      <c r="AP24" s="131" t="n">
        <f aca="false">IF(OR($C24="",$B$2="",$D$2=0),0,IF(AP$3&lt;0,0,N(INDEX('CURVA PREVISION'!$A$1:$KZ$3000,$C24,10+3*MIN(AP$3,$D$2-1)))))</f>
        <v>49.99</v>
      </c>
      <c r="AQ24" s="131" t="n">
        <f aca="false">IF(OR($C24="",$B$2="",$D$2=0),0,IF(AQ$3&lt;0,0,N(INDEX('CURVA PREVISION'!$A$1:$KZ$3000,$C24,10+3*MIN(AQ$3,$D$2-1)))))</f>
        <v>56.15</v>
      </c>
      <c r="AR24" s="131" t="n">
        <f aca="false">IF(OR($C24="",$B$2="",$D$2=0),0,IF(AR$3&lt;0,0,N(INDEX('CURVA PREVISION'!$A$1:$KZ$3000,$C24,10+3*MIN(AR$3,$D$2-1)))))</f>
        <v>59.98</v>
      </c>
      <c r="AS24" s="131" t="n">
        <f aca="false">IF(OR($C24="",$B$2="",$D$2=0),0,IF(AS$3&lt;0,0,N(INDEX('CURVA PREVISION'!$A$1:$KZ$3000,$C24,10+3*MIN(AS$3,$D$2-1)))))</f>
        <v>69.23</v>
      </c>
      <c r="AT24" s="131" t="n">
        <f aca="false">IF(OR($C24="",$B$2="",$D$2=0),0,IF(AT$3&lt;0,0,N(INDEX('CURVA PREVISION'!$A$1:$KZ$3000,$C24,10+3*MIN(AT$3,$D$2-1)))))</f>
        <v>74.53</v>
      </c>
      <c r="AU24" s="131" t="n">
        <f aca="false">IF(OR($C24="",$B$2="",$D$2=0),0,IF(AU$3&lt;0,0,N(INDEX('CURVA PREVISION'!$A$1:$KZ$3000,$C24,10+3*MIN(AU$3,$D$2-1)))))</f>
        <v>78.92</v>
      </c>
      <c r="AV24" s="131" t="n">
        <f aca="false">IF(OR($C24="",$B$2="",$D$2=0),0,IF(AV$3&lt;0,0,N(INDEX('CURVA PREVISION'!$A$1:$KZ$3000,$C24,10+3*MIN(AV$3,$D$2-1)))))</f>
        <v>84.83</v>
      </c>
      <c r="AW24" s="131" t="n">
        <f aca="false">IF(OR($C24="",$B$2="",$D$2=0),0,IF(AW$3&lt;0,0,N(INDEX('CURVA PREVISION'!$A$1:$KZ$3000,$C24,10+3*MIN(AW$3,$D$2-1)))))</f>
        <v>87.3</v>
      </c>
      <c r="AX24" s="131" t="n">
        <f aca="false">IF(OR($C24="",$B$2="",$D$2=0),0,IF(AX$3&lt;0,0,N(INDEX('CURVA PREVISION'!$A$1:$KZ$3000,$C24,10+3*MIN(AX$3,$D$2-1)))))</f>
        <v>91.31</v>
      </c>
      <c r="AY24" s="131" t="n">
        <f aca="false">IF(OR($C24="",$B$2="",$D$2=0),0,IF(AY$3&lt;0,0,N(INDEX('CURVA PREVISION'!$A$1:$KZ$3000,$C24,10+3*MIN(AY$3,$D$2-1)))))</f>
        <v>93.1</v>
      </c>
      <c r="AZ24" s="131" t="n">
        <f aca="false">IF(OR($C24="",$B$2="",$D$2=0),0,IF(AZ$3&lt;0,0,N(INDEX('CURVA PREVISION'!$A$1:$KZ$3000,$C24,10+3*MIN(AZ$3,$D$2-1)))))</f>
        <v>94.68</v>
      </c>
      <c r="BA24" s="131" t="n">
        <f aca="false">IF(OR($C24="",$B$2="",$D$2=0),0,IF(BA$3&lt;0,0,N(INDEX('CURVA PREVISION'!$A$1:$KZ$3000,$C24,10+3*MIN(BA$3,$D$2-1)))))</f>
        <v>97.6</v>
      </c>
      <c r="BB24" s="131" t="n">
        <f aca="false">IF(OR($C24="",$B$2="",$D$2=0),0,IF(BB$3&lt;0,0,N(INDEX('CURVA PREVISION'!$A$1:$KZ$3000,$C24,10+3*MIN(BB$3,$D$2-1)))))</f>
        <v>99.91</v>
      </c>
      <c r="BC24" s="131" t="n">
        <f aca="false">IF(OR($C24="",$B$2="",$D$2=0),0,IF(BC$3&lt;0,0,N(INDEX('CURVA PREVISION'!$A$1:$KZ$3000,$C24,10+3*MIN(BC$3,$D$2-1)))))</f>
        <v>100</v>
      </c>
      <c r="BD24" s="131" t="n">
        <f aca="false">IF(OR($C24="",$B$2="",$D$2=0),0,IF(BD$3&lt;0,0,N(INDEX('CURVA PREVISION'!$A$1:$KZ$3000,$C24,10+3*MIN(BD$3,$D$2-1)))))</f>
        <v>100</v>
      </c>
      <c r="BE24" s="131" t="n">
        <f aca="false">IF(OR($C24="",$B$2="",$D$2=0),0,IF(BE$3&lt;0,0,N(INDEX('CURVA PREVISION'!$A$1:$KZ$3000,$C24,10+3*MIN(BE$3,$D$2-1)))))</f>
        <v>100</v>
      </c>
      <c r="BF24" s="131" t="n">
        <f aca="false">IF(OR($C24="",$B$2="",$D$2=0),0,IF(BF$3&lt;0,0,N(INDEX('CURVA PREVISION'!$A$1:$KZ$3000,$C24,10+3*MIN(BF$3,$D$2-1)))))</f>
        <v>100</v>
      </c>
      <c r="BG24" s="131" t="n">
        <f aca="false">IF(OR($C24="",$B$2="",$D$2=0),0,IF(BG$3&lt;0,0,N(INDEX('CURVA PREVISION'!$A$1:$KZ$3000,$C24,10+3*MIN(BG$3,$D$2-1)))))</f>
        <v>100</v>
      </c>
      <c r="BH24" s="131" t="n">
        <f aca="false">IF(OR($C24="",$B$2="",$D$2=0),0,IF(BH$3&lt;0,0,N(INDEX('CURVA PREVISION'!$A$1:$KZ$3000,$C24,10+3*MIN(BH$3,$D$2-1)))))</f>
        <v>100</v>
      </c>
      <c r="BI24" s="131" t="n">
        <f aca="false">IF(OR($C24="",$B$2="",$D$2=0),0,IF(BI$3&lt;0,0,N(INDEX('CURVA PREVISION'!$A$1:$KZ$3000,$C24,10+3*MIN(BI$3,$D$2-1)))))</f>
        <v>100</v>
      </c>
      <c r="BJ24" s="131" t="n">
        <f aca="false">IF(OR($C24="",$B$2="",$D$2=0),0,IF(BJ$3&lt;0,0,N(INDEX('CURVA PREVISION'!$A$1:$KZ$3000,$C24,10+3*MIN(BJ$3,$D$2-1)))))</f>
        <v>100</v>
      </c>
      <c r="BK24" s="131" t="n">
        <f aca="false">IF(OR($C24="",$B$2="",$D$2=0),0,IF(BK$3&lt;0,0,N(INDEX('CURVA PREVISION'!$A$1:$KZ$3000,$C24,10+3*MIN(BK$3,$D$2-1)))))</f>
        <v>100</v>
      </c>
      <c r="BL24" s="131" t="n">
        <f aca="false">IF(OR($C24="",$B$2="",$D$2=0),0,IF(BL$3&lt;0,0,N(INDEX('CURVA PREVISION'!$A$1:$KZ$3000,$C24,10+3*MIN(BL$3,$D$2-1)))))</f>
        <v>100</v>
      </c>
      <c r="BM24" s="131" t="n">
        <f aca="false">IF(OR($C24="",$B$2="",$D$2=0),0,IF(BM$3&lt;0,0,N(INDEX('CURVA PREVISION'!$A$1:$KZ$3000,$C24,10+3*MIN(BM$3,$D$2-1)))))</f>
        <v>100</v>
      </c>
      <c r="BN24" s="131" t="n">
        <f aca="false">IF(OR($C24="",$B$2="",$D$2=0),0,IF(BN$3&lt;0,0,N(INDEX('CURVA PREVISION'!$A$1:$KZ$3000,$C24,10+3*MIN(BN$3,$D$2-1)))))</f>
        <v>100</v>
      </c>
      <c r="BO24" s="131" t="n">
        <f aca="false">IF(OR($C24="",$B$2="",$D$2=0),0,IF(BO$3&lt;0,0,N(INDEX('CURVA PREVISION'!$A$1:$KZ$3000,$C24,10+3*MIN(BO$3,$D$2-1)))))</f>
        <v>100</v>
      </c>
      <c r="BP24" s="131" t="n">
        <f aca="false">IF(OR($C24="",$B$2="",$D$2=0),0,IF(BP$3&lt;0,0,N(INDEX('CURVA PREVISION'!$A$1:$KZ$3000,$C24,10+3*MIN(BP$3,$D$2-1)))))</f>
        <v>100</v>
      </c>
      <c r="BQ24" s="131" t="n">
        <f aca="false">IF(OR($C24="",$B$2="",$D$2=0),0,IF(BQ$3&lt;0,0,N(INDEX('CURVA PREVISION'!$A$1:$KZ$3000,$C24,10+3*MIN(BQ$3,$D$2-1)))))</f>
        <v>100</v>
      </c>
      <c r="BR24" s="131" t="n">
        <f aca="false">IF(OR($C24="",$B$2="",$D$2=0),0,IF(BR$3&lt;0,0,N(INDEX('CURVA PREVISION'!$A$1:$KZ$3000,$C24,10+3*MIN(BR$3,$D$2-1)))))</f>
        <v>100</v>
      </c>
      <c r="BS24" s="131" t="n">
        <f aca="false">IF(OR($C24="",$B$2="",$D$2=0),0,IF(BS$3&lt;0,0,N(INDEX('CURVA PREVISION'!$A$1:$KZ$3000,$C24,10+3*MIN(BS$3,$D$2-1)))))</f>
        <v>100</v>
      </c>
      <c r="BT24" s="131" t="n">
        <f aca="false">IF(OR($C24="",$B$2="",$D$2=0),0,IF(BT$3&lt;0,0,N(INDEX('CURVA PREVISION'!$A$1:$KZ$3000,$C24,10+3*MIN(BT$3,$D$2-1)))))</f>
        <v>100</v>
      </c>
      <c r="BU24" s="131" t="n">
        <f aca="false">IF(OR($C24="",$B$2="",$D$2=0),0,IF(BU$3&lt;0,0,N(INDEX('CURVA PREVISION'!$A$1:$KZ$3000,$C24,10+3*MIN(BU$3,$D$2-1)))))</f>
        <v>100</v>
      </c>
      <c r="BV24" s="131" t="n">
        <f aca="false">IF(OR($C24="",$B$2="",$D$2=0),0,IF(BV$3&lt;0,0,N(INDEX('CURVA PREVISION'!$A$1:$KZ$3000,$C24,10+3*MIN(BV$3,$D$2-1)))))</f>
        <v>100</v>
      </c>
      <c r="BW24" s="131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21</v>
      </c>
      <c r="B25" s="57" t="str">
        <f aca="false">'VALOR POR PL'!D31</f>
        <v>INSTALAÇÕES HIDROSANITÁRIAS</v>
      </c>
      <c r="C25" s="64" t="n">
        <f aca="false">IFERROR(MATCH(A25,'CURVA PREVISION'!$B$1:$B$3000,0),"")</f>
        <v>500</v>
      </c>
      <c r="D25" s="131" t="n">
        <f aca="false">IF(OR($C25="",$B$2="",$D$2=0),0,IF(D$3&lt;0,0,N(INDEX('CURVA PREVISION'!$A$1:$KZ$3000,$C25,10+3*MIN(D$3,$D$2-1)))))</f>
        <v>0</v>
      </c>
      <c r="E25" s="131" t="n">
        <f aca="false">IF(OR($C25="",$B$2="",$D$2=0),0,IF(E$3&lt;0,0,N(INDEX('CURVA PREVISION'!$A$1:$KZ$3000,$C25,10+3*MIN(E$3,$D$2-1)))))</f>
        <v>0</v>
      </c>
      <c r="F25" s="131" t="n">
        <f aca="false">IF(OR($C25="",$B$2="",$D$2=0),0,IF(F$3&lt;0,0,N(INDEX('CURVA PREVISION'!$A$1:$KZ$3000,$C25,10+3*MIN(F$3,$D$2-1)))))</f>
        <v>0</v>
      </c>
      <c r="G25" s="131" t="n">
        <f aca="false">IF(OR($C25="",$B$2="",$D$2=0),0,IF(G$3&lt;0,0,N(INDEX('CURVA PREVISION'!$A$1:$KZ$3000,$C25,10+3*MIN(G$3,$D$2-1)))))</f>
        <v>0</v>
      </c>
      <c r="H25" s="131" t="n">
        <f aca="false">IF(OR($C25="",$B$2="",$D$2=0),0,IF(H$3&lt;0,0,N(INDEX('CURVA PREVISION'!$A$1:$KZ$3000,$C25,10+3*MIN(H$3,$D$2-1)))))</f>
        <v>0</v>
      </c>
      <c r="I25" s="131" t="n">
        <f aca="false">IF(OR($C25="",$B$2="",$D$2=0),0,IF(I$3&lt;0,0,N(INDEX('CURVA PREVISION'!$A$1:$KZ$3000,$C25,10+3*MIN(I$3,$D$2-1)))))</f>
        <v>0</v>
      </c>
      <c r="J25" s="131" t="n">
        <f aca="false">IF(OR($C25="",$B$2="",$D$2=0),0,IF(J$3&lt;0,0,N(INDEX('CURVA PREVISION'!$A$1:$KZ$3000,$C25,10+3*MIN(J$3,$D$2-1)))))</f>
        <v>0</v>
      </c>
      <c r="K25" s="131" t="n">
        <f aca="false">IF(OR($C25="",$B$2="",$D$2=0),0,IF(K$3&lt;0,0,N(INDEX('CURVA PREVISION'!$A$1:$KZ$3000,$C25,10+3*MIN(K$3,$D$2-1)))))</f>
        <v>0</v>
      </c>
      <c r="L25" s="131" t="n">
        <f aca="false">IF(OR($C25="",$B$2="",$D$2=0),0,IF(L$3&lt;0,0,N(INDEX('CURVA PREVISION'!$A$1:$KZ$3000,$C25,10+3*MIN(L$3,$D$2-1)))))</f>
        <v>0</v>
      </c>
      <c r="M25" s="131" t="n">
        <f aca="false">IF(OR($C25="",$B$2="",$D$2=0),0,IF(M$3&lt;0,0,N(INDEX('CURVA PREVISION'!$A$1:$KZ$3000,$C25,10+3*MIN(M$3,$D$2-1)))))</f>
        <v>0</v>
      </c>
      <c r="N25" s="131" t="n">
        <f aca="false">IF(OR($C25="",$B$2="",$D$2=0),0,IF(N$3&lt;0,0,N(INDEX('CURVA PREVISION'!$A$1:$KZ$3000,$C25,10+3*MIN(N$3,$D$2-1)))))</f>
        <v>0</v>
      </c>
      <c r="O25" s="131" t="n">
        <f aca="false">IF(OR($C25="",$B$2="",$D$2=0),0,IF(O$3&lt;0,0,N(INDEX('CURVA PREVISION'!$A$1:$KZ$3000,$C25,10+3*MIN(O$3,$D$2-1)))))</f>
        <v>0</v>
      </c>
      <c r="P25" s="131" t="n">
        <f aca="false">IF(OR($C25="",$B$2="",$D$2=0),0,IF(P$3&lt;0,0,N(INDEX('CURVA PREVISION'!$A$1:$KZ$3000,$C25,10+3*MIN(P$3,$D$2-1)))))</f>
        <v>0</v>
      </c>
      <c r="Q25" s="131" t="n">
        <f aca="false">IF(OR($C25="",$B$2="",$D$2=0),0,IF(Q$3&lt;0,0,N(INDEX('CURVA PREVISION'!$A$1:$KZ$3000,$C25,10+3*MIN(Q$3,$D$2-1)))))</f>
        <v>0</v>
      </c>
      <c r="R25" s="131" t="n">
        <f aca="false">IF(OR($C25="",$B$2="",$D$2=0),0,IF(R$3&lt;0,0,N(INDEX('CURVA PREVISION'!$A$1:$KZ$3000,$C25,10+3*MIN(R$3,$D$2-1)))))</f>
        <v>0</v>
      </c>
      <c r="S25" s="131" t="n">
        <f aca="false">IF(OR($C25="",$B$2="",$D$2=0),0,IF(S$3&lt;0,0,N(INDEX('CURVA PREVISION'!$A$1:$KZ$3000,$C25,10+3*MIN(S$3,$D$2-1)))))</f>
        <v>0</v>
      </c>
      <c r="T25" s="131" t="n">
        <f aca="false">IF(OR($C25="",$B$2="",$D$2=0),0,IF(T$3&lt;0,0,N(INDEX('CURVA PREVISION'!$A$1:$KZ$3000,$C25,10+3*MIN(T$3,$D$2-1)))))</f>
        <v>0</v>
      </c>
      <c r="U25" s="131" t="n">
        <f aca="false">IF(OR($C25="",$B$2="",$D$2=0),0,IF(U$3&lt;0,0,N(INDEX('CURVA PREVISION'!$A$1:$KZ$3000,$C25,10+3*MIN(U$3,$D$2-1)))))</f>
        <v>0</v>
      </c>
      <c r="V25" s="131" t="n">
        <f aca="false">IF(OR($C25="",$B$2="",$D$2=0),0,IF(V$3&lt;0,0,N(INDEX('CURVA PREVISION'!$A$1:$KZ$3000,$C25,10+3*MIN(V$3,$D$2-1)))))</f>
        <v>0</v>
      </c>
      <c r="W25" s="131" t="n">
        <f aca="false">IF(OR($C25="",$B$2="",$D$2=0),0,IF(W$3&lt;0,0,N(INDEX('CURVA PREVISION'!$A$1:$KZ$3000,$C25,10+3*MIN(W$3,$D$2-1)))))</f>
        <v>0</v>
      </c>
      <c r="X25" s="131" t="n">
        <f aca="false">IF(OR($C25="",$B$2="",$D$2=0),0,IF(X$3&lt;0,0,N(INDEX('CURVA PREVISION'!$A$1:$KZ$3000,$C25,10+3*MIN(X$3,$D$2-1)))))</f>
        <v>0</v>
      </c>
      <c r="Y25" s="131" t="n">
        <f aca="false">IF(OR($C25="",$B$2="",$D$2=0),0,IF(Y$3&lt;0,0,N(INDEX('CURVA PREVISION'!$A$1:$KZ$3000,$C25,10+3*MIN(Y$3,$D$2-1)))))</f>
        <v>0</v>
      </c>
      <c r="Z25" s="131" t="n">
        <f aca="false">IF(OR($C25="",$B$2="",$D$2=0),0,IF(Z$3&lt;0,0,N(INDEX('CURVA PREVISION'!$A$1:$KZ$3000,$C25,10+3*MIN(Z$3,$D$2-1)))))</f>
        <v>0</v>
      </c>
      <c r="AA25" s="131" t="n">
        <f aca="false">IF(OR($C25="",$B$2="",$D$2=0),0,IF(AA$3&lt;0,0,N(INDEX('CURVA PREVISION'!$A$1:$KZ$3000,$C25,10+3*MIN(AA$3,$D$2-1)))))</f>
        <v>0</v>
      </c>
      <c r="AB25" s="131" t="n">
        <f aca="false">IF(OR($C25="",$B$2="",$D$2=0),0,IF(AB$3&lt;0,0,N(INDEX('CURVA PREVISION'!$A$1:$KZ$3000,$C25,10+3*MIN(AB$3,$D$2-1)))))</f>
        <v>0</v>
      </c>
      <c r="AC25" s="131" t="n">
        <f aca="false">IF(OR($C25="",$B$2="",$D$2=0),0,IF(AC$3&lt;0,0,N(INDEX('CURVA PREVISION'!$A$1:$KZ$3000,$C25,10+3*MIN(AC$3,$D$2-1)))))</f>
        <v>10.58</v>
      </c>
      <c r="AD25" s="131" t="n">
        <f aca="false">IF(OR($C25="",$B$2="",$D$2=0),0,IF(AD$3&lt;0,0,N(INDEX('CURVA PREVISION'!$A$1:$KZ$3000,$C25,10+3*MIN(AD$3,$D$2-1)))))</f>
        <v>14.11</v>
      </c>
      <c r="AE25" s="131" t="n">
        <f aca="false">IF(OR($C25="",$B$2="",$D$2=0),0,IF(AE$3&lt;0,0,N(INDEX('CURVA PREVISION'!$A$1:$KZ$3000,$C25,10+3*MIN(AE$3,$D$2-1)))))</f>
        <v>14.11</v>
      </c>
      <c r="AF25" s="131" t="n">
        <f aca="false">IF(OR($C25="",$B$2="",$D$2=0),0,IF(AF$3&lt;0,0,N(INDEX('CURVA PREVISION'!$A$1:$KZ$3000,$C25,10+3*MIN(AF$3,$D$2-1)))))</f>
        <v>14.99</v>
      </c>
      <c r="AG25" s="131" t="n">
        <f aca="false">IF(OR($C25="",$B$2="",$D$2=0),0,IF(AG$3&lt;0,0,N(INDEX('CURVA PREVISION'!$A$1:$KZ$3000,$C25,10+3*MIN(AG$3,$D$2-1)))))</f>
        <v>20.09</v>
      </c>
      <c r="AH25" s="131" t="n">
        <f aca="false">IF(OR($C25="",$B$2="",$D$2=0),0,IF(AH$3&lt;0,0,N(INDEX('CURVA PREVISION'!$A$1:$KZ$3000,$C25,10+3*MIN(AH$3,$D$2-1)))))</f>
        <v>25.71</v>
      </c>
      <c r="AI25" s="131" t="n">
        <f aca="false">IF(OR($C25="",$B$2="",$D$2=0),0,IF(AI$3&lt;0,0,N(INDEX('CURVA PREVISION'!$A$1:$KZ$3000,$C25,10+3*MIN(AI$3,$D$2-1)))))</f>
        <v>31.52</v>
      </c>
      <c r="AJ25" s="131" t="n">
        <f aca="false">IF(OR($C25="",$B$2="",$D$2=0),0,IF(AJ$3&lt;0,0,N(INDEX('CURVA PREVISION'!$A$1:$KZ$3000,$C25,10+3*MIN(AJ$3,$D$2-1)))))</f>
        <v>37.47</v>
      </c>
      <c r="AK25" s="131" t="n">
        <f aca="false">IF(OR($C25="",$B$2="",$D$2=0),0,IF(AK$3&lt;0,0,N(INDEX('CURVA PREVISION'!$A$1:$KZ$3000,$C25,10+3*MIN(AK$3,$D$2-1)))))</f>
        <v>43.29</v>
      </c>
      <c r="AL25" s="131" t="n">
        <f aca="false">IF(OR($C25="",$B$2="",$D$2=0),0,IF(AL$3&lt;0,0,N(INDEX('CURVA PREVISION'!$A$1:$KZ$3000,$C25,10+3*MIN(AL$3,$D$2-1)))))</f>
        <v>51.98</v>
      </c>
      <c r="AM25" s="131" t="n">
        <f aca="false">IF(OR($C25="",$B$2="",$D$2=0),0,IF(AM$3&lt;0,0,N(INDEX('CURVA PREVISION'!$A$1:$KZ$3000,$C25,10+3*MIN(AM$3,$D$2-1)))))</f>
        <v>60.16</v>
      </c>
      <c r="AN25" s="131" t="n">
        <f aca="false">IF(OR($C25="",$B$2="",$D$2=0),0,IF(AN$3&lt;0,0,N(INDEX('CURVA PREVISION'!$A$1:$KZ$3000,$C25,10+3*MIN(AN$3,$D$2-1)))))</f>
        <v>65.07</v>
      </c>
      <c r="AO25" s="131" t="n">
        <f aca="false">IF(OR($C25="",$B$2="",$D$2=0),0,IF(AO$3&lt;0,0,N(INDEX('CURVA PREVISION'!$A$1:$KZ$3000,$C25,10+3*MIN(AO$3,$D$2-1)))))</f>
        <v>71.19</v>
      </c>
      <c r="AP25" s="131" t="n">
        <f aca="false">IF(OR($C25="",$B$2="",$D$2=0),0,IF(AP$3&lt;0,0,N(INDEX('CURVA PREVISION'!$A$1:$KZ$3000,$C25,10+3*MIN(AP$3,$D$2-1)))))</f>
        <v>76.79</v>
      </c>
      <c r="AQ25" s="131" t="n">
        <f aca="false">IF(OR($C25="",$B$2="",$D$2=0),0,IF(AQ$3&lt;0,0,N(INDEX('CURVA PREVISION'!$A$1:$KZ$3000,$C25,10+3*MIN(AQ$3,$D$2-1)))))</f>
        <v>80.38</v>
      </c>
      <c r="AR25" s="131" t="n">
        <f aca="false">IF(OR($C25="",$B$2="",$D$2=0),0,IF(AR$3&lt;0,0,N(INDEX('CURVA PREVISION'!$A$1:$KZ$3000,$C25,10+3*MIN(AR$3,$D$2-1)))))</f>
        <v>84.42</v>
      </c>
      <c r="AS25" s="131" t="n">
        <f aca="false">IF(OR($C25="",$B$2="",$D$2=0),0,IF(AS$3&lt;0,0,N(INDEX('CURVA PREVISION'!$A$1:$KZ$3000,$C25,10+3*MIN(AS$3,$D$2-1)))))</f>
        <v>92.53</v>
      </c>
      <c r="AT25" s="131" t="n">
        <f aca="false">IF(OR($C25="",$B$2="",$D$2=0),0,IF(AT$3&lt;0,0,N(INDEX('CURVA PREVISION'!$A$1:$KZ$3000,$C25,10+3*MIN(AT$3,$D$2-1)))))</f>
        <v>95.68</v>
      </c>
      <c r="AU25" s="131" t="n">
        <f aca="false">IF(OR($C25="",$B$2="",$D$2=0),0,IF(AU$3&lt;0,0,N(INDEX('CURVA PREVISION'!$A$1:$KZ$3000,$C25,10+3*MIN(AU$3,$D$2-1)))))</f>
        <v>98.41</v>
      </c>
      <c r="AV25" s="131" t="n">
        <f aca="false">IF(OR($C25="",$B$2="",$D$2=0),0,IF(AV$3&lt;0,0,N(INDEX('CURVA PREVISION'!$A$1:$KZ$3000,$C25,10+3*MIN(AV$3,$D$2-1)))))</f>
        <v>100</v>
      </c>
      <c r="AW25" s="131" t="n">
        <f aca="false">IF(OR($C25="",$B$2="",$D$2=0),0,IF(AW$3&lt;0,0,N(INDEX('CURVA PREVISION'!$A$1:$KZ$3000,$C25,10+3*MIN(AW$3,$D$2-1)))))</f>
        <v>100</v>
      </c>
      <c r="AX25" s="131" t="n">
        <f aca="false">IF(OR($C25="",$B$2="",$D$2=0),0,IF(AX$3&lt;0,0,N(INDEX('CURVA PREVISION'!$A$1:$KZ$3000,$C25,10+3*MIN(AX$3,$D$2-1)))))</f>
        <v>100</v>
      </c>
      <c r="AY25" s="131" t="n">
        <f aca="false">IF(OR($C25="",$B$2="",$D$2=0),0,IF(AY$3&lt;0,0,N(INDEX('CURVA PREVISION'!$A$1:$KZ$3000,$C25,10+3*MIN(AY$3,$D$2-1)))))</f>
        <v>100</v>
      </c>
      <c r="AZ25" s="131" t="n">
        <f aca="false">IF(OR($C25="",$B$2="",$D$2=0),0,IF(AZ$3&lt;0,0,N(INDEX('CURVA PREVISION'!$A$1:$KZ$3000,$C25,10+3*MIN(AZ$3,$D$2-1)))))</f>
        <v>100</v>
      </c>
      <c r="BA25" s="131" t="n">
        <f aca="false">IF(OR($C25="",$B$2="",$D$2=0),0,IF(BA$3&lt;0,0,N(INDEX('CURVA PREVISION'!$A$1:$KZ$3000,$C25,10+3*MIN(BA$3,$D$2-1)))))</f>
        <v>100</v>
      </c>
      <c r="BB25" s="131" t="n">
        <f aca="false">IF(OR($C25="",$B$2="",$D$2=0),0,IF(BB$3&lt;0,0,N(INDEX('CURVA PREVISION'!$A$1:$KZ$3000,$C25,10+3*MIN(BB$3,$D$2-1)))))</f>
        <v>100</v>
      </c>
      <c r="BC25" s="131" t="n">
        <f aca="false">IF(OR($C25="",$B$2="",$D$2=0),0,IF(BC$3&lt;0,0,N(INDEX('CURVA PREVISION'!$A$1:$KZ$3000,$C25,10+3*MIN(BC$3,$D$2-1)))))</f>
        <v>100</v>
      </c>
      <c r="BD25" s="131" t="n">
        <f aca="false">IF(OR($C25="",$B$2="",$D$2=0),0,IF(BD$3&lt;0,0,N(INDEX('CURVA PREVISION'!$A$1:$KZ$3000,$C25,10+3*MIN(BD$3,$D$2-1)))))</f>
        <v>100</v>
      </c>
      <c r="BE25" s="131" t="n">
        <f aca="false">IF(OR($C25="",$B$2="",$D$2=0),0,IF(BE$3&lt;0,0,N(INDEX('CURVA PREVISION'!$A$1:$KZ$3000,$C25,10+3*MIN(BE$3,$D$2-1)))))</f>
        <v>100</v>
      </c>
      <c r="BF25" s="131" t="n">
        <f aca="false">IF(OR($C25="",$B$2="",$D$2=0),0,IF(BF$3&lt;0,0,N(INDEX('CURVA PREVISION'!$A$1:$KZ$3000,$C25,10+3*MIN(BF$3,$D$2-1)))))</f>
        <v>100</v>
      </c>
      <c r="BG25" s="131" t="n">
        <f aca="false">IF(OR($C25="",$B$2="",$D$2=0),0,IF(BG$3&lt;0,0,N(INDEX('CURVA PREVISION'!$A$1:$KZ$3000,$C25,10+3*MIN(BG$3,$D$2-1)))))</f>
        <v>100</v>
      </c>
      <c r="BH25" s="131" t="n">
        <f aca="false">IF(OR($C25="",$B$2="",$D$2=0),0,IF(BH$3&lt;0,0,N(INDEX('CURVA PREVISION'!$A$1:$KZ$3000,$C25,10+3*MIN(BH$3,$D$2-1)))))</f>
        <v>100</v>
      </c>
      <c r="BI25" s="131" t="n">
        <f aca="false">IF(OR($C25="",$B$2="",$D$2=0),0,IF(BI$3&lt;0,0,N(INDEX('CURVA PREVISION'!$A$1:$KZ$3000,$C25,10+3*MIN(BI$3,$D$2-1)))))</f>
        <v>100</v>
      </c>
      <c r="BJ25" s="131" t="n">
        <f aca="false">IF(OR($C25="",$B$2="",$D$2=0),0,IF(BJ$3&lt;0,0,N(INDEX('CURVA PREVISION'!$A$1:$KZ$3000,$C25,10+3*MIN(BJ$3,$D$2-1)))))</f>
        <v>100</v>
      </c>
      <c r="BK25" s="131" t="n">
        <f aca="false">IF(OR($C25="",$B$2="",$D$2=0),0,IF(BK$3&lt;0,0,N(INDEX('CURVA PREVISION'!$A$1:$KZ$3000,$C25,10+3*MIN(BK$3,$D$2-1)))))</f>
        <v>100</v>
      </c>
      <c r="BL25" s="131" t="n">
        <f aca="false">IF(OR($C25="",$B$2="",$D$2=0),0,IF(BL$3&lt;0,0,N(INDEX('CURVA PREVISION'!$A$1:$KZ$3000,$C25,10+3*MIN(BL$3,$D$2-1)))))</f>
        <v>100</v>
      </c>
      <c r="BM25" s="131" t="n">
        <f aca="false">IF(OR($C25="",$B$2="",$D$2=0),0,IF(BM$3&lt;0,0,N(INDEX('CURVA PREVISION'!$A$1:$KZ$3000,$C25,10+3*MIN(BM$3,$D$2-1)))))</f>
        <v>100</v>
      </c>
      <c r="BN25" s="131" t="n">
        <f aca="false">IF(OR($C25="",$B$2="",$D$2=0),0,IF(BN$3&lt;0,0,N(INDEX('CURVA PREVISION'!$A$1:$KZ$3000,$C25,10+3*MIN(BN$3,$D$2-1)))))</f>
        <v>100</v>
      </c>
      <c r="BO25" s="131" t="n">
        <f aca="false">IF(OR($C25="",$B$2="",$D$2=0),0,IF(BO$3&lt;0,0,N(INDEX('CURVA PREVISION'!$A$1:$KZ$3000,$C25,10+3*MIN(BO$3,$D$2-1)))))</f>
        <v>100</v>
      </c>
      <c r="BP25" s="131" t="n">
        <f aca="false">IF(OR($C25="",$B$2="",$D$2=0),0,IF(BP$3&lt;0,0,N(INDEX('CURVA PREVISION'!$A$1:$KZ$3000,$C25,10+3*MIN(BP$3,$D$2-1)))))</f>
        <v>100</v>
      </c>
      <c r="BQ25" s="131" t="n">
        <f aca="false">IF(OR($C25="",$B$2="",$D$2=0),0,IF(BQ$3&lt;0,0,N(INDEX('CURVA PREVISION'!$A$1:$KZ$3000,$C25,10+3*MIN(BQ$3,$D$2-1)))))</f>
        <v>100</v>
      </c>
      <c r="BR25" s="131" t="n">
        <f aca="false">IF(OR($C25="",$B$2="",$D$2=0),0,IF(BR$3&lt;0,0,N(INDEX('CURVA PREVISION'!$A$1:$KZ$3000,$C25,10+3*MIN(BR$3,$D$2-1)))))</f>
        <v>100</v>
      </c>
      <c r="BS25" s="131" t="n">
        <f aca="false">IF(OR($C25="",$B$2="",$D$2=0),0,IF(BS$3&lt;0,0,N(INDEX('CURVA PREVISION'!$A$1:$KZ$3000,$C25,10+3*MIN(BS$3,$D$2-1)))))</f>
        <v>100</v>
      </c>
      <c r="BT25" s="131" t="n">
        <f aca="false">IF(OR($C25="",$B$2="",$D$2=0),0,IF(BT$3&lt;0,0,N(INDEX('CURVA PREVISION'!$A$1:$KZ$3000,$C25,10+3*MIN(BT$3,$D$2-1)))))</f>
        <v>100</v>
      </c>
      <c r="BU25" s="131" t="n">
        <f aca="false">IF(OR($C25="",$B$2="",$D$2=0),0,IF(BU$3&lt;0,0,N(INDEX('CURVA PREVISION'!$A$1:$KZ$3000,$C25,10+3*MIN(BU$3,$D$2-1)))))</f>
        <v>100</v>
      </c>
      <c r="BV25" s="131" t="n">
        <f aca="false">IF(OR($C25="",$B$2="",$D$2=0),0,IF(BV$3&lt;0,0,N(INDEX('CURVA PREVISION'!$A$1:$KZ$3000,$C25,10+3*MIN(BV$3,$D$2-1)))))</f>
        <v>100</v>
      </c>
      <c r="BW25" s="131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22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531</v>
      </c>
      <c r="D26" s="131" t="n">
        <f aca="false">IF(OR($C26="",$B$2="",$D$2=0),0,IF(D$3&lt;0,0,N(INDEX('CURVA PREVISION'!$A$1:$KZ$3000,$C26,10+3*MIN(D$3,$D$2-1)))))</f>
        <v>0</v>
      </c>
      <c r="E26" s="131" t="n">
        <f aca="false">IF(OR($C26="",$B$2="",$D$2=0),0,IF(E$3&lt;0,0,N(INDEX('CURVA PREVISION'!$A$1:$KZ$3000,$C26,10+3*MIN(E$3,$D$2-1)))))</f>
        <v>0</v>
      </c>
      <c r="F26" s="131" t="n">
        <f aca="false">IF(OR($C26="",$B$2="",$D$2=0),0,IF(F$3&lt;0,0,N(INDEX('CURVA PREVISION'!$A$1:$KZ$3000,$C26,10+3*MIN(F$3,$D$2-1)))))</f>
        <v>0</v>
      </c>
      <c r="G26" s="131" t="n">
        <f aca="false">IF(OR($C26="",$B$2="",$D$2=0),0,IF(G$3&lt;0,0,N(INDEX('CURVA PREVISION'!$A$1:$KZ$3000,$C26,10+3*MIN(G$3,$D$2-1)))))</f>
        <v>0</v>
      </c>
      <c r="H26" s="131" t="n">
        <f aca="false">IF(OR($C26="",$B$2="",$D$2=0),0,IF(H$3&lt;0,0,N(INDEX('CURVA PREVISION'!$A$1:$KZ$3000,$C26,10+3*MIN(H$3,$D$2-1)))))</f>
        <v>0</v>
      </c>
      <c r="I26" s="131" t="n">
        <f aca="false">IF(OR($C26="",$B$2="",$D$2=0),0,IF(I$3&lt;0,0,N(INDEX('CURVA PREVISION'!$A$1:$KZ$3000,$C26,10+3*MIN(I$3,$D$2-1)))))</f>
        <v>0</v>
      </c>
      <c r="J26" s="131" t="n">
        <f aca="false">IF(OR($C26="",$B$2="",$D$2=0),0,IF(J$3&lt;0,0,N(INDEX('CURVA PREVISION'!$A$1:$KZ$3000,$C26,10+3*MIN(J$3,$D$2-1)))))</f>
        <v>0</v>
      </c>
      <c r="K26" s="131" t="n">
        <f aca="false">IF(OR($C26="",$B$2="",$D$2=0),0,IF(K$3&lt;0,0,N(INDEX('CURVA PREVISION'!$A$1:$KZ$3000,$C26,10+3*MIN(K$3,$D$2-1)))))</f>
        <v>0</v>
      </c>
      <c r="L26" s="131" t="n">
        <f aca="false">IF(OR($C26="",$B$2="",$D$2=0),0,IF(L$3&lt;0,0,N(INDEX('CURVA PREVISION'!$A$1:$KZ$3000,$C26,10+3*MIN(L$3,$D$2-1)))))</f>
        <v>0</v>
      </c>
      <c r="M26" s="131" t="n">
        <f aca="false">IF(OR($C26="",$B$2="",$D$2=0),0,IF(M$3&lt;0,0,N(INDEX('CURVA PREVISION'!$A$1:$KZ$3000,$C26,10+3*MIN(M$3,$D$2-1)))))</f>
        <v>0</v>
      </c>
      <c r="N26" s="131" t="n">
        <f aca="false">IF(OR($C26="",$B$2="",$D$2=0),0,IF(N$3&lt;0,0,N(INDEX('CURVA PREVISION'!$A$1:$KZ$3000,$C26,10+3*MIN(N$3,$D$2-1)))))</f>
        <v>0</v>
      </c>
      <c r="O26" s="131" t="n">
        <f aca="false">IF(OR($C26="",$B$2="",$D$2=0),0,IF(O$3&lt;0,0,N(INDEX('CURVA PREVISION'!$A$1:$KZ$3000,$C26,10+3*MIN(O$3,$D$2-1)))))</f>
        <v>0</v>
      </c>
      <c r="P26" s="131" t="n">
        <f aca="false">IF(OR($C26="",$B$2="",$D$2=0),0,IF(P$3&lt;0,0,N(INDEX('CURVA PREVISION'!$A$1:$KZ$3000,$C26,10+3*MIN(P$3,$D$2-1)))))</f>
        <v>0</v>
      </c>
      <c r="Q26" s="131" t="n">
        <f aca="false">IF(OR($C26="",$B$2="",$D$2=0),0,IF(Q$3&lt;0,0,N(INDEX('CURVA PREVISION'!$A$1:$KZ$3000,$C26,10+3*MIN(Q$3,$D$2-1)))))</f>
        <v>0</v>
      </c>
      <c r="R26" s="131" t="n">
        <f aca="false">IF(OR($C26="",$B$2="",$D$2=0),0,IF(R$3&lt;0,0,N(INDEX('CURVA PREVISION'!$A$1:$KZ$3000,$C26,10+3*MIN(R$3,$D$2-1)))))</f>
        <v>0</v>
      </c>
      <c r="S26" s="131" t="n">
        <f aca="false">IF(OR($C26="",$B$2="",$D$2=0),0,IF(S$3&lt;0,0,N(INDEX('CURVA PREVISION'!$A$1:$KZ$3000,$C26,10+3*MIN(S$3,$D$2-1)))))</f>
        <v>0</v>
      </c>
      <c r="T26" s="131" t="n">
        <f aca="false">IF(OR($C26="",$B$2="",$D$2=0),0,IF(T$3&lt;0,0,N(INDEX('CURVA PREVISION'!$A$1:$KZ$3000,$C26,10+3*MIN(T$3,$D$2-1)))))</f>
        <v>0</v>
      </c>
      <c r="U26" s="131" t="n">
        <f aca="false">IF(OR($C26="",$B$2="",$D$2=0),0,IF(U$3&lt;0,0,N(INDEX('CURVA PREVISION'!$A$1:$KZ$3000,$C26,10+3*MIN(U$3,$D$2-1)))))</f>
        <v>0</v>
      </c>
      <c r="V26" s="131" t="n">
        <f aca="false">IF(OR($C26="",$B$2="",$D$2=0),0,IF(V$3&lt;0,0,N(INDEX('CURVA PREVISION'!$A$1:$KZ$3000,$C26,10+3*MIN(V$3,$D$2-1)))))</f>
        <v>0</v>
      </c>
      <c r="W26" s="131" t="n">
        <f aca="false">IF(OR($C26="",$B$2="",$D$2=0),0,IF(W$3&lt;0,0,N(INDEX('CURVA PREVISION'!$A$1:$KZ$3000,$C26,10+3*MIN(W$3,$D$2-1)))))</f>
        <v>0</v>
      </c>
      <c r="X26" s="131" t="n">
        <f aca="false">IF(OR($C26="",$B$2="",$D$2=0),0,IF(X$3&lt;0,0,N(INDEX('CURVA PREVISION'!$A$1:$KZ$3000,$C26,10+3*MIN(X$3,$D$2-1)))))</f>
        <v>0</v>
      </c>
      <c r="Y26" s="131" t="n">
        <f aca="false">IF(OR($C26="",$B$2="",$D$2=0),0,IF(Y$3&lt;0,0,N(INDEX('CURVA PREVISION'!$A$1:$KZ$3000,$C26,10+3*MIN(Y$3,$D$2-1)))))</f>
        <v>0</v>
      </c>
      <c r="Z26" s="131" t="n">
        <f aca="false">IF(OR($C26="",$B$2="",$D$2=0),0,IF(Z$3&lt;0,0,N(INDEX('CURVA PREVISION'!$A$1:$KZ$3000,$C26,10+3*MIN(Z$3,$D$2-1)))))</f>
        <v>0</v>
      </c>
      <c r="AA26" s="131" t="n">
        <f aca="false">IF(OR($C26="",$B$2="",$D$2=0),0,IF(AA$3&lt;0,0,N(INDEX('CURVA PREVISION'!$A$1:$KZ$3000,$C26,10+3*MIN(AA$3,$D$2-1)))))</f>
        <v>0</v>
      </c>
      <c r="AB26" s="131" t="n">
        <f aca="false">IF(OR($C26="",$B$2="",$D$2=0),0,IF(AB$3&lt;0,0,N(INDEX('CURVA PREVISION'!$A$1:$KZ$3000,$C26,10+3*MIN(AB$3,$D$2-1)))))</f>
        <v>0</v>
      </c>
      <c r="AC26" s="131" t="n">
        <f aca="false">IF(OR($C26="",$B$2="",$D$2=0),0,IF(AC$3&lt;0,0,N(INDEX('CURVA PREVISION'!$A$1:$KZ$3000,$C26,10+3*MIN(AC$3,$D$2-1)))))</f>
        <v>0</v>
      </c>
      <c r="AD26" s="131" t="n">
        <f aca="false">IF(OR($C26="",$B$2="",$D$2=0),0,IF(AD$3&lt;0,0,N(INDEX('CURVA PREVISION'!$A$1:$KZ$3000,$C26,10+3*MIN(AD$3,$D$2-1)))))</f>
        <v>0</v>
      </c>
      <c r="AE26" s="131" t="n">
        <f aca="false">IF(OR($C26="",$B$2="",$D$2=0),0,IF(AE$3&lt;0,0,N(INDEX('CURVA PREVISION'!$A$1:$KZ$3000,$C26,10+3*MIN(AE$3,$D$2-1)))))</f>
        <v>0.59</v>
      </c>
      <c r="AF26" s="131" t="n">
        <f aca="false">IF(OR($C26="",$B$2="",$D$2=0),0,IF(AF$3&lt;0,0,N(INDEX('CURVA PREVISION'!$A$1:$KZ$3000,$C26,10+3*MIN(AF$3,$D$2-1)))))</f>
        <v>6.82</v>
      </c>
      <c r="AG26" s="131" t="n">
        <f aca="false">IF(OR($C26="",$B$2="",$D$2=0),0,IF(AG$3&lt;0,0,N(INDEX('CURVA PREVISION'!$A$1:$KZ$3000,$C26,10+3*MIN(AG$3,$D$2-1)))))</f>
        <v>12.76</v>
      </c>
      <c r="AH26" s="131" t="n">
        <f aca="false">IF(OR($C26="",$B$2="",$D$2=0),0,IF(AH$3&lt;0,0,N(INDEX('CURVA PREVISION'!$A$1:$KZ$3000,$C26,10+3*MIN(AH$3,$D$2-1)))))</f>
        <v>19.28</v>
      </c>
      <c r="AI26" s="131" t="n">
        <f aca="false">IF(OR($C26="",$B$2="",$D$2=0),0,IF(AI$3&lt;0,0,N(INDEX('CURVA PREVISION'!$A$1:$KZ$3000,$C26,10+3*MIN(AI$3,$D$2-1)))))</f>
        <v>26.58</v>
      </c>
      <c r="AJ26" s="131" t="n">
        <f aca="false">IF(OR($C26="",$B$2="",$D$2=0),0,IF(AJ$3&lt;0,0,N(INDEX('CURVA PREVISION'!$A$1:$KZ$3000,$C26,10+3*MIN(AJ$3,$D$2-1)))))</f>
        <v>34.26</v>
      </c>
      <c r="AK26" s="131" t="n">
        <f aca="false">IF(OR($C26="",$B$2="",$D$2=0),0,IF(AK$3&lt;0,0,N(INDEX('CURVA PREVISION'!$A$1:$KZ$3000,$C26,10+3*MIN(AK$3,$D$2-1)))))</f>
        <v>41.25</v>
      </c>
      <c r="AL26" s="131" t="n">
        <f aca="false">IF(OR($C26="",$B$2="",$D$2=0),0,IF(AL$3&lt;0,0,N(INDEX('CURVA PREVISION'!$A$1:$KZ$3000,$C26,10+3*MIN(AL$3,$D$2-1)))))</f>
        <v>51.31</v>
      </c>
      <c r="AM26" s="131" t="n">
        <f aca="false">IF(OR($C26="",$B$2="",$D$2=0),0,IF(AM$3&lt;0,0,N(INDEX('CURVA PREVISION'!$A$1:$KZ$3000,$C26,10+3*MIN(AM$3,$D$2-1)))))</f>
        <v>59.31</v>
      </c>
      <c r="AN26" s="131" t="n">
        <f aca="false">IF(OR($C26="",$B$2="",$D$2=0),0,IF(AN$3&lt;0,0,N(INDEX('CURVA PREVISION'!$A$1:$KZ$3000,$C26,10+3*MIN(AN$3,$D$2-1)))))</f>
        <v>65.85</v>
      </c>
      <c r="AO26" s="131" t="n">
        <f aca="false">IF(OR($C26="",$B$2="",$D$2=0),0,IF(AO$3&lt;0,0,N(INDEX('CURVA PREVISION'!$A$1:$KZ$3000,$C26,10+3*MIN(AO$3,$D$2-1)))))</f>
        <v>74.56</v>
      </c>
      <c r="AP26" s="131" t="n">
        <f aca="false">IF(OR($C26="",$B$2="",$D$2=0),0,IF(AP$3&lt;0,0,N(INDEX('CURVA PREVISION'!$A$1:$KZ$3000,$C26,10+3*MIN(AP$3,$D$2-1)))))</f>
        <v>90.28</v>
      </c>
      <c r="AQ26" s="131" t="n">
        <f aca="false">IF(OR($C26="",$B$2="",$D$2=0),0,IF(AQ$3&lt;0,0,N(INDEX('CURVA PREVISION'!$A$1:$KZ$3000,$C26,10+3*MIN(AQ$3,$D$2-1)))))</f>
        <v>92.38</v>
      </c>
      <c r="AR26" s="131" t="n">
        <f aca="false">IF(OR($C26="",$B$2="",$D$2=0),0,IF(AR$3&lt;0,0,N(INDEX('CURVA PREVISION'!$A$1:$KZ$3000,$C26,10+3*MIN(AR$3,$D$2-1)))))</f>
        <v>95.4</v>
      </c>
      <c r="AS26" s="131" t="n">
        <f aca="false">IF(OR($C26="",$B$2="",$D$2=0),0,IF(AS$3&lt;0,0,N(INDEX('CURVA PREVISION'!$A$1:$KZ$3000,$C26,10+3*MIN(AS$3,$D$2-1)))))</f>
        <v>97.82</v>
      </c>
      <c r="AT26" s="131" t="n">
        <f aca="false">IF(OR($C26="",$B$2="",$D$2=0),0,IF(AT$3&lt;0,0,N(INDEX('CURVA PREVISION'!$A$1:$KZ$3000,$C26,10+3*MIN(AT$3,$D$2-1)))))</f>
        <v>98.09</v>
      </c>
      <c r="AU26" s="131" t="n">
        <f aca="false">IF(OR($C26="",$B$2="",$D$2=0),0,IF(AU$3&lt;0,0,N(INDEX('CURVA PREVISION'!$A$1:$KZ$3000,$C26,10+3*MIN(AU$3,$D$2-1)))))</f>
        <v>98.37</v>
      </c>
      <c r="AV26" s="131" t="n">
        <f aca="false">IF(OR($C26="",$B$2="",$D$2=0),0,IF(AV$3&lt;0,0,N(INDEX('CURVA PREVISION'!$A$1:$KZ$3000,$C26,10+3*MIN(AV$3,$D$2-1)))))</f>
        <v>98.66</v>
      </c>
      <c r="AW26" s="131" t="n">
        <f aca="false">IF(OR($C26="",$B$2="",$D$2=0),0,IF(AW$3&lt;0,0,N(INDEX('CURVA PREVISION'!$A$1:$KZ$3000,$C26,10+3*MIN(AW$3,$D$2-1)))))</f>
        <v>98.93</v>
      </c>
      <c r="AX26" s="131" t="n">
        <f aca="false">IF(OR($C26="",$B$2="",$D$2=0),0,IF(AX$3&lt;0,0,N(INDEX('CURVA PREVISION'!$A$1:$KZ$3000,$C26,10+3*MIN(AX$3,$D$2-1)))))</f>
        <v>99.22</v>
      </c>
      <c r="AY26" s="131" t="n">
        <f aca="false">IF(OR($C26="",$B$2="",$D$2=0),0,IF(AY$3&lt;0,0,N(INDEX('CURVA PREVISION'!$A$1:$KZ$3000,$C26,10+3*MIN(AY$3,$D$2-1)))))</f>
        <v>99.51</v>
      </c>
      <c r="AZ26" s="131" t="n">
        <f aca="false">IF(OR($C26="",$B$2="",$D$2=0),0,IF(AZ$3&lt;0,0,N(INDEX('CURVA PREVISION'!$A$1:$KZ$3000,$C26,10+3*MIN(AZ$3,$D$2-1)))))</f>
        <v>99.7</v>
      </c>
      <c r="BA26" s="131" t="n">
        <f aca="false">IF(OR($C26="",$B$2="",$D$2=0),0,IF(BA$3&lt;0,0,N(INDEX('CURVA PREVISION'!$A$1:$KZ$3000,$C26,10+3*MIN(BA$3,$D$2-1)))))</f>
        <v>99.96</v>
      </c>
      <c r="BB26" s="131" t="n">
        <f aca="false">IF(OR($C26="",$B$2="",$D$2=0),0,IF(BB$3&lt;0,0,N(INDEX('CURVA PREVISION'!$A$1:$KZ$3000,$C26,10+3*MIN(BB$3,$D$2-1)))))</f>
        <v>100</v>
      </c>
      <c r="BC26" s="131" t="n">
        <f aca="false">IF(OR($C26="",$B$2="",$D$2=0),0,IF(BC$3&lt;0,0,N(INDEX('CURVA PREVISION'!$A$1:$KZ$3000,$C26,10+3*MIN(BC$3,$D$2-1)))))</f>
        <v>100</v>
      </c>
      <c r="BD26" s="131" t="n">
        <f aca="false">IF(OR($C26="",$B$2="",$D$2=0),0,IF(BD$3&lt;0,0,N(INDEX('CURVA PREVISION'!$A$1:$KZ$3000,$C26,10+3*MIN(BD$3,$D$2-1)))))</f>
        <v>100</v>
      </c>
      <c r="BE26" s="131" t="n">
        <f aca="false">IF(OR($C26="",$B$2="",$D$2=0),0,IF(BE$3&lt;0,0,N(INDEX('CURVA PREVISION'!$A$1:$KZ$3000,$C26,10+3*MIN(BE$3,$D$2-1)))))</f>
        <v>100</v>
      </c>
      <c r="BF26" s="131" t="n">
        <f aca="false">IF(OR($C26="",$B$2="",$D$2=0),0,IF(BF$3&lt;0,0,N(INDEX('CURVA PREVISION'!$A$1:$KZ$3000,$C26,10+3*MIN(BF$3,$D$2-1)))))</f>
        <v>100</v>
      </c>
      <c r="BG26" s="131" t="n">
        <f aca="false">IF(OR($C26="",$B$2="",$D$2=0),0,IF(BG$3&lt;0,0,N(INDEX('CURVA PREVISION'!$A$1:$KZ$3000,$C26,10+3*MIN(BG$3,$D$2-1)))))</f>
        <v>100</v>
      </c>
      <c r="BH26" s="131" t="n">
        <f aca="false">IF(OR($C26="",$B$2="",$D$2=0),0,IF(BH$3&lt;0,0,N(INDEX('CURVA PREVISION'!$A$1:$KZ$3000,$C26,10+3*MIN(BH$3,$D$2-1)))))</f>
        <v>100</v>
      </c>
      <c r="BI26" s="131" t="n">
        <f aca="false">IF(OR($C26="",$B$2="",$D$2=0),0,IF(BI$3&lt;0,0,N(INDEX('CURVA PREVISION'!$A$1:$KZ$3000,$C26,10+3*MIN(BI$3,$D$2-1)))))</f>
        <v>100</v>
      </c>
      <c r="BJ26" s="131" t="n">
        <f aca="false">IF(OR($C26="",$B$2="",$D$2=0),0,IF(BJ$3&lt;0,0,N(INDEX('CURVA PREVISION'!$A$1:$KZ$3000,$C26,10+3*MIN(BJ$3,$D$2-1)))))</f>
        <v>100</v>
      </c>
      <c r="BK26" s="131" t="n">
        <f aca="false">IF(OR($C26="",$B$2="",$D$2=0),0,IF(BK$3&lt;0,0,N(INDEX('CURVA PREVISION'!$A$1:$KZ$3000,$C26,10+3*MIN(BK$3,$D$2-1)))))</f>
        <v>100</v>
      </c>
      <c r="BL26" s="131" t="n">
        <f aca="false">IF(OR($C26="",$B$2="",$D$2=0),0,IF(BL$3&lt;0,0,N(INDEX('CURVA PREVISION'!$A$1:$KZ$3000,$C26,10+3*MIN(BL$3,$D$2-1)))))</f>
        <v>100</v>
      </c>
      <c r="BM26" s="131" t="n">
        <f aca="false">IF(OR($C26="",$B$2="",$D$2=0),0,IF(BM$3&lt;0,0,N(INDEX('CURVA PREVISION'!$A$1:$KZ$3000,$C26,10+3*MIN(BM$3,$D$2-1)))))</f>
        <v>100</v>
      </c>
      <c r="BN26" s="131" t="n">
        <f aca="false">IF(OR($C26="",$B$2="",$D$2=0),0,IF(BN$3&lt;0,0,N(INDEX('CURVA PREVISION'!$A$1:$KZ$3000,$C26,10+3*MIN(BN$3,$D$2-1)))))</f>
        <v>100</v>
      </c>
      <c r="BO26" s="131" t="n">
        <f aca="false">IF(OR($C26="",$B$2="",$D$2=0),0,IF(BO$3&lt;0,0,N(INDEX('CURVA PREVISION'!$A$1:$KZ$3000,$C26,10+3*MIN(BO$3,$D$2-1)))))</f>
        <v>100</v>
      </c>
      <c r="BP26" s="131" t="n">
        <f aca="false">IF(OR($C26="",$B$2="",$D$2=0),0,IF(BP$3&lt;0,0,N(INDEX('CURVA PREVISION'!$A$1:$KZ$3000,$C26,10+3*MIN(BP$3,$D$2-1)))))</f>
        <v>100</v>
      </c>
      <c r="BQ26" s="131" t="n">
        <f aca="false">IF(OR($C26="",$B$2="",$D$2=0),0,IF(BQ$3&lt;0,0,N(INDEX('CURVA PREVISION'!$A$1:$KZ$3000,$C26,10+3*MIN(BQ$3,$D$2-1)))))</f>
        <v>100</v>
      </c>
      <c r="BR26" s="131" t="n">
        <f aca="false">IF(OR($C26="",$B$2="",$D$2=0),0,IF(BR$3&lt;0,0,N(INDEX('CURVA PREVISION'!$A$1:$KZ$3000,$C26,10+3*MIN(BR$3,$D$2-1)))))</f>
        <v>100</v>
      </c>
      <c r="BS26" s="131" t="n">
        <f aca="false">IF(OR($C26="",$B$2="",$D$2=0),0,IF(BS$3&lt;0,0,N(INDEX('CURVA PREVISION'!$A$1:$KZ$3000,$C26,10+3*MIN(BS$3,$D$2-1)))))</f>
        <v>100</v>
      </c>
      <c r="BT26" s="131" t="n">
        <f aca="false">IF(OR($C26="",$B$2="",$D$2=0),0,IF(BT$3&lt;0,0,N(INDEX('CURVA PREVISION'!$A$1:$KZ$3000,$C26,10+3*MIN(BT$3,$D$2-1)))))</f>
        <v>100</v>
      </c>
      <c r="BU26" s="131" t="n">
        <f aca="false">IF(OR($C26="",$B$2="",$D$2=0),0,IF(BU$3&lt;0,0,N(INDEX('CURVA PREVISION'!$A$1:$KZ$3000,$C26,10+3*MIN(BU$3,$D$2-1)))))</f>
        <v>100</v>
      </c>
      <c r="BV26" s="131" t="n">
        <f aca="false">IF(OR($C26="",$B$2="",$D$2=0),0,IF(BV$3&lt;0,0,N(INDEX('CURVA PREVISION'!$A$1:$KZ$3000,$C26,10+3*MIN(BV$3,$D$2-1)))))</f>
        <v>100</v>
      </c>
      <c r="BW26" s="131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23</v>
      </c>
      <c r="B27" s="57" t="str">
        <f aca="false">'VALOR POR PL'!D33</f>
        <v>INSTALAÇÕES ESPECIAIS</v>
      </c>
      <c r="C27" s="64" t="n">
        <f aca="false">IFERROR(MATCH(A27,'CURVA PREVISION'!$B$1:$B$3000,0),"")</f>
        <v>537</v>
      </c>
      <c r="D27" s="131" t="n">
        <f aca="false">IF(OR($C27="",$B$2="",$D$2=0),0,IF(D$3&lt;0,0,N(INDEX('CURVA PREVISION'!$A$1:$KZ$3000,$C27,10+3*MIN(D$3,$D$2-1)))))</f>
        <v>0</v>
      </c>
      <c r="E27" s="131" t="n">
        <f aca="false">IF(OR($C27="",$B$2="",$D$2=0),0,IF(E$3&lt;0,0,N(INDEX('CURVA PREVISION'!$A$1:$KZ$3000,$C27,10+3*MIN(E$3,$D$2-1)))))</f>
        <v>0</v>
      </c>
      <c r="F27" s="131" t="n">
        <f aca="false">IF(OR($C27="",$B$2="",$D$2=0),0,IF(F$3&lt;0,0,N(INDEX('CURVA PREVISION'!$A$1:$KZ$3000,$C27,10+3*MIN(F$3,$D$2-1)))))</f>
        <v>0</v>
      </c>
      <c r="G27" s="131" t="n">
        <f aca="false">IF(OR($C27="",$B$2="",$D$2=0),0,IF(G$3&lt;0,0,N(INDEX('CURVA PREVISION'!$A$1:$KZ$3000,$C27,10+3*MIN(G$3,$D$2-1)))))</f>
        <v>0</v>
      </c>
      <c r="H27" s="131" t="n">
        <f aca="false">IF(OR($C27="",$B$2="",$D$2=0),0,IF(H$3&lt;0,0,N(INDEX('CURVA PREVISION'!$A$1:$KZ$3000,$C27,10+3*MIN(H$3,$D$2-1)))))</f>
        <v>0</v>
      </c>
      <c r="I27" s="131" t="n">
        <f aca="false">IF(OR($C27="",$B$2="",$D$2=0),0,IF(I$3&lt;0,0,N(INDEX('CURVA PREVISION'!$A$1:$KZ$3000,$C27,10+3*MIN(I$3,$D$2-1)))))</f>
        <v>0</v>
      </c>
      <c r="J27" s="131" t="n">
        <f aca="false">IF(OR($C27="",$B$2="",$D$2=0),0,IF(J$3&lt;0,0,N(INDEX('CURVA PREVISION'!$A$1:$KZ$3000,$C27,10+3*MIN(J$3,$D$2-1)))))</f>
        <v>0</v>
      </c>
      <c r="K27" s="131" t="n">
        <f aca="false">IF(OR($C27="",$B$2="",$D$2=0),0,IF(K$3&lt;0,0,N(INDEX('CURVA PREVISION'!$A$1:$KZ$3000,$C27,10+3*MIN(K$3,$D$2-1)))))</f>
        <v>0</v>
      </c>
      <c r="L27" s="131" t="n">
        <f aca="false">IF(OR($C27="",$B$2="",$D$2=0),0,IF(L$3&lt;0,0,N(INDEX('CURVA PREVISION'!$A$1:$KZ$3000,$C27,10+3*MIN(L$3,$D$2-1)))))</f>
        <v>0</v>
      </c>
      <c r="M27" s="131" t="n">
        <f aca="false">IF(OR($C27="",$B$2="",$D$2=0),0,IF(M$3&lt;0,0,N(INDEX('CURVA PREVISION'!$A$1:$KZ$3000,$C27,10+3*MIN(M$3,$D$2-1)))))</f>
        <v>0</v>
      </c>
      <c r="N27" s="131" t="n">
        <f aca="false">IF(OR($C27="",$B$2="",$D$2=0),0,IF(N$3&lt;0,0,N(INDEX('CURVA PREVISION'!$A$1:$KZ$3000,$C27,10+3*MIN(N$3,$D$2-1)))))</f>
        <v>0</v>
      </c>
      <c r="O27" s="131" t="n">
        <f aca="false">IF(OR($C27="",$B$2="",$D$2=0),0,IF(O$3&lt;0,0,N(INDEX('CURVA PREVISION'!$A$1:$KZ$3000,$C27,10+3*MIN(O$3,$D$2-1)))))</f>
        <v>0</v>
      </c>
      <c r="P27" s="131" t="n">
        <f aca="false">IF(OR($C27="",$B$2="",$D$2=0),0,IF(P$3&lt;0,0,N(INDEX('CURVA PREVISION'!$A$1:$KZ$3000,$C27,10+3*MIN(P$3,$D$2-1)))))</f>
        <v>0</v>
      </c>
      <c r="Q27" s="131" t="n">
        <f aca="false">IF(OR($C27="",$B$2="",$D$2=0),0,IF(Q$3&lt;0,0,N(INDEX('CURVA PREVISION'!$A$1:$KZ$3000,$C27,10+3*MIN(Q$3,$D$2-1)))))</f>
        <v>0</v>
      </c>
      <c r="R27" s="131" t="n">
        <f aca="false">IF(OR($C27="",$B$2="",$D$2=0),0,IF(R$3&lt;0,0,N(INDEX('CURVA PREVISION'!$A$1:$KZ$3000,$C27,10+3*MIN(R$3,$D$2-1)))))</f>
        <v>0</v>
      </c>
      <c r="S27" s="131" t="n">
        <f aca="false">IF(OR($C27="",$B$2="",$D$2=0),0,IF(S$3&lt;0,0,N(INDEX('CURVA PREVISION'!$A$1:$KZ$3000,$C27,10+3*MIN(S$3,$D$2-1)))))</f>
        <v>0</v>
      </c>
      <c r="T27" s="131" t="n">
        <f aca="false">IF(OR($C27="",$B$2="",$D$2=0),0,IF(T$3&lt;0,0,N(INDEX('CURVA PREVISION'!$A$1:$KZ$3000,$C27,10+3*MIN(T$3,$D$2-1)))))</f>
        <v>0</v>
      </c>
      <c r="U27" s="131" t="n">
        <f aca="false">IF(OR($C27="",$B$2="",$D$2=0),0,IF(U$3&lt;0,0,N(INDEX('CURVA PREVISION'!$A$1:$KZ$3000,$C27,10+3*MIN(U$3,$D$2-1)))))</f>
        <v>0</v>
      </c>
      <c r="V27" s="131" t="n">
        <f aca="false">IF(OR($C27="",$B$2="",$D$2=0),0,IF(V$3&lt;0,0,N(INDEX('CURVA PREVISION'!$A$1:$KZ$3000,$C27,10+3*MIN(V$3,$D$2-1)))))</f>
        <v>0</v>
      </c>
      <c r="W27" s="131" t="n">
        <f aca="false">IF(OR($C27="",$B$2="",$D$2=0),0,IF(W$3&lt;0,0,N(INDEX('CURVA PREVISION'!$A$1:$KZ$3000,$C27,10+3*MIN(W$3,$D$2-1)))))</f>
        <v>0</v>
      </c>
      <c r="X27" s="131" t="n">
        <f aca="false">IF(OR($C27="",$B$2="",$D$2=0),0,IF(X$3&lt;0,0,N(INDEX('CURVA PREVISION'!$A$1:$KZ$3000,$C27,10+3*MIN(X$3,$D$2-1)))))</f>
        <v>0</v>
      </c>
      <c r="Y27" s="131" t="n">
        <f aca="false">IF(OR($C27="",$B$2="",$D$2=0),0,IF(Y$3&lt;0,0,N(INDEX('CURVA PREVISION'!$A$1:$KZ$3000,$C27,10+3*MIN(Y$3,$D$2-1)))))</f>
        <v>0</v>
      </c>
      <c r="Z27" s="131" t="n">
        <f aca="false">IF(OR($C27="",$B$2="",$D$2=0),0,IF(Z$3&lt;0,0,N(INDEX('CURVA PREVISION'!$A$1:$KZ$3000,$C27,10+3*MIN(Z$3,$D$2-1)))))</f>
        <v>0</v>
      </c>
      <c r="AA27" s="131" t="n">
        <f aca="false">IF(OR($C27="",$B$2="",$D$2=0),0,IF(AA$3&lt;0,0,N(INDEX('CURVA PREVISION'!$A$1:$KZ$3000,$C27,10+3*MIN(AA$3,$D$2-1)))))</f>
        <v>0</v>
      </c>
      <c r="AB27" s="131" t="n">
        <f aca="false">IF(OR($C27="",$B$2="",$D$2=0),0,IF(AB$3&lt;0,0,N(INDEX('CURVA PREVISION'!$A$1:$KZ$3000,$C27,10+3*MIN(AB$3,$D$2-1)))))</f>
        <v>0</v>
      </c>
      <c r="AC27" s="131" t="n">
        <f aca="false">IF(OR($C27="",$B$2="",$D$2=0),0,IF(AC$3&lt;0,0,N(INDEX('CURVA PREVISION'!$A$1:$KZ$3000,$C27,10+3*MIN(AC$3,$D$2-1)))))</f>
        <v>0</v>
      </c>
      <c r="AD27" s="131" t="n">
        <f aca="false">IF(OR($C27="",$B$2="",$D$2=0),0,IF(AD$3&lt;0,0,N(INDEX('CURVA PREVISION'!$A$1:$KZ$3000,$C27,10+3*MIN(AD$3,$D$2-1)))))</f>
        <v>0</v>
      </c>
      <c r="AE27" s="131" t="n">
        <f aca="false">IF(OR($C27="",$B$2="",$D$2=0),0,IF(AE$3&lt;0,0,N(INDEX('CURVA PREVISION'!$A$1:$KZ$3000,$C27,10+3*MIN(AE$3,$D$2-1)))))</f>
        <v>0</v>
      </c>
      <c r="AF27" s="131" t="n">
        <f aca="false">IF(OR($C27="",$B$2="",$D$2=0),0,IF(AF$3&lt;0,0,N(INDEX('CURVA PREVISION'!$A$1:$KZ$3000,$C27,10+3*MIN(AF$3,$D$2-1)))))</f>
        <v>0</v>
      </c>
      <c r="AG27" s="131" t="n">
        <f aca="false">IF(OR($C27="",$B$2="",$D$2=0),0,IF(AG$3&lt;0,0,N(INDEX('CURVA PREVISION'!$A$1:$KZ$3000,$C27,10+3*MIN(AG$3,$D$2-1)))))</f>
        <v>0</v>
      </c>
      <c r="AH27" s="131" t="n">
        <f aca="false">IF(OR($C27="",$B$2="",$D$2=0),0,IF(AH$3&lt;0,0,N(INDEX('CURVA PREVISION'!$A$1:$KZ$3000,$C27,10+3*MIN(AH$3,$D$2-1)))))</f>
        <v>0.54</v>
      </c>
      <c r="AI27" s="131" t="n">
        <f aca="false">IF(OR($C27="",$B$2="",$D$2=0),0,IF(AI$3&lt;0,0,N(INDEX('CURVA PREVISION'!$A$1:$KZ$3000,$C27,10+3*MIN(AI$3,$D$2-1)))))</f>
        <v>3.95</v>
      </c>
      <c r="AJ27" s="131" t="n">
        <f aca="false">IF(OR($C27="",$B$2="",$D$2=0),0,IF(AJ$3&lt;0,0,N(INDEX('CURVA PREVISION'!$A$1:$KZ$3000,$C27,10+3*MIN(AJ$3,$D$2-1)))))</f>
        <v>9.08</v>
      </c>
      <c r="AK27" s="131" t="n">
        <f aca="false">IF(OR($C27="",$B$2="",$D$2=0),0,IF(AK$3&lt;0,0,N(INDEX('CURVA PREVISION'!$A$1:$KZ$3000,$C27,10+3*MIN(AK$3,$D$2-1)))))</f>
        <v>13.99</v>
      </c>
      <c r="AL27" s="131" t="n">
        <f aca="false">IF(OR($C27="",$B$2="",$D$2=0),0,IF(AL$3&lt;0,0,N(INDEX('CURVA PREVISION'!$A$1:$KZ$3000,$C27,10+3*MIN(AL$3,$D$2-1)))))</f>
        <v>20.43</v>
      </c>
      <c r="AM27" s="131" t="n">
        <f aca="false">IF(OR($C27="",$B$2="",$D$2=0),0,IF(AM$3&lt;0,0,N(INDEX('CURVA PREVISION'!$A$1:$KZ$3000,$C27,10+3*MIN(AM$3,$D$2-1)))))</f>
        <v>29.02</v>
      </c>
      <c r="AN27" s="131" t="n">
        <f aca="false">IF(OR($C27="",$B$2="",$D$2=0),0,IF(AN$3&lt;0,0,N(INDEX('CURVA PREVISION'!$A$1:$KZ$3000,$C27,10+3*MIN(AN$3,$D$2-1)))))</f>
        <v>33.57</v>
      </c>
      <c r="AO27" s="131" t="n">
        <f aca="false">IF(OR($C27="",$B$2="",$D$2=0),0,IF(AO$3&lt;0,0,N(INDEX('CURVA PREVISION'!$A$1:$KZ$3000,$C27,10+3*MIN(AO$3,$D$2-1)))))</f>
        <v>38.54</v>
      </c>
      <c r="AP27" s="131" t="n">
        <f aca="false">IF(OR($C27="",$B$2="",$D$2=0),0,IF(AP$3&lt;0,0,N(INDEX('CURVA PREVISION'!$A$1:$KZ$3000,$C27,10+3*MIN(AP$3,$D$2-1)))))</f>
        <v>43.48</v>
      </c>
      <c r="AQ27" s="131" t="n">
        <f aca="false">IF(OR($C27="",$B$2="",$D$2=0),0,IF(AQ$3&lt;0,0,N(INDEX('CURVA PREVISION'!$A$1:$KZ$3000,$C27,10+3*MIN(AQ$3,$D$2-1)))))</f>
        <v>51.13</v>
      </c>
      <c r="AR27" s="131" t="n">
        <f aca="false">IF(OR($C27="",$B$2="",$D$2=0),0,IF(AR$3&lt;0,0,N(INDEX('CURVA PREVISION'!$A$1:$KZ$3000,$C27,10+3*MIN(AR$3,$D$2-1)))))</f>
        <v>56.64</v>
      </c>
      <c r="AS27" s="131" t="n">
        <f aca="false">IF(OR($C27="",$B$2="",$D$2=0),0,IF(AS$3&lt;0,0,N(INDEX('CURVA PREVISION'!$A$1:$KZ$3000,$C27,10+3*MIN(AS$3,$D$2-1)))))</f>
        <v>63.52</v>
      </c>
      <c r="AT27" s="131" t="n">
        <f aca="false">IF(OR($C27="",$B$2="",$D$2=0),0,IF(AT$3&lt;0,0,N(INDEX('CURVA PREVISION'!$A$1:$KZ$3000,$C27,10+3*MIN(AT$3,$D$2-1)))))</f>
        <v>67.56</v>
      </c>
      <c r="AU27" s="131" t="n">
        <f aca="false">IF(OR($C27="",$B$2="",$D$2=0),0,IF(AU$3&lt;0,0,N(INDEX('CURVA PREVISION'!$A$1:$KZ$3000,$C27,10+3*MIN(AU$3,$D$2-1)))))</f>
        <v>72.81</v>
      </c>
      <c r="AV27" s="131" t="n">
        <f aca="false">IF(OR($C27="",$B$2="",$D$2=0),0,IF(AV$3&lt;0,0,N(INDEX('CURVA PREVISION'!$A$1:$KZ$3000,$C27,10+3*MIN(AV$3,$D$2-1)))))</f>
        <v>83.13</v>
      </c>
      <c r="AW27" s="131" t="n">
        <f aca="false">IF(OR($C27="",$B$2="",$D$2=0),0,IF(AW$3&lt;0,0,N(INDEX('CURVA PREVISION'!$A$1:$KZ$3000,$C27,10+3*MIN(AW$3,$D$2-1)))))</f>
        <v>88.59</v>
      </c>
      <c r="AX27" s="131" t="n">
        <f aca="false">IF(OR($C27="",$B$2="",$D$2=0),0,IF(AX$3&lt;0,0,N(INDEX('CURVA PREVISION'!$A$1:$KZ$3000,$C27,10+3*MIN(AX$3,$D$2-1)))))</f>
        <v>91.6</v>
      </c>
      <c r="AY27" s="131" t="n">
        <f aca="false">IF(OR($C27="",$B$2="",$D$2=0),0,IF(AY$3&lt;0,0,N(INDEX('CURVA PREVISION'!$A$1:$KZ$3000,$C27,10+3*MIN(AY$3,$D$2-1)))))</f>
        <v>93.8</v>
      </c>
      <c r="AZ27" s="131" t="n">
        <f aca="false">IF(OR($C27="",$B$2="",$D$2=0),0,IF(AZ$3&lt;0,0,N(INDEX('CURVA PREVISION'!$A$1:$KZ$3000,$C27,10+3*MIN(AZ$3,$D$2-1)))))</f>
        <v>95.43</v>
      </c>
      <c r="BA27" s="131" t="n">
        <f aca="false">IF(OR($C27="",$B$2="",$D$2=0),0,IF(BA$3&lt;0,0,N(INDEX('CURVA PREVISION'!$A$1:$KZ$3000,$C27,10+3*MIN(BA$3,$D$2-1)))))</f>
        <v>98.32</v>
      </c>
      <c r="BB27" s="131" t="n">
        <f aca="false">IF(OR($C27="",$B$2="",$D$2=0),0,IF(BB$3&lt;0,0,N(INDEX('CURVA PREVISION'!$A$1:$KZ$3000,$C27,10+3*MIN(BB$3,$D$2-1)))))</f>
        <v>100</v>
      </c>
      <c r="BC27" s="131" t="n">
        <f aca="false">IF(OR($C27="",$B$2="",$D$2=0),0,IF(BC$3&lt;0,0,N(INDEX('CURVA PREVISION'!$A$1:$KZ$3000,$C27,10+3*MIN(BC$3,$D$2-1)))))</f>
        <v>100</v>
      </c>
      <c r="BD27" s="131" t="n">
        <f aca="false">IF(OR($C27="",$B$2="",$D$2=0),0,IF(BD$3&lt;0,0,N(INDEX('CURVA PREVISION'!$A$1:$KZ$3000,$C27,10+3*MIN(BD$3,$D$2-1)))))</f>
        <v>100</v>
      </c>
      <c r="BE27" s="131" t="n">
        <f aca="false">IF(OR($C27="",$B$2="",$D$2=0),0,IF(BE$3&lt;0,0,N(INDEX('CURVA PREVISION'!$A$1:$KZ$3000,$C27,10+3*MIN(BE$3,$D$2-1)))))</f>
        <v>100</v>
      </c>
      <c r="BF27" s="131" t="n">
        <f aca="false">IF(OR($C27="",$B$2="",$D$2=0),0,IF(BF$3&lt;0,0,N(INDEX('CURVA PREVISION'!$A$1:$KZ$3000,$C27,10+3*MIN(BF$3,$D$2-1)))))</f>
        <v>100</v>
      </c>
      <c r="BG27" s="131" t="n">
        <f aca="false">IF(OR($C27="",$B$2="",$D$2=0),0,IF(BG$3&lt;0,0,N(INDEX('CURVA PREVISION'!$A$1:$KZ$3000,$C27,10+3*MIN(BG$3,$D$2-1)))))</f>
        <v>100</v>
      </c>
      <c r="BH27" s="131" t="n">
        <f aca="false">IF(OR($C27="",$B$2="",$D$2=0),0,IF(BH$3&lt;0,0,N(INDEX('CURVA PREVISION'!$A$1:$KZ$3000,$C27,10+3*MIN(BH$3,$D$2-1)))))</f>
        <v>100</v>
      </c>
      <c r="BI27" s="131" t="n">
        <f aca="false">IF(OR($C27="",$B$2="",$D$2=0),0,IF(BI$3&lt;0,0,N(INDEX('CURVA PREVISION'!$A$1:$KZ$3000,$C27,10+3*MIN(BI$3,$D$2-1)))))</f>
        <v>100</v>
      </c>
      <c r="BJ27" s="131" t="n">
        <f aca="false">IF(OR($C27="",$B$2="",$D$2=0),0,IF(BJ$3&lt;0,0,N(INDEX('CURVA PREVISION'!$A$1:$KZ$3000,$C27,10+3*MIN(BJ$3,$D$2-1)))))</f>
        <v>100</v>
      </c>
      <c r="BK27" s="131" t="n">
        <f aca="false">IF(OR($C27="",$B$2="",$D$2=0),0,IF(BK$3&lt;0,0,N(INDEX('CURVA PREVISION'!$A$1:$KZ$3000,$C27,10+3*MIN(BK$3,$D$2-1)))))</f>
        <v>100</v>
      </c>
      <c r="BL27" s="131" t="n">
        <f aca="false">IF(OR($C27="",$B$2="",$D$2=0),0,IF(BL$3&lt;0,0,N(INDEX('CURVA PREVISION'!$A$1:$KZ$3000,$C27,10+3*MIN(BL$3,$D$2-1)))))</f>
        <v>100</v>
      </c>
      <c r="BM27" s="131" t="n">
        <f aca="false">IF(OR($C27="",$B$2="",$D$2=0),0,IF(BM$3&lt;0,0,N(INDEX('CURVA PREVISION'!$A$1:$KZ$3000,$C27,10+3*MIN(BM$3,$D$2-1)))))</f>
        <v>100</v>
      </c>
      <c r="BN27" s="131" t="n">
        <f aca="false">IF(OR($C27="",$B$2="",$D$2=0),0,IF(BN$3&lt;0,0,N(INDEX('CURVA PREVISION'!$A$1:$KZ$3000,$C27,10+3*MIN(BN$3,$D$2-1)))))</f>
        <v>100</v>
      </c>
      <c r="BO27" s="131" t="n">
        <f aca="false">IF(OR($C27="",$B$2="",$D$2=0),0,IF(BO$3&lt;0,0,N(INDEX('CURVA PREVISION'!$A$1:$KZ$3000,$C27,10+3*MIN(BO$3,$D$2-1)))))</f>
        <v>100</v>
      </c>
      <c r="BP27" s="131" t="n">
        <f aca="false">IF(OR($C27="",$B$2="",$D$2=0),0,IF(BP$3&lt;0,0,N(INDEX('CURVA PREVISION'!$A$1:$KZ$3000,$C27,10+3*MIN(BP$3,$D$2-1)))))</f>
        <v>100</v>
      </c>
      <c r="BQ27" s="131" t="n">
        <f aca="false">IF(OR($C27="",$B$2="",$D$2=0),0,IF(BQ$3&lt;0,0,N(INDEX('CURVA PREVISION'!$A$1:$KZ$3000,$C27,10+3*MIN(BQ$3,$D$2-1)))))</f>
        <v>100</v>
      </c>
      <c r="BR27" s="131" t="n">
        <f aca="false">IF(OR($C27="",$B$2="",$D$2=0),0,IF(BR$3&lt;0,0,N(INDEX('CURVA PREVISION'!$A$1:$KZ$3000,$C27,10+3*MIN(BR$3,$D$2-1)))))</f>
        <v>100</v>
      </c>
      <c r="BS27" s="131" t="n">
        <f aca="false">IF(OR($C27="",$B$2="",$D$2=0),0,IF(BS$3&lt;0,0,N(INDEX('CURVA PREVISION'!$A$1:$KZ$3000,$C27,10+3*MIN(BS$3,$D$2-1)))))</f>
        <v>100</v>
      </c>
      <c r="BT27" s="131" t="n">
        <f aca="false">IF(OR($C27="",$B$2="",$D$2=0),0,IF(BT$3&lt;0,0,N(INDEX('CURVA PREVISION'!$A$1:$KZ$3000,$C27,10+3*MIN(BT$3,$D$2-1)))))</f>
        <v>100</v>
      </c>
      <c r="BU27" s="131" t="n">
        <f aca="false">IF(OR($C27="",$B$2="",$D$2=0),0,IF(BU$3&lt;0,0,N(INDEX('CURVA PREVISION'!$A$1:$KZ$3000,$C27,10+3*MIN(BU$3,$D$2-1)))))</f>
        <v>100</v>
      </c>
      <c r="BV27" s="131" t="n">
        <f aca="false">IF(OR($C27="",$B$2="",$D$2=0),0,IF(BV$3&lt;0,0,N(INDEX('CURVA PREVISION'!$A$1:$KZ$3000,$C27,10+3*MIN(BV$3,$D$2-1)))))</f>
        <v>100</v>
      </c>
      <c r="BW27" s="131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24</v>
      </c>
      <c r="B28" s="57" t="str">
        <f aca="false">'VALOR POR PL'!D34</f>
        <v>ELEVADORES</v>
      </c>
      <c r="C28" s="64" t="n">
        <f aca="false">IFERROR(MATCH(A28,'CURVA PREVISION'!$B$1:$B$3000,0),"")</f>
        <v>563</v>
      </c>
      <c r="D28" s="131" t="n">
        <f aca="false">IF(OR($C28="",$B$2="",$D$2=0),0,IF(D$3&lt;0,0,N(INDEX('CURVA PREVISION'!$A$1:$KZ$3000,$C28,10+3*MIN(D$3,$D$2-1)))))</f>
        <v>0</v>
      </c>
      <c r="E28" s="131" t="n">
        <f aca="false">IF(OR($C28="",$B$2="",$D$2=0),0,IF(E$3&lt;0,0,N(INDEX('CURVA PREVISION'!$A$1:$KZ$3000,$C28,10+3*MIN(E$3,$D$2-1)))))</f>
        <v>0</v>
      </c>
      <c r="F28" s="131" t="n">
        <f aca="false">IF(OR($C28="",$B$2="",$D$2=0),0,IF(F$3&lt;0,0,N(INDEX('CURVA PREVISION'!$A$1:$KZ$3000,$C28,10+3*MIN(F$3,$D$2-1)))))</f>
        <v>0</v>
      </c>
      <c r="G28" s="131" t="n">
        <f aca="false">IF(OR($C28="",$B$2="",$D$2=0),0,IF(G$3&lt;0,0,N(INDEX('CURVA PREVISION'!$A$1:$KZ$3000,$C28,10+3*MIN(G$3,$D$2-1)))))</f>
        <v>0</v>
      </c>
      <c r="H28" s="131" t="n">
        <f aca="false">IF(OR($C28="",$B$2="",$D$2=0),0,IF(H$3&lt;0,0,N(INDEX('CURVA PREVISION'!$A$1:$KZ$3000,$C28,10+3*MIN(H$3,$D$2-1)))))</f>
        <v>0</v>
      </c>
      <c r="I28" s="131" t="n">
        <f aca="false">IF(OR($C28="",$B$2="",$D$2=0),0,IF(I$3&lt;0,0,N(INDEX('CURVA PREVISION'!$A$1:$KZ$3000,$C28,10+3*MIN(I$3,$D$2-1)))))</f>
        <v>0</v>
      </c>
      <c r="J28" s="131" t="n">
        <f aca="false">IF(OR($C28="",$B$2="",$D$2=0),0,IF(J$3&lt;0,0,N(INDEX('CURVA PREVISION'!$A$1:$KZ$3000,$C28,10+3*MIN(J$3,$D$2-1)))))</f>
        <v>0</v>
      </c>
      <c r="K28" s="131" t="n">
        <f aca="false">IF(OR($C28="",$B$2="",$D$2=0),0,IF(K$3&lt;0,0,N(INDEX('CURVA PREVISION'!$A$1:$KZ$3000,$C28,10+3*MIN(K$3,$D$2-1)))))</f>
        <v>0</v>
      </c>
      <c r="L28" s="131" t="n">
        <f aca="false">IF(OR($C28="",$B$2="",$D$2=0),0,IF(L$3&lt;0,0,N(INDEX('CURVA PREVISION'!$A$1:$KZ$3000,$C28,10+3*MIN(L$3,$D$2-1)))))</f>
        <v>0</v>
      </c>
      <c r="M28" s="131" t="n">
        <f aca="false">IF(OR($C28="",$B$2="",$D$2=0),0,IF(M$3&lt;0,0,N(INDEX('CURVA PREVISION'!$A$1:$KZ$3000,$C28,10+3*MIN(M$3,$D$2-1)))))</f>
        <v>0</v>
      </c>
      <c r="N28" s="131" t="n">
        <f aca="false">IF(OR($C28="",$B$2="",$D$2=0),0,IF(N$3&lt;0,0,N(INDEX('CURVA PREVISION'!$A$1:$KZ$3000,$C28,10+3*MIN(N$3,$D$2-1)))))</f>
        <v>0</v>
      </c>
      <c r="O28" s="131" t="n">
        <f aca="false">IF(OR($C28="",$B$2="",$D$2=0),0,IF(O$3&lt;0,0,N(INDEX('CURVA PREVISION'!$A$1:$KZ$3000,$C28,10+3*MIN(O$3,$D$2-1)))))</f>
        <v>0</v>
      </c>
      <c r="P28" s="131" t="n">
        <f aca="false">IF(OR($C28="",$B$2="",$D$2=0),0,IF(P$3&lt;0,0,N(INDEX('CURVA PREVISION'!$A$1:$KZ$3000,$C28,10+3*MIN(P$3,$D$2-1)))))</f>
        <v>0</v>
      </c>
      <c r="Q28" s="131" t="n">
        <f aca="false">IF(OR($C28="",$B$2="",$D$2=0),0,IF(Q$3&lt;0,0,N(INDEX('CURVA PREVISION'!$A$1:$KZ$3000,$C28,10+3*MIN(Q$3,$D$2-1)))))</f>
        <v>0</v>
      </c>
      <c r="R28" s="131" t="n">
        <f aca="false">IF(OR($C28="",$B$2="",$D$2=0),0,IF(R$3&lt;0,0,N(INDEX('CURVA PREVISION'!$A$1:$KZ$3000,$C28,10+3*MIN(R$3,$D$2-1)))))</f>
        <v>0</v>
      </c>
      <c r="S28" s="131" t="n">
        <f aca="false">IF(OR($C28="",$B$2="",$D$2=0),0,IF(S$3&lt;0,0,N(INDEX('CURVA PREVISION'!$A$1:$KZ$3000,$C28,10+3*MIN(S$3,$D$2-1)))))</f>
        <v>0</v>
      </c>
      <c r="T28" s="131" t="n">
        <f aca="false">IF(OR($C28="",$B$2="",$D$2=0),0,IF(T$3&lt;0,0,N(INDEX('CURVA PREVISION'!$A$1:$KZ$3000,$C28,10+3*MIN(T$3,$D$2-1)))))</f>
        <v>0</v>
      </c>
      <c r="U28" s="131" t="n">
        <f aca="false">IF(OR($C28="",$B$2="",$D$2=0),0,IF(U$3&lt;0,0,N(INDEX('CURVA PREVISION'!$A$1:$KZ$3000,$C28,10+3*MIN(U$3,$D$2-1)))))</f>
        <v>0</v>
      </c>
      <c r="V28" s="131" t="n">
        <f aca="false">IF(OR($C28="",$B$2="",$D$2=0),0,IF(V$3&lt;0,0,N(INDEX('CURVA PREVISION'!$A$1:$KZ$3000,$C28,10+3*MIN(V$3,$D$2-1)))))</f>
        <v>0</v>
      </c>
      <c r="W28" s="131" t="n">
        <f aca="false">IF(OR($C28="",$B$2="",$D$2=0),0,IF(W$3&lt;0,0,N(INDEX('CURVA PREVISION'!$A$1:$KZ$3000,$C28,10+3*MIN(W$3,$D$2-1)))))</f>
        <v>0</v>
      </c>
      <c r="X28" s="131" t="n">
        <f aca="false">IF(OR($C28="",$B$2="",$D$2=0),0,IF(X$3&lt;0,0,N(INDEX('CURVA PREVISION'!$A$1:$KZ$3000,$C28,10+3*MIN(X$3,$D$2-1)))))</f>
        <v>0</v>
      </c>
      <c r="Y28" s="131" t="n">
        <f aca="false">IF(OR($C28="",$B$2="",$D$2=0),0,IF(Y$3&lt;0,0,N(INDEX('CURVA PREVISION'!$A$1:$KZ$3000,$C28,10+3*MIN(Y$3,$D$2-1)))))</f>
        <v>0</v>
      </c>
      <c r="Z28" s="131" t="n">
        <f aca="false">IF(OR($C28="",$B$2="",$D$2=0),0,IF(Z$3&lt;0,0,N(INDEX('CURVA PREVISION'!$A$1:$KZ$3000,$C28,10+3*MIN(Z$3,$D$2-1)))))</f>
        <v>0</v>
      </c>
      <c r="AA28" s="131" t="n">
        <f aca="false">IF(OR($C28="",$B$2="",$D$2=0),0,IF(AA$3&lt;0,0,N(INDEX('CURVA PREVISION'!$A$1:$KZ$3000,$C28,10+3*MIN(AA$3,$D$2-1)))))</f>
        <v>0</v>
      </c>
      <c r="AB28" s="131" t="n">
        <f aca="false">IF(OR($C28="",$B$2="",$D$2=0),0,IF(AB$3&lt;0,0,N(INDEX('CURVA PREVISION'!$A$1:$KZ$3000,$C28,10+3*MIN(AB$3,$D$2-1)))))</f>
        <v>0</v>
      </c>
      <c r="AC28" s="131" t="n">
        <f aca="false">IF(OR($C28="",$B$2="",$D$2=0),0,IF(AC$3&lt;0,0,N(INDEX('CURVA PREVISION'!$A$1:$KZ$3000,$C28,10+3*MIN(AC$3,$D$2-1)))))</f>
        <v>0</v>
      </c>
      <c r="AD28" s="131" t="n">
        <f aca="false">IF(OR($C28="",$B$2="",$D$2=0),0,IF(AD$3&lt;0,0,N(INDEX('CURVA PREVISION'!$A$1:$KZ$3000,$C28,10+3*MIN(AD$3,$D$2-1)))))</f>
        <v>0</v>
      </c>
      <c r="AE28" s="131" t="n">
        <f aca="false">IF(OR($C28="",$B$2="",$D$2=0),0,IF(AE$3&lt;0,0,N(INDEX('CURVA PREVISION'!$A$1:$KZ$3000,$C28,10+3*MIN(AE$3,$D$2-1)))))</f>
        <v>0</v>
      </c>
      <c r="AF28" s="131" t="n">
        <f aca="false">IF(OR($C28="",$B$2="",$D$2=0),0,IF(AF$3&lt;0,0,N(INDEX('CURVA PREVISION'!$A$1:$KZ$3000,$C28,10+3*MIN(AF$3,$D$2-1)))))</f>
        <v>0</v>
      </c>
      <c r="AG28" s="131" t="n">
        <f aca="false">IF(OR($C28="",$B$2="",$D$2=0),0,IF(AG$3&lt;0,0,N(INDEX('CURVA PREVISION'!$A$1:$KZ$3000,$C28,10+3*MIN(AG$3,$D$2-1)))))</f>
        <v>0</v>
      </c>
      <c r="AH28" s="131" t="n">
        <f aca="false">IF(OR($C28="",$B$2="",$D$2=0),0,IF(AH$3&lt;0,0,N(INDEX('CURVA PREVISION'!$A$1:$KZ$3000,$C28,10+3*MIN(AH$3,$D$2-1)))))</f>
        <v>0</v>
      </c>
      <c r="AI28" s="131" t="n">
        <f aca="false">IF(OR($C28="",$B$2="",$D$2=0),0,IF(AI$3&lt;0,0,N(INDEX('CURVA PREVISION'!$A$1:$KZ$3000,$C28,10+3*MIN(AI$3,$D$2-1)))))</f>
        <v>0</v>
      </c>
      <c r="AJ28" s="131" t="n">
        <f aca="false">IF(OR($C28="",$B$2="",$D$2=0),0,IF(AJ$3&lt;0,0,N(INDEX('CURVA PREVISION'!$A$1:$KZ$3000,$C28,10+3*MIN(AJ$3,$D$2-1)))))</f>
        <v>0</v>
      </c>
      <c r="AK28" s="131" t="n">
        <f aca="false">IF(OR($C28="",$B$2="",$D$2=0),0,IF(AK$3&lt;0,0,N(INDEX('CURVA PREVISION'!$A$1:$KZ$3000,$C28,10+3*MIN(AK$3,$D$2-1)))))</f>
        <v>0</v>
      </c>
      <c r="AL28" s="131" t="n">
        <f aca="false">IF(OR($C28="",$B$2="",$D$2=0),0,IF(AL$3&lt;0,0,N(INDEX('CURVA PREVISION'!$A$1:$KZ$3000,$C28,10+3*MIN(AL$3,$D$2-1)))))</f>
        <v>0</v>
      </c>
      <c r="AM28" s="131" t="n">
        <f aca="false">IF(OR($C28="",$B$2="",$D$2=0),0,IF(AM$3&lt;0,0,N(INDEX('CURVA PREVISION'!$A$1:$KZ$3000,$C28,10+3*MIN(AM$3,$D$2-1)))))</f>
        <v>0</v>
      </c>
      <c r="AN28" s="131" t="n">
        <f aca="false">IF(OR($C28="",$B$2="",$D$2=0),0,IF(AN$3&lt;0,0,N(INDEX('CURVA PREVISION'!$A$1:$KZ$3000,$C28,10+3*MIN(AN$3,$D$2-1)))))</f>
        <v>0</v>
      </c>
      <c r="AO28" s="131" t="n">
        <f aca="false">IF(OR($C28="",$B$2="",$D$2=0),0,IF(AO$3&lt;0,0,N(INDEX('CURVA PREVISION'!$A$1:$KZ$3000,$C28,10+3*MIN(AO$3,$D$2-1)))))</f>
        <v>0</v>
      </c>
      <c r="AP28" s="131" t="n">
        <f aca="false">IF(OR($C28="",$B$2="",$D$2=0),0,IF(AP$3&lt;0,0,N(INDEX('CURVA PREVISION'!$A$1:$KZ$3000,$C28,10+3*MIN(AP$3,$D$2-1)))))</f>
        <v>0</v>
      </c>
      <c r="AQ28" s="131" t="n">
        <f aca="false">IF(OR($C28="",$B$2="",$D$2=0),0,IF(AQ$3&lt;0,0,N(INDEX('CURVA PREVISION'!$A$1:$KZ$3000,$C28,10+3*MIN(AQ$3,$D$2-1)))))</f>
        <v>0</v>
      </c>
      <c r="AR28" s="131" t="n">
        <f aca="false">IF(OR($C28="",$B$2="",$D$2=0),0,IF(AR$3&lt;0,0,N(INDEX('CURVA PREVISION'!$A$1:$KZ$3000,$C28,10+3*MIN(AR$3,$D$2-1)))))</f>
        <v>0</v>
      </c>
      <c r="AS28" s="131" t="n">
        <f aca="false">IF(OR($C28="",$B$2="",$D$2=0),0,IF(AS$3&lt;0,0,N(INDEX('CURVA PREVISION'!$A$1:$KZ$3000,$C28,10+3*MIN(AS$3,$D$2-1)))))</f>
        <v>9.09</v>
      </c>
      <c r="AT28" s="131" t="n">
        <f aca="false">IF(OR($C28="",$B$2="",$D$2=0),0,IF(AT$3&lt;0,0,N(INDEX('CURVA PREVISION'!$A$1:$KZ$3000,$C28,10+3*MIN(AT$3,$D$2-1)))))</f>
        <v>30.3</v>
      </c>
      <c r="AU28" s="131" t="n">
        <f aca="false">IF(OR($C28="",$B$2="",$D$2=0),0,IF(AU$3&lt;0,0,N(INDEX('CURVA PREVISION'!$A$1:$KZ$3000,$C28,10+3*MIN(AU$3,$D$2-1)))))</f>
        <v>51.52</v>
      </c>
      <c r="AV28" s="131" t="n">
        <f aca="false">IF(OR($C28="",$B$2="",$D$2=0),0,IF(AV$3&lt;0,0,N(INDEX('CURVA PREVISION'!$A$1:$KZ$3000,$C28,10+3*MIN(AV$3,$D$2-1)))))</f>
        <v>73.74</v>
      </c>
      <c r="AW28" s="131" t="n">
        <f aca="false">IF(OR($C28="",$B$2="",$D$2=0),0,IF(AW$3&lt;0,0,N(INDEX('CURVA PREVISION'!$A$1:$KZ$3000,$C28,10+3*MIN(AW$3,$D$2-1)))))</f>
        <v>93.94</v>
      </c>
      <c r="AX28" s="131" t="n">
        <f aca="false">IF(OR($C28="",$B$2="",$D$2=0),0,IF(AX$3&lt;0,0,N(INDEX('CURVA PREVISION'!$A$1:$KZ$3000,$C28,10+3*MIN(AX$3,$D$2-1)))))</f>
        <v>100</v>
      </c>
      <c r="AY28" s="131" t="n">
        <f aca="false">IF(OR($C28="",$B$2="",$D$2=0),0,IF(AY$3&lt;0,0,N(INDEX('CURVA PREVISION'!$A$1:$KZ$3000,$C28,10+3*MIN(AY$3,$D$2-1)))))</f>
        <v>100</v>
      </c>
      <c r="AZ28" s="131" t="n">
        <f aca="false">IF(OR($C28="",$B$2="",$D$2=0),0,IF(AZ$3&lt;0,0,N(INDEX('CURVA PREVISION'!$A$1:$KZ$3000,$C28,10+3*MIN(AZ$3,$D$2-1)))))</f>
        <v>100</v>
      </c>
      <c r="BA28" s="131" t="n">
        <f aca="false">IF(OR($C28="",$B$2="",$D$2=0),0,IF(BA$3&lt;0,0,N(INDEX('CURVA PREVISION'!$A$1:$KZ$3000,$C28,10+3*MIN(BA$3,$D$2-1)))))</f>
        <v>100</v>
      </c>
      <c r="BB28" s="131" t="n">
        <f aca="false">IF(OR($C28="",$B$2="",$D$2=0),0,IF(BB$3&lt;0,0,N(INDEX('CURVA PREVISION'!$A$1:$KZ$3000,$C28,10+3*MIN(BB$3,$D$2-1)))))</f>
        <v>100</v>
      </c>
      <c r="BC28" s="131" t="n">
        <f aca="false">IF(OR($C28="",$B$2="",$D$2=0),0,IF(BC$3&lt;0,0,N(INDEX('CURVA PREVISION'!$A$1:$KZ$3000,$C28,10+3*MIN(BC$3,$D$2-1)))))</f>
        <v>100</v>
      </c>
      <c r="BD28" s="131" t="n">
        <f aca="false">IF(OR($C28="",$B$2="",$D$2=0),0,IF(BD$3&lt;0,0,N(INDEX('CURVA PREVISION'!$A$1:$KZ$3000,$C28,10+3*MIN(BD$3,$D$2-1)))))</f>
        <v>100</v>
      </c>
      <c r="BE28" s="131" t="n">
        <f aca="false">IF(OR($C28="",$B$2="",$D$2=0),0,IF(BE$3&lt;0,0,N(INDEX('CURVA PREVISION'!$A$1:$KZ$3000,$C28,10+3*MIN(BE$3,$D$2-1)))))</f>
        <v>100</v>
      </c>
      <c r="BF28" s="131" t="n">
        <f aca="false">IF(OR($C28="",$B$2="",$D$2=0),0,IF(BF$3&lt;0,0,N(INDEX('CURVA PREVISION'!$A$1:$KZ$3000,$C28,10+3*MIN(BF$3,$D$2-1)))))</f>
        <v>100</v>
      </c>
      <c r="BG28" s="131" t="n">
        <f aca="false">IF(OR($C28="",$B$2="",$D$2=0),0,IF(BG$3&lt;0,0,N(INDEX('CURVA PREVISION'!$A$1:$KZ$3000,$C28,10+3*MIN(BG$3,$D$2-1)))))</f>
        <v>100</v>
      </c>
      <c r="BH28" s="131" t="n">
        <f aca="false">IF(OR($C28="",$B$2="",$D$2=0),0,IF(BH$3&lt;0,0,N(INDEX('CURVA PREVISION'!$A$1:$KZ$3000,$C28,10+3*MIN(BH$3,$D$2-1)))))</f>
        <v>100</v>
      </c>
      <c r="BI28" s="131" t="n">
        <f aca="false">IF(OR($C28="",$B$2="",$D$2=0),0,IF(BI$3&lt;0,0,N(INDEX('CURVA PREVISION'!$A$1:$KZ$3000,$C28,10+3*MIN(BI$3,$D$2-1)))))</f>
        <v>100</v>
      </c>
      <c r="BJ28" s="131" t="n">
        <f aca="false">IF(OR($C28="",$B$2="",$D$2=0),0,IF(BJ$3&lt;0,0,N(INDEX('CURVA PREVISION'!$A$1:$KZ$3000,$C28,10+3*MIN(BJ$3,$D$2-1)))))</f>
        <v>100</v>
      </c>
      <c r="BK28" s="131" t="n">
        <f aca="false">IF(OR($C28="",$B$2="",$D$2=0),0,IF(BK$3&lt;0,0,N(INDEX('CURVA PREVISION'!$A$1:$KZ$3000,$C28,10+3*MIN(BK$3,$D$2-1)))))</f>
        <v>100</v>
      </c>
      <c r="BL28" s="131" t="n">
        <f aca="false">IF(OR($C28="",$B$2="",$D$2=0),0,IF(BL$3&lt;0,0,N(INDEX('CURVA PREVISION'!$A$1:$KZ$3000,$C28,10+3*MIN(BL$3,$D$2-1)))))</f>
        <v>100</v>
      </c>
      <c r="BM28" s="131" t="n">
        <f aca="false">IF(OR($C28="",$B$2="",$D$2=0),0,IF(BM$3&lt;0,0,N(INDEX('CURVA PREVISION'!$A$1:$KZ$3000,$C28,10+3*MIN(BM$3,$D$2-1)))))</f>
        <v>100</v>
      </c>
      <c r="BN28" s="131" t="n">
        <f aca="false">IF(OR($C28="",$B$2="",$D$2=0),0,IF(BN$3&lt;0,0,N(INDEX('CURVA PREVISION'!$A$1:$KZ$3000,$C28,10+3*MIN(BN$3,$D$2-1)))))</f>
        <v>100</v>
      </c>
      <c r="BO28" s="131" t="n">
        <f aca="false">IF(OR($C28="",$B$2="",$D$2=0),0,IF(BO$3&lt;0,0,N(INDEX('CURVA PREVISION'!$A$1:$KZ$3000,$C28,10+3*MIN(BO$3,$D$2-1)))))</f>
        <v>100</v>
      </c>
      <c r="BP28" s="131" t="n">
        <f aca="false">IF(OR($C28="",$B$2="",$D$2=0),0,IF(BP$3&lt;0,0,N(INDEX('CURVA PREVISION'!$A$1:$KZ$3000,$C28,10+3*MIN(BP$3,$D$2-1)))))</f>
        <v>100</v>
      </c>
      <c r="BQ28" s="131" t="n">
        <f aca="false">IF(OR($C28="",$B$2="",$D$2=0),0,IF(BQ$3&lt;0,0,N(INDEX('CURVA PREVISION'!$A$1:$KZ$3000,$C28,10+3*MIN(BQ$3,$D$2-1)))))</f>
        <v>100</v>
      </c>
      <c r="BR28" s="131" t="n">
        <f aca="false">IF(OR($C28="",$B$2="",$D$2=0),0,IF(BR$3&lt;0,0,N(INDEX('CURVA PREVISION'!$A$1:$KZ$3000,$C28,10+3*MIN(BR$3,$D$2-1)))))</f>
        <v>100</v>
      </c>
      <c r="BS28" s="131" t="n">
        <f aca="false">IF(OR($C28="",$B$2="",$D$2=0),0,IF(BS$3&lt;0,0,N(INDEX('CURVA PREVISION'!$A$1:$KZ$3000,$C28,10+3*MIN(BS$3,$D$2-1)))))</f>
        <v>100</v>
      </c>
      <c r="BT28" s="131" t="n">
        <f aca="false">IF(OR($C28="",$B$2="",$D$2=0),0,IF(BT$3&lt;0,0,N(INDEX('CURVA PREVISION'!$A$1:$KZ$3000,$C28,10+3*MIN(BT$3,$D$2-1)))))</f>
        <v>100</v>
      </c>
      <c r="BU28" s="131" t="n">
        <f aca="false">IF(OR($C28="",$B$2="",$D$2=0),0,IF(BU$3&lt;0,0,N(INDEX('CURVA PREVISION'!$A$1:$KZ$3000,$C28,10+3*MIN(BU$3,$D$2-1)))))</f>
        <v>100</v>
      </c>
      <c r="BV28" s="131" t="n">
        <f aca="false">IF(OR($C28="",$B$2="",$D$2=0),0,IF(BV$3&lt;0,0,N(INDEX('CURVA PREVISION'!$A$1:$KZ$3000,$C28,10+3*MIN(BV$3,$D$2-1)))))</f>
        <v>100</v>
      </c>
      <c r="BW28" s="131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25</v>
      </c>
      <c r="B29" s="57" t="str">
        <f aca="false">'VALOR POR PL'!D35</f>
        <v>ESQUADRIAS</v>
      </c>
      <c r="C29" s="64" t="n">
        <f aca="false">IFERROR(MATCH(A29,'CURVA PREVISION'!$B$1:$B$3000,0),"")</f>
        <v>571</v>
      </c>
      <c r="D29" s="131" t="n">
        <f aca="false">IF(OR($C29="",$B$2="",$D$2=0),0,IF(D$3&lt;0,0,N(INDEX('CURVA PREVISION'!$A$1:$KZ$3000,$C29,10+3*MIN(D$3,$D$2-1)))))</f>
        <v>0</v>
      </c>
      <c r="E29" s="131" t="n">
        <f aca="false">IF(OR($C29="",$B$2="",$D$2=0),0,IF(E$3&lt;0,0,N(INDEX('CURVA PREVISION'!$A$1:$KZ$3000,$C29,10+3*MIN(E$3,$D$2-1)))))</f>
        <v>0</v>
      </c>
      <c r="F29" s="131" t="n">
        <f aca="false">IF(OR($C29="",$B$2="",$D$2=0),0,IF(F$3&lt;0,0,N(INDEX('CURVA PREVISION'!$A$1:$KZ$3000,$C29,10+3*MIN(F$3,$D$2-1)))))</f>
        <v>0</v>
      </c>
      <c r="G29" s="131" t="n">
        <f aca="false">IF(OR($C29="",$B$2="",$D$2=0),0,IF(G$3&lt;0,0,N(INDEX('CURVA PREVISION'!$A$1:$KZ$3000,$C29,10+3*MIN(G$3,$D$2-1)))))</f>
        <v>0</v>
      </c>
      <c r="H29" s="131" t="n">
        <f aca="false">IF(OR($C29="",$B$2="",$D$2=0),0,IF(H$3&lt;0,0,N(INDEX('CURVA PREVISION'!$A$1:$KZ$3000,$C29,10+3*MIN(H$3,$D$2-1)))))</f>
        <v>0</v>
      </c>
      <c r="I29" s="131" t="n">
        <f aca="false">IF(OR($C29="",$B$2="",$D$2=0),0,IF(I$3&lt;0,0,N(INDEX('CURVA PREVISION'!$A$1:$KZ$3000,$C29,10+3*MIN(I$3,$D$2-1)))))</f>
        <v>0</v>
      </c>
      <c r="J29" s="131" t="n">
        <f aca="false">IF(OR($C29="",$B$2="",$D$2=0),0,IF(J$3&lt;0,0,N(INDEX('CURVA PREVISION'!$A$1:$KZ$3000,$C29,10+3*MIN(J$3,$D$2-1)))))</f>
        <v>0</v>
      </c>
      <c r="K29" s="131" t="n">
        <f aca="false">IF(OR($C29="",$B$2="",$D$2=0),0,IF(K$3&lt;0,0,N(INDEX('CURVA PREVISION'!$A$1:$KZ$3000,$C29,10+3*MIN(K$3,$D$2-1)))))</f>
        <v>0</v>
      </c>
      <c r="L29" s="131" t="n">
        <f aca="false">IF(OR($C29="",$B$2="",$D$2=0),0,IF(L$3&lt;0,0,N(INDEX('CURVA PREVISION'!$A$1:$KZ$3000,$C29,10+3*MIN(L$3,$D$2-1)))))</f>
        <v>0</v>
      </c>
      <c r="M29" s="131" t="n">
        <f aca="false">IF(OR($C29="",$B$2="",$D$2=0),0,IF(M$3&lt;0,0,N(INDEX('CURVA PREVISION'!$A$1:$KZ$3000,$C29,10+3*MIN(M$3,$D$2-1)))))</f>
        <v>0</v>
      </c>
      <c r="N29" s="131" t="n">
        <f aca="false">IF(OR($C29="",$B$2="",$D$2=0),0,IF(N$3&lt;0,0,N(INDEX('CURVA PREVISION'!$A$1:$KZ$3000,$C29,10+3*MIN(N$3,$D$2-1)))))</f>
        <v>0</v>
      </c>
      <c r="O29" s="131" t="n">
        <f aca="false">IF(OR($C29="",$B$2="",$D$2=0),0,IF(O$3&lt;0,0,N(INDEX('CURVA PREVISION'!$A$1:$KZ$3000,$C29,10+3*MIN(O$3,$D$2-1)))))</f>
        <v>0</v>
      </c>
      <c r="P29" s="131" t="n">
        <f aca="false">IF(OR($C29="",$B$2="",$D$2=0),0,IF(P$3&lt;0,0,N(INDEX('CURVA PREVISION'!$A$1:$KZ$3000,$C29,10+3*MIN(P$3,$D$2-1)))))</f>
        <v>0</v>
      </c>
      <c r="Q29" s="131" t="n">
        <f aca="false">IF(OR($C29="",$B$2="",$D$2=0),0,IF(Q$3&lt;0,0,N(INDEX('CURVA PREVISION'!$A$1:$KZ$3000,$C29,10+3*MIN(Q$3,$D$2-1)))))</f>
        <v>0</v>
      </c>
      <c r="R29" s="131" t="n">
        <f aca="false">IF(OR($C29="",$B$2="",$D$2=0),0,IF(R$3&lt;0,0,N(INDEX('CURVA PREVISION'!$A$1:$KZ$3000,$C29,10+3*MIN(R$3,$D$2-1)))))</f>
        <v>0</v>
      </c>
      <c r="S29" s="131" t="n">
        <f aca="false">IF(OR($C29="",$B$2="",$D$2=0),0,IF(S$3&lt;0,0,N(INDEX('CURVA PREVISION'!$A$1:$KZ$3000,$C29,10+3*MIN(S$3,$D$2-1)))))</f>
        <v>0</v>
      </c>
      <c r="T29" s="131" t="n">
        <f aca="false">IF(OR($C29="",$B$2="",$D$2=0),0,IF(T$3&lt;0,0,N(INDEX('CURVA PREVISION'!$A$1:$KZ$3000,$C29,10+3*MIN(T$3,$D$2-1)))))</f>
        <v>0</v>
      </c>
      <c r="U29" s="131" t="n">
        <f aca="false">IF(OR($C29="",$B$2="",$D$2=0),0,IF(U$3&lt;0,0,N(INDEX('CURVA PREVISION'!$A$1:$KZ$3000,$C29,10+3*MIN(U$3,$D$2-1)))))</f>
        <v>0</v>
      </c>
      <c r="V29" s="131" t="n">
        <f aca="false">IF(OR($C29="",$B$2="",$D$2=0),0,IF(V$3&lt;0,0,N(INDEX('CURVA PREVISION'!$A$1:$KZ$3000,$C29,10+3*MIN(V$3,$D$2-1)))))</f>
        <v>0</v>
      </c>
      <c r="W29" s="131" t="n">
        <f aca="false">IF(OR($C29="",$B$2="",$D$2=0),0,IF(W$3&lt;0,0,N(INDEX('CURVA PREVISION'!$A$1:$KZ$3000,$C29,10+3*MIN(W$3,$D$2-1)))))</f>
        <v>0</v>
      </c>
      <c r="X29" s="131" t="n">
        <f aca="false">IF(OR($C29="",$B$2="",$D$2=0),0,IF(X$3&lt;0,0,N(INDEX('CURVA PREVISION'!$A$1:$KZ$3000,$C29,10+3*MIN(X$3,$D$2-1)))))</f>
        <v>0</v>
      </c>
      <c r="Y29" s="131" t="n">
        <f aca="false">IF(OR($C29="",$B$2="",$D$2=0),0,IF(Y$3&lt;0,0,N(INDEX('CURVA PREVISION'!$A$1:$KZ$3000,$C29,10+3*MIN(Y$3,$D$2-1)))))</f>
        <v>0</v>
      </c>
      <c r="Z29" s="131" t="n">
        <f aca="false">IF(OR($C29="",$B$2="",$D$2=0),0,IF(Z$3&lt;0,0,N(INDEX('CURVA PREVISION'!$A$1:$KZ$3000,$C29,10+3*MIN(Z$3,$D$2-1)))))</f>
        <v>0</v>
      </c>
      <c r="AA29" s="131" t="n">
        <f aca="false">IF(OR($C29="",$B$2="",$D$2=0),0,IF(AA$3&lt;0,0,N(INDEX('CURVA PREVISION'!$A$1:$KZ$3000,$C29,10+3*MIN(AA$3,$D$2-1)))))</f>
        <v>0</v>
      </c>
      <c r="AB29" s="131" t="n">
        <f aca="false">IF(OR($C29="",$B$2="",$D$2=0),0,IF(AB$3&lt;0,0,N(INDEX('CURVA PREVISION'!$A$1:$KZ$3000,$C29,10+3*MIN(AB$3,$D$2-1)))))</f>
        <v>0</v>
      </c>
      <c r="AC29" s="131" t="n">
        <f aca="false">IF(OR($C29="",$B$2="",$D$2=0),0,IF(AC$3&lt;0,0,N(INDEX('CURVA PREVISION'!$A$1:$KZ$3000,$C29,10+3*MIN(AC$3,$D$2-1)))))</f>
        <v>0</v>
      </c>
      <c r="AD29" s="131" t="n">
        <f aca="false">IF(OR($C29="",$B$2="",$D$2=0),0,IF(AD$3&lt;0,0,N(INDEX('CURVA PREVISION'!$A$1:$KZ$3000,$C29,10+3*MIN(AD$3,$D$2-1)))))</f>
        <v>0</v>
      </c>
      <c r="AE29" s="131" t="n">
        <f aca="false">IF(OR($C29="",$B$2="",$D$2=0),0,IF(AE$3&lt;0,0,N(INDEX('CURVA PREVISION'!$A$1:$KZ$3000,$C29,10+3*MIN(AE$3,$D$2-1)))))</f>
        <v>0</v>
      </c>
      <c r="AF29" s="131" t="n">
        <f aca="false">IF(OR($C29="",$B$2="",$D$2=0),0,IF(AF$3&lt;0,0,N(INDEX('CURVA PREVISION'!$A$1:$KZ$3000,$C29,10+3*MIN(AF$3,$D$2-1)))))</f>
        <v>0</v>
      </c>
      <c r="AG29" s="131" t="n">
        <f aca="false">IF(OR($C29="",$B$2="",$D$2=0),0,IF(AG$3&lt;0,0,N(INDEX('CURVA PREVISION'!$A$1:$KZ$3000,$C29,10+3*MIN(AG$3,$D$2-1)))))</f>
        <v>0</v>
      </c>
      <c r="AH29" s="131" t="n">
        <f aca="false">IF(OR($C29="",$B$2="",$D$2=0),0,IF(AH$3&lt;0,0,N(INDEX('CURVA PREVISION'!$A$1:$KZ$3000,$C29,10+3*MIN(AH$3,$D$2-1)))))</f>
        <v>0</v>
      </c>
      <c r="AI29" s="131" t="n">
        <f aca="false">IF(OR($C29="",$B$2="",$D$2=0),0,IF(AI$3&lt;0,0,N(INDEX('CURVA PREVISION'!$A$1:$KZ$3000,$C29,10+3*MIN(AI$3,$D$2-1)))))</f>
        <v>0</v>
      </c>
      <c r="AJ29" s="131" t="n">
        <f aca="false">IF(OR($C29="",$B$2="",$D$2=0),0,IF(AJ$3&lt;0,0,N(INDEX('CURVA PREVISION'!$A$1:$KZ$3000,$C29,10+3*MIN(AJ$3,$D$2-1)))))</f>
        <v>0</v>
      </c>
      <c r="AK29" s="131" t="n">
        <f aca="false">IF(OR($C29="",$B$2="",$D$2=0),0,IF(AK$3&lt;0,0,N(INDEX('CURVA PREVISION'!$A$1:$KZ$3000,$C29,10+3*MIN(AK$3,$D$2-1)))))</f>
        <v>0</v>
      </c>
      <c r="AL29" s="131" t="n">
        <f aca="false">IF(OR($C29="",$B$2="",$D$2=0),0,IF(AL$3&lt;0,0,N(INDEX('CURVA PREVISION'!$A$1:$KZ$3000,$C29,10+3*MIN(AL$3,$D$2-1)))))</f>
        <v>0</v>
      </c>
      <c r="AM29" s="131" t="n">
        <f aca="false">IF(OR($C29="",$B$2="",$D$2=0),0,IF(AM$3&lt;0,0,N(INDEX('CURVA PREVISION'!$A$1:$KZ$3000,$C29,10+3*MIN(AM$3,$D$2-1)))))</f>
        <v>0</v>
      </c>
      <c r="AN29" s="131" t="n">
        <f aca="false">IF(OR($C29="",$B$2="",$D$2=0),0,IF(AN$3&lt;0,0,N(INDEX('CURVA PREVISION'!$A$1:$KZ$3000,$C29,10+3*MIN(AN$3,$D$2-1)))))</f>
        <v>4.72</v>
      </c>
      <c r="AO29" s="131" t="n">
        <f aca="false">IF(OR($C29="",$B$2="",$D$2=0),0,IF(AO$3&lt;0,0,N(INDEX('CURVA PREVISION'!$A$1:$KZ$3000,$C29,10+3*MIN(AO$3,$D$2-1)))))</f>
        <v>12.97</v>
      </c>
      <c r="AP29" s="131" t="n">
        <f aca="false">IF(OR($C29="",$B$2="",$D$2=0),0,IF(AP$3&lt;0,0,N(INDEX('CURVA PREVISION'!$A$1:$KZ$3000,$C29,10+3*MIN(AP$3,$D$2-1)))))</f>
        <v>22.75</v>
      </c>
      <c r="AQ29" s="131" t="n">
        <f aca="false">IF(OR($C29="",$B$2="",$D$2=0),0,IF(AQ$3&lt;0,0,N(INDEX('CURVA PREVISION'!$A$1:$KZ$3000,$C29,10+3*MIN(AQ$3,$D$2-1)))))</f>
        <v>33.92</v>
      </c>
      <c r="AR29" s="131" t="n">
        <f aca="false">IF(OR($C29="",$B$2="",$D$2=0),0,IF(AR$3&lt;0,0,N(INDEX('CURVA PREVISION'!$A$1:$KZ$3000,$C29,10+3*MIN(AR$3,$D$2-1)))))</f>
        <v>41.06</v>
      </c>
      <c r="AS29" s="131" t="n">
        <f aca="false">IF(OR($C29="",$B$2="",$D$2=0),0,IF(AS$3&lt;0,0,N(INDEX('CURVA PREVISION'!$A$1:$KZ$3000,$C29,10+3*MIN(AS$3,$D$2-1)))))</f>
        <v>49.88</v>
      </c>
      <c r="AT29" s="131" t="n">
        <f aca="false">IF(OR($C29="",$B$2="",$D$2=0),0,IF(AT$3&lt;0,0,N(INDEX('CURVA PREVISION'!$A$1:$KZ$3000,$C29,10+3*MIN(AT$3,$D$2-1)))))</f>
        <v>59.45</v>
      </c>
      <c r="AU29" s="131" t="n">
        <f aca="false">IF(OR($C29="",$B$2="",$D$2=0),0,IF(AU$3&lt;0,0,N(INDEX('CURVA PREVISION'!$A$1:$KZ$3000,$C29,10+3*MIN(AU$3,$D$2-1)))))</f>
        <v>68.87</v>
      </c>
      <c r="AV29" s="131" t="n">
        <f aca="false">IF(OR($C29="",$B$2="",$D$2=0),0,IF(AV$3&lt;0,0,N(INDEX('CURVA PREVISION'!$A$1:$KZ$3000,$C29,10+3*MIN(AV$3,$D$2-1)))))</f>
        <v>79.82</v>
      </c>
      <c r="AW29" s="131" t="n">
        <f aca="false">IF(OR($C29="",$B$2="",$D$2=0),0,IF(AW$3&lt;0,0,N(INDEX('CURVA PREVISION'!$A$1:$KZ$3000,$C29,10+3*MIN(AW$3,$D$2-1)))))</f>
        <v>90.05</v>
      </c>
      <c r="AX29" s="131" t="n">
        <f aca="false">IF(OR($C29="",$B$2="",$D$2=0),0,IF(AX$3&lt;0,0,N(INDEX('CURVA PREVISION'!$A$1:$KZ$3000,$C29,10+3*MIN(AX$3,$D$2-1)))))</f>
        <v>96.21</v>
      </c>
      <c r="AY29" s="131" t="n">
        <f aca="false">IF(OR($C29="",$B$2="",$D$2=0),0,IF(AY$3&lt;0,0,N(INDEX('CURVA PREVISION'!$A$1:$KZ$3000,$C29,10+3*MIN(AY$3,$D$2-1)))))</f>
        <v>100</v>
      </c>
      <c r="AZ29" s="131" t="n">
        <f aca="false">IF(OR($C29="",$B$2="",$D$2=0),0,IF(AZ$3&lt;0,0,N(INDEX('CURVA PREVISION'!$A$1:$KZ$3000,$C29,10+3*MIN(AZ$3,$D$2-1)))))</f>
        <v>100</v>
      </c>
      <c r="BA29" s="131" t="n">
        <f aca="false">IF(OR($C29="",$B$2="",$D$2=0),0,IF(BA$3&lt;0,0,N(INDEX('CURVA PREVISION'!$A$1:$KZ$3000,$C29,10+3*MIN(BA$3,$D$2-1)))))</f>
        <v>100</v>
      </c>
      <c r="BB29" s="131" t="n">
        <f aca="false">IF(OR($C29="",$B$2="",$D$2=0),0,IF(BB$3&lt;0,0,N(INDEX('CURVA PREVISION'!$A$1:$KZ$3000,$C29,10+3*MIN(BB$3,$D$2-1)))))</f>
        <v>100</v>
      </c>
      <c r="BC29" s="131" t="n">
        <f aca="false">IF(OR($C29="",$B$2="",$D$2=0),0,IF(BC$3&lt;0,0,N(INDEX('CURVA PREVISION'!$A$1:$KZ$3000,$C29,10+3*MIN(BC$3,$D$2-1)))))</f>
        <v>100</v>
      </c>
      <c r="BD29" s="131" t="n">
        <f aca="false">IF(OR($C29="",$B$2="",$D$2=0),0,IF(BD$3&lt;0,0,N(INDEX('CURVA PREVISION'!$A$1:$KZ$3000,$C29,10+3*MIN(BD$3,$D$2-1)))))</f>
        <v>100</v>
      </c>
      <c r="BE29" s="131" t="n">
        <f aca="false">IF(OR($C29="",$B$2="",$D$2=0),0,IF(BE$3&lt;0,0,N(INDEX('CURVA PREVISION'!$A$1:$KZ$3000,$C29,10+3*MIN(BE$3,$D$2-1)))))</f>
        <v>100</v>
      </c>
      <c r="BF29" s="131" t="n">
        <f aca="false">IF(OR($C29="",$B$2="",$D$2=0),0,IF(BF$3&lt;0,0,N(INDEX('CURVA PREVISION'!$A$1:$KZ$3000,$C29,10+3*MIN(BF$3,$D$2-1)))))</f>
        <v>100</v>
      </c>
      <c r="BG29" s="131" t="n">
        <f aca="false">IF(OR($C29="",$B$2="",$D$2=0),0,IF(BG$3&lt;0,0,N(INDEX('CURVA PREVISION'!$A$1:$KZ$3000,$C29,10+3*MIN(BG$3,$D$2-1)))))</f>
        <v>100</v>
      </c>
      <c r="BH29" s="131" t="n">
        <f aca="false">IF(OR($C29="",$B$2="",$D$2=0),0,IF(BH$3&lt;0,0,N(INDEX('CURVA PREVISION'!$A$1:$KZ$3000,$C29,10+3*MIN(BH$3,$D$2-1)))))</f>
        <v>100</v>
      </c>
      <c r="BI29" s="131" t="n">
        <f aca="false">IF(OR($C29="",$B$2="",$D$2=0),0,IF(BI$3&lt;0,0,N(INDEX('CURVA PREVISION'!$A$1:$KZ$3000,$C29,10+3*MIN(BI$3,$D$2-1)))))</f>
        <v>100</v>
      </c>
      <c r="BJ29" s="131" t="n">
        <f aca="false">IF(OR($C29="",$B$2="",$D$2=0),0,IF(BJ$3&lt;0,0,N(INDEX('CURVA PREVISION'!$A$1:$KZ$3000,$C29,10+3*MIN(BJ$3,$D$2-1)))))</f>
        <v>100</v>
      </c>
      <c r="BK29" s="131" t="n">
        <f aca="false">IF(OR($C29="",$B$2="",$D$2=0),0,IF(BK$3&lt;0,0,N(INDEX('CURVA PREVISION'!$A$1:$KZ$3000,$C29,10+3*MIN(BK$3,$D$2-1)))))</f>
        <v>100</v>
      </c>
      <c r="BL29" s="131" t="n">
        <f aca="false">IF(OR($C29="",$B$2="",$D$2=0),0,IF(BL$3&lt;0,0,N(INDEX('CURVA PREVISION'!$A$1:$KZ$3000,$C29,10+3*MIN(BL$3,$D$2-1)))))</f>
        <v>100</v>
      </c>
      <c r="BM29" s="131" t="n">
        <f aca="false">IF(OR($C29="",$B$2="",$D$2=0),0,IF(BM$3&lt;0,0,N(INDEX('CURVA PREVISION'!$A$1:$KZ$3000,$C29,10+3*MIN(BM$3,$D$2-1)))))</f>
        <v>100</v>
      </c>
      <c r="BN29" s="131" t="n">
        <f aca="false">IF(OR($C29="",$B$2="",$D$2=0),0,IF(BN$3&lt;0,0,N(INDEX('CURVA PREVISION'!$A$1:$KZ$3000,$C29,10+3*MIN(BN$3,$D$2-1)))))</f>
        <v>100</v>
      </c>
      <c r="BO29" s="131" t="n">
        <f aca="false">IF(OR($C29="",$B$2="",$D$2=0),0,IF(BO$3&lt;0,0,N(INDEX('CURVA PREVISION'!$A$1:$KZ$3000,$C29,10+3*MIN(BO$3,$D$2-1)))))</f>
        <v>100</v>
      </c>
      <c r="BP29" s="131" t="n">
        <f aca="false">IF(OR($C29="",$B$2="",$D$2=0),0,IF(BP$3&lt;0,0,N(INDEX('CURVA PREVISION'!$A$1:$KZ$3000,$C29,10+3*MIN(BP$3,$D$2-1)))))</f>
        <v>100</v>
      </c>
      <c r="BQ29" s="131" t="n">
        <f aca="false">IF(OR($C29="",$B$2="",$D$2=0),0,IF(BQ$3&lt;0,0,N(INDEX('CURVA PREVISION'!$A$1:$KZ$3000,$C29,10+3*MIN(BQ$3,$D$2-1)))))</f>
        <v>100</v>
      </c>
      <c r="BR29" s="131" t="n">
        <f aca="false">IF(OR($C29="",$B$2="",$D$2=0),0,IF(BR$3&lt;0,0,N(INDEX('CURVA PREVISION'!$A$1:$KZ$3000,$C29,10+3*MIN(BR$3,$D$2-1)))))</f>
        <v>100</v>
      </c>
      <c r="BS29" s="131" t="n">
        <f aca="false">IF(OR($C29="",$B$2="",$D$2=0),0,IF(BS$3&lt;0,0,N(INDEX('CURVA PREVISION'!$A$1:$KZ$3000,$C29,10+3*MIN(BS$3,$D$2-1)))))</f>
        <v>100</v>
      </c>
      <c r="BT29" s="131" t="n">
        <f aca="false">IF(OR($C29="",$B$2="",$D$2=0),0,IF(BT$3&lt;0,0,N(INDEX('CURVA PREVISION'!$A$1:$KZ$3000,$C29,10+3*MIN(BT$3,$D$2-1)))))</f>
        <v>100</v>
      </c>
      <c r="BU29" s="131" t="n">
        <f aca="false">IF(OR($C29="",$B$2="",$D$2=0),0,IF(BU$3&lt;0,0,N(INDEX('CURVA PREVISION'!$A$1:$KZ$3000,$C29,10+3*MIN(BU$3,$D$2-1)))))</f>
        <v>100</v>
      </c>
      <c r="BV29" s="131" t="n">
        <f aca="false">IF(OR($C29="",$B$2="",$D$2=0),0,IF(BV$3&lt;0,0,N(INDEX('CURVA PREVISION'!$A$1:$KZ$3000,$C29,10+3*MIN(BV$3,$D$2-1)))))</f>
        <v>100</v>
      </c>
      <c r="BW29" s="131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26</v>
      </c>
      <c r="B30" s="57" t="str">
        <f aca="false">'VALOR POR PL'!D36</f>
        <v>SERRALHERIA</v>
      </c>
      <c r="C30" s="64" t="n">
        <f aca="false">IFERROR(MATCH(A30,'CURVA PREVISION'!$B$1:$B$3000,0),"")</f>
        <v>579</v>
      </c>
      <c r="D30" s="131" t="n">
        <f aca="false">IF(OR($C30="",$B$2="",$D$2=0),0,IF(D$3&lt;0,0,N(INDEX('CURVA PREVISION'!$A$1:$KZ$3000,$C30,10+3*MIN(D$3,$D$2-1)))))</f>
        <v>0</v>
      </c>
      <c r="E30" s="131" t="n">
        <f aca="false">IF(OR($C30="",$B$2="",$D$2=0),0,IF(E$3&lt;0,0,N(INDEX('CURVA PREVISION'!$A$1:$KZ$3000,$C30,10+3*MIN(E$3,$D$2-1)))))</f>
        <v>0</v>
      </c>
      <c r="F30" s="131" t="n">
        <f aca="false">IF(OR($C30="",$B$2="",$D$2=0),0,IF(F$3&lt;0,0,N(INDEX('CURVA PREVISION'!$A$1:$KZ$3000,$C30,10+3*MIN(F$3,$D$2-1)))))</f>
        <v>0</v>
      </c>
      <c r="G30" s="131" t="n">
        <f aca="false">IF(OR($C30="",$B$2="",$D$2=0),0,IF(G$3&lt;0,0,N(INDEX('CURVA PREVISION'!$A$1:$KZ$3000,$C30,10+3*MIN(G$3,$D$2-1)))))</f>
        <v>0</v>
      </c>
      <c r="H30" s="131" t="n">
        <f aca="false">IF(OR($C30="",$B$2="",$D$2=0),0,IF(H$3&lt;0,0,N(INDEX('CURVA PREVISION'!$A$1:$KZ$3000,$C30,10+3*MIN(H$3,$D$2-1)))))</f>
        <v>0</v>
      </c>
      <c r="I30" s="131" t="n">
        <f aca="false">IF(OR($C30="",$B$2="",$D$2=0),0,IF(I$3&lt;0,0,N(INDEX('CURVA PREVISION'!$A$1:$KZ$3000,$C30,10+3*MIN(I$3,$D$2-1)))))</f>
        <v>0</v>
      </c>
      <c r="J30" s="131" t="n">
        <f aca="false">IF(OR($C30="",$B$2="",$D$2=0),0,IF(J$3&lt;0,0,N(INDEX('CURVA PREVISION'!$A$1:$KZ$3000,$C30,10+3*MIN(J$3,$D$2-1)))))</f>
        <v>0</v>
      </c>
      <c r="K30" s="131" t="n">
        <f aca="false">IF(OR($C30="",$B$2="",$D$2=0),0,IF(K$3&lt;0,0,N(INDEX('CURVA PREVISION'!$A$1:$KZ$3000,$C30,10+3*MIN(K$3,$D$2-1)))))</f>
        <v>0</v>
      </c>
      <c r="L30" s="131" t="n">
        <f aca="false">IF(OR($C30="",$B$2="",$D$2=0),0,IF(L$3&lt;0,0,N(INDEX('CURVA PREVISION'!$A$1:$KZ$3000,$C30,10+3*MIN(L$3,$D$2-1)))))</f>
        <v>0</v>
      </c>
      <c r="M30" s="131" t="n">
        <f aca="false">IF(OR($C30="",$B$2="",$D$2=0),0,IF(M$3&lt;0,0,N(INDEX('CURVA PREVISION'!$A$1:$KZ$3000,$C30,10+3*MIN(M$3,$D$2-1)))))</f>
        <v>0</v>
      </c>
      <c r="N30" s="131" t="n">
        <f aca="false">IF(OR($C30="",$B$2="",$D$2=0),0,IF(N$3&lt;0,0,N(INDEX('CURVA PREVISION'!$A$1:$KZ$3000,$C30,10+3*MIN(N$3,$D$2-1)))))</f>
        <v>0</v>
      </c>
      <c r="O30" s="131" t="n">
        <f aca="false">IF(OR($C30="",$B$2="",$D$2=0),0,IF(O$3&lt;0,0,N(INDEX('CURVA PREVISION'!$A$1:$KZ$3000,$C30,10+3*MIN(O$3,$D$2-1)))))</f>
        <v>0</v>
      </c>
      <c r="P30" s="131" t="n">
        <f aca="false">IF(OR($C30="",$B$2="",$D$2=0),0,IF(P$3&lt;0,0,N(INDEX('CURVA PREVISION'!$A$1:$KZ$3000,$C30,10+3*MIN(P$3,$D$2-1)))))</f>
        <v>0</v>
      </c>
      <c r="Q30" s="131" t="n">
        <f aca="false">IF(OR($C30="",$B$2="",$D$2=0),0,IF(Q$3&lt;0,0,N(INDEX('CURVA PREVISION'!$A$1:$KZ$3000,$C30,10+3*MIN(Q$3,$D$2-1)))))</f>
        <v>0</v>
      </c>
      <c r="R30" s="131" t="n">
        <f aca="false">IF(OR($C30="",$B$2="",$D$2=0),0,IF(R$3&lt;0,0,N(INDEX('CURVA PREVISION'!$A$1:$KZ$3000,$C30,10+3*MIN(R$3,$D$2-1)))))</f>
        <v>0</v>
      </c>
      <c r="S30" s="131" t="n">
        <f aca="false">IF(OR($C30="",$B$2="",$D$2=0),0,IF(S$3&lt;0,0,N(INDEX('CURVA PREVISION'!$A$1:$KZ$3000,$C30,10+3*MIN(S$3,$D$2-1)))))</f>
        <v>0</v>
      </c>
      <c r="T30" s="131" t="n">
        <f aca="false">IF(OR($C30="",$B$2="",$D$2=0),0,IF(T$3&lt;0,0,N(INDEX('CURVA PREVISION'!$A$1:$KZ$3000,$C30,10+3*MIN(T$3,$D$2-1)))))</f>
        <v>0</v>
      </c>
      <c r="U30" s="131" t="n">
        <f aca="false">IF(OR($C30="",$B$2="",$D$2=0),0,IF(U$3&lt;0,0,N(INDEX('CURVA PREVISION'!$A$1:$KZ$3000,$C30,10+3*MIN(U$3,$D$2-1)))))</f>
        <v>0</v>
      </c>
      <c r="V30" s="131" t="n">
        <f aca="false">IF(OR($C30="",$B$2="",$D$2=0),0,IF(V$3&lt;0,0,N(INDEX('CURVA PREVISION'!$A$1:$KZ$3000,$C30,10+3*MIN(V$3,$D$2-1)))))</f>
        <v>0</v>
      </c>
      <c r="W30" s="131" t="n">
        <f aca="false">IF(OR($C30="",$B$2="",$D$2=0),0,IF(W$3&lt;0,0,N(INDEX('CURVA PREVISION'!$A$1:$KZ$3000,$C30,10+3*MIN(W$3,$D$2-1)))))</f>
        <v>0</v>
      </c>
      <c r="X30" s="131" t="n">
        <f aca="false">IF(OR($C30="",$B$2="",$D$2=0),0,IF(X$3&lt;0,0,N(INDEX('CURVA PREVISION'!$A$1:$KZ$3000,$C30,10+3*MIN(X$3,$D$2-1)))))</f>
        <v>0</v>
      </c>
      <c r="Y30" s="131" t="n">
        <f aca="false">IF(OR($C30="",$B$2="",$D$2=0),0,IF(Y$3&lt;0,0,N(INDEX('CURVA PREVISION'!$A$1:$KZ$3000,$C30,10+3*MIN(Y$3,$D$2-1)))))</f>
        <v>0</v>
      </c>
      <c r="Z30" s="131" t="n">
        <f aca="false">IF(OR($C30="",$B$2="",$D$2=0),0,IF(Z$3&lt;0,0,N(INDEX('CURVA PREVISION'!$A$1:$KZ$3000,$C30,10+3*MIN(Z$3,$D$2-1)))))</f>
        <v>0</v>
      </c>
      <c r="AA30" s="131" t="n">
        <f aca="false">IF(OR($C30="",$B$2="",$D$2=0),0,IF(AA$3&lt;0,0,N(INDEX('CURVA PREVISION'!$A$1:$KZ$3000,$C30,10+3*MIN(AA$3,$D$2-1)))))</f>
        <v>0</v>
      </c>
      <c r="AB30" s="131" t="n">
        <f aca="false">IF(OR($C30="",$B$2="",$D$2=0),0,IF(AB$3&lt;0,0,N(INDEX('CURVA PREVISION'!$A$1:$KZ$3000,$C30,10+3*MIN(AB$3,$D$2-1)))))</f>
        <v>0</v>
      </c>
      <c r="AC30" s="131" t="n">
        <f aca="false">IF(OR($C30="",$B$2="",$D$2=0),0,IF(AC$3&lt;0,0,N(INDEX('CURVA PREVISION'!$A$1:$KZ$3000,$C30,10+3*MIN(AC$3,$D$2-1)))))</f>
        <v>0</v>
      </c>
      <c r="AD30" s="131" t="n">
        <f aca="false">IF(OR($C30="",$B$2="",$D$2=0),0,IF(AD$3&lt;0,0,N(INDEX('CURVA PREVISION'!$A$1:$KZ$3000,$C30,10+3*MIN(AD$3,$D$2-1)))))</f>
        <v>0</v>
      </c>
      <c r="AE30" s="131" t="n">
        <f aca="false">IF(OR($C30="",$B$2="",$D$2=0),0,IF(AE$3&lt;0,0,N(INDEX('CURVA PREVISION'!$A$1:$KZ$3000,$C30,10+3*MIN(AE$3,$D$2-1)))))</f>
        <v>0</v>
      </c>
      <c r="AF30" s="131" t="n">
        <f aca="false">IF(OR($C30="",$B$2="",$D$2=0),0,IF(AF$3&lt;0,0,N(INDEX('CURVA PREVISION'!$A$1:$KZ$3000,$C30,10+3*MIN(AF$3,$D$2-1)))))</f>
        <v>0</v>
      </c>
      <c r="AG30" s="131" t="n">
        <f aca="false">IF(OR($C30="",$B$2="",$D$2=0),0,IF(AG$3&lt;0,0,N(INDEX('CURVA PREVISION'!$A$1:$KZ$3000,$C30,10+3*MIN(AG$3,$D$2-1)))))</f>
        <v>0</v>
      </c>
      <c r="AH30" s="131" t="n">
        <f aca="false">IF(OR($C30="",$B$2="",$D$2=0),0,IF(AH$3&lt;0,0,N(INDEX('CURVA PREVISION'!$A$1:$KZ$3000,$C30,10+3*MIN(AH$3,$D$2-1)))))</f>
        <v>0</v>
      </c>
      <c r="AI30" s="131" t="n">
        <f aca="false">IF(OR($C30="",$B$2="",$D$2=0),0,IF(AI$3&lt;0,0,N(INDEX('CURVA PREVISION'!$A$1:$KZ$3000,$C30,10+3*MIN(AI$3,$D$2-1)))))</f>
        <v>0</v>
      </c>
      <c r="AJ30" s="131" t="n">
        <f aca="false">IF(OR($C30="",$B$2="",$D$2=0),0,IF(AJ$3&lt;0,0,N(INDEX('CURVA PREVISION'!$A$1:$KZ$3000,$C30,10+3*MIN(AJ$3,$D$2-1)))))</f>
        <v>10.61</v>
      </c>
      <c r="AK30" s="131" t="n">
        <f aca="false">IF(OR($C30="",$B$2="",$D$2=0),0,IF(AK$3&lt;0,0,N(INDEX('CURVA PREVISION'!$A$1:$KZ$3000,$C30,10+3*MIN(AK$3,$D$2-1)))))</f>
        <v>10.61</v>
      </c>
      <c r="AL30" s="131" t="n">
        <f aca="false">IF(OR($C30="",$B$2="",$D$2=0),0,IF(AL$3&lt;0,0,N(INDEX('CURVA PREVISION'!$A$1:$KZ$3000,$C30,10+3*MIN(AL$3,$D$2-1)))))</f>
        <v>15.92</v>
      </c>
      <c r="AM30" s="131" t="n">
        <f aca="false">IF(OR($C30="",$B$2="",$D$2=0),0,IF(AM$3&lt;0,0,N(INDEX('CURVA PREVISION'!$A$1:$KZ$3000,$C30,10+3*MIN(AM$3,$D$2-1)))))</f>
        <v>15.92</v>
      </c>
      <c r="AN30" s="131" t="n">
        <f aca="false">IF(OR($C30="",$B$2="",$D$2=0),0,IF(AN$3&lt;0,0,N(INDEX('CURVA PREVISION'!$A$1:$KZ$3000,$C30,10+3*MIN(AN$3,$D$2-1)))))</f>
        <v>19.1</v>
      </c>
      <c r="AO30" s="131" t="n">
        <f aca="false">IF(OR($C30="",$B$2="",$D$2=0),0,IF(AO$3&lt;0,0,N(INDEX('CURVA PREVISION'!$A$1:$KZ$3000,$C30,10+3*MIN(AO$3,$D$2-1)))))</f>
        <v>21.22</v>
      </c>
      <c r="AP30" s="131" t="n">
        <f aca="false">IF(OR($C30="",$B$2="",$D$2=0),0,IF(AP$3&lt;0,0,N(INDEX('CURVA PREVISION'!$A$1:$KZ$3000,$C30,10+3*MIN(AP$3,$D$2-1)))))</f>
        <v>27.68</v>
      </c>
      <c r="AQ30" s="131" t="n">
        <f aca="false">IF(OR($C30="",$B$2="",$D$2=0),0,IF(AQ$3&lt;0,0,N(INDEX('CURVA PREVISION'!$A$1:$KZ$3000,$C30,10+3*MIN(AQ$3,$D$2-1)))))</f>
        <v>45.74</v>
      </c>
      <c r="AR30" s="131" t="n">
        <f aca="false">IF(OR($C30="",$B$2="",$D$2=0),0,IF(AR$3&lt;0,0,N(INDEX('CURVA PREVISION'!$A$1:$KZ$3000,$C30,10+3*MIN(AR$3,$D$2-1)))))</f>
        <v>57.39</v>
      </c>
      <c r="AS30" s="131" t="n">
        <f aca="false">IF(OR($C30="",$B$2="",$D$2=0),0,IF(AS$3&lt;0,0,N(INDEX('CURVA PREVISION'!$A$1:$KZ$3000,$C30,10+3*MIN(AS$3,$D$2-1)))))</f>
        <v>62.18</v>
      </c>
      <c r="AT30" s="131" t="n">
        <f aca="false">IF(OR($C30="",$B$2="",$D$2=0),0,IF(AT$3&lt;0,0,N(INDEX('CURVA PREVISION'!$A$1:$KZ$3000,$C30,10+3*MIN(AT$3,$D$2-1)))))</f>
        <v>72.97</v>
      </c>
      <c r="AU30" s="131" t="n">
        <f aca="false">IF(OR($C30="",$B$2="",$D$2=0),0,IF(AU$3&lt;0,0,N(INDEX('CURVA PREVISION'!$A$1:$KZ$3000,$C30,10+3*MIN(AU$3,$D$2-1)))))</f>
        <v>74.58</v>
      </c>
      <c r="AV30" s="131" t="n">
        <f aca="false">IF(OR($C30="",$B$2="",$D$2=0),0,IF(AV$3&lt;0,0,N(INDEX('CURVA PREVISION'!$A$1:$KZ$3000,$C30,10+3*MIN(AV$3,$D$2-1)))))</f>
        <v>76.34</v>
      </c>
      <c r="AW30" s="131" t="n">
        <f aca="false">IF(OR($C30="",$B$2="",$D$2=0),0,IF(AW$3&lt;0,0,N(INDEX('CURVA PREVISION'!$A$1:$KZ$3000,$C30,10+3*MIN(AW$3,$D$2-1)))))</f>
        <v>77.91</v>
      </c>
      <c r="AX30" s="131" t="n">
        <f aca="false">IF(OR($C30="",$B$2="",$D$2=0),0,IF(AX$3&lt;0,0,N(INDEX('CURVA PREVISION'!$A$1:$KZ$3000,$C30,10+3*MIN(AX$3,$D$2-1)))))</f>
        <v>79.51</v>
      </c>
      <c r="AY30" s="131" t="n">
        <f aca="false">IF(OR($C30="",$B$2="",$D$2=0),0,IF(AY$3&lt;0,0,N(INDEX('CURVA PREVISION'!$A$1:$KZ$3000,$C30,10+3*MIN(AY$3,$D$2-1)))))</f>
        <v>97.99</v>
      </c>
      <c r="AZ30" s="131" t="n">
        <f aca="false">IF(OR($C30="",$B$2="",$D$2=0),0,IF(AZ$3&lt;0,0,N(INDEX('CURVA PREVISION'!$A$1:$KZ$3000,$C30,10+3*MIN(AZ$3,$D$2-1)))))</f>
        <v>99.13</v>
      </c>
      <c r="BA30" s="131" t="n">
        <f aca="false">IF(OR($C30="",$B$2="",$D$2=0),0,IF(BA$3&lt;0,0,N(INDEX('CURVA PREVISION'!$A$1:$KZ$3000,$C30,10+3*MIN(BA$3,$D$2-1)))))</f>
        <v>100</v>
      </c>
      <c r="BB30" s="131" t="n">
        <f aca="false">IF(OR($C30="",$B$2="",$D$2=0),0,IF(BB$3&lt;0,0,N(INDEX('CURVA PREVISION'!$A$1:$KZ$3000,$C30,10+3*MIN(BB$3,$D$2-1)))))</f>
        <v>100</v>
      </c>
      <c r="BC30" s="131" t="n">
        <f aca="false">IF(OR($C30="",$B$2="",$D$2=0),0,IF(BC$3&lt;0,0,N(INDEX('CURVA PREVISION'!$A$1:$KZ$3000,$C30,10+3*MIN(BC$3,$D$2-1)))))</f>
        <v>100</v>
      </c>
      <c r="BD30" s="131" t="n">
        <f aca="false">IF(OR($C30="",$B$2="",$D$2=0),0,IF(BD$3&lt;0,0,N(INDEX('CURVA PREVISION'!$A$1:$KZ$3000,$C30,10+3*MIN(BD$3,$D$2-1)))))</f>
        <v>100</v>
      </c>
      <c r="BE30" s="131" t="n">
        <f aca="false">IF(OR($C30="",$B$2="",$D$2=0),0,IF(BE$3&lt;0,0,N(INDEX('CURVA PREVISION'!$A$1:$KZ$3000,$C30,10+3*MIN(BE$3,$D$2-1)))))</f>
        <v>100</v>
      </c>
      <c r="BF30" s="131" t="n">
        <f aca="false">IF(OR($C30="",$B$2="",$D$2=0),0,IF(BF$3&lt;0,0,N(INDEX('CURVA PREVISION'!$A$1:$KZ$3000,$C30,10+3*MIN(BF$3,$D$2-1)))))</f>
        <v>100</v>
      </c>
      <c r="BG30" s="131" t="n">
        <f aca="false">IF(OR($C30="",$B$2="",$D$2=0),0,IF(BG$3&lt;0,0,N(INDEX('CURVA PREVISION'!$A$1:$KZ$3000,$C30,10+3*MIN(BG$3,$D$2-1)))))</f>
        <v>100</v>
      </c>
      <c r="BH30" s="131" t="n">
        <f aca="false">IF(OR($C30="",$B$2="",$D$2=0),0,IF(BH$3&lt;0,0,N(INDEX('CURVA PREVISION'!$A$1:$KZ$3000,$C30,10+3*MIN(BH$3,$D$2-1)))))</f>
        <v>100</v>
      </c>
      <c r="BI30" s="131" t="n">
        <f aca="false">IF(OR($C30="",$B$2="",$D$2=0),0,IF(BI$3&lt;0,0,N(INDEX('CURVA PREVISION'!$A$1:$KZ$3000,$C30,10+3*MIN(BI$3,$D$2-1)))))</f>
        <v>100</v>
      </c>
      <c r="BJ30" s="131" t="n">
        <f aca="false">IF(OR($C30="",$B$2="",$D$2=0),0,IF(BJ$3&lt;0,0,N(INDEX('CURVA PREVISION'!$A$1:$KZ$3000,$C30,10+3*MIN(BJ$3,$D$2-1)))))</f>
        <v>100</v>
      </c>
      <c r="BK30" s="131" t="n">
        <f aca="false">IF(OR($C30="",$B$2="",$D$2=0),0,IF(BK$3&lt;0,0,N(INDEX('CURVA PREVISION'!$A$1:$KZ$3000,$C30,10+3*MIN(BK$3,$D$2-1)))))</f>
        <v>100</v>
      </c>
      <c r="BL30" s="131" t="n">
        <f aca="false">IF(OR($C30="",$B$2="",$D$2=0),0,IF(BL$3&lt;0,0,N(INDEX('CURVA PREVISION'!$A$1:$KZ$3000,$C30,10+3*MIN(BL$3,$D$2-1)))))</f>
        <v>100</v>
      </c>
      <c r="BM30" s="131" t="n">
        <f aca="false">IF(OR($C30="",$B$2="",$D$2=0),0,IF(BM$3&lt;0,0,N(INDEX('CURVA PREVISION'!$A$1:$KZ$3000,$C30,10+3*MIN(BM$3,$D$2-1)))))</f>
        <v>100</v>
      </c>
      <c r="BN30" s="131" t="n">
        <f aca="false">IF(OR($C30="",$B$2="",$D$2=0),0,IF(BN$3&lt;0,0,N(INDEX('CURVA PREVISION'!$A$1:$KZ$3000,$C30,10+3*MIN(BN$3,$D$2-1)))))</f>
        <v>100</v>
      </c>
      <c r="BO30" s="131" t="n">
        <f aca="false">IF(OR($C30="",$B$2="",$D$2=0),0,IF(BO$3&lt;0,0,N(INDEX('CURVA PREVISION'!$A$1:$KZ$3000,$C30,10+3*MIN(BO$3,$D$2-1)))))</f>
        <v>100</v>
      </c>
      <c r="BP30" s="131" t="n">
        <f aca="false">IF(OR($C30="",$B$2="",$D$2=0),0,IF(BP$3&lt;0,0,N(INDEX('CURVA PREVISION'!$A$1:$KZ$3000,$C30,10+3*MIN(BP$3,$D$2-1)))))</f>
        <v>100</v>
      </c>
      <c r="BQ30" s="131" t="n">
        <f aca="false">IF(OR($C30="",$B$2="",$D$2=0),0,IF(BQ$3&lt;0,0,N(INDEX('CURVA PREVISION'!$A$1:$KZ$3000,$C30,10+3*MIN(BQ$3,$D$2-1)))))</f>
        <v>100</v>
      </c>
      <c r="BR30" s="131" t="n">
        <f aca="false">IF(OR($C30="",$B$2="",$D$2=0),0,IF(BR$3&lt;0,0,N(INDEX('CURVA PREVISION'!$A$1:$KZ$3000,$C30,10+3*MIN(BR$3,$D$2-1)))))</f>
        <v>100</v>
      </c>
      <c r="BS30" s="131" t="n">
        <f aca="false">IF(OR($C30="",$B$2="",$D$2=0),0,IF(BS$3&lt;0,0,N(INDEX('CURVA PREVISION'!$A$1:$KZ$3000,$C30,10+3*MIN(BS$3,$D$2-1)))))</f>
        <v>100</v>
      </c>
      <c r="BT30" s="131" t="n">
        <f aca="false">IF(OR($C30="",$B$2="",$D$2=0),0,IF(BT$3&lt;0,0,N(INDEX('CURVA PREVISION'!$A$1:$KZ$3000,$C30,10+3*MIN(BT$3,$D$2-1)))))</f>
        <v>100</v>
      </c>
      <c r="BU30" s="131" t="n">
        <f aca="false">IF(OR($C30="",$B$2="",$D$2=0),0,IF(BU$3&lt;0,0,N(INDEX('CURVA PREVISION'!$A$1:$KZ$3000,$C30,10+3*MIN(BU$3,$D$2-1)))))</f>
        <v>100</v>
      </c>
      <c r="BV30" s="131" t="n">
        <f aca="false">IF(OR($C30="",$B$2="",$D$2=0),0,IF(BV$3&lt;0,0,N(INDEX('CURVA PREVISION'!$A$1:$KZ$3000,$C30,10+3*MIN(BV$3,$D$2-1)))))</f>
        <v>100</v>
      </c>
      <c r="BW30" s="131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27</v>
      </c>
      <c r="B31" s="57" t="str">
        <f aca="false">'VALOR POR PL'!D37</f>
        <v>MARCENARIA</v>
      </c>
      <c r="C31" s="64" t="n">
        <f aca="false">IFERROR(MATCH(A31,'CURVA PREVISION'!$B$1:$B$3000,0),"")</f>
        <v>603</v>
      </c>
      <c r="D31" s="131" t="n">
        <f aca="false">IF(OR($C31="",$B$2="",$D$2=0),0,IF(D$3&lt;0,0,N(INDEX('CURVA PREVISION'!$A$1:$KZ$3000,$C31,10+3*MIN(D$3,$D$2-1)))))</f>
        <v>0</v>
      </c>
      <c r="E31" s="131" t="n">
        <f aca="false">IF(OR($C31="",$B$2="",$D$2=0),0,IF(E$3&lt;0,0,N(INDEX('CURVA PREVISION'!$A$1:$KZ$3000,$C31,10+3*MIN(E$3,$D$2-1)))))</f>
        <v>0</v>
      </c>
      <c r="F31" s="131" t="n">
        <f aca="false">IF(OR($C31="",$B$2="",$D$2=0),0,IF(F$3&lt;0,0,N(INDEX('CURVA PREVISION'!$A$1:$KZ$3000,$C31,10+3*MIN(F$3,$D$2-1)))))</f>
        <v>0</v>
      </c>
      <c r="G31" s="131" t="n">
        <f aca="false">IF(OR($C31="",$B$2="",$D$2=0),0,IF(G$3&lt;0,0,N(INDEX('CURVA PREVISION'!$A$1:$KZ$3000,$C31,10+3*MIN(G$3,$D$2-1)))))</f>
        <v>0</v>
      </c>
      <c r="H31" s="131" t="n">
        <f aca="false">IF(OR($C31="",$B$2="",$D$2=0),0,IF(H$3&lt;0,0,N(INDEX('CURVA PREVISION'!$A$1:$KZ$3000,$C31,10+3*MIN(H$3,$D$2-1)))))</f>
        <v>0</v>
      </c>
      <c r="I31" s="131" t="n">
        <f aca="false">IF(OR($C31="",$B$2="",$D$2=0),0,IF(I$3&lt;0,0,N(INDEX('CURVA PREVISION'!$A$1:$KZ$3000,$C31,10+3*MIN(I$3,$D$2-1)))))</f>
        <v>0</v>
      </c>
      <c r="J31" s="131" t="n">
        <f aca="false">IF(OR($C31="",$B$2="",$D$2=0),0,IF(J$3&lt;0,0,N(INDEX('CURVA PREVISION'!$A$1:$KZ$3000,$C31,10+3*MIN(J$3,$D$2-1)))))</f>
        <v>0</v>
      </c>
      <c r="K31" s="131" t="n">
        <f aca="false">IF(OR($C31="",$B$2="",$D$2=0),0,IF(K$3&lt;0,0,N(INDEX('CURVA PREVISION'!$A$1:$KZ$3000,$C31,10+3*MIN(K$3,$D$2-1)))))</f>
        <v>0</v>
      </c>
      <c r="L31" s="131" t="n">
        <f aca="false">IF(OR($C31="",$B$2="",$D$2=0),0,IF(L$3&lt;0,0,N(INDEX('CURVA PREVISION'!$A$1:$KZ$3000,$C31,10+3*MIN(L$3,$D$2-1)))))</f>
        <v>0</v>
      </c>
      <c r="M31" s="131" t="n">
        <f aca="false">IF(OR($C31="",$B$2="",$D$2=0),0,IF(M$3&lt;0,0,N(INDEX('CURVA PREVISION'!$A$1:$KZ$3000,$C31,10+3*MIN(M$3,$D$2-1)))))</f>
        <v>0</v>
      </c>
      <c r="N31" s="131" t="n">
        <f aca="false">IF(OR($C31="",$B$2="",$D$2=0),0,IF(N$3&lt;0,0,N(INDEX('CURVA PREVISION'!$A$1:$KZ$3000,$C31,10+3*MIN(N$3,$D$2-1)))))</f>
        <v>0</v>
      </c>
      <c r="O31" s="131" t="n">
        <f aca="false">IF(OR($C31="",$B$2="",$D$2=0),0,IF(O$3&lt;0,0,N(INDEX('CURVA PREVISION'!$A$1:$KZ$3000,$C31,10+3*MIN(O$3,$D$2-1)))))</f>
        <v>0</v>
      </c>
      <c r="P31" s="131" t="n">
        <f aca="false">IF(OR($C31="",$B$2="",$D$2=0),0,IF(P$3&lt;0,0,N(INDEX('CURVA PREVISION'!$A$1:$KZ$3000,$C31,10+3*MIN(P$3,$D$2-1)))))</f>
        <v>0</v>
      </c>
      <c r="Q31" s="131" t="n">
        <f aca="false">IF(OR($C31="",$B$2="",$D$2=0),0,IF(Q$3&lt;0,0,N(INDEX('CURVA PREVISION'!$A$1:$KZ$3000,$C31,10+3*MIN(Q$3,$D$2-1)))))</f>
        <v>0</v>
      </c>
      <c r="R31" s="131" t="n">
        <f aca="false">IF(OR($C31="",$B$2="",$D$2=0),0,IF(R$3&lt;0,0,N(INDEX('CURVA PREVISION'!$A$1:$KZ$3000,$C31,10+3*MIN(R$3,$D$2-1)))))</f>
        <v>0</v>
      </c>
      <c r="S31" s="131" t="n">
        <f aca="false">IF(OR($C31="",$B$2="",$D$2=0),0,IF(S$3&lt;0,0,N(INDEX('CURVA PREVISION'!$A$1:$KZ$3000,$C31,10+3*MIN(S$3,$D$2-1)))))</f>
        <v>0</v>
      </c>
      <c r="T31" s="131" t="n">
        <f aca="false">IF(OR($C31="",$B$2="",$D$2=0),0,IF(T$3&lt;0,0,N(INDEX('CURVA PREVISION'!$A$1:$KZ$3000,$C31,10+3*MIN(T$3,$D$2-1)))))</f>
        <v>0</v>
      </c>
      <c r="U31" s="131" t="n">
        <f aca="false">IF(OR($C31="",$B$2="",$D$2=0),0,IF(U$3&lt;0,0,N(INDEX('CURVA PREVISION'!$A$1:$KZ$3000,$C31,10+3*MIN(U$3,$D$2-1)))))</f>
        <v>0</v>
      </c>
      <c r="V31" s="131" t="n">
        <f aca="false">IF(OR($C31="",$B$2="",$D$2=0),0,IF(V$3&lt;0,0,N(INDEX('CURVA PREVISION'!$A$1:$KZ$3000,$C31,10+3*MIN(V$3,$D$2-1)))))</f>
        <v>0</v>
      </c>
      <c r="W31" s="131" t="n">
        <f aca="false">IF(OR($C31="",$B$2="",$D$2=0),0,IF(W$3&lt;0,0,N(INDEX('CURVA PREVISION'!$A$1:$KZ$3000,$C31,10+3*MIN(W$3,$D$2-1)))))</f>
        <v>0</v>
      </c>
      <c r="X31" s="131" t="n">
        <f aca="false">IF(OR($C31="",$B$2="",$D$2=0),0,IF(X$3&lt;0,0,N(INDEX('CURVA PREVISION'!$A$1:$KZ$3000,$C31,10+3*MIN(X$3,$D$2-1)))))</f>
        <v>0</v>
      </c>
      <c r="Y31" s="131" t="n">
        <f aca="false">IF(OR($C31="",$B$2="",$D$2=0),0,IF(Y$3&lt;0,0,N(INDEX('CURVA PREVISION'!$A$1:$KZ$3000,$C31,10+3*MIN(Y$3,$D$2-1)))))</f>
        <v>0</v>
      </c>
      <c r="Z31" s="131" t="n">
        <f aca="false">IF(OR($C31="",$B$2="",$D$2=0),0,IF(Z$3&lt;0,0,N(INDEX('CURVA PREVISION'!$A$1:$KZ$3000,$C31,10+3*MIN(Z$3,$D$2-1)))))</f>
        <v>0</v>
      </c>
      <c r="AA31" s="131" t="n">
        <f aca="false">IF(OR($C31="",$B$2="",$D$2=0),0,IF(AA$3&lt;0,0,N(INDEX('CURVA PREVISION'!$A$1:$KZ$3000,$C31,10+3*MIN(AA$3,$D$2-1)))))</f>
        <v>0</v>
      </c>
      <c r="AB31" s="131" t="n">
        <f aca="false">IF(OR($C31="",$B$2="",$D$2=0),0,IF(AB$3&lt;0,0,N(INDEX('CURVA PREVISION'!$A$1:$KZ$3000,$C31,10+3*MIN(AB$3,$D$2-1)))))</f>
        <v>0</v>
      </c>
      <c r="AC31" s="131" t="n">
        <f aca="false">IF(OR($C31="",$B$2="",$D$2=0),0,IF(AC$3&lt;0,0,N(INDEX('CURVA PREVISION'!$A$1:$KZ$3000,$C31,10+3*MIN(AC$3,$D$2-1)))))</f>
        <v>0</v>
      </c>
      <c r="AD31" s="131" t="n">
        <f aca="false">IF(OR($C31="",$B$2="",$D$2=0),0,IF(AD$3&lt;0,0,N(INDEX('CURVA PREVISION'!$A$1:$KZ$3000,$C31,10+3*MIN(AD$3,$D$2-1)))))</f>
        <v>0</v>
      </c>
      <c r="AE31" s="131" t="n">
        <f aca="false">IF(OR($C31="",$B$2="",$D$2=0),0,IF(AE$3&lt;0,0,N(INDEX('CURVA PREVISION'!$A$1:$KZ$3000,$C31,10+3*MIN(AE$3,$D$2-1)))))</f>
        <v>0</v>
      </c>
      <c r="AF31" s="131" t="n">
        <f aca="false">IF(OR($C31="",$B$2="",$D$2=0),0,IF(AF$3&lt;0,0,N(INDEX('CURVA PREVISION'!$A$1:$KZ$3000,$C31,10+3*MIN(AF$3,$D$2-1)))))</f>
        <v>0</v>
      </c>
      <c r="AG31" s="131" t="n">
        <f aca="false">IF(OR($C31="",$B$2="",$D$2=0),0,IF(AG$3&lt;0,0,N(INDEX('CURVA PREVISION'!$A$1:$KZ$3000,$C31,10+3*MIN(AG$3,$D$2-1)))))</f>
        <v>0</v>
      </c>
      <c r="AH31" s="131" t="n">
        <f aca="false">IF(OR($C31="",$B$2="",$D$2=0),0,IF(AH$3&lt;0,0,N(INDEX('CURVA PREVISION'!$A$1:$KZ$3000,$C31,10+3*MIN(AH$3,$D$2-1)))))</f>
        <v>0</v>
      </c>
      <c r="AI31" s="131" t="n">
        <f aca="false">IF(OR($C31="",$B$2="",$D$2=0),0,IF(AI$3&lt;0,0,N(INDEX('CURVA PREVISION'!$A$1:$KZ$3000,$C31,10+3*MIN(AI$3,$D$2-1)))))</f>
        <v>0</v>
      </c>
      <c r="AJ31" s="131" t="n">
        <f aca="false">IF(OR($C31="",$B$2="",$D$2=0),0,IF(AJ$3&lt;0,0,N(INDEX('CURVA PREVISION'!$A$1:$KZ$3000,$C31,10+3*MIN(AJ$3,$D$2-1)))))</f>
        <v>0</v>
      </c>
      <c r="AK31" s="131" t="n">
        <f aca="false">IF(OR($C31="",$B$2="",$D$2=0),0,IF(AK$3&lt;0,0,N(INDEX('CURVA PREVISION'!$A$1:$KZ$3000,$C31,10+3*MIN(AK$3,$D$2-1)))))</f>
        <v>0</v>
      </c>
      <c r="AL31" s="131" t="n">
        <f aca="false">IF(OR($C31="",$B$2="",$D$2=0),0,IF(AL$3&lt;0,0,N(INDEX('CURVA PREVISION'!$A$1:$KZ$3000,$C31,10+3*MIN(AL$3,$D$2-1)))))</f>
        <v>0</v>
      </c>
      <c r="AM31" s="131" t="n">
        <f aca="false">IF(OR($C31="",$B$2="",$D$2=0),0,IF(AM$3&lt;0,0,N(INDEX('CURVA PREVISION'!$A$1:$KZ$3000,$C31,10+3*MIN(AM$3,$D$2-1)))))</f>
        <v>0</v>
      </c>
      <c r="AN31" s="131" t="n">
        <f aca="false">IF(OR($C31="",$B$2="",$D$2=0),0,IF(AN$3&lt;0,0,N(INDEX('CURVA PREVISION'!$A$1:$KZ$3000,$C31,10+3*MIN(AN$3,$D$2-1)))))</f>
        <v>0</v>
      </c>
      <c r="AO31" s="131" t="n">
        <f aca="false">IF(OR($C31="",$B$2="",$D$2=0),0,IF(AO$3&lt;0,0,N(INDEX('CURVA PREVISION'!$A$1:$KZ$3000,$C31,10+3*MIN(AO$3,$D$2-1)))))</f>
        <v>0</v>
      </c>
      <c r="AP31" s="131" t="n">
        <f aca="false">IF(OR($C31="",$B$2="",$D$2=0),0,IF(AP$3&lt;0,0,N(INDEX('CURVA PREVISION'!$A$1:$KZ$3000,$C31,10+3*MIN(AP$3,$D$2-1)))))</f>
        <v>6.61</v>
      </c>
      <c r="AQ31" s="131" t="n">
        <f aca="false">IF(OR($C31="",$B$2="",$D$2=0),0,IF(AQ$3&lt;0,0,N(INDEX('CURVA PREVISION'!$A$1:$KZ$3000,$C31,10+3*MIN(AQ$3,$D$2-1)))))</f>
        <v>15.47</v>
      </c>
      <c r="AR31" s="131" t="n">
        <f aca="false">IF(OR($C31="",$B$2="",$D$2=0),0,IF(AR$3&lt;0,0,N(INDEX('CURVA PREVISION'!$A$1:$KZ$3000,$C31,10+3*MIN(AR$3,$D$2-1)))))</f>
        <v>23.01</v>
      </c>
      <c r="AS31" s="131" t="n">
        <f aca="false">IF(OR($C31="",$B$2="",$D$2=0),0,IF(AS$3&lt;0,0,N(INDEX('CURVA PREVISION'!$A$1:$KZ$3000,$C31,10+3*MIN(AS$3,$D$2-1)))))</f>
        <v>32.71</v>
      </c>
      <c r="AT31" s="131" t="n">
        <f aca="false">IF(OR($C31="",$B$2="",$D$2=0),0,IF(AT$3&lt;0,0,N(INDEX('CURVA PREVISION'!$A$1:$KZ$3000,$C31,10+3*MIN(AT$3,$D$2-1)))))</f>
        <v>41.61</v>
      </c>
      <c r="AU31" s="131" t="n">
        <f aca="false">IF(OR($C31="",$B$2="",$D$2=0),0,IF(AU$3&lt;0,0,N(INDEX('CURVA PREVISION'!$A$1:$KZ$3000,$C31,10+3*MIN(AU$3,$D$2-1)))))</f>
        <v>50.55</v>
      </c>
      <c r="AV31" s="131" t="n">
        <f aca="false">IF(OR($C31="",$B$2="",$D$2=0),0,IF(AV$3&lt;0,0,N(INDEX('CURVA PREVISION'!$A$1:$KZ$3000,$C31,10+3*MIN(AV$3,$D$2-1)))))</f>
        <v>59.64</v>
      </c>
      <c r="AW31" s="131" t="n">
        <f aca="false">IF(OR($C31="",$B$2="",$D$2=0),0,IF(AW$3&lt;0,0,N(INDEX('CURVA PREVISION'!$A$1:$KZ$3000,$C31,10+3*MIN(AW$3,$D$2-1)))))</f>
        <v>67.24</v>
      </c>
      <c r="AX31" s="131" t="n">
        <f aca="false">IF(OR($C31="",$B$2="",$D$2=0),0,IF(AX$3&lt;0,0,N(INDEX('CURVA PREVISION'!$A$1:$KZ$3000,$C31,10+3*MIN(AX$3,$D$2-1)))))</f>
        <v>75.9</v>
      </c>
      <c r="AY31" s="131" t="n">
        <f aca="false">IF(OR($C31="",$B$2="",$D$2=0),0,IF(AY$3&lt;0,0,N(INDEX('CURVA PREVISION'!$A$1:$KZ$3000,$C31,10+3*MIN(AY$3,$D$2-1)))))</f>
        <v>92.18</v>
      </c>
      <c r="AZ31" s="131" t="n">
        <f aca="false">IF(OR($C31="",$B$2="",$D$2=0),0,IF(AZ$3&lt;0,0,N(INDEX('CURVA PREVISION'!$A$1:$KZ$3000,$C31,10+3*MIN(AZ$3,$D$2-1)))))</f>
        <v>96.14</v>
      </c>
      <c r="BA31" s="131" t="n">
        <f aca="false">IF(OR($C31="",$B$2="",$D$2=0),0,IF(BA$3&lt;0,0,N(INDEX('CURVA PREVISION'!$A$1:$KZ$3000,$C31,10+3*MIN(BA$3,$D$2-1)))))</f>
        <v>100</v>
      </c>
      <c r="BB31" s="131" t="n">
        <f aca="false">IF(OR($C31="",$B$2="",$D$2=0),0,IF(BB$3&lt;0,0,N(INDEX('CURVA PREVISION'!$A$1:$KZ$3000,$C31,10+3*MIN(BB$3,$D$2-1)))))</f>
        <v>100</v>
      </c>
      <c r="BC31" s="131" t="n">
        <f aca="false">IF(OR($C31="",$B$2="",$D$2=0),0,IF(BC$3&lt;0,0,N(INDEX('CURVA PREVISION'!$A$1:$KZ$3000,$C31,10+3*MIN(BC$3,$D$2-1)))))</f>
        <v>100</v>
      </c>
      <c r="BD31" s="131" t="n">
        <f aca="false">IF(OR($C31="",$B$2="",$D$2=0),0,IF(BD$3&lt;0,0,N(INDEX('CURVA PREVISION'!$A$1:$KZ$3000,$C31,10+3*MIN(BD$3,$D$2-1)))))</f>
        <v>100</v>
      </c>
      <c r="BE31" s="131" t="n">
        <f aca="false">IF(OR($C31="",$B$2="",$D$2=0),0,IF(BE$3&lt;0,0,N(INDEX('CURVA PREVISION'!$A$1:$KZ$3000,$C31,10+3*MIN(BE$3,$D$2-1)))))</f>
        <v>100</v>
      </c>
      <c r="BF31" s="131" t="n">
        <f aca="false">IF(OR($C31="",$B$2="",$D$2=0),0,IF(BF$3&lt;0,0,N(INDEX('CURVA PREVISION'!$A$1:$KZ$3000,$C31,10+3*MIN(BF$3,$D$2-1)))))</f>
        <v>100</v>
      </c>
      <c r="BG31" s="131" t="n">
        <f aca="false">IF(OR($C31="",$B$2="",$D$2=0),0,IF(BG$3&lt;0,0,N(INDEX('CURVA PREVISION'!$A$1:$KZ$3000,$C31,10+3*MIN(BG$3,$D$2-1)))))</f>
        <v>100</v>
      </c>
      <c r="BH31" s="131" t="n">
        <f aca="false">IF(OR($C31="",$B$2="",$D$2=0),0,IF(BH$3&lt;0,0,N(INDEX('CURVA PREVISION'!$A$1:$KZ$3000,$C31,10+3*MIN(BH$3,$D$2-1)))))</f>
        <v>100</v>
      </c>
      <c r="BI31" s="131" t="n">
        <f aca="false">IF(OR($C31="",$B$2="",$D$2=0),0,IF(BI$3&lt;0,0,N(INDEX('CURVA PREVISION'!$A$1:$KZ$3000,$C31,10+3*MIN(BI$3,$D$2-1)))))</f>
        <v>100</v>
      </c>
      <c r="BJ31" s="131" t="n">
        <f aca="false">IF(OR($C31="",$B$2="",$D$2=0),0,IF(BJ$3&lt;0,0,N(INDEX('CURVA PREVISION'!$A$1:$KZ$3000,$C31,10+3*MIN(BJ$3,$D$2-1)))))</f>
        <v>100</v>
      </c>
      <c r="BK31" s="131" t="n">
        <f aca="false">IF(OR($C31="",$B$2="",$D$2=0),0,IF(BK$3&lt;0,0,N(INDEX('CURVA PREVISION'!$A$1:$KZ$3000,$C31,10+3*MIN(BK$3,$D$2-1)))))</f>
        <v>100</v>
      </c>
      <c r="BL31" s="131" t="n">
        <f aca="false">IF(OR($C31="",$B$2="",$D$2=0),0,IF(BL$3&lt;0,0,N(INDEX('CURVA PREVISION'!$A$1:$KZ$3000,$C31,10+3*MIN(BL$3,$D$2-1)))))</f>
        <v>100</v>
      </c>
      <c r="BM31" s="131" t="n">
        <f aca="false">IF(OR($C31="",$B$2="",$D$2=0),0,IF(BM$3&lt;0,0,N(INDEX('CURVA PREVISION'!$A$1:$KZ$3000,$C31,10+3*MIN(BM$3,$D$2-1)))))</f>
        <v>100</v>
      </c>
      <c r="BN31" s="131" t="n">
        <f aca="false">IF(OR($C31="",$B$2="",$D$2=0),0,IF(BN$3&lt;0,0,N(INDEX('CURVA PREVISION'!$A$1:$KZ$3000,$C31,10+3*MIN(BN$3,$D$2-1)))))</f>
        <v>100</v>
      </c>
      <c r="BO31" s="131" t="n">
        <f aca="false">IF(OR($C31="",$B$2="",$D$2=0),0,IF(BO$3&lt;0,0,N(INDEX('CURVA PREVISION'!$A$1:$KZ$3000,$C31,10+3*MIN(BO$3,$D$2-1)))))</f>
        <v>100</v>
      </c>
      <c r="BP31" s="131" t="n">
        <f aca="false">IF(OR($C31="",$B$2="",$D$2=0),0,IF(BP$3&lt;0,0,N(INDEX('CURVA PREVISION'!$A$1:$KZ$3000,$C31,10+3*MIN(BP$3,$D$2-1)))))</f>
        <v>100</v>
      </c>
      <c r="BQ31" s="131" t="n">
        <f aca="false">IF(OR($C31="",$B$2="",$D$2=0),0,IF(BQ$3&lt;0,0,N(INDEX('CURVA PREVISION'!$A$1:$KZ$3000,$C31,10+3*MIN(BQ$3,$D$2-1)))))</f>
        <v>100</v>
      </c>
      <c r="BR31" s="131" t="n">
        <f aca="false">IF(OR($C31="",$B$2="",$D$2=0),0,IF(BR$3&lt;0,0,N(INDEX('CURVA PREVISION'!$A$1:$KZ$3000,$C31,10+3*MIN(BR$3,$D$2-1)))))</f>
        <v>100</v>
      </c>
      <c r="BS31" s="131" t="n">
        <f aca="false">IF(OR($C31="",$B$2="",$D$2=0),0,IF(BS$3&lt;0,0,N(INDEX('CURVA PREVISION'!$A$1:$KZ$3000,$C31,10+3*MIN(BS$3,$D$2-1)))))</f>
        <v>100</v>
      </c>
      <c r="BT31" s="131" t="n">
        <f aca="false">IF(OR($C31="",$B$2="",$D$2=0),0,IF(BT$3&lt;0,0,N(INDEX('CURVA PREVISION'!$A$1:$KZ$3000,$C31,10+3*MIN(BT$3,$D$2-1)))))</f>
        <v>100</v>
      </c>
      <c r="BU31" s="131" t="n">
        <f aca="false">IF(OR($C31="",$B$2="",$D$2=0),0,IF(BU$3&lt;0,0,N(INDEX('CURVA PREVISION'!$A$1:$KZ$3000,$C31,10+3*MIN(BU$3,$D$2-1)))))</f>
        <v>100</v>
      </c>
      <c r="BV31" s="131" t="n">
        <f aca="false">IF(OR($C31="",$B$2="",$D$2=0),0,IF(BV$3&lt;0,0,N(INDEX('CURVA PREVISION'!$A$1:$KZ$3000,$C31,10+3*MIN(BV$3,$D$2-1)))))</f>
        <v>100</v>
      </c>
      <c r="BW31" s="131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28</v>
      </c>
      <c r="B32" s="57" t="str">
        <f aca="false">'VALOR POR PL'!D38</f>
        <v>REVESTIMENTOS DE MASSA EM PISOS</v>
      </c>
      <c r="C32" s="64" t="n">
        <f aca="false">IFERROR(MATCH(A32,'CURVA PREVISION'!$B$1:$B$3000,0),"")</f>
        <v>624</v>
      </c>
      <c r="D32" s="131" t="n">
        <f aca="false">IF(OR($C32="",$B$2="",$D$2=0),0,IF(D$3&lt;0,0,N(INDEX('CURVA PREVISION'!$A$1:$KZ$3000,$C32,10+3*MIN(D$3,$D$2-1)))))</f>
        <v>0</v>
      </c>
      <c r="E32" s="131" t="n">
        <f aca="false">IF(OR($C32="",$B$2="",$D$2=0),0,IF(E$3&lt;0,0,N(INDEX('CURVA PREVISION'!$A$1:$KZ$3000,$C32,10+3*MIN(E$3,$D$2-1)))))</f>
        <v>0</v>
      </c>
      <c r="F32" s="131" t="n">
        <f aca="false">IF(OR($C32="",$B$2="",$D$2=0),0,IF(F$3&lt;0,0,N(INDEX('CURVA PREVISION'!$A$1:$KZ$3000,$C32,10+3*MIN(F$3,$D$2-1)))))</f>
        <v>0</v>
      </c>
      <c r="G32" s="131" t="n">
        <f aca="false">IF(OR($C32="",$B$2="",$D$2=0),0,IF(G$3&lt;0,0,N(INDEX('CURVA PREVISION'!$A$1:$KZ$3000,$C32,10+3*MIN(G$3,$D$2-1)))))</f>
        <v>0</v>
      </c>
      <c r="H32" s="131" t="n">
        <f aca="false">IF(OR($C32="",$B$2="",$D$2=0),0,IF(H$3&lt;0,0,N(INDEX('CURVA PREVISION'!$A$1:$KZ$3000,$C32,10+3*MIN(H$3,$D$2-1)))))</f>
        <v>0</v>
      </c>
      <c r="I32" s="131" t="n">
        <f aca="false">IF(OR($C32="",$B$2="",$D$2=0),0,IF(I$3&lt;0,0,N(INDEX('CURVA PREVISION'!$A$1:$KZ$3000,$C32,10+3*MIN(I$3,$D$2-1)))))</f>
        <v>0</v>
      </c>
      <c r="J32" s="131" t="n">
        <f aca="false">IF(OR($C32="",$B$2="",$D$2=0),0,IF(J$3&lt;0,0,N(INDEX('CURVA PREVISION'!$A$1:$KZ$3000,$C32,10+3*MIN(J$3,$D$2-1)))))</f>
        <v>0</v>
      </c>
      <c r="K32" s="131" t="n">
        <f aca="false">IF(OR($C32="",$B$2="",$D$2=0),0,IF(K$3&lt;0,0,N(INDEX('CURVA PREVISION'!$A$1:$KZ$3000,$C32,10+3*MIN(K$3,$D$2-1)))))</f>
        <v>0</v>
      </c>
      <c r="L32" s="131" t="n">
        <f aca="false">IF(OR($C32="",$B$2="",$D$2=0),0,IF(L$3&lt;0,0,N(INDEX('CURVA PREVISION'!$A$1:$KZ$3000,$C32,10+3*MIN(L$3,$D$2-1)))))</f>
        <v>0</v>
      </c>
      <c r="M32" s="131" t="n">
        <f aca="false">IF(OR($C32="",$B$2="",$D$2=0),0,IF(M$3&lt;0,0,N(INDEX('CURVA PREVISION'!$A$1:$KZ$3000,$C32,10+3*MIN(M$3,$D$2-1)))))</f>
        <v>0</v>
      </c>
      <c r="N32" s="131" t="n">
        <f aca="false">IF(OR($C32="",$B$2="",$D$2=0),0,IF(N$3&lt;0,0,N(INDEX('CURVA PREVISION'!$A$1:$KZ$3000,$C32,10+3*MIN(N$3,$D$2-1)))))</f>
        <v>0</v>
      </c>
      <c r="O32" s="131" t="n">
        <f aca="false">IF(OR($C32="",$B$2="",$D$2=0),0,IF(O$3&lt;0,0,N(INDEX('CURVA PREVISION'!$A$1:$KZ$3000,$C32,10+3*MIN(O$3,$D$2-1)))))</f>
        <v>0</v>
      </c>
      <c r="P32" s="131" t="n">
        <f aca="false">IF(OR($C32="",$B$2="",$D$2=0),0,IF(P$3&lt;0,0,N(INDEX('CURVA PREVISION'!$A$1:$KZ$3000,$C32,10+3*MIN(P$3,$D$2-1)))))</f>
        <v>0</v>
      </c>
      <c r="Q32" s="131" t="n">
        <f aca="false">IF(OR($C32="",$B$2="",$D$2=0),0,IF(Q$3&lt;0,0,N(INDEX('CURVA PREVISION'!$A$1:$KZ$3000,$C32,10+3*MIN(Q$3,$D$2-1)))))</f>
        <v>0</v>
      </c>
      <c r="R32" s="131" t="n">
        <f aca="false">IF(OR($C32="",$B$2="",$D$2=0),0,IF(R$3&lt;0,0,N(INDEX('CURVA PREVISION'!$A$1:$KZ$3000,$C32,10+3*MIN(R$3,$D$2-1)))))</f>
        <v>0</v>
      </c>
      <c r="S32" s="131" t="n">
        <f aca="false">IF(OR($C32="",$B$2="",$D$2=0),0,IF(S$3&lt;0,0,N(INDEX('CURVA PREVISION'!$A$1:$KZ$3000,$C32,10+3*MIN(S$3,$D$2-1)))))</f>
        <v>0</v>
      </c>
      <c r="T32" s="131" t="n">
        <f aca="false">IF(OR($C32="",$B$2="",$D$2=0),0,IF(T$3&lt;0,0,N(INDEX('CURVA PREVISION'!$A$1:$KZ$3000,$C32,10+3*MIN(T$3,$D$2-1)))))</f>
        <v>0</v>
      </c>
      <c r="U32" s="131" t="n">
        <f aca="false">IF(OR($C32="",$B$2="",$D$2=0),0,IF(U$3&lt;0,0,N(INDEX('CURVA PREVISION'!$A$1:$KZ$3000,$C32,10+3*MIN(U$3,$D$2-1)))))</f>
        <v>0</v>
      </c>
      <c r="V32" s="131" t="n">
        <f aca="false">IF(OR($C32="",$B$2="",$D$2=0),0,IF(V$3&lt;0,0,N(INDEX('CURVA PREVISION'!$A$1:$KZ$3000,$C32,10+3*MIN(V$3,$D$2-1)))))</f>
        <v>0</v>
      </c>
      <c r="W32" s="131" t="n">
        <f aca="false">IF(OR($C32="",$B$2="",$D$2=0),0,IF(W$3&lt;0,0,N(INDEX('CURVA PREVISION'!$A$1:$KZ$3000,$C32,10+3*MIN(W$3,$D$2-1)))))</f>
        <v>0</v>
      </c>
      <c r="X32" s="131" t="n">
        <f aca="false">IF(OR($C32="",$B$2="",$D$2=0),0,IF(X$3&lt;0,0,N(INDEX('CURVA PREVISION'!$A$1:$KZ$3000,$C32,10+3*MIN(X$3,$D$2-1)))))</f>
        <v>0</v>
      </c>
      <c r="Y32" s="131" t="n">
        <f aca="false">IF(OR($C32="",$B$2="",$D$2=0),0,IF(Y$3&lt;0,0,N(INDEX('CURVA PREVISION'!$A$1:$KZ$3000,$C32,10+3*MIN(Y$3,$D$2-1)))))</f>
        <v>0</v>
      </c>
      <c r="Z32" s="131" t="n">
        <f aca="false">IF(OR($C32="",$B$2="",$D$2=0),0,IF(Z$3&lt;0,0,N(INDEX('CURVA PREVISION'!$A$1:$KZ$3000,$C32,10+3*MIN(Z$3,$D$2-1)))))</f>
        <v>0</v>
      </c>
      <c r="AA32" s="131" t="n">
        <f aca="false">IF(OR($C32="",$B$2="",$D$2=0),0,IF(AA$3&lt;0,0,N(INDEX('CURVA PREVISION'!$A$1:$KZ$3000,$C32,10+3*MIN(AA$3,$D$2-1)))))</f>
        <v>0</v>
      </c>
      <c r="AB32" s="131" t="n">
        <f aca="false">IF(OR($C32="",$B$2="",$D$2=0),0,IF(AB$3&lt;0,0,N(INDEX('CURVA PREVISION'!$A$1:$KZ$3000,$C32,10+3*MIN(AB$3,$D$2-1)))))</f>
        <v>0</v>
      </c>
      <c r="AC32" s="131" t="n">
        <f aca="false">IF(OR($C32="",$B$2="",$D$2=0),0,IF(AC$3&lt;0,0,N(INDEX('CURVA PREVISION'!$A$1:$KZ$3000,$C32,10+3*MIN(AC$3,$D$2-1)))))</f>
        <v>0</v>
      </c>
      <c r="AD32" s="131" t="n">
        <f aca="false">IF(OR($C32="",$B$2="",$D$2=0),0,IF(AD$3&lt;0,0,N(INDEX('CURVA PREVISION'!$A$1:$KZ$3000,$C32,10+3*MIN(AD$3,$D$2-1)))))</f>
        <v>0</v>
      </c>
      <c r="AE32" s="131" t="n">
        <f aca="false">IF(OR($C32="",$B$2="",$D$2=0),0,IF(AE$3&lt;0,0,N(INDEX('CURVA PREVISION'!$A$1:$KZ$3000,$C32,10+3*MIN(AE$3,$D$2-1)))))</f>
        <v>0</v>
      </c>
      <c r="AF32" s="131" t="n">
        <f aca="false">IF(OR($C32="",$B$2="",$D$2=0),0,IF(AF$3&lt;0,0,N(INDEX('CURVA PREVISION'!$A$1:$KZ$3000,$C32,10+3*MIN(AF$3,$D$2-1)))))</f>
        <v>0.16</v>
      </c>
      <c r="AG32" s="131" t="n">
        <f aca="false">IF(OR($C32="",$B$2="",$D$2=0),0,IF(AG$3&lt;0,0,N(INDEX('CURVA PREVISION'!$A$1:$KZ$3000,$C32,10+3*MIN(AG$3,$D$2-1)))))</f>
        <v>0.49</v>
      </c>
      <c r="AH32" s="131" t="n">
        <f aca="false">IF(OR($C32="",$B$2="",$D$2=0),0,IF(AH$3&lt;0,0,N(INDEX('CURVA PREVISION'!$A$1:$KZ$3000,$C32,10+3*MIN(AH$3,$D$2-1)))))</f>
        <v>4.11</v>
      </c>
      <c r="AI32" s="131" t="n">
        <f aca="false">IF(OR($C32="",$B$2="",$D$2=0),0,IF(AI$3&lt;0,0,N(INDEX('CURVA PREVISION'!$A$1:$KZ$3000,$C32,10+3*MIN(AI$3,$D$2-1)))))</f>
        <v>11.69</v>
      </c>
      <c r="AJ32" s="131" t="n">
        <f aca="false">IF(OR($C32="",$B$2="",$D$2=0),0,IF(AJ$3&lt;0,0,N(INDEX('CURVA PREVISION'!$A$1:$KZ$3000,$C32,10+3*MIN(AJ$3,$D$2-1)))))</f>
        <v>19.84</v>
      </c>
      <c r="AK32" s="131" t="n">
        <f aca="false">IF(OR($C32="",$B$2="",$D$2=0),0,IF(AK$3&lt;0,0,N(INDEX('CURVA PREVISION'!$A$1:$KZ$3000,$C32,10+3*MIN(AK$3,$D$2-1)))))</f>
        <v>27.98</v>
      </c>
      <c r="AL32" s="131" t="n">
        <f aca="false">IF(OR($C32="",$B$2="",$D$2=0),0,IF(AL$3&lt;0,0,N(INDEX('CURVA PREVISION'!$A$1:$KZ$3000,$C32,10+3*MIN(AL$3,$D$2-1)))))</f>
        <v>36.39</v>
      </c>
      <c r="AM32" s="131" t="n">
        <f aca="false">IF(OR($C32="",$B$2="",$D$2=0),0,IF(AM$3&lt;0,0,N(INDEX('CURVA PREVISION'!$A$1:$KZ$3000,$C32,10+3*MIN(AM$3,$D$2-1)))))</f>
        <v>54.58</v>
      </c>
      <c r="AN32" s="131" t="n">
        <f aca="false">IF(OR($C32="",$B$2="",$D$2=0),0,IF(AN$3&lt;0,0,N(INDEX('CURVA PREVISION'!$A$1:$KZ$3000,$C32,10+3*MIN(AN$3,$D$2-1)))))</f>
        <v>61.51</v>
      </c>
      <c r="AO32" s="131" t="n">
        <f aca="false">IF(OR($C32="",$B$2="",$D$2=0),0,IF(AO$3&lt;0,0,N(INDEX('CURVA PREVISION'!$A$1:$KZ$3000,$C32,10+3*MIN(AO$3,$D$2-1)))))</f>
        <v>69.43</v>
      </c>
      <c r="AP32" s="131" t="n">
        <f aca="false">IF(OR($C32="",$B$2="",$D$2=0),0,IF(AP$3&lt;0,0,N(INDEX('CURVA PREVISION'!$A$1:$KZ$3000,$C32,10+3*MIN(AP$3,$D$2-1)))))</f>
        <v>77.74</v>
      </c>
      <c r="AQ32" s="131" t="n">
        <f aca="false">IF(OR($C32="",$B$2="",$D$2=0),0,IF(AQ$3&lt;0,0,N(INDEX('CURVA PREVISION'!$A$1:$KZ$3000,$C32,10+3*MIN(AQ$3,$D$2-1)))))</f>
        <v>85.33</v>
      </c>
      <c r="AR32" s="131" t="n">
        <f aca="false">IF(OR($C32="",$B$2="",$D$2=0),0,IF(AR$3&lt;0,0,N(INDEX('CURVA PREVISION'!$A$1:$KZ$3000,$C32,10+3*MIN(AR$3,$D$2-1)))))</f>
        <v>91.33</v>
      </c>
      <c r="AS32" s="131" t="n">
        <f aca="false">IF(OR($C32="",$B$2="",$D$2=0),0,IF(AS$3&lt;0,0,N(INDEX('CURVA PREVISION'!$A$1:$KZ$3000,$C32,10+3*MIN(AS$3,$D$2-1)))))</f>
        <v>94.29</v>
      </c>
      <c r="AT32" s="131" t="n">
        <f aca="false">IF(OR($C32="",$B$2="",$D$2=0),0,IF(AT$3&lt;0,0,N(INDEX('CURVA PREVISION'!$A$1:$KZ$3000,$C32,10+3*MIN(AT$3,$D$2-1)))))</f>
        <v>95.9</v>
      </c>
      <c r="AU32" s="131" t="n">
        <f aca="false">IF(OR($C32="",$B$2="",$D$2=0),0,IF(AU$3&lt;0,0,N(INDEX('CURVA PREVISION'!$A$1:$KZ$3000,$C32,10+3*MIN(AU$3,$D$2-1)))))</f>
        <v>99.92</v>
      </c>
      <c r="AV32" s="131" t="n">
        <f aca="false">IF(OR($C32="",$B$2="",$D$2=0),0,IF(AV$3&lt;0,0,N(INDEX('CURVA PREVISION'!$A$1:$KZ$3000,$C32,10+3*MIN(AV$3,$D$2-1)))))</f>
        <v>100</v>
      </c>
      <c r="AW32" s="131" t="n">
        <f aca="false">IF(OR($C32="",$B$2="",$D$2=0),0,IF(AW$3&lt;0,0,N(INDEX('CURVA PREVISION'!$A$1:$KZ$3000,$C32,10+3*MIN(AW$3,$D$2-1)))))</f>
        <v>100</v>
      </c>
      <c r="AX32" s="131" t="n">
        <f aca="false">IF(OR($C32="",$B$2="",$D$2=0),0,IF(AX$3&lt;0,0,N(INDEX('CURVA PREVISION'!$A$1:$KZ$3000,$C32,10+3*MIN(AX$3,$D$2-1)))))</f>
        <v>100</v>
      </c>
      <c r="AY32" s="131" t="n">
        <f aca="false">IF(OR($C32="",$B$2="",$D$2=0),0,IF(AY$3&lt;0,0,N(INDEX('CURVA PREVISION'!$A$1:$KZ$3000,$C32,10+3*MIN(AY$3,$D$2-1)))))</f>
        <v>100</v>
      </c>
      <c r="AZ32" s="131" t="n">
        <f aca="false">IF(OR($C32="",$B$2="",$D$2=0),0,IF(AZ$3&lt;0,0,N(INDEX('CURVA PREVISION'!$A$1:$KZ$3000,$C32,10+3*MIN(AZ$3,$D$2-1)))))</f>
        <v>100</v>
      </c>
      <c r="BA32" s="131" t="n">
        <f aca="false">IF(OR($C32="",$B$2="",$D$2=0),0,IF(BA$3&lt;0,0,N(INDEX('CURVA PREVISION'!$A$1:$KZ$3000,$C32,10+3*MIN(BA$3,$D$2-1)))))</f>
        <v>100</v>
      </c>
      <c r="BB32" s="131" t="n">
        <f aca="false">IF(OR($C32="",$B$2="",$D$2=0),0,IF(BB$3&lt;0,0,N(INDEX('CURVA PREVISION'!$A$1:$KZ$3000,$C32,10+3*MIN(BB$3,$D$2-1)))))</f>
        <v>100</v>
      </c>
      <c r="BC32" s="131" t="n">
        <f aca="false">IF(OR($C32="",$B$2="",$D$2=0),0,IF(BC$3&lt;0,0,N(INDEX('CURVA PREVISION'!$A$1:$KZ$3000,$C32,10+3*MIN(BC$3,$D$2-1)))))</f>
        <v>100</v>
      </c>
      <c r="BD32" s="131" t="n">
        <f aca="false">IF(OR($C32="",$B$2="",$D$2=0),0,IF(BD$3&lt;0,0,N(INDEX('CURVA PREVISION'!$A$1:$KZ$3000,$C32,10+3*MIN(BD$3,$D$2-1)))))</f>
        <v>100</v>
      </c>
      <c r="BE32" s="131" t="n">
        <f aca="false">IF(OR($C32="",$B$2="",$D$2=0),0,IF(BE$3&lt;0,0,N(INDEX('CURVA PREVISION'!$A$1:$KZ$3000,$C32,10+3*MIN(BE$3,$D$2-1)))))</f>
        <v>100</v>
      </c>
      <c r="BF32" s="131" t="n">
        <f aca="false">IF(OR($C32="",$B$2="",$D$2=0),0,IF(BF$3&lt;0,0,N(INDEX('CURVA PREVISION'!$A$1:$KZ$3000,$C32,10+3*MIN(BF$3,$D$2-1)))))</f>
        <v>100</v>
      </c>
      <c r="BG32" s="131" t="n">
        <f aca="false">IF(OR($C32="",$B$2="",$D$2=0),0,IF(BG$3&lt;0,0,N(INDEX('CURVA PREVISION'!$A$1:$KZ$3000,$C32,10+3*MIN(BG$3,$D$2-1)))))</f>
        <v>100</v>
      </c>
      <c r="BH32" s="131" t="n">
        <f aca="false">IF(OR($C32="",$B$2="",$D$2=0),0,IF(BH$3&lt;0,0,N(INDEX('CURVA PREVISION'!$A$1:$KZ$3000,$C32,10+3*MIN(BH$3,$D$2-1)))))</f>
        <v>100</v>
      </c>
      <c r="BI32" s="131" t="n">
        <f aca="false">IF(OR($C32="",$B$2="",$D$2=0),0,IF(BI$3&lt;0,0,N(INDEX('CURVA PREVISION'!$A$1:$KZ$3000,$C32,10+3*MIN(BI$3,$D$2-1)))))</f>
        <v>100</v>
      </c>
      <c r="BJ32" s="131" t="n">
        <f aca="false">IF(OR($C32="",$B$2="",$D$2=0),0,IF(BJ$3&lt;0,0,N(INDEX('CURVA PREVISION'!$A$1:$KZ$3000,$C32,10+3*MIN(BJ$3,$D$2-1)))))</f>
        <v>100</v>
      </c>
      <c r="BK32" s="131" t="n">
        <f aca="false">IF(OR($C32="",$B$2="",$D$2=0),0,IF(BK$3&lt;0,0,N(INDEX('CURVA PREVISION'!$A$1:$KZ$3000,$C32,10+3*MIN(BK$3,$D$2-1)))))</f>
        <v>100</v>
      </c>
      <c r="BL32" s="131" t="n">
        <f aca="false">IF(OR($C32="",$B$2="",$D$2=0),0,IF(BL$3&lt;0,0,N(INDEX('CURVA PREVISION'!$A$1:$KZ$3000,$C32,10+3*MIN(BL$3,$D$2-1)))))</f>
        <v>100</v>
      </c>
      <c r="BM32" s="131" t="n">
        <f aca="false">IF(OR($C32="",$B$2="",$D$2=0),0,IF(BM$3&lt;0,0,N(INDEX('CURVA PREVISION'!$A$1:$KZ$3000,$C32,10+3*MIN(BM$3,$D$2-1)))))</f>
        <v>100</v>
      </c>
      <c r="BN32" s="131" t="n">
        <f aca="false">IF(OR($C32="",$B$2="",$D$2=0),0,IF(BN$3&lt;0,0,N(INDEX('CURVA PREVISION'!$A$1:$KZ$3000,$C32,10+3*MIN(BN$3,$D$2-1)))))</f>
        <v>100</v>
      </c>
      <c r="BO32" s="131" t="n">
        <f aca="false">IF(OR($C32="",$B$2="",$D$2=0),0,IF(BO$3&lt;0,0,N(INDEX('CURVA PREVISION'!$A$1:$KZ$3000,$C32,10+3*MIN(BO$3,$D$2-1)))))</f>
        <v>100</v>
      </c>
      <c r="BP32" s="131" t="n">
        <f aca="false">IF(OR($C32="",$B$2="",$D$2=0),0,IF(BP$3&lt;0,0,N(INDEX('CURVA PREVISION'!$A$1:$KZ$3000,$C32,10+3*MIN(BP$3,$D$2-1)))))</f>
        <v>100</v>
      </c>
      <c r="BQ32" s="131" t="n">
        <f aca="false">IF(OR($C32="",$B$2="",$D$2=0),0,IF(BQ$3&lt;0,0,N(INDEX('CURVA PREVISION'!$A$1:$KZ$3000,$C32,10+3*MIN(BQ$3,$D$2-1)))))</f>
        <v>100</v>
      </c>
      <c r="BR32" s="131" t="n">
        <f aca="false">IF(OR($C32="",$B$2="",$D$2=0),0,IF(BR$3&lt;0,0,N(INDEX('CURVA PREVISION'!$A$1:$KZ$3000,$C32,10+3*MIN(BR$3,$D$2-1)))))</f>
        <v>100</v>
      </c>
      <c r="BS32" s="131" t="n">
        <f aca="false">IF(OR($C32="",$B$2="",$D$2=0),0,IF(BS$3&lt;0,0,N(INDEX('CURVA PREVISION'!$A$1:$KZ$3000,$C32,10+3*MIN(BS$3,$D$2-1)))))</f>
        <v>100</v>
      </c>
      <c r="BT32" s="131" t="n">
        <f aca="false">IF(OR($C32="",$B$2="",$D$2=0),0,IF(BT$3&lt;0,0,N(INDEX('CURVA PREVISION'!$A$1:$KZ$3000,$C32,10+3*MIN(BT$3,$D$2-1)))))</f>
        <v>100</v>
      </c>
      <c r="BU32" s="131" t="n">
        <f aca="false">IF(OR($C32="",$B$2="",$D$2=0),0,IF(BU$3&lt;0,0,N(INDEX('CURVA PREVISION'!$A$1:$KZ$3000,$C32,10+3*MIN(BU$3,$D$2-1)))))</f>
        <v>100</v>
      </c>
      <c r="BV32" s="131" t="n">
        <f aca="false">IF(OR($C32="",$B$2="",$D$2=0),0,IF(BV$3&lt;0,0,N(INDEX('CURVA PREVISION'!$A$1:$KZ$3000,$C32,10+3*MIN(BV$3,$D$2-1)))))</f>
        <v>100</v>
      </c>
      <c r="BW32" s="131" t="n">
        <f aca="false">IF(OR($C32="",$B$2="",$D$2=0),0,IF(BW$3&lt;0,0,N(INDEX('CURVA PREVISION'!$A$1:$KZ$3000,$C32,10+3*MIN(BW$3,$D$2-1)))))</f>
        <v>100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29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633</v>
      </c>
      <c r="D33" s="131" t="n">
        <f aca="false">IF(OR($C33="",$B$2="",$D$2=0),0,IF(D$3&lt;0,0,N(INDEX('CURVA PREVISION'!$A$1:$KZ$3000,$C33,10+3*MIN(D$3,$D$2-1)))))</f>
        <v>0</v>
      </c>
      <c r="E33" s="131" t="n">
        <f aca="false">IF(OR($C33="",$B$2="",$D$2=0),0,IF(E$3&lt;0,0,N(INDEX('CURVA PREVISION'!$A$1:$KZ$3000,$C33,10+3*MIN(E$3,$D$2-1)))))</f>
        <v>0</v>
      </c>
      <c r="F33" s="131" t="n">
        <f aca="false">IF(OR($C33="",$B$2="",$D$2=0),0,IF(F$3&lt;0,0,N(INDEX('CURVA PREVISION'!$A$1:$KZ$3000,$C33,10+3*MIN(F$3,$D$2-1)))))</f>
        <v>0</v>
      </c>
      <c r="G33" s="131" t="n">
        <f aca="false">IF(OR($C33="",$B$2="",$D$2=0),0,IF(G$3&lt;0,0,N(INDEX('CURVA PREVISION'!$A$1:$KZ$3000,$C33,10+3*MIN(G$3,$D$2-1)))))</f>
        <v>0</v>
      </c>
      <c r="H33" s="131" t="n">
        <f aca="false">IF(OR($C33="",$B$2="",$D$2=0),0,IF(H$3&lt;0,0,N(INDEX('CURVA PREVISION'!$A$1:$KZ$3000,$C33,10+3*MIN(H$3,$D$2-1)))))</f>
        <v>0</v>
      </c>
      <c r="I33" s="131" t="n">
        <f aca="false">IF(OR($C33="",$B$2="",$D$2=0),0,IF(I$3&lt;0,0,N(INDEX('CURVA PREVISION'!$A$1:$KZ$3000,$C33,10+3*MIN(I$3,$D$2-1)))))</f>
        <v>0</v>
      </c>
      <c r="J33" s="131" t="n">
        <f aca="false">IF(OR($C33="",$B$2="",$D$2=0),0,IF(J$3&lt;0,0,N(INDEX('CURVA PREVISION'!$A$1:$KZ$3000,$C33,10+3*MIN(J$3,$D$2-1)))))</f>
        <v>0</v>
      </c>
      <c r="K33" s="131" t="n">
        <f aca="false">IF(OR($C33="",$B$2="",$D$2=0),0,IF(K$3&lt;0,0,N(INDEX('CURVA PREVISION'!$A$1:$KZ$3000,$C33,10+3*MIN(K$3,$D$2-1)))))</f>
        <v>0</v>
      </c>
      <c r="L33" s="131" t="n">
        <f aca="false">IF(OR($C33="",$B$2="",$D$2=0),0,IF(L$3&lt;0,0,N(INDEX('CURVA PREVISION'!$A$1:$KZ$3000,$C33,10+3*MIN(L$3,$D$2-1)))))</f>
        <v>0</v>
      </c>
      <c r="M33" s="131" t="n">
        <f aca="false">IF(OR($C33="",$B$2="",$D$2=0),0,IF(M$3&lt;0,0,N(INDEX('CURVA PREVISION'!$A$1:$KZ$3000,$C33,10+3*MIN(M$3,$D$2-1)))))</f>
        <v>0</v>
      </c>
      <c r="N33" s="131" t="n">
        <f aca="false">IF(OR($C33="",$B$2="",$D$2=0),0,IF(N$3&lt;0,0,N(INDEX('CURVA PREVISION'!$A$1:$KZ$3000,$C33,10+3*MIN(N$3,$D$2-1)))))</f>
        <v>0</v>
      </c>
      <c r="O33" s="131" t="n">
        <f aca="false">IF(OR($C33="",$B$2="",$D$2=0),0,IF(O$3&lt;0,0,N(INDEX('CURVA PREVISION'!$A$1:$KZ$3000,$C33,10+3*MIN(O$3,$D$2-1)))))</f>
        <v>0</v>
      </c>
      <c r="P33" s="131" t="n">
        <f aca="false">IF(OR($C33="",$B$2="",$D$2=0),0,IF(P$3&lt;0,0,N(INDEX('CURVA PREVISION'!$A$1:$KZ$3000,$C33,10+3*MIN(P$3,$D$2-1)))))</f>
        <v>0</v>
      </c>
      <c r="Q33" s="131" t="n">
        <f aca="false">IF(OR($C33="",$B$2="",$D$2=0),0,IF(Q$3&lt;0,0,N(INDEX('CURVA PREVISION'!$A$1:$KZ$3000,$C33,10+3*MIN(Q$3,$D$2-1)))))</f>
        <v>0</v>
      </c>
      <c r="R33" s="131" t="n">
        <f aca="false">IF(OR($C33="",$B$2="",$D$2=0),0,IF(R$3&lt;0,0,N(INDEX('CURVA PREVISION'!$A$1:$KZ$3000,$C33,10+3*MIN(R$3,$D$2-1)))))</f>
        <v>0</v>
      </c>
      <c r="S33" s="131" t="n">
        <f aca="false">IF(OR($C33="",$B$2="",$D$2=0),0,IF(S$3&lt;0,0,N(INDEX('CURVA PREVISION'!$A$1:$KZ$3000,$C33,10+3*MIN(S$3,$D$2-1)))))</f>
        <v>0</v>
      </c>
      <c r="T33" s="131" t="n">
        <f aca="false">IF(OR($C33="",$B$2="",$D$2=0),0,IF(T$3&lt;0,0,N(INDEX('CURVA PREVISION'!$A$1:$KZ$3000,$C33,10+3*MIN(T$3,$D$2-1)))))</f>
        <v>0</v>
      </c>
      <c r="U33" s="131" t="n">
        <f aca="false">IF(OR($C33="",$B$2="",$D$2=0),0,IF(U$3&lt;0,0,N(INDEX('CURVA PREVISION'!$A$1:$KZ$3000,$C33,10+3*MIN(U$3,$D$2-1)))))</f>
        <v>0</v>
      </c>
      <c r="V33" s="131" t="n">
        <f aca="false">IF(OR($C33="",$B$2="",$D$2=0),0,IF(V$3&lt;0,0,N(INDEX('CURVA PREVISION'!$A$1:$KZ$3000,$C33,10+3*MIN(V$3,$D$2-1)))))</f>
        <v>0</v>
      </c>
      <c r="W33" s="131" t="n">
        <f aca="false">IF(OR($C33="",$B$2="",$D$2=0),0,IF(W$3&lt;0,0,N(INDEX('CURVA PREVISION'!$A$1:$KZ$3000,$C33,10+3*MIN(W$3,$D$2-1)))))</f>
        <v>0</v>
      </c>
      <c r="X33" s="131" t="n">
        <f aca="false">IF(OR($C33="",$B$2="",$D$2=0),0,IF(X$3&lt;0,0,N(INDEX('CURVA PREVISION'!$A$1:$KZ$3000,$C33,10+3*MIN(X$3,$D$2-1)))))</f>
        <v>0</v>
      </c>
      <c r="Y33" s="131" t="n">
        <f aca="false">IF(OR($C33="",$B$2="",$D$2=0),0,IF(Y$3&lt;0,0,N(INDEX('CURVA PREVISION'!$A$1:$KZ$3000,$C33,10+3*MIN(Y$3,$D$2-1)))))</f>
        <v>0</v>
      </c>
      <c r="Z33" s="131" t="n">
        <f aca="false">IF(OR($C33="",$B$2="",$D$2=0),0,IF(Z$3&lt;0,0,N(INDEX('CURVA PREVISION'!$A$1:$KZ$3000,$C33,10+3*MIN(Z$3,$D$2-1)))))</f>
        <v>0</v>
      </c>
      <c r="AA33" s="131" t="n">
        <f aca="false">IF(OR($C33="",$B$2="",$D$2=0),0,IF(AA$3&lt;0,0,N(INDEX('CURVA PREVISION'!$A$1:$KZ$3000,$C33,10+3*MIN(AA$3,$D$2-1)))))</f>
        <v>0</v>
      </c>
      <c r="AB33" s="131" t="n">
        <f aca="false">IF(OR($C33="",$B$2="",$D$2=0),0,IF(AB$3&lt;0,0,N(INDEX('CURVA PREVISION'!$A$1:$KZ$3000,$C33,10+3*MIN(AB$3,$D$2-1)))))</f>
        <v>0</v>
      </c>
      <c r="AC33" s="131" t="n">
        <f aca="false">IF(OR($C33="",$B$2="",$D$2=0),0,IF(AC$3&lt;0,0,N(INDEX('CURVA PREVISION'!$A$1:$KZ$3000,$C33,10+3*MIN(AC$3,$D$2-1)))))</f>
        <v>0</v>
      </c>
      <c r="AD33" s="131" t="n">
        <f aca="false">IF(OR($C33="",$B$2="",$D$2=0),0,IF(AD$3&lt;0,0,N(INDEX('CURVA PREVISION'!$A$1:$KZ$3000,$C33,10+3*MIN(AD$3,$D$2-1)))))</f>
        <v>0</v>
      </c>
      <c r="AE33" s="131" t="n">
        <f aca="false">IF(OR($C33="",$B$2="",$D$2=0),0,IF(AE$3&lt;0,0,N(INDEX('CURVA PREVISION'!$A$1:$KZ$3000,$C33,10+3*MIN(AE$3,$D$2-1)))))</f>
        <v>0</v>
      </c>
      <c r="AF33" s="131" t="n">
        <f aca="false">IF(OR($C33="",$B$2="",$D$2=0),0,IF(AF$3&lt;0,0,N(INDEX('CURVA PREVISION'!$A$1:$KZ$3000,$C33,10+3*MIN(AF$3,$D$2-1)))))</f>
        <v>0.23</v>
      </c>
      <c r="AG33" s="131" t="n">
        <f aca="false">IF(OR($C33="",$B$2="",$D$2=0),0,IF(AG$3&lt;0,0,N(INDEX('CURVA PREVISION'!$A$1:$KZ$3000,$C33,10+3*MIN(AG$3,$D$2-1)))))</f>
        <v>1.42</v>
      </c>
      <c r="AH33" s="131" t="n">
        <f aca="false">IF(OR($C33="",$B$2="",$D$2=0),0,IF(AH$3&lt;0,0,N(INDEX('CURVA PREVISION'!$A$1:$KZ$3000,$C33,10+3*MIN(AH$3,$D$2-1)))))</f>
        <v>8.62</v>
      </c>
      <c r="AI33" s="131" t="n">
        <f aca="false">IF(OR($C33="",$B$2="",$D$2=0),0,IF(AI$3&lt;0,0,N(INDEX('CURVA PREVISION'!$A$1:$KZ$3000,$C33,10+3*MIN(AI$3,$D$2-1)))))</f>
        <v>14.49</v>
      </c>
      <c r="AJ33" s="131" t="n">
        <f aca="false">IF(OR($C33="",$B$2="",$D$2=0),0,IF(AJ$3&lt;0,0,N(INDEX('CURVA PREVISION'!$A$1:$KZ$3000,$C33,10+3*MIN(AJ$3,$D$2-1)))))</f>
        <v>23.54</v>
      </c>
      <c r="AK33" s="131" t="n">
        <f aca="false">IF(OR($C33="",$B$2="",$D$2=0),0,IF(AK$3&lt;0,0,N(INDEX('CURVA PREVISION'!$A$1:$KZ$3000,$C33,10+3*MIN(AK$3,$D$2-1)))))</f>
        <v>40.97</v>
      </c>
      <c r="AL33" s="131" t="n">
        <f aca="false">IF(OR($C33="",$B$2="",$D$2=0),0,IF(AL$3&lt;0,0,N(INDEX('CURVA PREVISION'!$A$1:$KZ$3000,$C33,10+3*MIN(AL$3,$D$2-1)))))</f>
        <v>50.56</v>
      </c>
      <c r="AM33" s="131" t="n">
        <f aca="false">IF(OR($C33="",$B$2="",$D$2=0),0,IF(AM$3&lt;0,0,N(INDEX('CURVA PREVISION'!$A$1:$KZ$3000,$C33,10+3*MIN(AM$3,$D$2-1)))))</f>
        <v>58.85</v>
      </c>
      <c r="AN33" s="131" t="n">
        <f aca="false">IF(OR($C33="",$B$2="",$D$2=0),0,IF(AN$3&lt;0,0,N(INDEX('CURVA PREVISION'!$A$1:$KZ$3000,$C33,10+3*MIN(AN$3,$D$2-1)))))</f>
        <v>65.45</v>
      </c>
      <c r="AO33" s="131" t="n">
        <f aca="false">IF(OR($C33="",$B$2="",$D$2=0),0,IF(AO$3&lt;0,0,N(INDEX('CURVA PREVISION'!$A$1:$KZ$3000,$C33,10+3*MIN(AO$3,$D$2-1)))))</f>
        <v>75.03</v>
      </c>
      <c r="AP33" s="131" t="n">
        <f aca="false">IF(OR($C33="",$B$2="",$D$2=0),0,IF(AP$3&lt;0,0,N(INDEX('CURVA PREVISION'!$A$1:$KZ$3000,$C33,10+3*MIN(AP$3,$D$2-1)))))</f>
        <v>83.46</v>
      </c>
      <c r="AQ33" s="131" t="n">
        <f aca="false">IF(OR($C33="",$B$2="",$D$2=0),0,IF(AQ$3&lt;0,0,N(INDEX('CURVA PREVISION'!$A$1:$KZ$3000,$C33,10+3*MIN(AQ$3,$D$2-1)))))</f>
        <v>92.18</v>
      </c>
      <c r="AR33" s="131" t="n">
        <f aca="false">IF(OR($C33="",$B$2="",$D$2=0),0,IF(AR$3&lt;0,0,N(INDEX('CURVA PREVISION'!$A$1:$KZ$3000,$C33,10+3*MIN(AR$3,$D$2-1)))))</f>
        <v>96.15</v>
      </c>
      <c r="AS33" s="131" t="n">
        <f aca="false">IF(OR($C33="",$B$2="",$D$2=0),0,IF(AS$3&lt;0,0,N(INDEX('CURVA PREVISION'!$A$1:$KZ$3000,$C33,10+3*MIN(AS$3,$D$2-1)))))</f>
        <v>97.6</v>
      </c>
      <c r="AT33" s="131" t="n">
        <f aca="false">IF(OR($C33="",$B$2="",$D$2=0),0,IF(AT$3&lt;0,0,N(INDEX('CURVA PREVISION'!$A$1:$KZ$3000,$C33,10+3*MIN(AT$3,$D$2-1)))))</f>
        <v>100</v>
      </c>
      <c r="AU33" s="131" t="n">
        <f aca="false">IF(OR($C33="",$B$2="",$D$2=0),0,IF(AU$3&lt;0,0,N(INDEX('CURVA PREVISION'!$A$1:$KZ$3000,$C33,10+3*MIN(AU$3,$D$2-1)))))</f>
        <v>100</v>
      </c>
      <c r="AV33" s="131" t="n">
        <f aca="false">IF(OR($C33="",$B$2="",$D$2=0),0,IF(AV$3&lt;0,0,N(INDEX('CURVA PREVISION'!$A$1:$KZ$3000,$C33,10+3*MIN(AV$3,$D$2-1)))))</f>
        <v>100</v>
      </c>
      <c r="AW33" s="131" t="n">
        <f aca="false">IF(OR($C33="",$B$2="",$D$2=0),0,IF(AW$3&lt;0,0,N(INDEX('CURVA PREVISION'!$A$1:$KZ$3000,$C33,10+3*MIN(AW$3,$D$2-1)))))</f>
        <v>100</v>
      </c>
      <c r="AX33" s="131" t="n">
        <f aca="false">IF(OR($C33="",$B$2="",$D$2=0),0,IF(AX$3&lt;0,0,N(INDEX('CURVA PREVISION'!$A$1:$KZ$3000,$C33,10+3*MIN(AX$3,$D$2-1)))))</f>
        <v>100</v>
      </c>
      <c r="AY33" s="131" t="n">
        <f aca="false">IF(OR($C33="",$B$2="",$D$2=0),0,IF(AY$3&lt;0,0,N(INDEX('CURVA PREVISION'!$A$1:$KZ$3000,$C33,10+3*MIN(AY$3,$D$2-1)))))</f>
        <v>100</v>
      </c>
      <c r="AZ33" s="131" t="n">
        <f aca="false">IF(OR($C33="",$B$2="",$D$2=0),0,IF(AZ$3&lt;0,0,N(INDEX('CURVA PREVISION'!$A$1:$KZ$3000,$C33,10+3*MIN(AZ$3,$D$2-1)))))</f>
        <v>100</v>
      </c>
      <c r="BA33" s="131" t="n">
        <f aca="false">IF(OR($C33="",$B$2="",$D$2=0),0,IF(BA$3&lt;0,0,N(INDEX('CURVA PREVISION'!$A$1:$KZ$3000,$C33,10+3*MIN(BA$3,$D$2-1)))))</f>
        <v>100</v>
      </c>
      <c r="BB33" s="131" t="n">
        <f aca="false">IF(OR($C33="",$B$2="",$D$2=0),0,IF(BB$3&lt;0,0,N(INDEX('CURVA PREVISION'!$A$1:$KZ$3000,$C33,10+3*MIN(BB$3,$D$2-1)))))</f>
        <v>100</v>
      </c>
      <c r="BC33" s="131" t="n">
        <f aca="false">IF(OR($C33="",$B$2="",$D$2=0),0,IF(BC$3&lt;0,0,N(INDEX('CURVA PREVISION'!$A$1:$KZ$3000,$C33,10+3*MIN(BC$3,$D$2-1)))))</f>
        <v>100</v>
      </c>
      <c r="BD33" s="131" t="n">
        <f aca="false">IF(OR($C33="",$B$2="",$D$2=0),0,IF(BD$3&lt;0,0,N(INDEX('CURVA PREVISION'!$A$1:$KZ$3000,$C33,10+3*MIN(BD$3,$D$2-1)))))</f>
        <v>100</v>
      </c>
      <c r="BE33" s="131" t="n">
        <f aca="false">IF(OR($C33="",$B$2="",$D$2=0),0,IF(BE$3&lt;0,0,N(INDEX('CURVA PREVISION'!$A$1:$KZ$3000,$C33,10+3*MIN(BE$3,$D$2-1)))))</f>
        <v>100</v>
      </c>
      <c r="BF33" s="131" t="n">
        <f aca="false">IF(OR($C33="",$B$2="",$D$2=0),0,IF(BF$3&lt;0,0,N(INDEX('CURVA PREVISION'!$A$1:$KZ$3000,$C33,10+3*MIN(BF$3,$D$2-1)))))</f>
        <v>100</v>
      </c>
      <c r="BG33" s="131" t="n">
        <f aca="false">IF(OR($C33="",$B$2="",$D$2=0),0,IF(BG$3&lt;0,0,N(INDEX('CURVA PREVISION'!$A$1:$KZ$3000,$C33,10+3*MIN(BG$3,$D$2-1)))))</f>
        <v>100</v>
      </c>
      <c r="BH33" s="131" t="n">
        <f aca="false">IF(OR($C33="",$B$2="",$D$2=0),0,IF(BH$3&lt;0,0,N(INDEX('CURVA PREVISION'!$A$1:$KZ$3000,$C33,10+3*MIN(BH$3,$D$2-1)))))</f>
        <v>100</v>
      </c>
      <c r="BI33" s="131" t="n">
        <f aca="false">IF(OR($C33="",$B$2="",$D$2=0),0,IF(BI$3&lt;0,0,N(INDEX('CURVA PREVISION'!$A$1:$KZ$3000,$C33,10+3*MIN(BI$3,$D$2-1)))))</f>
        <v>100</v>
      </c>
      <c r="BJ33" s="131" t="n">
        <f aca="false">IF(OR($C33="",$B$2="",$D$2=0),0,IF(BJ$3&lt;0,0,N(INDEX('CURVA PREVISION'!$A$1:$KZ$3000,$C33,10+3*MIN(BJ$3,$D$2-1)))))</f>
        <v>100</v>
      </c>
      <c r="BK33" s="131" t="n">
        <f aca="false">IF(OR($C33="",$B$2="",$D$2=0),0,IF(BK$3&lt;0,0,N(INDEX('CURVA PREVISION'!$A$1:$KZ$3000,$C33,10+3*MIN(BK$3,$D$2-1)))))</f>
        <v>100</v>
      </c>
      <c r="BL33" s="131" t="n">
        <f aca="false">IF(OR($C33="",$B$2="",$D$2=0),0,IF(BL$3&lt;0,0,N(INDEX('CURVA PREVISION'!$A$1:$KZ$3000,$C33,10+3*MIN(BL$3,$D$2-1)))))</f>
        <v>100</v>
      </c>
      <c r="BM33" s="131" t="n">
        <f aca="false">IF(OR($C33="",$B$2="",$D$2=0),0,IF(BM$3&lt;0,0,N(INDEX('CURVA PREVISION'!$A$1:$KZ$3000,$C33,10+3*MIN(BM$3,$D$2-1)))))</f>
        <v>100</v>
      </c>
      <c r="BN33" s="131" t="n">
        <f aca="false">IF(OR($C33="",$B$2="",$D$2=0),0,IF(BN$3&lt;0,0,N(INDEX('CURVA PREVISION'!$A$1:$KZ$3000,$C33,10+3*MIN(BN$3,$D$2-1)))))</f>
        <v>100</v>
      </c>
      <c r="BO33" s="131" t="n">
        <f aca="false">IF(OR($C33="",$B$2="",$D$2=0),0,IF(BO$3&lt;0,0,N(INDEX('CURVA PREVISION'!$A$1:$KZ$3000,$C33,10+3*MIN(BO$3,$D$2-1)))))</f>
        <v>100</v>
      </c>
      <c r="BP33" s="131" t="n">
        <f aca="false">IF(OR($C33="",$B$2="",$D$2=0),0,IF(BP$3&lt;0,0,N(INDEX('CURVA PREVISION'!$A$1:$KZ$3000,$C33,10+3*MIN(BP$3,$D$2-1)))))</f>
        <v>100</v>
      </c>
      <c r="BQ33" s="131" t="n">
        <f aca="false">IF(OR($C33="",$B$2="",$D$2=0),0,IF(BQ$3&lt;0,0,N(INDEX('CURVA PREVISION'!$A$1:$KZ$3000,$C33,10+3*MIN(BQ$3,$D$2-1)))))</f>
        <v>100</v>
      </c>
      <c r="BR33" s="131" t="n">
        <f aca="false">IF(OR($C33="",$B$2="",$D$2=0),0,IF(BR$3&lt;0,0,N(INDEX('CURVA PREVISION'!$A$1:$KZ$3000,$C33,10+3*MIN(BR$3,$D$2-1)))))</f>
        <v>100</v>
      </c>
      <c r="BS33" s="131" t="n">
        <f aca="false">IF(OR($C33="",$B$2="",$D$2=0),0,IF(BS$3&lt;0,0,N(INDEX('CURVA PREVISION'!$A$1:$KZ$3000,$C33,10+3*MIN(BS$3,$D$2-1)))))</f>
        <v>100</v>
      </c>
      <c r="BT33" s="131" t="n">
        <f aca="false">IF(OR($C33="",$B$2="",$D$2=0),0,IF(BT$3&lt;0,0,N(INDEX('CURVA PREVISION'!$A$1:$KZ$3000,$C33,10+3*MIN(BT$3,$D$2-1)))))</f>
        <v>100</v>
      </c>
      <c r="BU33" s="131" t="n">
        <f aca="false">IF(OR($C33="",$B$2="",$D$2=0),0,IF(BU$3&lt;0,0,N(INDEX('CURVA PREVISION'!$A$1:$KZ$3000,$C33,10+3*MIN(BU$3,$D$2-1)))))</f>
        <v>100</v>
      </c>
      <c r="BV33" s="131" t="n">
        <f aca="false">IF(OR($C33="",$B$2="",$D$2=0),0,IF(BV$3&lt;0,0,N(INDEX('CURVA PREVISION'!$A$1:$KZ$3000,$C33,10+3*MIN(BV$3,$D$2-1)))))</f>
        <v>100</v>
      </c>
      <c r="BW33" s="131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30</v>
      </c>
      <c r="B34" s="57" t="str">
        <f aca="false">'VALOR POR PL'!D40</f>
        <v>REVESTIMENTOS DE ACABAMENTO</v>
      </c>
      <c r="C34" s="64" t="n">
        <f aca="false">IFERROR(MATCH(A34,'CURVA PREVISION'!$B$1:$B$3000,0),"")</f>
        <v>640</v>
      </c>
      <c r="D34" s="131" t="n">
        <f aca="false">IF(OR($C34="",$B$2="",$D$2=0),0,IF(D$3&lt;0,0,N(INDEX('CURVA PREVISION'!$A$1:$KZ$3000,$C34,10+3*MIN(D$3,$D$2-1)))))</f>
        <v>0</v>
      </c>
      <c r="E34" s="131" t="n">
        <f aca="false">IF(OR($C34="",$B$2="",$D$2=0),0,IF(E$3&lt;0,0,N(INDEX('CURVA PREVISION'!$A$1:$KZ$3000,$C34,10+3*MIN(E$3,$D$2-1)))))</f>
        <v>0</v>
      </c>
      <c r="F34" s="131" t="n">
        <f aca="false">IF(OR($C34="",$B$2="",$D$2=0),0,IF(F$3&lt;0,0,N(INDEX('CURVA PREVISION'!$A$1:$KZ$3000,$C34,10+3*MIN(F$3,$D$2-1)))))</f>
        <v>0</v>
      </c>
      <c r="G34" s="131" t="n">
        <f aca="false">IF(OR($C34="",$B$2="",$D$2=0),0,IF(G$3&lt;0,0,N(INDEX('CURVA PREVISION'!$A$1:$KZ$3000,$C34,10+3*MIN(G$3,$D$2-1)))))</f>
        <v>0</v>
      </c>
      <c r="H34" s="131" t="n">
        <f aca="false">IF(OR($C34="",$B$2="",$D$2=0),0,IF(H$3&lt;0,0,N(INDEX('CURVA PREVISION'!$A$1:$KZ$3000,$C34,10+3*MIN(H$3,$D$2-1)))))</f>
        <v>0</v>
      </c>
      <c r="I34" s="131" t="n">
        <f aca="false">IF(OR($C34="",$B$2="",$D$2=0),0,IF(I$3&lt;0,0,N(INDEX('CURVA PREVISION'!$A$1:$KZ$3000,$C34,10+3*MIN(I$3,$D$2-1)))))</f>
        <v>0</v>
      </c>
      <c r="J34" s="131" t="n">
        <f aca="false">IF(OR($C34="",$B$2="",$D$2=0),0,IF(J$3&lt;0,0,N(INDEX('CURVA PREVISION'!$A$1:$KZ$3000,$C34,10+3*MIN(J$3,$D$2-1)))))</f>
        <v>0</v>
      </c>
      <c r="K34" s="131" t="n">
        <f aca="false">IF(OR($C34="",$B$2="",$D$2=0),0,IF(K$3&lt;0,0,N(INDEX('CURVA PREVISION'!$A$1:$KZ$3000,$C34,10+3*MIN(K$3,$D$2-1)))))</f>
        <v>0</v>
      </c>
      <c r="L34" s="131" t="n">
        <f aca="false">IF(OR($C34="",$B$2="",$D$2=0),0,IF(L$3&lt;0,0,N(INDEX('CURVA PREVISION'!$A$1:$KZ$3000,$C34,10+3*MIN(L$3,$D$2-1)))))</f>
        <v>0</v>
      </c>
      <c r="M34" s="131" t="n">
        <f aca="false">IF(OR($C34="",$B$2="",$D$2=0),0,IF(M$3&lt;0,0,N(INDEX('CURVA PREVISION'!$A$1:$KZ$3000,$C34,10+3*MIN(M$3,$D$2-1)))))</f>
        <v>0</v>
      </c>
      <c r="N34" s="131" t="n">
        <f aca="false">IF(OR($C34="",$B$2="",$D$2=0),0,IF(N$3&lt;0,0,N(INDEX('CURVA PREVISION'!$A$1:$KZ$3000,$C34,10+3*MIN(N$3,$D$2-1)))))</f>
        <v>0</v>
      </c>
      <c r="O34" s="131" t="n">
        <f aca="false">IF(OR($C34="",$B$2="",$D$2=0),0,IF(O$3&lt;0,0,N(INDEX('CURVA PREVISION'!$A$1:$KZ$3000,$C34,10+3*MIN(O$3,$D$2-1)))))</f>
        <v>0</v>
      </c>
      <c r="P34" s="131" t="n">
        <f aca="false">IF(OR($C34="",$B$2="",$D$2=0),0,IF(P$3&lt;0,0,N(INDEX('CURVA PREVISION'!$A$1:$KZ$3000,$C34,10+3*MIN(P$3,$D$2-1)))))</f>
        <v>0</v>
      </c>
      <c r="Q34" s="131" t="n">
        <f aca="false">IF(OR($C34="",$B$2="",$D$2=0),0,IF(Q$3&lt;0,0,N(INDEX('CURVA PREVISION'!$A$1:$KZ$3000,$C34,10+3*MIN(Q$3,$D$2-1)))))</f>
        <v>0</v>
      </c>
      <c r="R34" s="131" t="n">
        <f aca="false">IF(OR($C34="",$B$2="",$D$2=0),0,IF(R$3&lt;0,0,N(INDEX('CURVA PREVISION'!$A$1:$KZ$3000,$C34,10+3*MIN(R$3,$D$2-1)))))</f>
        <v>0</v>
      </c>
      <c r="S34" s="131" t="n">
        <f aca="false">IF(OR($C34="",$B$2="",$D$2=0),0,IF(S$3&lt;0,0,N(INDEX('CURVA PREVISION'!$A$1:$KZ$3000,$C34,10+3*MIN(S$3,$D$2-1)))))</f>
        <v>0</v>
      </c>
      <c r="T34" s="131" t="n">
        <f aca="false">IF(OR($C34="",$B$2="",$D$2=0),0,IF(T$3&lt;0,0,N(INDEX('CURVA PREVISION'!$A$1:$KZ$3000,$C34,10+3*MIN(T$3,$D$2-1)))))</f>
        <v>0</v>
      </c>
      <c r="U34" s="131" t="n">
        <f aca="false">IF(OR($C34="",$B$2="",$D$2=0),0,IF(U$3&lt;0,0,N(INDEX('CURVA PREVISION'!$A$1:$KZ$3000,$C34,10+3*MIN(U$3,$D$2-1)))))</f>
        <v>0</v>
      </c>
      <c r="V34" s="131" t="n">
        <f aca="false">IF(OR($C34="",$B$2="",$D$2=0),0,IF(V$3&lt;0,0,N(INDEX('CURVA PREVISION'!$A$1:$KZ$3000,$C34,10+3*MIN(V$3,$D$2-1)))))</f>
        <v>0</v>
      </c>
      <c r="W34" s="131" t="n">
        <f aca="false">IF(OR($C34="",$B$2="",$D$2=0),0,IF(W$3&lt;0,0,N(INDEX('CURVA PREVISION'!$A$1:$KZ$3000,$C34,10+3*MIN(W$3,$D$2-1)))))</f>
        <v>0</v>
      </c>
      <c r="X34" s="131" t="n">
        <f aca="false">IF(OR($C34="",$B$2="",$D$2=0),0,IF(X$3&lt;0,0,N(INDEX('CURVA PREVISION'!$A$1:$KZ$3000,$C34,10+3*MIN(X$3,$D$2-1)))))</f>
        <v>0</v>
      </c>
      <c r="Y34" s="131" t="n">
        <f aca="false">IF(OR($C34="",$B$2="",$D$2=0),0,IF(Y$3&lt;0,0,N(INDEX('CURVA PREVISION'!$A$1:$KZ$3000,$C34,10+3*MIN(Y$3,$D$2-1)))))</f>
        <v>0</v>
      </c>
      <c r="Z34" s="131" t="n">
        <f aca="false">IF(OR($C34="",$B$2="",$D$2=0),0,IF(Z$3&lt;0,0,N(INDEX('CURVA PREVISION'!$A$1:$KZ$3000,$C34,10+3*MIN(Z$3,$D$2-1)))))</f>
        <v>0</v>
      </c>
      <c r="AA34" s="131" t="n">
        <f aca="false">IF(OR($C34="",$B$2="",$D$2=0),0,IF(AA$3&lt;0,0,N(INDEX('CURVA PREVISION'!$A$1:$KZ$3000,$C34,10+3*MIN(AA$3,$D$2-1)))))</f>
        <v>0</v>
      </c>
      <c r="AB34" s="131" t="n">
        <f aca="false">IF(OR($C34="",$B$2="",$D$2=0),0,IF(AB$3&lt;0,0,N(INDEX('CURVA PREVISION'!$A$1:$KZ$3000,$C34,10+3*MIN(AB$3,$D$2-1)))))</f>
        <v>0</v>
      </c>
      <c r="AC34" s="131" t="n">
        <f aca="false">IF(OR($C34="",$B$2="",$D$2=0),0,IF(AC$3&lt;0,0,N(INDEX('CURVA PREVISION'!$A$1:$KZ$3000,$C34,10+3*MIN(AC$3,$D$2-1)))))</f>
        <v>0</v>
      </c>
      <c r="AD34" s="131" t="n">
        <f aca="false">IF(OR($C34="",$B$2="",$D$2=0),0,IF(AD$3&lt;0,0,N(INDEX('CURVA PREVISION'!$A$1:$KZ$3000,$C34,10+3*MIN(AD$3,$D$2-1)))))</f>
        <v>0</v>
      </c>
      <c r="AE34" s="131" t="n">
        <f aca="false">IF(OR($C34="",$B$2="",$D$2=0),0,IF(AE$3&lt;0,0,N(INDEX('CURVA PREVISION'!$A$1:$KZ$3000,$C34,10+3*MIN(AE$3,$D$2-1)))))</f>
        <v>0</v>
      </c>
      <c r="AF34" s="131" t="n">
        <f aca="false">IF(OR($C34="",$B$2="",$D$2=0),0,IF(AF$3&lt;0,0,N(INDEX('CURVA PREVISION'!$A$1:$KZ$3000,$C34,10+3*MIN(AF$3,$D$2-1)))))</f>
        <v>0</v>
      </c>
      <c r="AG34" s="131" t="n">
        <f aca="false">IF(OR($C34="",$B$2="",$D$2=0),0,IF(AG$3&lt;0,0,N(INDEX('CURVA PREVISION'!$A$1:$KZ$3000,$C34,10+3*MIN(AG$3,$D$2-1)))))</f>
        <v>0</v>
      </c>
      <c r="AH34" s="131" t="n">
        <f aca="false">IF(OR($C34="",$B$2="",$D$2=0),0,IF(AH$3&lt;0,0,N(INDEX('CURVA PREVISION'!$A$1:$KZ$3000,$C34,10+3*MIN(AH$3,$D$2-1)))))</f>
        <v>0</v>
      </c>
      <c r="AI34" s="131" t="n">
        <f aca="false">IF(OR($C34="",$B$2="",$D$2=0),0,IF(AI$3&lt;0,0,N(INDEX('CURVA PREVISION'!$A$1:$KZ$3000,$C34,10+3*MIN(AI$3,$D$2-1)))))</f>
        <v>0</v>
      </c>
      <c r="AJ34" s="131" t="n">
        <f aca="false">IF(OR($C34="",$B$2="",$D$2=0),0,IF(AJ$3&lt;0,0,N(INDEX('CURVA PREVISION'!$A$1:$KZ$3000,$C34,10+3*MIN(AJ$3,$D$2-1)))))</f>
        <v>0.48</v>
      </c>
      <c r="AK34" s="131" t="n">
        <f aca="false">IF(OR($C34="",$B$2="",$D$2=0),0,IF(AK$3&lt;0,0,N(INDEX('CURVA PREVISION'!$A$1:$KZ$3000,$C34,10+3*MIN(AK$3,$D$2-1)))))</f>
        <v>4.53</v>
      </c>
      <c r="AL34" s="131" t="n">
        <f aca="false">IF(OR($C34="",$B$2="",$D$2=0),0,IF(AL$3&lt;0,0,N(INDEX('CURVA PREVISION'!$A$1:$KZ$3000,$C34,10+3*MIN(AL$3,$D$2-1)))))</f>
        <v>10.04</v>
      </c>
      <c r="AM34" s="131" t="n">
        <f aca="false">IF(OR($C34="",$B$2="",$D$2=0),0,IF(AM$3&lt;0,0,N(INDEX('CURVA PREVISION'!$A$1:$KZ$3000,$C34,10+3*MIN(AM$3,$D$2-1)))))</f>
        <v>15.79</v>
      </c>
      <c r="AN34" s="131" t="n">
        <f aca="false">IF(OR($C34="",$B$2="",$D$2=0),0,IF(AN$3&lt;0,0,N(INDEX('CURVA PREVISION'!$A$1:$KZ$3000,$C34,10+3*MIN(AN$3,$D$2-1)))))</f>
        <v>23.29</v>
      </c>
      <c r="AO34" s="131" t="n">
        <f aca="false">IF(OR($C34="",$B$2="",$D$2=0),0,IF(AO$3&lt;0,0,N(INDEX('CURVA PREVISION'!$A$1:$KZ$3000,$C34,10+3*MIN(AO$3,$D$2-1)))))</f>
        <v>32.46</v>
      </c>
      <c r="AP34" s="131" t="n">
        <f aca="false">IF(OR($C34="",$B$2="",$D$2=0),0,IF(AP$3&lt;0,0,N(INDEX('CURVA PREVISION'!$A$1:$KZ$3000,$C34,10+3*MIN(AP$3,$D$2-1)))))</f>
        <v>39.16</v>
      </c>
      <c r="AQ34" s="131" t="n">
        <f aca="false">IF(OR($C34="",$B$2="",$D$2=0),0,IF(AQ$3&lt;0,0,N(INDEX('CURVA PREVISION'!$A$1:$KZ$3000,$C34,10+3*MIN(AQ$3,$D$2-1)))))</f>
        <v>47.69</v>
      </c>
      <c r="AR34" s="131" t="n">
        <f aca="false">IF(OR($C34="",$B$2="",$D$2=0),0,IF(AR$3&lt;0,0,N(INDEX('CURVA PREVISION'!$A$1:$KZ$3000,$C34,10+3*MIN(AR$3,$D$2-1)))))</f>
        <v>54.65</v>
      </c>
      <c r="AS34" s="131" t="n">
        <f aca="false">IF(OR($C34="",$B$2="",$D$2=0),0,IF(AS$3&lt;0,0,N(INDEX('CURVA PREVISION'!$A$1:$KZ$3000,$C34,10+3*MIN(AS$3,$D$2-1)))))</f>
        <v>62.47</v>
      </c>
      <c r="AT34" s="131" t="n">
        <f aca="false">IF(OR($C34="",$B$2="",$D$2=0),0,IF(AT$3&lt;0,0,N(INDEX('CURVA PREVISION'!$A$1:$KZ$3000,$C34,10+3*MIN(AT$3,$D$2-1)))))</f>
        <v>70.44</v>
      </c>
      <c r="AU34" s="131" t="n">
        <f aca="false">IF(OR($C34="",$B$2="",$D$2=0),0,IF(AU$3&lt;0,0,N(INDEX('CURVA PREVISION'!$A$1:$KZ$3000,$C34,10+3*MIN(AU$3,$D$2-1)))))</f>
        <v>77.42</v>
      </c>
      <c r="AV34" s="131" t="n">
        <f aca="false">IF(OR($C34="",$B$2="",$D$2=0),0,IF(AV$3&lt;0,0,N(INDEX('CURVA PREVISION'!$A$1:$KZ$3000,$C34,10+3*MIN(AV$3,$D$2-1)))))</f>
        <v>81.29</v>
      </c>
      <c r="AW34" s="131" t="n">
        <f aca="false">IF(OR($C34="",$B$2="",$D$2=0),0,IF(AW$3&lt;0,0,N(INDEX('CURVA PREVISION'!$A$1:$KZ$3000,$C34,10+3*MIN(AW$3,$D$2-1)))))</f>
        <v>86.33</v>
      </c>
      <c r="AX34" s="131" t="n">
        <f aca="false">IF(OR($C34="",$B$2="",$D$2=0),0,IF(AX$3&lt;0,0,N(INDEX('CURVA PREVISION'!$A$1:$KZ$3000,$C34,10+3*MIN(AX$3,$D$2-1)))))</f>
        <v>90.42</v>
      </c>
      <c r="AY34" s="131" t="n">
        <f aca="false">IF(OR($C34="",$B$2="",$D$2=0),0,IF(AY$3&lt;0,0,N(INDEX('CURVA PREVISION'!$A$1:$KZ$3000,$C34,10+3*MIN(AY$3,$D$2-1)))))</f>
        <v>93.64</v>
      </c>
      <c r="AZ34" s="131" t="n">
        <f aca="false">IF(OR($C34="",$B$2="",$D$2=0),0,IF(AZ$3&lt;0,0,N(INDEX('CURVA PREVISION'!$A$1:$KZ$3000,$C34,10+3*MIN(AZ$3,$D$2-1)))))</f>
        <v>96.52</v>
      </c>
      <c r="BA34" s="131" t="n">
        <f aca="false">IF(OR($C34="",$B$2="",$D$2=0),0,IF(BA$3&lt;0,0,N(INDEX('CURVA PREVISION'!$A$1:$KZ$3000,$C34,10+3*MIN(BA$3,$D$2-1)))))</f>
        <v>99.05</v>
      </c>
      <c r="BB34" s="131" t="n">
        <f aca="false">IF(OR($C34="",$B$2="",$D$2=0),0,IF(BB$3&lt;0,0,N(INDEX('CURVA PREVISION'!$A$1:$KZ$3000,$C34,10+3*MIN(BB$3,$D$2-1)))))</f>
        <v>99.97</v>
      </c>
      <c r="BC34" s="131" t="n">
        <f aca="false">IF(OR($C34="",$B$2="",$D$2=0),0,IF(BC$3&lt;0,0,N(INDEX('CURVA PREVISION'!$A$1:$KZ$3000,$C34,10+3*MIN(BC$3,$D$2-1)))))</f>
        <v>99.97</v>
      </c>
      <c r="BD34" s="131" t="n">
        <f aca="false">IF(OR($C34="",$B$2="",$D$2=0),0,IF(BD$3&lt;0,0,N(INDEX('CURVA PREVISION'!$A$1:$KZ$3000,$C34,10+3*MIN(BD$3,$D$2-1)))))</f>
        <v>99.97</v>
      </c>
      <c r="BE34" s="131" t="n">
        <f aca="false">IF(OR($C34="",$B$2="",$D$2=0),0,IF(BE$3&lt;0,0,N(INDEX('CURVA PREVISION'!$A$1:$KZ$3000,$C34,10+3*MIN(BE$3,$D$2-1)))))</f>
        <v>99.97</v>
      </c>
      <c r="BF34" s="131" t="n">
        <f aca="false">IF(OR($C34="",$B$2="",$D$2=0),0,IF(BF$3&lt;0,0,N(INDEX('CURVA PREVISION'!$A$1:$KZ$3000,$C34,10+3*MIN(BF$3,$D$2-1)))))</f>
        <v>99.97</v>
      </c>
      <c r="BG34" s="131" t="n">
        <f aca="false">IF(OR($C34="",$B$2="",$D$2=0),0,IF(BG$3&lt;0,0,N(INDEX('CURVA PREVISION'!$A$1:$KZ$3000,$C34,10+3*MIN(BG$3,$D$2-1)))))</f>
        <v>99.97</v>
      </c>
      <c r="BH34" s="131" t="n">
        <f aca="false">IF(OR($C34="",$B$2="",$D$2=0),0,IF(BH$3&lt;0,0,N(INDEX('CURVA PREVISION'!$A$1:$KZ$3000,$C34,10+3*MIN(BH$3,$D$2-1)))))</f>
        <v>99.97</v>
      </c>
      <c r="BI34" s="131" t="n">
        <f aca="false">IF(OR($C34="",$B$2="",$D$2=0),0,IF(BI$3&lt;0,0,N(INDEX('CURVA PREVISION'!$A$1:$KZ$3000,$C34,10+3*MIN(BI$3,$D$2-1)))))</f>
        <v>99.97</v>
      </c>
      <c r="BJ34" s="131" t="n">
        <f aca="false">IF(OR($C34="",$B$2="",$D$2=0),0,IF(BJ$3&lt;0,0,N(INDEX('CURVA PREVISION'!$A$1:$KZ$3000,$C34,10+3*MIN(BJ$3,$D$2-1)))))</f>
        <v>99.97</v>
      </c>
      <c r="BK34" s="131" t="n">
        <f aca="false">IF(OR($C34="",$B$2="",$D$2=0),0,IF(BK$3&lt;0,0,N(INDEX('CURVA PREVISION'!$A$1:$KZ$3000,$C34,10+3*MIN(BK$3,$D$2-1)))))</f>
        <v>99.97</v>
      </c>
      <c r="BL34" s="131" t="n">
        <f aca="false">IF(OR($C34="",$B$2="",$D$2=0),0,IF(BL$3&lt;0,0,N(INDEX('CURVA PREVISION'!$A$1:$KZ$3000,$C34,10+3*MIN(BL$3,$D$2-1)))))</f>
        <v>99.97</v>
      </c>
      <c r="BM34" s="131" t="n">
        <f aca="false">IF(OR($C34="",$B$2="",$D$2=0),0,IF(BM$3&lt;0,0,N(INDEX('CURVA PREVISION'!$A$1:$KZ$3000,$C34,10+3*MIN(BM$3,$D$2-1)))))</f>
        <v>99.97</v>
      </c>
      <c r="BN34" s="131" t="n">
        <f aca="false">IF(OR($C34="",$B$2="",$D$2=0),0,IF(BN$3&lt;0,0,N(INDEX('CURVA PREVISION'!$A$1:$KZ$3000,$C34,10+3*MIN(BN$3,$D$2-1)))))</f>
        <v>99.97</v>
      </c>
      <c r="BO34" s="131" t="n">
        <f aca="false">IF(OR($C34="",$B$2="",$D$2=0),0,IF(BO$3&lt;0,0,N(INDEX('CURVA PREVISION'!$A$1:$KZ$3000,$C34,10+3*MIN(BO$3,$D$2-1)))))</f>
        <v>99.97</v>
      </c>
      <c r="BP34" s="131" t="n">
        <f aca="false">IF(OR($C34="",$B$2="",$D$2=0),0,IF(BP$3&lt;0,0,N(INDEX('CURVA PREVISION'!$A$1:$KZ$3000,$C34,10+3*MIN(BP$3,$D$2-1)))))</f>
        <v>99.97</v>
      </c>
      <c r="BQ34" s="131" t="n">
        <f aca="false">IF(OR($C34="",$B$2="",$D$2=0),0,IF(BQ$3&lt;0,0,N(INDEX('CURVA PREVISION'!$A$1:$KZ$3000,$C34,10+3*MIN(BQ$3,$D$2-1)))))</f>
        <v>99.97</v>
      </c>
      <c r="BR34" s="131" t="n">
        <f aca="false">IF(OR($C34="",$B$2="",$D$2=0),0,IF(BR$3&lt;0,0,N(INDEX('CURVA PREVISION'!$A$1:$KZ$3000,$C34,10+3*MIN(BR$3,$D$2-1)))))</f>
        <v>99.97</v>
      </c>
      <c r="BS34" s="131" t="n">
        <f aca="false">IF(OR($C34="",$B$2="",$D$2=0),0,IF(BS$3&lt;0,0,N(INDEX('CURVA PREVISION'!$A$1:$KZ$3000,$C34,10+3*MIN(BS$3,$D$2-1)))))</f>
        <v>99.97</v>
      </c>
      <c r="BT34" s="131" t="n">
        <f aca="false">IF(OR($C34="",$B$2="",$D$2=0),0,IF(BT$3&lt;0,0,N(INDEX('CURVA PREVISION'!$A$1:$KZ$3000,$C34,10+3*MIN(BT$3,$D$2-1)))))</f>
        <v>99.97</v>
      </c>
      <c r="BU34" s="131" t="n">
        <f aca="false">IF(OR($C34="",$B$2="",$D$2=0),0,IF(BU$3&lt;0,0,N(INDEX('CURVA PREVISION'!$A$1:$KZ$3000,$C34,10+3*MIN(BU$3,$D$2-1)))))</f>
        <v>99.97</v>
      </c>
      <c r="BV34" s="131" t="n">
        <f aca="false">IF(OR($C34="",$B$2="",$D$2=0),0,IF(BV$3&lt;0,0,N(INDEX('CURVA PREVISION'!$A$1:$KZ$3000,$C34,10+3*MIN(BV$3,$D$2-1)))))</f>
        <v>99.97</v>
      </c>
      <c r="BW34" s="131" t="n">
        <f aca="false">IF(OR($C34="",$B$2="",$D$2=0),0,IF(BW$3&lt;0,0,N(INDEX('CURVA PREVISION'!$A$1:$KZ$3000,$C34,10+3*MIN(BW$3,$D$2-1)))))</f>
        <v>99.97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31</v>
      </c>
      <c r="B35" s="57" t="str">
        <f aca="false">'VALOR POR PL'!D41</f>
        <v>PAVIMENTAÇÃO</v>
      </c>
      <c r="C35" s="64" t="n">
        <f aca="false">IFERROR(MATCH(A35,'CURVA PREVISION'!$B$1:$B$3000,0),"")</f>
        <v>773</v>
      </c>
      <c r="D35" s="131" t="n">
        <f aca="false">IF(OR($C35="",$B$2="",$D$2=0),0,IF(D$3&lt;0,0,N(INDEX('CURVA PREVISION'!$A$1:$KZ$3000,$C35,10+3*MIN(D$3,$D$2-1)))))</f>
        <v>0</v>
      </c>
      <c r="E35" s="131" t="n">
        <f aca="false">IF(OR($C35="",$B$2="",$D$2=0),0,IF(E$3&lt;0,0,N(INDEX('CURVA PREVISION'!$A$1:$KZ$3000,$C35,10+3*MIN(E$3,$D$2-1)))))</f>
        <v>0</v>
      </c>
      <c r="F35" s="131" t="n">
        <f aca="false">IF(OR($C35="",$B$2="",$D$2=0),0,IF(F$3&lt;0,0,N(INDEX('CURVA PREVISION'!$A$1:$KZ$3000,$C35,10+3*MIN(F$3,$D$2-1)))))</f>
        <v>0</v>
      </c>
      <c r="G35" s="131" t="n">
        <f aca="false">IF(OR($C35="",$B$2="",$D$2=0),0,IF(G$3&lt;0,0,N(INDEX('CURVA PREVISION'!$A$1:$KZ$3000,$C35,10+3*MIN(G$3,$D$2-1)))))</f>
        <v>0</v>
      </c>
      <c r="H35" s="131" t="n">
        <f aca="false">IF(OR($C35="",$B$2="",$D$2=0),0,IF(H$3&lt;0,0,N(INDEX('CURVA PREVISION'!$A$1:$KZ$3000,$C35,10+3*MIN(H$3,$D$2-1)))))</f>
        <v>0</v>
      </c>
      <c r="I35" s="131" t="n">
        <f aca="false">IF(OR($C35="",$B$2="",$D$2=0),0,IF(I$3&lt;0,0,N(INDEX('CURVA PREVISION'!$A$1:$KZ$3000,$C35,10+3*MIN(I$3,$D$2-1)))))</f>
        <v>0</v>
      </c>
      <c r="J35" s="131" t="n">
        <f aca="false">IF(OR($C35="",$B$2="",$D$2=0),0,IF(J$3&lt;0,0,N(INDEX('CURVA PREVISION'!$A$1:$KZ$3000,$C35,10+3*MIN(J$3,$D$2-1)))))</f>
        <v>0</v>
      </c>
      <c r="K35" s="131" t="n">
        <f aca="false">IF(OR($C35="",$B$2="",$D$2=0),0,IF(K$3&lt;0,0,N(INDEX('CURVA PREVISION'!$A$1:$KZ$3000,$C35,10+3*MIN(K$3,$D$2-1)))))</f>
        <v>0</v>
      </c>
      <c r="L35" s="131" t="n">
        <f aca="false">IF(OR($C35="",$B$2="",$D$2=0),0,IF(L$3&lt;0,0,N(INDEX('CURVA PREVISION'!$A$1:$KZ$3000,$C35,10+3*MIN(L$3,$D$2-1)))))</f>
        <v>0</v>
      </c>
      <c r="M35" s="131" t="n">
        <f aca="false">IF(OR($C35="",$B$2="",$D$2=0),0,IF(M$3&lt;0,0,N(INDEX('CURVA PREVISION'!$A$1:$KZ$3000,$C35,10+3*MIN(M$3,$D$2-1)))))</f>
        <v>0</v>
      </c>
      <c r="N35" s="131" t="n">
        <f aca="false">IF(OR($C35="",$B$2="",$D$2=0),0,IF(N$3&lt;0,0,N(INDEX('CURVA PREVISION'!$A$1:$KZ$3000,$C35,10+3*MIN(N$3,$D$2-1)))))</f>
        <v>0</v>
      </c>
      <c r="O35" s="131" t="n">
        <f aca="false">IF(OR($C35="",$B$2="",$D$2=0),0,IF(O$3&lt;0,0,N(INDEX('CURVA PREVISION'!$A$1:$KZ$3000,$C35,10+3*MIN(O$3,$D$2-1)))))</f>
        <v>0</v>
      </c>
      <c r="P35" s="131" t="n">
        <f aca="false">IF(OR($C35="",$B$2="",$D$2=0),0,IF(P$3&lt;0,0,N(INDEX('CURVA PREVISION'!$A$1:$KZ$3000,$C35,10+3*MIN(P$3,$D$2-1)))))</f>
        <v>0</v>
      </c>
      <c r="Q35" s="131" t="n">
        <f aca="false">IF(OR($C35="",$B$2="",$D$2=0),0,IF(Q$3&lt;0,0,N(INDEX('CURVA PREVISION'!$A$1:$KZ$3000,$C35,10+3*MIN(Q$3,$D$2-1)))))</f>
        <v>0</v>
      </c>
      <c r="R35" s="131" t="n">
        <f aca="false">IF(OR($C35="",$B$2="",$D$2=0),0,IF(R$3&lt;0,0,N(INDEX('CURVA PREVISION'!$A$1:$KZ$3000,$C35,10+3*MIN(R$3,$D$2-1)))))</f>
        <v>0</v>
      </c>
      <c r="S35" s="131" t="n">
        <f aca="false">IF(OR($C35="",$B$2="",$D$2=0),0,IF(S$3&lt;0,0,N(INDEX('CURVA PREVISION'!$A$1:$KZ$3000,$C35,10+3*MIN(S$3,$D$2-1)))))</f>
        <v>0</v>
      </c>
      <c r="T35" s="131" t="n">
        <f aca="false">IF(OR($C35="",$B$2="",$D$2=0),0,IF(T$3&lt;0,0,N(INDEX('CURVA PREVISION'!$A$1:$KZ$3000,$C35,10+3*MIN(T$3,$D$2-1)))))</f>
        <v>0</v>
      </c>
      <c r="U35" s="131" t="n">
        <f aca="false">IF(OR($C35="",$B$2="",$D$2=0),0,IF(U$3&lt;0,0,N(INDEX('CURVA PREVISION'!$A$1:$KZ$3000,$C35,10+3*MIN(U$3,$D$2-1)))))</f>
        <v>0</v>
      </c>
      <c r="V35" s="131" t="n">
        <f aca="false">IF(OR($C35="",$B$2="",$D$2=0),0,IF(V$3&lt;0,0,N(INDEX('CURVA PREVISION'!$A$1:$KZ$3000,$C35,10+3*MIN(V$3,$D$2-1)))))</f>
        <v>0</v>
      </c>
      <c r="W35" s="131" t="n">
        <f aca="false">IF(OR($C35="",$B$2="",$D$2=0),0,IF(W$3&lt;0,0,N(INDEX('CURVA PREVISION'!$A$1:$KZ$3000,$C35,10+3*MIN(W$3,$D$2-1)))))</f>
        <v>0</v>
      </c>
      <c r="X35" s="131" t="n">
        <f aca="false">IF(OR($C35="",$B$2="",$D$2=0),0,IF(X$3&lt;0,0,N(INDEX('CURVA PREVISION'!$A$1:$KZ$3000,$C35,10+3*MIN(X$3,$D$2-1)))))</f>
        <v>0</v>
      </c>
      <c r="Y35" s="131" t="n">
        <f aca="false">IF(OR($C35="",$B$2="",$D$2=0),0,IF(Y$3&lt;0,0,N(INDEX('CURVA PREVISION'!$A$1:$KZ$3000,$C35,10+3*MIN(Y$3,$D$2-1)))))</f>
        <v>0</v>
      </c>
      <c r="Z35" s="131" t="n">
        <f aca="false">IF(OR($C35="",$B$2="",$D$2=0),0,IF(Z$3&lt;0,0,N(INDEX('CURVA PREVISION'!$A$1:$KZ$3000,$C35,10+3*MIN(Z$3,$D$2-1)))))</f>
        <v>0</v>
      </c>
      <c r="AA35" s="131" t="n">
        <f aca="false">IF(OR($C35="",$B$2="",$D$2=0),0,IF(AA$3&lt;0,0,N(INDEX('CURVA PREVISION'!$A$1:$KZ$3000,$C35,10+3*MIN(AA$3,$D$2-1)))))</f>
        <v>0</v>
      </c>
      <c r="AB35" s="131" t="n">
        <f aca="false">IF(OR($C35="",$B$2="",$D$2=0),0,IF(AB$3&lt;0,0,N(INDEX('CURVA PREVISION'!$A$1:$KZ$3000,$C35,10+3*MIN(AB$3,$D$2-1)))))</f>
        <v>0</v>
      </c>
      <c r="AC35" s="131" t="n">
        <f aca="false">IF(OR($C35="",$B$2="",$D$2=0),0,IF(AC$3&lt;0,0,N(INDEX('CURVA PREVISION'!$A$1:$KZ$3000,$C35,10+3*MIN(AC$3,$D$2-1)))))</f>
        <v>0</v>
      </c>
      <c r="AD35" s="131" t="n">
        <f aca="false">IF(OR($C35="",$B$2="",$D$2=0),0,IF(AD$3&lt;0,0,N(INDEX('CURVA PREVISION'!$A$1:$KZ$3000,$C35,10+3*MIN(AD$3,$D$2-1)))))</f>
        <v>0</v>
      </c>
      <c r="AE35" s="131" t="n">
        <f aca="false">IF(OR($C35="",$B$2="",$D$2=0),0,IF(AE$3&lt;0,0,N(INDEX('CURVA PREVISION'!$A$1:$KZ$3000,$C35,10+3*MIN(AE$3,$D$2-1)))))</f>
        <v>0</v>
      </c>
      <c r="AF35" s="131" t="n">
        <f aca="false">IF(OR($C35="",$B$2="",$D$2=0),0,IF(AF$3&lt;0,0,N(INDEX('CURVA PREVISION'!$A$1:$KZ$3000,$C35,10+3*MIN(AF$3,$D$2-1)))))</f>
        <v>0</v>
      </c>
      <c r="AG35" s="131" t="n">
        <f aca="false">IF(OR($C35="",$B$2="",$D$2=0),0,IF(AG$3&lt;0,0,N(INDEX('CURVA PREVISION'!$A$1:$KZ$3000,$C35,10+3*MIN(AG$3,$D$2-1)))))</f>
        <v>0</v>
      </c>
      <c r="AH35" s="131" t="n">
        <f aca="false">IF(OR($C35="",$B$2="",$D$2=0),0,IF(AH$3&lt;0,0,N(INDEX('CURVA PREVISION'!$A$1:$KZ$3000,$C35,10+3*MIN(AH$3,$D$2-1)))))</f>
        <v>0</v>
      </c>
      <c r="AI35" s="131" t="n">
        <f aca="false">IF(OR($C35="",$B$2="",$D$2=0),0,IF(AI$3&lt;0,0,N(INDEX('CURVA PREVISION'!$A$1:$KZ$3000,$C35,10+3*MIN(AI$3,$D$2-1)))))</f>
        <v>0</v>
      </c>
      <c r="AJ35" s="131" t="n">
        <f aca="false">IF(OR($C35="",$B$2="",$D$2=0),0,IF(AJ$3&lt;0,0,N(INDEX('CURVA PREVISION'!$A$1:$KZ$3000,$C35,10+3*MIN(AJ$3,$D$2-1)))))</f>
        <v>0</v>
      </c>
      <c r="AK35" s="131" t="n">
        <f aca="false">IF(OR($C35="",$B$2="",$D$2=0),0,IF(AK$3&lt;0,0,N(INDEX('CURVA PREVISION'!$A$1:$KZ$3000,$C35,10+3*MIN(AK$3,$D$2-1)))))</f>
        <v>0</v>
      </c>
      <c r="AL35" s="131" t="n">
        <f aca="false">IF(OR($C35="",$B$2="",$D$2=0),0,IF(AL$3&lt;0,0,N(INDEX('CURVA PREVISION'!$A$1:$KZ$3000,$C35,10+3*MIN(AL$3,$D$2-1)))))</f>
        <v>0</v>
      </c>
      <c r="AM35" s="131" t="n">
        <f aca="false">IF(OR($C35="",$B$2="",$D$2=0),0,IF(AM$3&lt;0,0,N(INDEX('CURVA PREVISION'!$A$1:$KZ$3000,$C35,10+3*MIN(AM$3,$D$2-1)))))</f>
        <v>1.52</v>
      </c>
      <c r="AN35" s="131" t="n">
        <f aca="false">IF(OR($C35="",$B$2="",$D$2=0),0,IF(AN$3&lt;0,0,N(INDEX('CURVA PREVISION'!$A$1:$KZ$3000,$C35,10+3*MIN(AN$3,$D$2-1)))))</f>
        <v>25.76</v>
      </c>
      <c r="AO35" s="131" t="n">
        <f aca="false">IF(OR($C35="",$B$2="",$D$2=0),0,IF(AO$3&lt;0,0,N(INDEX('CURVA PREVISION'!$A$1:$KZ$3000,$C35,10+3*MIN(AO$3,$D$2-1)))))</f>
        <v>57.58</v>
      </c>
      <c r="AP35" s="131" t="n">
        <f aca="false">IF(OR($C35="",$B$2="",$D$2=0),0,IF(AP$3&lt;0,0,N(INDEX('CURVA PREVISION'!$A$1:$KZ$3000,$C35,10+3*MIN(AP$3,$D$2-1)))))</f>
        <v>89.39</v>
      </c>
      <c r="AQ35" s="131" t="n">
        <f aca="false">IF(OR($C35="",$B$2="",$D$2=0),0,IF(AQ$3&lt;0,0,N(INDEX('CURVA PREVISION'!$A$1:$KZ$3000,$C35,10+3*MIN(AQ$3,$D$2-1)))))</f>
        <v>100</v>
      </c>
      <c r="AR35" s="131" t="n">
        <f aca="false">IF(OR($C35="",$B$2="",$D$2=0),0,IF(AR$3&lt;0,0,N(INDEX('CURVA PREVISION'!$A$1:$KZ$3000,$C35,10+3*MIN(AR$3,$D$2-1)))))</f>
        <v>100</v>
      </c>
      <c r="AS35" s="131" t="n">
        <f aca="false">IF(OR($C35="",$B$2="",$D$2=0),0,IF(AS$3&lt;0,0,N(INDEX('CURVA PREVISION'!$A$1:$KZ$3000,$C35,10+3*MIN(AS$3,$D$2-1)))))</f>
        <v>100</v>
      </c>
      <c r="AT35" s="131" t="n">
        <f aca="false">IF(OR($C35="",$B$2="",$D$2=0),0,IF(AT$3&lt;0,0,N(INDEX('CURVA PREVISION'!$A$1:$KZ$3000,$C35,10+3*MIN(AT$3,$D$2-1)))))</f>
        <v>100</v>
      </c>
      <c r="AU35" s="131" t="n">
        <f aca="false">IF(OR($C35="",$B$2="",$D$2=0),0,IF(AU$3&lt;0,0,N(INDEX('CURVA PREVISION'!$A$1:$KZ$3000,$C35,10+3*MIN(AU$3,$D$2-1)))))</f>
        <v>100</v>
      </c>
      <c r="AV35" s="131" t="n">
        <f aca="false">IF(OR($C35="",$B$2="",$D$2=0),0,IF(AV$3&lt;0,0,N(INDEX('CURVA PREVISION'!$A$1:$KZ$3000,$C35,10+3*MIN(AV$3,$D$2-1)))))</f>
        <v>100</v>
      </c>
      <c r="AW35" s="131" t="n">
        <f aca="false">IF(OR($C35="",$B$2="",$D$2=0),0,IF(AW$3&lt;0,0,N(INDEX('CURVA PREVISION'!$A$1:$KZ$3000,$C35,10+3*MIN(AW$3,$D$2-1)))))</f>
        <v>100</v>
      </c>
      <c r="AX35" s="131" t="n">
        <f aca="false">IF(OR($C35="",$B$2="",$D$2=0),0,IF(AX$3&lt;0,0,N(INDEX('CURVA PREVISION'!$A$1:$KZ$3000,$C35,10+3*MIN(AX$3,$D$2-1)))))</f>
        <v>100</v>
      </c>
      <c r="AY35" s="131" t="n">
        <f aca="false">IF(OR($C35="",$B$2="",$D$2=0),0,IF(AY$3&lt;0,0,N(INDEX('CURVA PREVISION'!$A$1:$KZ$3000,$C35,10+3*MIN(AY$3,$D$2-1)))))</f>
        <v>100</v>
      </c>
      <c r="AZ35" s="131" t="n">
        <f aca="false">IF(OR($C35="",$B$2="",$D$2=0),0,IF(AZ$3&lt;0,0,N(INDEX('CURVA PREVISION'!$A$1:$KZ$3000,$C35,10+3*MIN(AZ$3,$D$2-1)))))</f>
        <v>100</v>
      </c>
      <c r="BA35" s="131" t="n">
        <f aca="false">IF(OR($C35="",$B$2="",$D$2=0),0,IF(BA$3&lt;0,0,N(INDEX('CURVA PREVISION'!$A$1:$KZ$3000,$C35,10+3*MIN(BA$3,$D$2-1)))))</f>
        <v>100</v>
      </c>
      <c r="BB35" s="131" t="n">
        <f aca="false">IF(OR($C35="",$B$2="",$D$2=0),0,IF(BB$3&lt;0,0,N(INDEX('CURVA PREVISION'!$A$1:$KZ$3000,$C35,10+3*MIN(BB$3,$D$2-1)))))</f>
        <v>100</v>
      </c>
      <c r="BC35" s="131" t="n">
        <f aca="false">IF(OR($C35="",$B$2="",$D$2=0),0,IF(BC$3&lt;0,0,N(INDEX('CURVA PREVISION'!$A$1:$KZ$3000,$C35,10+3*MIN(BC$3,$D$2-1)))))</f>
        <v>100</v>
      </c>
      <c r="BD35" s="131" t="n">
        <f aca="false">IF(OR($C35="",$B$2="",$D$2=0),0,IF(BD$3&lt;0,0,N(INDEX('CURVA PREVISION'!$A$1:$KZ$3000,$C35,10+3*MIN(BD$3,$D$2-1)))))</f>
        <v>100</v>
      </c>
      <c r="BE35" s="131" t="n">
        <f aca="false">IF(OR($C35="",$B$2="",$D$2=0),0,IF(BE$3&lt;0,0,N(INDEX('CURVA PREVISION'!$A$1:$KZ$3000,$C35,10+3*MIN(BE$3,$D$2-1)))))</f>
        <v>100</v>
      </c>
      <c r="BF35" s="131" t="n">
        <f aca="false">IF(OR($C35="",$B$2="",$D$2=0),0,IF(BF$3&lt;0,0,N(INDEX('CURVA PREVISION'!$A$1:$KZ$3000,$C35,10+3*MIN(BF$3,$D$2-1)))))</f>
        <v>100</v>
      </c>
      <c r="BG35" s="131" t="n">
        <f aca="false">IF(OR($C35="",$B$2="",$D$2=0),0,IF(BG$3&lt;0,0,N(INDEX('CURVA PREVISION'!$A$1:$KZ$3000,$C35,10+3*MIN(BG$3,$D$2-1)))))</f>
        <v>100</v>
      </c>
      <c r="BH35" s="131" t="n">
        <f aca="false">IF(OR($C35="",$B$2="",$D$2=0),0,IF(BH$3&lt;0,0,N(INDEX('CURVA PREVISION'!$A$1:$KZ$3000,$C35,10+3*MIN(BH$3,$D$2-1)))))</f>
        <v>100</v>
      </c>
      <c r="BI35" s="131" t="n">
        <f aca="false">IF(OR($C35="",$B$2="",$D$2=0),0,IF(BI$3&lt;0,0,N(INDEX('CURVA PREVISION'!$A$1:$KZ$3000,$C35,10+3*MIN(BI$3,$D$2-1)))))</f>
        <v>100</v>
      </c>
      <c r="BJ35" s="131" t="n">
        <f aca="false">IF(OR($C35="",$B$2="",$D$2=0),0,IF(BJ$3&lt;0,0,N(INDEX('CURVA PREVISION'!$A$1:$KZ$3000,$C35,10+3*MIN(BJ$3,$D$2-1)))))</f>
        <v>100</v>
      </c>
      <c r="BK35" s="131" t="n">
        <f aca="false">IF(OR($C35="",$B$2="",$D$2=0),0,IF(BK$3&lt;0,0,N(INDEX('CURVA PREVISION'!$A$1:$KZ$3000,$C35,10+3*MIN(BK$3,$D$2-1)))))</f>
        <v>100</v>
      </c>
      <c r="BL35" s="131" t="n">
        <f aca="false">IF(OR($C35="",$B$2="",$D$2=0),0,IF(BL$3&lt;0,0,N(INDEX('CURVA PREVISION'!$A$1:$KZ$3000,$C35,10+3*MIN(BL$3,$D$2-1)))))</f>
        <v>100</v>
      </c>
      <c r="BM35" s="131" t="n">
        <f aca="false">IF(OR($C35="",$B$2="",$D$2=0),0,IF(BM$3&lt;0,0,N(INDEX('CURVA PREVISION'!$A$1:$KZ$3000,$C35,10+3*MIN(BM$3,$D$2-1)))))</f>
        <v>100</v>
      </c>
      <c r="BN35" s="131" t="n">
        <f aca="false">IF(OR($C35="",$B$2="",$D$2=0),0,IF(BN$3&lt;0,0,N(INDEX('CURVA PREVISION'!$A$1:$KZ$3000,$C35,10+3*MIN(BN$3,$D$2-1)))))</f>
        <v>100</v>
      </c>
      <c r="BO35" s="131" t="n">
        <f aca="false">IF(OR($C35="",$B$2="",$D$2=0),0,IF(BO$3&lt;0,0,N(INDEX('CURVA PREVISION'!$A$1:$KZ$3000,$C35,10+3*MIN(BO$3,$D$2-1)))))</f>
        <v>100</v>
      </c>
      <c r="BP35" s="131" t="n">
        <f aca="false">IF(OR($C35="",$B$2="",$D$2=0),0,IF(BP$3&lt;0,0,N(INDEX('CURVA PREVISION'!$A$1:$KZ$3000,$C35,10+3*MIN(BP$3,$D$2-1)))))</f>
        <v>100</v>
      </c>
      <c r="BQ35" s="131" t="n">
        <f aca="false">IF(OR($C35="",$B$2="",$D$2=0),0,IF(BQ$3&lt;0,0,N(INDEX('CURVA PREVISION'!$A$1:$KZ$3000,$C35,10+3*MIN(BQ$3,$D$2-1)))))</f>
        <v>100</v>
      </c>
      <c r="BR35" s="131" t="n">
        <f aca="false">IF(OR($C35="",$B$2="",$D$2=0),0,IF(BR$3&lt;0,0,N(INDEX('CURVA PREVISION'!$A$1:$KZ$3000,$C35,10+3*MIN(BR$3,$D$2-1)))))</f>
        <v>100</v>
      </c>
      <c r="BS35" s="131" t="n">
        <f aca="false">IF(OR($C35="",$B$2="",$D$2=0),0,IF(BS$3&lt;0,0,N(INDEX('CURVA PREVISION'!$A$1:$KZ$3000,$C35,10+3*MIN(BS$3,$D$2-1)))))</f>
        <v>100</v>
      </c>
      <c r="BT35" s="131" t="n">
        <f aca="false">IF(OR($C35="",$B$2="",$D$2=0),0,IF(BT$3&lt;0,0,N(INDEX('CURVA PREVISION'!$A$1:$KZ$3000,$C35,10+3*MIN(BT$3,$D$2-1)))))</f>
        <v>100</v>
      </c>
      <c r="BU35" s="131" t="n">
        <f aca="false">IF(OR($C35="",$B$2="",$D$2=0),0,IF(BU$3&lt;0,0,N(INDEX('CURVA PREVISION'!$A$1:$KZ$3000,$C35,10+3*MIN(BU$3,$D$2-1)))))</f>
        <v>100</v>
      </c>
      <c r="BV35" s="131" t="n">
        <f aca="false">IF(OR($C35="",$B$2="",$D$2=0),0,IF(BV$3&lt;0,0,N(INDEX('CURVA PREVISION'!$A$1:$KZ$3000,$C35,10+3*MIN(BV$3,$D$2-1)))))</f>
        <v>100</v>
      </c>
      <c r="BW35" s="131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- FACHADA</v>
      </c>
      <c r="C36" s="64" t="n">
        <f aca="false">IFERROR(MATCH(A36,'CURVA PREVISION'!$B$1:$B$3000,0),"")</f>
        <v>782</v>
      </c>
      <c r="D36" s="131" t="n">
        <f aca="false">IF(OR($C36="",$B$2="",$D$2=0),0,IF(D$3&lt;0,0,N(INDEX('CURVA PREVISION'!$A$1:$KZ$3000,$C36,10+3*MIN(D$3,$D$2-1)))))</f>
        <v>0</v>
      </c>
      <c r="E36" s="131" t="n">
        <f aca="false">IF(OR($C36="",$B$2="",$D$2=0),0,IF(E$3&lt;0,0,N(INDEX('CURVA PREVISION'!$A$1:$KZ$3000,$C36,10+3*MIN(E$3,$D$2-1)))))</f>
        <v>0</v>
      </c>
      <c r="F36" s="131" t="n">
        <f aca="false">IF(OR($C36="",$B$2="",$D$2=0),0,IF(F$3&lt;0,0,N(INDEX('CURVA PREVISION'!$A$1:$KZ$3000,$C36,10+3*MIN(F$3,$D$2-1)))))</f>
        <v>0</v>
      </c>
      <c r="G36" s="131" t="n">
        <f aca="false">IF(OR($C36="",$B$2="",$D$2=0),0,IF(G$3&lt;0,0,N(INDEX('CURVA PREVISION'!$A$1:$KZ$3000,$C36,10+3*MIN(G$3,$D$2-1)))))</f>
        <v>0</v>
      </c>
      <c r="H36" s="131" t="n">
        <f aca="false">IF(OR($C36="",$B$2="",$D$2=0),0,IF(H$3&lt;0,0,N(INDEX('CURVA PREVISION'!$A$1:$KZ$3000,$C36,10+3*MIN(H$3,$D$2-1)))))</f>
        <v>0</v>
      </c>
      <c r="I36" s="131" t="n">
        <f aca="false">IF(OR($C36="",$B$2="",$D$2=0),0,IF(I$3&lt;0,0,N(INDEX('CURVA PREVISION'!$A$1:$KZ$3000,$C36,10+3*MIN(I$3,$D$2-1)))))</f>
        <v>0</v>
      </c>
      <c r="J36" s="131" t="n">
        <f aca="false">IF(OR($C36="",$B$2="",$D$2=0),0,IF(J$3&lt;0,0,N(INDEX('CURVA PREVISION'!$A$1:$KZ$3000,$C36,10+3*MIN(J$3,$D$2-1)))))</f>
        <v>0</v>
      </c>
      <c r="K36" s="131" t="n">
        <f aca="false">IF(OR($C36="",$B$2="",$D$2=0),0,IF(K$3&lt;0,0,N(INDEX('CURVA PREVISION'!$A$1:$KZ$3000,$C36,10+3*MIN(K$3,$D$2-1)))))</f>
        <v>0</v>
      </c>
      <c r="L36" s="131" t="n">
        <f aca="false">IF(OR($C36="",$B$2="",$D$2=0),0,IF(L$3&lt;0,0,N(INDEX('CURVA PREVISION'!$A$1:$KZ$3000,$C36,10+3*MIN(L$3,$D$2-1)))))</f>
        <v>0</v>
      </c>
      <c r="M36" s="131" t="n">
        <f aca="false">IF(OR($C36="",$B$2="",$D$2=0),0,IF(M$3&lt;0,0,N(INDEX('CURVA PREVISION'!$A$1:$KZ$3000,$C36,10+3*MIN(M$3,$D$2-1)))))</f>
        <v>0</v>
      </c>
      <c r="N36" s="131" t="n">
        <f aca="false">IF(OR($C36="",$B$2="",$D$2=0),0,IF(N$3&lt;0,0,N(INDEX('CURVA PREVISION'!$A$1:$KZ$3000,$C36,10+3*MIN(N$3,$D$2-1)))))</f>
        <v>0</v>
      </c>
      <c r="O36" s="131" t="n">
        <f aca="false">IF(OR($C36="",$B$2="",$D$2=0),0,IF(O$3&lt;0,0,N(INDEX('CURVA PREVISION'!$A$1:$KZ$3000,$C36,10+3*MIN(O$3,$D$2-1)))))</f>
        <v>0</v>
      </c>
      <c r="P36" s="131" t="n">
        <f aca="false">IF(OR($C36="",$B$2="",$D$2=0),0,IF(P$3&lt;0,0,N(INDEX('CURVA PREVISION'!$A$1:$KZ$3000,$C36,10+3*MIN(P$3,$D$2-1)))))</f>
        <v>0</v>
      </c>
      <c r="Q36" s="131" t="n">
        <f aca="false">IF(OR($C36="",$B$2="",$D$2=0),0,IF(Q$3&lt;0,0,N(INDEX('CURVA PREVISION'!$A$1:$KZ$3000,$C36,10+3*MIN(Q$3,$D$2-1)))))</f>
        <v>0</v>
      </c>
      <c r="R36" s="131" t="n">
        <f aca="false">IF(OR($C36="",$B$2="",$D$2=0),0,IF(R$3&lt;0,0,N(INDEX('CURVA PREVISION'!$A$1:$KZ$3000,$C36,10+3*MIN(R$3,$D$2-1)))))</f>
        <v>0</v>
      </c>
      <c r="S36" s="131" t="n">
        <f aca="false">IF(OR($C36="",$B$2="",$D$2=0),0,IF(S$3&lt;0,0,N(INDEX('CURVA PREVISION'!$A$1:$KZ$3000,$C36,10+3*MIN(S$3,$D$2-1)))))</f>
        <v>0</v>
      </c>
      <c r="T36" s="131" t="n">
        <f aca="false">IF(OR($C36="",$B$2="",$D$2=0),0,IF(T$3&lt;0,0,N(INDEX('CURVA PREVISION'!$A$1:$KZ$3000,$C36,10+3*MIN(T$3,$D$2-1)))))</f>
        <v>0</v>
      </c>
      <c r="U36" s="131" t="n">
        <f aca="false">IF(OR($C36="",$B$2="",$D$2=0),0,IF(U$3&lt;0,0,N(INDEX('CURVA PREVISION'!$A$1:$KZ$3000,$C36,10+3*MIN(U$3,$D$2-1)))))</f>
        <v>0</v>
      </c>
      <c r="V36" s="131" t="n">
        <f aca="false">IF(OR($C36="",$B$2="",$D$2=0),0,IF(V$3&lt;0,0,N(INDEX('CURVA PREVISION'!$A$1:$KZ$3000,$C36,10+3*MIN(V$3,$D$2-1)))))</f>
        <v>0</v>
      </c>
      <c r="W36" s="131" t="n">
        <f aca="false">IF(OR($C36="",$B$2="",$D$2=0),0,IF(W$3&lt;0,0,N(INDEX('CURVA PREVISION'!$A$1:$KZ$3000,$C36,10+3*MIN(W$3,$D$2-1)))))</f>
        <v>0</v>
      </c>
      <c r="X36" s="131" t="n">
        <f aca="false">IF(OR($C36="",$B$2="",$D$2=0),0,IF(X$3&lt;0,0,N(INDEX('CURVA PREVISION'!$A$1:$KZ$3000,$C36,10+3*MIN(X$3,$D$2-1)))))</f>
        <v>0</v>
      </c>
      <c r="Y36" s="131" t="n">
        <f aca="false">IF(OR($C36="",$B$2="",$D$2=0),0,IF(Y$3&lt;0,0,N(INDEX('CURVA PREVISION'!$A$1:$KZ$3000,$C36,10+3*MIN(Y$3,$D$2-1)))))</f>
        <v>0</v>
      </c>
      <c r="Z36" s="131" t="n">
        <f aca="false">IF(OR($C36="",$B$2="",$D$2=0),0,IF(Z$3&lt;0,0,N(INDEX('CURVA PREVISION'!$A$1:$KZ$3000,$C36,10+3*MIN(Z$3,$D$2-1)))))</f>
        <v>0</v>
      </c>
      <c r="AA36" s="131" t="n">
        <f aca="false">IF(OR($C36="",$B$2="",$D$2=0),0,IF(AA$3&lt;0,0,N(INDEX('CURVA PREVISION'!$A$1:$KZ$3000,$C36,10+3*MIN(AA$3,$D$2-1)))))</f>
        <v>0</v>
      </c>
      <c r="AB36" s="131" t="n">
        <f aca="false">IF(OR($C36="",$B$2="",$D$2=0),0,IF(AB$3&lt;0,0,N(INDEX('CURVA PREVISION'!$A$1:$KZ$3000,$C36,10+3*MIN(AB$3,$D$2-1)))))</f>
        <v>0</v>
      </c>
      <c r="AC36" s="131" t="n">
        <f aca="false">IF(OR($C36="",$B$2="",$D$2=0),0,IF(AC$3&lt;0,0,N(INDEX('CURVA PREVISION'!$A$1:$KZ$3000,$C36,10+3*MIN(AC$3,$D$2-1)))))</f>
        <v>0</v>
      </c>
      <c r="AD36" s="131" t="n">
        <f aca="false">IF(OR($C36="",$B$2="",$D$2=0),0,IF(AD$3&lt;0,0,N(INDEX('CURVA PREVISION'!$A$1:$KZ$3000,$C36,10+3*MIN(AD$3,$D$2-1)))))</f>
        <v>0</v>
      </c>
      <c r="AE36" s="131" t="n">
        <f aca="false">IF(OR($C36="",$B$2="",$D$2=0),0,IF(AE$3&lt;0,0,N(INDEX('CURVA PREVISION'!$A$1:$KZ$3000,$C36,10+3*MIN(AE$3,$D$2-1)))))</f>
        <v>0</v>
      </c>
      <c r="AF36" s="131" t="n">
        <f aca="false">IF(OR($C36="",$B$2="",$D$2=0),0,IF(AF$3&lt;0,0,N(INDEX('CURVA PREVISION'!$A$1:$KZ$3000,$C36,10+3*MIN(AF$3,$D$2-1)))))</f>
        <v>0</v>
      </c>
      <c r="AG36" s="131" t="n">
        <f aca="false">IF(OR($C36="",$B$2="",$D$2=0),0,IF(AG$3&lt;0,0,N(INDEX('CURVA PREVISION'!$A$1:$KZ$3000,$C36,10+3*MIN(AG$3,$D$2-1)))))</f>
        <v>0</v>
      </c>
      <c r="AH36" s="131" t="n">
        <f aca="false">IF(OR($C36="",$B$2="",$D$2=0),0,IF(AH$3&lt;0,0,N(INDEX('CURVA PREVISION'!$A$1:$KZ$3000,$C36,10+3*MIN(AH$3,$D$2-1)))))</f>
        <v>0</v>
      </c>
      <c r="AI36" s="131" t="n">
        <f aca="false">IF(OR($C36="",$B$2="",$D$2=0),0,IF(AI$3&lt;0,0,N(INDEX('CURVA PREVISION'!$A$1:$KZ$3000,$C36,10+3*MIN(AI$3,$D$2-1)))))</f>
        <v>0</v>
      </c>
      <c r="AJ36" s="131" t="n">
        <f aca="false">IF(OR($C36="",$B$2="",$D$2=0),0,IF(AJ$3&lt;0,0,N(INDEX('CURVA PREVISION'!$A$1:$KZ$3000,$C36,10+3*MIN(AJ$3,$D$2-1)))))</f>
        <v>2.34</v>
      </c>
      <c r="AK36" s="131" t="n">
        <f aca="false">IF(OR($C36="",$B$2="",$D$2=0),0,IF(AK$3&lt;0,0,N(INDEX('CURVA PREVISION'!$A$1:$KZ$3000,$C36,10+3*MIN(AK$3,$D$2-1)))))</f>
        <v>10.77</v>
      </c>
      <c r="AL36" s="131" t="n">
        <f aca="false">IF(OR($C36="",$B$2="",$D$2=0),0,IF(AL$3&lt;0,0,N(INDEX('CURVA PREVISION'!$A$1:$KZ$3000,$C36,10+3*MIN(AL$3,$D$2-1)))))</f>
        <v>22.67</v>
      </c>
      <c r="AM36" s="131" t="n">
        <f aca="false">IF(OR($C36="",$B$2="",$D$2=0),0,IF(AM$3&lt;0,0,N(INDEX('CURVA PREVISION'!$A$1:$KZ$3000,$C36,10+3*MIN(AM$3,$D$2-1)))))</f>
        <v>32.55</v>
      </c>
      <c r="AN36" s="131" t="n">
        <f aca="false">IF(OR($C36="",$B$2="",$D$2=0),0,IF(AN$3&lt;0,0,N(INDEX('CURVA PREVISION'!$A$1:$KZ$3000,$C36,10+3*MIN(AN$3,$D$2-1)))))</f>
        <v>41.36</v>
      </c>
      <c r="AO36" s="131" t="n">
        <f aca="false">IF(OR($C36="",$B$2="",$D$2=0),0,IF(AO$3&lt;0,0,N(INDEX('CURVA PREVISION'!$A$1:$KZ$3000,$C36,10+3*MIN(AO$3,$D$2-1)))))</f>
        <v>49.37</v>
      </c>
      <c r="AP36" s="131" t="n">
        <f aca="false">IF(OR($C36="",$B$2="",$D$2=0),0,IF(AP$3&lt;0,0,N(INDEX('CURVA PREVISION'!$A$1:$KZ$3000,$C36,10+3*MIN(AP$3,$D$2-1)))))</f>
        <v>57.3</v>
      </c>
      <c r="AQ36" s="131" t="n">
        <f aca="false">IF(OR($C36="",$B$2="",$D$2=0),0,IF(AQ$3&lt;0,0,N(INDEX('CURVA PREVISION'!$A$1:$KZ$3000,$C36,10+3*MIN(AQ$3,$D$2-1)))))</f>
        <v>63.38</v>
      </c>
      <c r="AR36" s="131" t="n">
        <f aca="false">IF(OR($C36="",$B$2="",$D$2=0),0,IF(AR$3&lt;0,0,N(INDEX('CURVA PREVISION'!$A$1:$KZ$3000,$C36,10+3*MIN(AR$3,$D$2-1)))))</f>
        <v>66</v>
      </c>
      <c r="AS36" s="131" t="n">
        <f aca="false">IF(OR($C36="",$B$2="",$D$2=0),0,IF(AS$3&lt;0,0,N(INDEX('CURVA PREVISION'!$A$1:$KZ$3000,$C36,10+3*MIN(AS$3,$D$2-1)))))</f>
        <v>69</v>
      </c>
      <c r="AT36" s="131" t="n">
        <f aca="false">IF(OR($C36="",$B$2="",$D$2=0),0,IF(AT$3&lt;0,0,N(INDEX('CURVA PREVISION'!$A$1:$KZ$3000,$C36,10+3*MIN(AT$3,$D$2-1)))))</f>
        <v>73.91</v>
      </c>
      <c r="AU36" s="131" t="n">
        <f aca="false">IF(OR($C36="",$B$2="",$D$2=0),0,IF(AU$3&lt;0,0,N(INDEX('CURVA PREVISION'!$A$1:$KZ$3000,$C36,10+3*MIN(AU$3,$D$2-1)))))</f>
        <v>81.55</v>
      </c>
      <c r="AV36" s="131" t="n">
        <f aca="false">IF(OR($C36="",$B$2="",$D$2=0),0,IF(AV$3&lt;0,0,N(INDEX('CURVA PREVISION'!$A$1:$KZ$3000,$C36,10+3*MIN(AV$3,$D$2-1)))))</f>
        <v>93.22</v>
      </c>
      <c r="AW36" s="131" t="n">
        <f aca="false">IF(OR($C36="",$B$2="",$D$2=0),0,IF(AW$3&lt;0,0,N(INDEX('CURVA PREVISION'!$A$1:$KZ$3000,$C36,10+3*MIN(AW$3,$D$2-1)))))</f>
        <v>93.4</v>
      </c>
      <c r="AX36" s="131" t="n">
        <f aca="false">IF(OR($C36="",$B$2="",$D$2=0),0,IF(AX$3&lt;0,0,N(INDEX('CURVA PREVISION'!$A$1:$KZ$3000,$C36,10+3*MIN(AX$3,$D$2-1)))))</f>
        <v>98.17</v>
      </c>
      <c r="AY36" s="131" t="n">
        <f aca="false">IF(OR($C36="",$B$2="",$D$2=0),0,IF(AY$3&lt;0,0,N(INDEX('CURVA PREVISION'!$A$1:$KZ$3000,$C36,10+3*MIN(AY$3,$D$2-1)))))</f>
        <v>99.49</v>
      </c>
      <c r="AZ36" s="131" t="n">
        <f aca="false">IF(OR($C36="",$B$2="",$D$2=0),0,IF(AZ$3&lt;0,0,N(INDEX('CURVA PREVISION'!$A$1:$KZ$3000,$C36,10+3*MIN(AZ$3,$D$2-1)))))</f>
        <v>99.63</v>
      </c>
      <c r="BA36" s="131" t="n">
        <f aca="false">IF(OR($C36="",$B$2="",$D$2=0),0,IF(BA$3&lt;0,0,N(INDEX('CURVA PREVISION'!$A$1:$KZ$3000,$C36,10+3*MIN(BA$3,$D$2-1)))))</f>
        <v>99.83</v>
      </c>
      <c r="BB36" s="131" t="n">
        <f aca="false">IF(OR($C36="",$B$2="",$D$2=0),0,IF(BB$3&lt;0,0,N(INDEX('CURVA PREVISION'!$A$1:$KZ$3000,$C36,10+3*MIN(BB$3,$D$2-1)))))</f>
        <v>100</v>
      </c>
      <c r="BC36" s="131" t="n">
        <f aca="false">IF(OR($C36="",$B$2="",$D$2=0),0,IF(BC$3&lt;0,0,N(INDEX('CURVA PREVISION'!$A$1:$KZ$3000,$C36,10+3*MIN(BC$3,$D$2-1)))))</f>
        <v>100</v>
      </c>
      <c r="BD36" s="131" t="n">
        <f aca="false">IF(OR($C36="",$B$2="",$D$2=0),0,IF(BD$3&lt;0,0,N(INDEX('CURVA PREVISION'!$A$1:$KZ$3000,$C36,10+3*MIN(BD$3,$D$2-1)))))</f>
        <v>100</v>
      </c>
      <c r="BE36" s="131" t="n">
        <f aca="false">IF(OR($C36="",$B$2="",$D$2=0),0,IF(BE$3&lt;0,0,N(INDEX('CURVA PREVISION'!$A$1:$KZ$3000,$C36,10+3*MIN(BE$3,$D$2-1)))))</f>
        <v>100</v>
      </c>
      <c r="BF36" s="131" t="n">
        <f aca="false">IF(OR($C36="",$B$2="",$D$2=0),0,IF(BF$3&lt;0,0,N(INDEX('CURVA PREVISION'!$A$1:$KZ$3000,$C36,10+3*MIN(BF$3,$D$2-1)))))</f>
        <v>100</v>
      </c>
      <c r="BG36" s="131" t="n">
        <f aca="false">IF(OR($C36="",$B$2="",$D$2=0),0,IF(BG$3&lt;0,0,N(INDEX('CURVA PREVISION'!$A$1:$KZ$3000,$C36,10+3*MIN(BG$3,$D$2-1)))))</f>
        <v>100</v>
      </c>
      <c r="BH36" s="131" t="n">
        <f aca="false">IF(OR($C36="",$B$2="",$D$2=0),0,IF(BH$3&lt;0,0,N(INDEX('CURVA PREVISION'!$A$1:$KZ$3000,$C36,10+3*MIN(BH$3,$D$2-1)))))</f>
        <v>100</v>
      </c>
      <c r="BI36" s="131" t="n">
        <f aca="false">IF(OR($C36="",$B$2="",$D$2=0),0,IF(BI$3&lt;0,0,N(INDEX('CURVA PREVISION'!$A$1:$KZ$3000,$C36,10+3*MIN(BI$3,$D$2-1)))))</f>
        <v>100</v>
      </c>
      <c r="BJ36" s="131" t="n">
        <f aca="false">IF(OR($C36="",$B$2="",$D$2=0),0,IF(BJ$3&lt;0,0,N(INDEX('CURVA PREVISION'!$A$1:$KZ$3000,$C36,10+3*MIN(BJ$3,$D$2-1)))))</f>
        <v>100</v>
      </c>
      <c r="BK36" s="131" t="n">
        <f aca="false">IF(OR($C36="",$B$2="",$D$2=0),0,IF(BK$3&lt;0,0,N(INDEX('CURVA PREVISION'!$A$1:$KZ$3000,$C36,10+3*MIN(BK$3,$D$2-1)))))</f>
        <v>100</v>
      </c>
      <c r="BL36" s="131" t="n">
        <f aca="false">IF(OR($C36="",$B$2="",$D$2=0),0,IF(BL$3&lt;0,0,N(INDEX('CURVA PREVISION'!$A$1:$KZ$3000,$C36,10+3*MIN(BL$3,$D$2-1)))))</f>
        <v>100</v>
      </c>
      <c r="BM36" s="131" t="n">
        <f aca="false">IF(OR($C36="",$B$2="",$D$2=0),0,IF(BM$3&lt;0,0,N(INDEX('CURVA PREVISION'!$A$1:$KZ$3000,$C36,10+3*MIN(BM$3,$D$2-1)))))</f>
        <v>100</v>
      </c>
      <c r="BN36" s="131" t="n">
        <f aca="false">IF(OR($C36="",$B$2="",$D$2=0),0,IF(BN$3&lt;0,0,N(INDEX('CURVA PREVISION'!$A$1:$KZ$3000,$C36,10+3*MIN(BN$3,$D$2-1)))))</f>
        <v>100</v>
      </c>
      <c r="BO36" s="131" t="n">
        <f aca="false">IF(OR($C36="",$B$2="",$D$2=0),0,IF(BO$3&lt;0,0,N(INDEX('CURVA PREVISION'!$A$1:$KZ$3000,$C36,10+3*MIN(BO$3,$D$2-1)))))</f>
        <v>100</v>
      </c>
      <c r="BP36" s="131" t="n">
        <f aca="false">IF(OR($C36="",$B$2="",$D$2=0),0,IF(BP$3&lt;0,0,N(INDEX('CURVA PREVISION'!$A$1:$KZ$3000,$C36,10+3*MIN(BP$3,$D$2-1)))))</f>
        <v>100</v>
      </c>
      <c r="BQ36" s="131" t="n">
        <f aca="false">IF(OR($C36="",$B$2="",$D$2=0),0,IF(BQ$3&lt;0,0,N(INDEX('CURVA PREVISION'!$A$1:$KZ$3000,$C36,10+3*MIN(BQ$3,$D$2-1)))))</f>
        <v>100</v>
      </c>
      <c r="BR36" s="131" t="n">
        <f aca="false">IF(OR($C36="",$B$2="",$D$2=0),0,IF(BR$3&lt;0,0,N(INDEX('CURVA PREVISION'!$A$1:$KZ$3000,$C36,10+3*MIN(BR$3,$D$2-1)))))</f>
        <v>100</v>
      </c>
      <c r="BS36" s="131" t="n">
        <f aca="false">IF(OR($C36="",$B$2="",$D$2=0),0,IF(BS$3&lt;0,0,N(INDEX('CURVA PREVISION'!$A$1:$KZ$3000,$C36,10+3*MIN(BS$3,$D$2-1)))))</f>
        <v>100</v>
      </c>
      <c r="BT36" s="131" t="n">
        <f aca="false">IF(OR($C36="",$B$2="",$D$2=0),0,IF(BT$3&lt;0,0,N(INDEX('CURVA PREVISION'!$A$1:$KZ$3000,$C36,10+3*MIN(BT$3,$D$2-1)))))</f>
        <v>100</v>
      </c>
      <c r="BU36" s="131" t="n">
        <f aca="false">IF(OR($C36="",$B$2="",$D$2=0),0,IF(BU$3&lt;0,0,N(INDEX('CURVA PREVISION'!$A$1:$KZ$3000,$C36,10+3*MIN(BU$3,$D$2-1)))))</f>
        <v>100</v>
      </c>
      <c r="BV36" s="131" t="n">
        <f aca="false">IF(OR($C36="",$B$2="",$D$2=0),0,IF(BV$3&lt;0,0,N(INDEX('CURVA PREVISION'!$A$1:$KZ$3000,$C36,10+3*MIN(BV$3,$D$2-1)))))</f>
        <v>100</v>
      </c>
      <c r="BW36" s="131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815</v>
      </c>
      <c r="D37" s="131" t="n">
        <f aca="false">IF(OR($C37="",$B$2="",$D$2=0),0,IF(D$3&lt;0,0,N(INDEX('CURVA PREVISION'!$A$1:$KZ$3000,$C37,10+3*MIN(D$3,$D$2-1)))))</f>
        <v>0</v>
      </c>
      <c r="E37" s="131" t="n">
        <f aca="false">IF(OR($C37="",$B$2="",$D$2=0),0,IF(E$3&lt;0,0,N(INDEX('CURVA PREVISION'!$A$1:$KZ$3000,$C37,10+3*MIN(E$3,$D$2-1)))))</f>
        <v>0</v>
      </c>
      <c r="F37" s="131" t="n">
        <f aca="false">IF(OR($C37="",$B$2="",$D$2=0),0,IF(F$3&lt;0,0,N(INDEX('CURVA PREVISION'!$A$1:$KZ$3000,$C37,10+3*MIN(F$3,$D$2-1)))))</f>
        <v>0</v>
      </c>
      <c r="G37" s="131" t="n">
        <f aca="false">IF(OR($C37="",$B$2="",$D$2=0),0,IF(G$3&lt;0,0,N(INDEX('CURVA PREVISION'!$A$1:$KZ$3000,$C37,10+3*MIN(G$3,$D$2-1)))))</f>
        <v>0</v>
      </c>
      <c r="H37" s="131" t="n">
        <f aca="false">IF(OR($C37="",$B$2="",$D$2=0),0,IF(H$3&lt;0,0,N(INDEX('CURVA PREVISION'!$A$1:$KZ$3000,$C37,10+3*MIN(H$3,$D$2-1)))))</f>
        <v>0</v>
      </c>
      <c r="I37" s="131" t="n">
        <f aca="false">IF(OR($C37="",$B$2="",$D$2=0),0,IF(I$3&lt;0,0,N(INDEX('CURVA PREVISION'!$A$1:$KZ$3000,$C37,10+3*MIN(I$3,$D$2-1)))))</f>
        <v>0</v>
      </c>
      <c r="J37" s="131" t="n">
        <f aca="false">IF(OR($C37="",$B$2="",$D$2=0),0,IF(J$3&lt;0,0,N(INDEX('CURVA PREVISION'!$A$1:$KZ$3000,$C37,10+3*MIN(J$3,$D$2-1)))))</f>
        <v>0</v>
      </c>
      <c r="K37" s="131" t="n">
        <f aca="false">IF(OR($C37="",$B$2="",$D$2=0),0,IF(K$3&lt;0,0,N(INDEX('CURVA PREVISION'!$A$1:$KZ$3000,$C37,10+3*MIN(K$3,$D$2-1)))))</f>
        <v>0</v>
      </c>
      <c r="L37" s="131" t="n">
        <f aca="false">IF(OR($C37="",$B$2="",$D$2=0),0,IF(L$3&lt;0,0,N(INDEX('CURVA PREVISION'!$A$1:$KZ$3000,$C37,10+3*MIN(L$3,$D$2-1)))))</f>
        <v>0</v>
      </c>
      <c r="M37" s="131" t="n">
        <f aca="false">IF(OR($C37="",$B$2="",$D$2=0),0,IF(M$3&lt;0,0,N(INDEX('CURVA PREVISION'!$A$1:$KZ$3000,$C37,10+3*MIN(M$3,$D$2-1)))))</f>
        <v>0</v>
      </c>
      <c r="N37" s="131" t="n">
        <f aca="false">IF(OR($C37="",$B$2="",$D$2=0),0,IF(N$3&lt;0,0,N(INDEX('CURVA PREVISION'!$A$1:$KZ$3000,$C37,10+3*MIN(N$3,$D$2-1)))))</f>
        <v>0</v>
      </c>
      <c r="O37" s="131" t="n">
        <f aca="false">IF(OR($C37="",$B$2="",$D$2=0),0,IF(O$3&lt;0,0,N(INDEX('CURVA PREVISION'!$A$1:$KZ$3000,$C37,10+3*MIN(O$3,$D$2-1)))))</f>
        <v>0</v>
      </c>
      <c r="P37" s="131" t="n">
        <f aca="false">IF(OR($C37="",$B$2="",$D$2=0),0,IF(P$3&lt;0,0,N(INDEX('CURVA PREVISION'!$A$1:$KZ$3000,$C37,10+3*MIN(P$3,$D$2-1)))))</f>
        <v>0</v>
      </c>
      <c r="Q37" s="131" t="n">
        <f aca="false">IF(OR($C37="",$B$2="",$D$2=0),0,IF(Q$3&lt;0,0,N(INDEX('CURVA PREVISION'!$A$1:$KZ$3000,$C37,10+3*MIN(Q$3,$D$2-1)))))</f>
        <v>0</v>
      </c>
      <c r="R37" s="131" t="n">
        <f aca="false">IF(OR($C37="",$B$2="",$D$2=0),0,IF(R$3&lt;0,0,N(INDEX('CURVA PREVISION'!$A$1:$KZ$3000,$C37,10+3*MIN(R$3,$D$2-1)))))</f>
        <v>0</v>
      </c>
      <c r="S37" s="131" t="n">
        <f aca="false">IF(OR($C37="",$B$2="",$D$2=0),0,IF(S$3&lt;0,0,N(INDEX('CURVA PREVISION'!$A$1:$KZ$3000,$C37,10+3*MIN(S$3,$D$2-1)))))</f>
        <v>0</v>
      </c>
      <c r="T37" s="131" t="n">
        <f aca="false">IF(OR($C37="",$B$2="",$D$2=0),0,IF(T$3&lt;0,0,N(INDEX('CURVA PREVISION'!$A$1:$KZ$3000,$C37,10+3*MIN(T$3,$D$2-1)))))</f>
        <v>0</v>
      </c>
      <c r="U37" s="131" t="n">
        <f aca="false">IF(OR($C37="",$B$2="",$D$2=0),0,IF(U$3&lt;0,0,N(INDEX('CURVA PREVISION'!$A$1:$KZ$3000,$C37,10+3*MIN(U$3,$D$2-1)))))</f>
        <v>0</v>
      </c>
      <c r="V37" s="131" t="n">
        <f aca="false">IF(OR($C37="",$B$2="",$D$2=0),0,IF(V$3&lt;0,0,N(INDEX('CURVA PREVISION'!$A$1:$KZ$3000,$C37,10+3*MIN(V$3,$D$2-1)))))</f>
        <v>0</v>
      </c>
      <c r="W37" s="131" t="n">
        <f aca="false">IF(OR($C37="",$B$2="",$D$2=0),0,IF(W$3&lt;0,0,N(INDEX('CURVA PREVISION'!$A$1:$KZ$3000,$C37,10+3*MIN(W$3,$D$2-1)))))</f>
        <v>0</v>
      </c>
      <c r="X37" s="131" t="n">
        <f aca="false">IF(OR($C37="",$B$2="",$D$2=0),0,IF(X$3&lt;0,0,N(INDEX('CURVA PREVISION'!$A$1:$KZ$3000,$C37,10+3*MIN(X$3,$D$2-1)))))</f>
        <v>0</v>
      </c>
      <c r="Y37" s="131" t="n">
        <f aca="false">IF(OR($C37="",$B$2="",$D$2=0),0,IF(Y$3&lt;0,0,N(INDEX('CURVA PREVISION'!$A$1:$KZ$3000,$C37,10+3*MIN(Y$3,$D$2-1)))))</f>
        <v>0</v>
      </c>
      <c r="Z37" s="131" t="n">
        <f aca="false">IF(OR($C37="",$B$2="",$D$2=0),0,IF(Z$3&lt;0,0,N(INDEX('CURVA PREVISION'!$A$1:$KZ$3000,$C37,10+3*MIN(Z$3,$D$2-1)))))</f>
        <v>0</v>
      </c>
      <c r="AA37" s="131" t="n">
        <f aca="false">IF(OR($C37="",$B$2="",$D$2=0),0,IF(AA$3&lt;0,0,N(INDEX('CURVA PREVISION'!$A$1:$KZ$3000,$C37,10+3*MIN(AA$3,$D$2-1)))))</f>
        <v>0</v>
      </c>
      <c r="AB37" s="131" t="n">
        <f aca="false">IF(OR($C37="",$B$2="",$D$2=0),0,IF(AB$3&lt;0,0,N(INDEX('CURVA PREVISION'!$A$1:$KZ$3000,$C37,10+3*MIN(AB$3,$D$2-1)))))</f>
        <v>0</v>
      </c>
      <c r="AC37" s="131" t="n">
        <f aca="false">IF(OR($C37="",$B$2="",$D$2=0),0,IF(AC$3&lt;0,0,N(INDEX('CURVA PREVISION'!$A$1:$KZ$3000,$C37,10+3*MIN(AC$3,$D$2-1)))))</f>
        <v>0</v>
      </c>
      <c r="AD37" s="131" t="n">
        <f aca="false">IF(OR($C37="",$B$2="",$D$2=0),0,IF(AD$3&lt;0,0,N(INDEX('CURVA PREVISION'!$A$1:$KZ$3000,$C37,10+3*MIN(AD$3,$D$2-1)))))</f>
        <v>0</v>
      </c>
      <c r="AE37" s="131" t="n">
        <f aca="false">IF(OR($C37="",$B$2="",$D$2=0),0,IF(AE$3&lt;0,0,N(INDEX('CURVA PREVISION'!$A$1:$KZ$3000,$C37,10+3*MIN(AE$3,$D$2-1)))))</f>
        <v>0</v>
      </c>
      <c r="AF37" s="131" t="n">
        <f aca="false">IF(OR($C37="",$B$2="",$D$2=0),0,IF(AF$3&lt;0,0,N(INDEX('CURVA PREVISION'!$A$1:$KZ$3000,$C37,10+3*MIN(AF$3,$D$2-1)))))</f>
        <v>0</v>
      </c>
      <c r="AG37" s="131" t="n">
        <f aca="false">IF(OR($C37="",$B$2="",$D$2=0),0,IF(AG$3&lt;0,0,N(INDEX('CURVA PREVISION'!$A$1:$KZ$3000,$C37,10+3*MIN(AG$3,$D$2-1)))))</f>
        <v>0</v>
      </c>
      <c r="AH37" s="131" t="n">
        <f aca="false">IF(OR($C37="",$B$2="",$D$2=0),0,IF(AH$3&lt;0,0,N(INDEX('CURVA PREVISION'!$A$1:$KZ$3000,$C37,10+3*MIN(AH$3,$D$2-1)))))</f>
        <v>0</v>
      </c>
      <c r="AI37" s="131" t="n">
        <f aca="false">IF(OR($C37="",$B$2="",$D$2=0),0,IF(AI$3&lt;0,0,N(INDEX('CURVA PREVISION'!$A$1:$KZ$3000,$C37,10+3*MIN(AI$3,$D$2-1)))))</f>
        <v>0</v>
      </c>
      <c r="AJ37" s="131" t="n">
        <f aca="false">IF(OR($C37="",$B$2="",$D$2=0),0,IF(AJ$3&lt;0,0,N(INDEX('CURVA PREVISION'!$A$1:$KZ$3000,$C37,10+3*MIN(AJ$3,$D$2-1)))))</f>
        <v>0</v>
      </c>
      <c r="AK37" s="131" t="n">
        <f aca="false">IF(OR($C37="",$B$2="",$D$2=0),0,IF(AK$3&lt;0,0,N(INDEX('CURVA PREVISION'!$A$1:$KZ$3000,$C37,10+3*MIN(AK$3,$D$2-1)))))</f>
        <v>0</v>
      </c>
      <c r="AL37" s="131" t="n">
        <f aca="false">IF(OR($C37="",$B$2="",$D$2=0),0,IF(AL$3&lt;0,0,N(INDEX('CURVA PREVISION'!$A$1:$KZ$3000,$C37,10+3*MIN(AL$3,$D$2-1)))))</f>
        <v>3.89</v>
      </c>
      <c r="AM37" s="131" t="n">
        <f aca="false">IF(OR($C37="",$B$2="",$D$2=0),0,IF(AM$3&lt;0,0,N(INDEX('CURVA PREVISION'!$A$1:$KZ$3000,$C37,10+3*MIN(AM$3,$D$2-1)))))</f>
        <v>11.59</v>
      </c>
      <c r="AN37" s="131" t="n">
        <f aca="false">IF(OR($C37="",$B$2="",$D$2=0),0,IF(AN$3&lt;0,0,N(INDEX('CURVA PREVISION'!$A$1:$KZ$3000,$C37,10+3*MIN(AN$3,$D$2-1)))))</f>
        <v>18.17</v>
      </c>
      <c r="AO37" s="131" t="n">
        <f aca="false">IF(OR($C37="",$B$2="",$D$2=0),0,IF(AO$3&lt;0,0,N(INDEX('CURVA PREVISION'!$A$1:$KZ$3000,$C37,10+3*MIN(AO$3,$D$2-1)))))</f>
        <v>26.79</v>
      </c>
      <c r="AP37" s="131" t="n">
        <f aca="false">IF(OR($C37="",$B$2="",$D$2=0),0,IF(AP$3&lt;0,0,N(INDEX('CURVA PREVISION'!$A$1:$KZ$3000,$C37,10+3*MIN(AP$3,$D$2-1)))))</f>
        <v>36.81</v>
      </c>
      <c r="AQ37" s="131" t="n">
        <f aca="false">IF(OR($C37="",$B$2="",$D$2=0),0,IF(AQ$3&lt;0,0,N(INDEX('CURVA PREVISION'!$A$1:$KZ$3000,$C37,10+3*MIN(AQ$3,$D$2-1)))))</f>
        <v>53.78</v>
      </c>
      <c r="AR37" s="131" t="n">
        <f aca="false">IF(OR($C37="",$B$2="",$D$2=0),0,IF(AR$3&lt;0,0,N(INDEX('CURVA PREVISION'!$A$1:$KZ$3000,$C37,10+3*MIN(AR$3,$D$2-1)))))</f>
        <v>62.3</v>
      </c>
      <c r="AS37" s="131" t="n">
        <f aca="false">IF(OR($C37="",$B$2="",$D$2=0),0,IF(AS$3&lt;0,0,N(INDEX('CURVA PREVISION'!$A$1:$KZ$3000,$C37,10+3*MIN(AS$3,$D$2-1)))))</f>
        <v>71.51</v>
      </c>
      <c r="AT37" s="131" t="n">
        <f aca="false">IF(OR($C37="",$B$2="",$D$2=0),0,IF(AT$3&lt;0,0,N(INDEX('CURVA PREVISION'!$A$1:$KZ$3000,$C37,10+3*MIN(AT$3,$D$2-1)))))</f>
        <v>79.36</v>
      </c>
      <c r="AU37" s="131" t="n">
        <f aca="false">IF(OR($C37="",$B$2="",$D$2=0),0,IF(AU$3&lt;0,0,N(INDEX('CURVA PREVISION'!$A$1:$KZ$3000,$C37,10+3*MIN(AU$3,$D$2-1)))))</f>
        <v>86.85</v>
      </c>
      <c r="AV37" s="131" t="n">
        <f aca="false">IF(OR($C37="",$B$2="",$D$2=0),0,IF(AV$3&lt;0,0,N(INDEX('CURVA PREVISION'!$A$1:$KZ$3000,$C37,10+3*MIN(AV$3,$D$2-1)))))</f>
        <v>95.1</v>
      </c>
      <c r="AW37" s="131" t="n">
        <f aca="false">IF(OR($C37="",$B$2="",$D$2=0),0,IF(AW$3&lt;0,0,N(INDEX('CURVA PREVISION'!$A$1:$KZ$3000,$C37,10+3*MIN(AW$3,$D$2-1)))))</f>
        <v>96.81</v>
      </c>
      <c r="AX37" s="131" t="n">
        <f aca="false">IF(OR($C37="",$B$2="",$D$2=0),0,IF(AX$3&lt;0,0,N(INDEX('CURVA PREVISION'!$A$1:$KZ$3000,$C37,10+3*MIN(AX$3,$D$2-1)))))</f>
        <v>99.09</v>
      </c>
      <c r="AY37" s="131" t="n">
        <f aca="false">IF(OR($C37="",$B$2="",$D$2=0),0,IF(AY$3&lt;0,0,N(INDEX('CURVA PREVISION'!$A$1:$KZ$3000,$C37,10+3*MIN(AY$3,$D$2-1)))))</f>
        <v>100</v>
      </c>
      <c r="AZ37" s="131" t="n">
        <f aca="false">IF(OR($C37="",$B$2="",$D$2=0),0,IF(AZ$3&lt;0,0,N(INDEX('CURVA PREVISION'!$A$1:$KZ$3000,$C37,10+3*MIN(AZ$3,$D$2-1)))))</f>
        <v>100</v>
      </c>
      <c r="BA37" s="131" t="n">
        <f aca="false">IF(OR($C37="",$B$2="",$D$2=0),0,IF(BA$3&lt;0,0,N(INDEX('CURVA PREVISION'!$A$1:$KZ$3000,$C37,10+3*MIN(BA$3,$D$2-1)))))</f>
        <v>100</v>
      </c>
      <c r="BB37" s="131" t="n">
        <f aca="false">IF(OR($C37="",$B$2="",$D$2=0),0,IF(BB$3&lt;0,0,N(INDEX('CURVA PREVISION'!$A$1:$KZ$3000,$C37,10+3*MIN(BB$3,$D$2-1)))))</f>
        <v>100</v>
      </c>
      <c r="BC37" s="131" t="n">
        <f aca="false">IF(OR($C37="",$B$2="",$D$2=0),0,IF(BC$3&lt;0,0,N(INDEX('CURVA PREVISION'!$A$1:$KZ$3000,$C37,10+3*MIN(BC$3,$D$2-1)))))</f>
        <v>100</v>
      </c>
      <c r="BD37" s="131" t="n">
        <f aca="false">IF(OR($C37="",$B$2="",$D$2=0),0,IF(BD$3&lt;0,0,N(INDEX('CURVA PREVISION'!$A$1:$KZ$3000,$C37,10+3*MIN(BD$3,$D$2-1)))))</f>
        <v>100</v>
      </c>
      <c r="BE37" s="131" t="n">
        <f aca="false">IF(OR($C37="",$B$2="",$D$2=0),0,IF(BE$3&lt;0,0,N(INDEX('CURVA PREVISION'!$A$1:$KZ$3000,$C37,10+3*MIN(BE$3,$D$2-1)))))</f>
        <v>100</v>
      </c>
      <c r="BF37" s="131" t="n">
        <f aca="false">IF(OR($C37="",$B$2="",$D$2=0),0,IF(BF$3&lt;0,0,N(INDEX('CURVA PREVISION'!$A$1:$KZ$3000,$C37,10+3*MIN(BF$3,$D$2-1)))))</f>
        <v>100</v>
      </c>
      <c r="BG37" s="131" t="n">
        <f aca="false">IF(OR($C37="",$B$2="",$D$2=0),0,IF(BG$3&lt;0,0,N(INDEX('CURVA PREVISION'!$A$1:$KZ$3000,$C37,10+3*MIN(BG$3,$D$2-1)))))</f>
        <v>100</v>
      </c>
      <c r="BH37" s="131" t="n">
        <f aca="false">IF(OR($C37="",$B$2="",$D$2=0),0,IF(BH$3&lt;0,0,N(INDEX('CURVA PREVISION'!$A$1:$KZ$3000,$C37,10+3*MIN(BH$3,$D$2-1)))))</f>
        <v>100</v>
      </c>
      <c r="BI37" s="131" t="n">
        <f aca="false">IF(OR($C37="",$B$2="",$D$2=0),0,IF(BI$3&lt;0,0,N(INDEX('CURVA PREVISION'!$A$1:$KZ$3000,$C37,10+3*MIN(BI$3,$D$2-1)))))</f>
        <v>100</v>
      </c>
      <c r="BJ37" s="131" t="n">
        <f aca="false">IF(OR($C37="",$B$2="",$D$2=0),0,IF(BJ$3&lt;0,0,N(INDEX('CURVA PREVISION'!$A$1:$KZ$3000,$C37,10+3*MIN(BJ$3,$D$2-1)))))</f>
        <v>100</v>
      </c>
      <c r="BK37" s="131" t="n">
        <f aca="false">IF(OR($C37="",$B$2="",$D$2=0),0,IF(BK$3&lt;0,0,N(INDEX('CURVA PREVISION'!$A$1:$KZ$3000,$C37,10+3*MIN(BK$3,$D$2-1)))))</f>
        <v>100</v>
      </c>
      <c r="BL37" s="131" t="n">
        <f aca="false">IF(OR($C37="",$B$2="",$D$2=0),0,IF(BL$3&lt;0,0,N(INDEX('CURVA PREVISION'!$A$1:$KZ$3000,$C37,10+3*MIN(BL$3,$D$2-1)))))</f>
        <v>100</v>
      </c>
      <c r="BM37" s="131" t="n">
        <f aca="false">IF(OR($C37="",$B$2="",$D$2=0),0,IF(BM$3&lt;0,0,N(INDEX('CURVA PREVISION'!$A$1:$KZ$3000,$C37,10+3*MIN(BM$3,$D$2-1)))))</f>
        <v>100</v>
      </c>
      <c r="BN37" s="131" t="n">
        <f aca="false">IF(OR($C37="",$B$2="",$D$2=0),0,IF(BN$3&lt;0,0,N(INDEX('CURVA PREVISION'!$A$1:$KZ$3000,$C37,10+3*MIN(BN$3,$D$2-1)))))</f>
        <v>100</v>
      </c>
      <c r="BO37" s="131" t="n">
        <f aca="false">IF(OR($C37="",$B$2="",$D$2=0),0,IF(BO$3&lt;0,0,N(INDEX('CURVA PREVISION'!$A$1:$KZ$3000,$C37,10+3*MIN(BO$3,$D$2-1)))))</f>
        <v>100</v>
      </c>
      <c r="BP37" s="131" t="n">
        <f aca="false">IF(OR($C37="",$B$2="",$D$2=0),0,IF(BP$3&lt;0,0,N(INDEX('CURVA PREVISION'!$A$1:$KZ$3000,$C37,10+3*MIN(BP$3,$D$2-1)))))</f>
        <v>100</v>
      </c>
      <c r="BQ37" s="131" t="n">
        <f aca="false">IF(OR($C37="",$B$2="",$D$2=0),0,IF(BQ$3&lt;0,0,N(INDEX('CURVA PREVISION'!$A$1:$KZ$3000,$C37,10+3*MIN(BQ$3,$D$2-1)))))</f>
        <v>100</v>
      </c>
      <c r="BR37" s="131" t="n">
        <f aca="false">IF(OR($C37="",$B$2="",$D$2=0),0,IF(BR$3&lt;0,0,N(INDEX('CURVA PREVISION'!$A$1:$KZ$3000,$C37,10+3*MIN(BR$3,$D$2-1)))))</f>
        <v>100</v>
      </c>
      <c r="BS37" s="131" t="n">
        <f aca="false">IF(OR($C37="",$B$2="",$D$2=0),0,IF(BS$3&lt;0,0,N(INDEX('CURVA PREVISION'!$A$1:$KZ$3000,$C37,10+3*MIN(BS$3,$D$2-1)))))</f>
        <v>100</v>
      </c>
      <c r="BT37" s="131" t="n">
        <f aca="false">IF(OR($C37="",$B$2="",$D$2=0),0,IF(BT$3&lt;0,0,N(INDEX('CURVA PREVISION'!$A$1:$KZ$3000,$C37,10+3*MIN(BT$3,$D$2-1)))))</f>
        <v>100</v>
      </c>
      <c r="BU37" s="131" t="n">
        <f aca="false">IF(OR($C37="",$B$2="",$D$2=0),0,IF(BU$3&lt;0,0,N(INDEX('CURVA PREVISION'!$A$1:$KZ$3000,$C37,10+3*MIN(BU$3,$D$2-1)))))</f>
        <v>100</v>
      </c>
      <c r="BV37" s="131" t="n">
        <f aca="false">IF(OR($C37="",$B$2="",$D$2=0),0,IF(BV$3&lt;0,0,N(INDEX('CURVA PREVISION'!$A$1:$KZ$3000,$C37,10+3*MIN(BV$3,$D$2-1)))))</f>
        <v>100</v>
      </c>
      <c r="BW37" s="131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823</v>
      </c>
      <c r="D38" s="131" t="n">
        <f aca="false">IF(OR($C38="",$B$2="",$D$2=0),0,IF(D$3&lt;0,0,N(INDEX('CURVA PREVISION'!$A$1:$KZ$3000,$C38,10+3*MIN(D$3,$D$2-1)))))</f>
        <v>0</v>
      </c>
      <c r="E38" s="131" t="n">
        <f aca="false">IF(OR($C38="",$B$2="",$D$2=0),0,IF(E$3&lt;0,0,N(INDEX('CURVA PREVISION'!$A$1:$KZ$3000,$C38,10+3*MIN(E$3,$D$2-1)))))</f>
        <v>0</v>
      </c>
      <c r="F38" s="131" t="n">
        <f aca="false">IF(OR($C38="",$B$2="",$D$2=0),0,IF(F$3&lt;0,0,N(INDEX('CURVA PREVISION'!$A$1:$KZ$3000,$C38,10+3*MIN(F$3,$D$2-1)))))</f>
        <v>0</v>
      </c>
      <c r="G38" s="131" t="n">
        <f aca="false">IF(OR($C38="",$B$2="",$D$2=0),0,IF(G$3&lt;0,0,N(INDEX('CURVA PREVISION'!$A$1:$KZ$3000,$C38,10+3*MIN(G$3,$D$2-1)))))</f>
        <v>0</v>
      </c>
      <c r="H38" s="131" t="n">
        <f aca="false">IF(OR($C38="",$B$2="",$D$2=0),0,IF(H$3&lt;0,0,N(INDEX('CURVA PREVISION'!$A$1:$KZ$3000,$C38,10+3*MIN(H$3,$D$2-1)))))</f>
        <v>0</v>
      </c>
      <c r="I38" s="131" t="n">
        <f aca="false">IF(OR($C38="",$B$2="",$D$2=0),0,IF(I$3&lt;0,0,N(INDEX('CURVA PREVISION'!$A$1:$KZ$3000,$C38,10+3*MIN(I$3,$D$2-1)))))</f>
        <v>0</v>
      </c>
      <c r="J38" s="131" t="n">
        <f aca="false">IF(OR($C38="",$B$2="",$D$2=0),0,IF(J$3&lt;0,0,N(INDEX('CURVA PREVISION'!$A$1:$KZ$3000,$C38,10+3*MIN(J$3,$D$2-1)))))</f>
        <v>0</v>
      </c>
      <c r="K38" s="131" t="n">
        <f aca="false">IF(OR($C38="",$B$2="",$D$2=0),0,IF(K$3&lt;0,0,N(INDEX('CURVA PREVISION'!$A$1:$KZ$3000,$C38,10+3*MIN(K$3,$D$2-1)))))</f>
        <v>0</v>
      </c>
      <c r="L38" s="131" t="n">
        <f aca="false">IF(OR($C38="",$B$2="",$D$2=0),0,IF(L$3&lt;0,0,N(INDEX('CURVA PREVISION'!$A$1:$KZ$3000,$C38,10+3*MIN(L$3,$D$2-1)))))</f>
        <v>0</v>
      </c>
      <c r="M38" s="131" t="n">
        <f aca="false">IF(OR($C38="",$B$2="",$D$2=0),0,IF(M$3&lt;0,0,N(INDEX('CURVA PREVISION'!$A$1:$KZ$3000,$C38,10+3*MIN(M$3,$D$2-1)))))</f>
        <v>0</v>
      </c>
      <c r="N38" s="131" t="n">
        <f aca="false">IF(OR($C38="",$B$2="",$D$2=0),0,IF(N$3&lt;0,0,N(INDEX('CURVA PREVISION'!$A$1:$KZ$3000,$C38,10+3*MIN(N$3,$D$2-1)))))</f>
        <v>0</v>
      </c>
      <c r="O38" s="131" t="n">
        <f aca="false">IF(OR($C38="",$B$2="",$D$2=0),0,IF(O$3&lt;0,0,N(INDEX('CURVA PREVISION'!$A$1:$KZ$3000,$C38,10+3*MIN(O$3,$D$2-1)))))</f>
        <v>0</v>
      </c>
      <c r="P38" s="131" t="n">
        <f aca="false">IF(OR($C38="",$B$2="",$D$2=0),0,IF(P$3&lt;0,0,N(INDEX('CURVA PREVISION'!$A$1:$KZ$3000,$C38,10+3*MIN(P$3,$D$2-1)))))</f>
        <v>0</v>
      </c>
      <c r="Q38" s="131" t="n">
        <f aca="false">IF(OR($C38="",$B$2="",$D$2=0),0,IF(Q$3&lt;0,0,N(INDEX('CURVA PREVISION'!$A$1:$KZ$3000,$C38,10+3*MIN(Q$3,$D$2-1)))))</f>
        <v>0</v>
      </c>
      <c r="R38" s="131" t="n">
        <f aca="false">IF(OR($C38="",$B$2="",$D$2=0),0,IF(R$3&lt;0,0,N(INDEX('CURVA PREVISION'!$A$1:$KZ$3000,$C38,10+3*MIN(R$3,$D$2-1)))))</f>
        <v>0</v>
      </c>
      <c r="S38" s="131" t="n">
        <f aca="false">IF(OR($C38="",$B$2="",$D$2=0),0,IF(S$3&lt;0,0,N(INDEX('CURVA PREVISION'!$A$1:$KZ$3000,$C38,10+3*MIN(S$3,$D$2-1)))))</f>
        <v>0</v>
      </c>
      <c r="T38" s="131" t="n">
        <f aca="false">IF(OR($C38="",$B$2="",$D$2=0),0,IF(T$3&lt;0,0,N(INDEX('CURVA PREVISION'!$A$1:$KZ$3000,$C38,10+3*MIN(T$3,$D$2-1)))))</f>
        <v>0</v>
      </c>
      <c r="U38" s="131" t="n">
        <f aca="false">IF(OR($C38="",$B$2="",$D$2=0),0,IF(U$3&lt;0,0,N(INDEX('CURVA PREVISION'!$A$1:$KZ$3000,$C38,10+3*MIN(U$3,$D$2-1)))))</f>
        <v>0</v>
      </c>
      <c r="V38" s="131" t="n">
        <f aca="false">IF(OR($C38="",$B$2="",$D$2=0),0,IF(V$3&lt;0,0,N(INDEX('CURVA PREVISION'!$A$1:$KZ$3000,$C38,10+3*MIN(V$3,$D$2-1)))))</f>
        <v>0</v>
      </c>
      <c r="W38" s="131" t="n">
        <f aca="false">IF(OR($C38="",$B$2="",$D$2=0),0,IF(W$3&lt;0,0,N(INDEX('CURVA PREVISION'!$A$1:$KZ$3000,$C38,10+3*MIN(W$3,$D$2-1)))))</f>
        <v>0</v>
      </c>
      <c r="X38" s="131" t="n">
        <f aca="false">IF(OR($C38="",$B$2="",$D$2=0),0,IF(X$3&lt;0,0,N(INDEX('CURVA PREVISION'!$A$1:$KZ$3000,$C38,10+3*MIN(X$3,$D$2-1)))))</f>
        <v>0</v>
      </c>
      <c r="Y38" s="131" t="n">
        <f aca="false">IF(OR($C38="",$B$2="",$D$2=0),0,IF(Y$3&lt;0,0,N(INDEX('CURVA PREVISION'!$A$1:$KZ$3000,$C38,10+3*MIN(Y$3,$D$2-1)))))</f>
        <v>0</v>
      </c>
      <c r="Z38" s="131" t="n">
        <f aca="false">IF(OR($C38="",$B$2="",$D$2=0),0,IF(Z$3&lt;0,0,N(INDEX('CURVA PREVISION'!$A$1:$KZ$3000,$C38,10+3*MIN(Z$3,$D$2-1)))))</f>
        <v>0</v>
      </c>
      <c r="AA38" s="131" t="n">
        <f aca="false">IF(OR($C38="",$B$2="",$D$2=0),0,IF(AA$3&lt;0,0,N(INDEX('CURVA PREVISION'!$A$1:$KZ$3000,$C38,10+3*MIN(AA$3,$D$2-1)))))</f>
        <v>0</v>
      </c>
      <c r="AB38" s="131" t="n">
        <f aca="false">IF(OR($C38="",$B$2="",$D$2=0),0,IF(AB$3&lt;0,0,N(INDEX('CURVA PREVISION'!$A$1:$KZ$3000,$C38,10+3*MIN(AB$3,$D$2-1)))))</f>
        <v>0</v>
      </c>
      <c r="AC38" s="131" t="n">
        <f aca="false">IF(OR($C38="",$B$2="",$D$2=0),0,IF(AC$3&lt;0,0,N(INDEX('CURVA PREVISION'!$A$1:$KZ$3000,$C38,10+3*MIN(AC$3,$D$2-1)))))</f>
        <v>0</v>
      </c>
      <c r="AD38" s="131" t="n">
        <f aca="false">IF(OR($C38="",$B$2="",$D$2=0),0,IF(AD$3&lt;0,0,N(INDEX('CURVA PREVISION'!$A$1:$KZ$3000,$C38,10+3*MIN(AD$3,$D$2-1)))))</f>
        <v>0</v>
      </c>
      <c r="AE38" s="131" t="n">
        <f aca="false">IF(OR($C38="",$B$2="",$D$2=0),0,IF(AE$3&lt;0,0,N(INDEX('CURVA PREVISION'!$A$1:$KZ$3000,$C38,10+3*MIN(AE$3,$D$2-1)))))</f>
        <v>0</v>
      </c>
      <c r="AF38" s="131" t="n">
        <f aca="false">IF(OR($C38="",$B$2="",$D$2=0),0,IF(AF$3&lt;0,0,N(INDEX('CURVA PREVISION'!$A$1:$KZ$3000,$C38,10+3*MIN(AF$3,$D$2-1)))))</f>
        <v>0</v>
      </c>
      <c r="AG38" s="131" t="n">
        <f aca="false">IF(OR($C38="",$B$2="",$D$2=0),0,IF(AG$3&lt;0,0,N(INDEX('CURVA PREVISION'!$A$1:$KZ$3000,$C38,10+3*MIN(AG$3,$D$2-1)))))</f>
        <v>0</v>
      </c>
      <c r="AH38" s="131" t="n">
        <f aca="false">IF(OR($C38="",$B$2="",$D$2=0),0,IF(AH$3&lt;0,0,N(INDEX('CURVA PREVISION'!$A$1:$KZ$3000,$C38,10+3*MIN(AH$3,$D$2-1)))))</f>
        <v>0</v>
      </c>
      <c r="AI38" s="131" t="n">
        <f aca="false">IF(OR($C38="",$B$2="",$D$2=0),0,IF(AI$3&lt;0,0,N(INDEX('CURVA PREVISION'!$A$1:$KZ$3000,$C38,10+3*MIN(AI$3,$D$2-1)))))</f>
        <v>0</v>
      </c>
      <c r="AJ38" s="131" t="n">
        <f aca="false">IF(OR($C38="",$B$2="",$D$2=0),0,IF(AJ$3&lt;0,0,N(INDEX('CURVA PREVISION'!$A$1:$KZ$3000,$C38,10+3*MIN(AJ$3,$D$2-1)))))</f>
        <v>0</v>
      </c>
      <c r="AK38" s="131" t="n">
        <f aca="false">IF(OR($C38="",$B$2="",$D$2=0),0,IF(AK$3&lt;0,0,N(INDEX('CURVA PREVISION'!$A$1:$KZ$3000,$C38,10+3*MIN(AK$3,$D$2-1)))))</f>
        <v>0</v>
      </c>
      <c r="AL38" s="131" t="n">
        <f aca="false">IF(OR($C38="",$B$2="",$D$2=0),0,IF(AL$3&lt;0,0,N(INDEX('CURVA PREVISION'!$A$1:$KZ$3000,$C38,10+3*MIN(AL$3,$D$2-1)))))</f>
        <v>0</v>
      </c>
      <c r="AM38" s="131" t="n">
        <f aca="false">IF(OR($C38="",$B$2="",$D$2=0),0,IF(AM$3&lt;0,0,N(INDEX('CURVA PREVISION'!$A$1:$KZ$3000,$C38,10+3*MIN(AM$3,$D$2-1)))))</f>
        <v>0</v>
      </c>
      <c r="AN38" s="131" t="n">
        <f aca="false">IF(OR($C38="",$B$2="",$D$2=0),0,IF(AN$3&lt;0,0,N(INDEX('CURVA PREVISION'!$A$1:$KZ$3000,$C38,10+3*MIN(AN$3,$D$2-1)))))</f>
        <v>0</v>
      </c>
      <c r="AO38" s="131" t="n">
        <f aca="false">IF(OR($C38="",$B$2="",$D$2=0),0,IF(AO$3&lt;0,0,N(INDEX('CURVA PREVISION'!$A$1:$KZ$3000,$C38,10+3*MIN(AO$3,$D$2-1)))))</f>
        <v>0</v>
      </c>
      <c r="AP38" s="131" t="n">
        <f aca="false">IF(OR($C38="",$B$2="",$D$2=0),0,IF(AP$3&lt;0,0,N(INDEX('CURVA PREVISION'!$A$1:$KZ$3000,$C38,10+3*MIN(AP$3,$D$2-1)))))</f>
        <v>0</v>
      </c>
      <c r="AQ38" s="131" t="n">
        <f aca="false">IF(OR($C38="",$B$2="",$D$2=0),0,IF(AQ$3&lt;0,0,N(INDEX('CURVA PREVISION'!$A$1:$KZ$3000,$C38,10+3*MIN(AQ$3,$D$2-1)))))</f>
        <v>9.6</v>
      </c>
      <c r="AR38" s="131" t="n">
        <f aca="false">IF(OR($C38="",$B$2="",$D$2=0),0,IF(AR$3&lt;0,0,N(INDEX('CURVA PREVISION'!$A$1:$KZ$3000,$C38,10+3*MIN(AR$3,$D$2-1)))))</f>
        <v>17.85</v>
      </c>
      <c r="AS38" s="131" t="n">
        <f aca="false">IF(OR($C38="",$B$2="",$D$2=0),0,IF(AS$3&lt;0,0,N(INDEX('CURVA PREVISION'!$A$1:$KZ$3000,$C38,10+3*MIN(AS$3,$D$2-1)))))</f>
        <v>28.5</v>
      </c>
      <c r="AT38" s="131" t="n">
        <f aca="false">IF(OR($C38="",$B$2="",$D$2=0),0,IF(AT$3&lt;0,0,N(INDEX('CURVA PREVISION'!$A$1:$KZ$3000,$C38,10+3*MIN(AT$3,$D$2-1)))))</f>
        <v>38.25</v>
      </c>
      <c r="AU38" s="131" t="n">
        <f aca="false">IF(OR($C38="",$B$2="",$D$2=0),0,IF(AU$3&lt;0,0,N(INDEX('CURVA PREVISION'!$A$1:$KZ$3000,$C38,10+3*MIN(AU$3,$D$2-1)))))</f>
        <v>48.04</v>
      </c>
      <c r="AV38" s="131" t="n">
        <f aca="false">IF(OR($C38="",$B$2="",$D$2=0),0,IF(AV$3&lt;0,0,N(INDEX('CURVA PREVISION'!$A$1:$KZ$3000,$C38,10+3*MIN(AV$3,$D$2-1)))))</f>
        <v>57.97</v>
      </c>
      <c r="AW38" s="131" t="n">
        <f aca="false">IF(OR($C38="",$B$2="",$D$2=0),0,IF(AW$3&lt;0,0,N(INDEX('CURVA PREVISION'!$A$1:$KZ$3000,$C38,10+3*MIN(AW$3,$D$2-1)))))</f>
        <v>66.21</v>
      </c>
      <c r="AX38" s="131" t="n">
        <f aca="false">IF(OR($C38="",$B$2="",$D$2=0),0,IF(AX$3&lt;0,0,N(INDEX('CURVA PREVISION'!$A$1:$KZ$3000,$C38,10+3*MIN(AX$3,$D$2-1)))))</f>
        <v>75.18</v>
      </c>
      <c r="AY38" s="131" t="n">
        <f aca="false">IF(OR($C38="",$B$2="",$D$2=0),0,IF(AY$3&lt;0,0,N(INDEX('CURVA PREVISION'!$A$1:$KZ$3000,$C38,10+3*MIN(AY$3,$D$2-1)))))</f>
        <v>84.2</v>
      </c>
      <c r="AZ38" s="131" t="n">
        <f aca="false">IF(OR($C38="",$B$2="",$D$2=0),0,IF(AZ$3&lt;0,0,N(INDEX('CURVA PREVISION'!$A$1:$KZ$3000,$C38,10+3*MIN(AZ$3,$D$2-1)))))</f>
        <v>90.55</v>
      </c>
      <c r="BA38" s="131" t="n">
        <f aca="false">IF(OR($C38="",$B$2="",$D$2=0),0,IF(BA$3&lt;0,0,N(INDEX('CURVA PREVISION'!$A$1:$KZ$3000,$C38,10+3*MIN(BA$3,$D$2-1)))))</f>
        <v>98.68</v>
      </c>
      <c r="BB38" s="131" t="n">
        <f aca="false">IF(OR($C38="",$B$2="",$D$2=0),0,IF(BB$3&lt;0,0,N(INDEX('CURVA PREVISION'!$A$1:$KZ$3000,$C38,10+3*MIN(BB$3,$D$2-1)))))</f>
        <v>100</v>
      </c>
      <c r="BC38" s="131" t="n">
        <f aca="false">IF(OR($C38="",$B$2="",$D$2=0),0,IF(BC$3&lt;0,0,N(INDEX('CURVA PREVISION'!$A$1:$KZ$3000,$C38,10+3*MIN(BC$3,$D$2-1)))))</f>
        <v>100</v>
      </c>
      <c r="BD38" s="131" t="n">
        <f aca="false">IF(OR($C38="",$B$2="",$D$2=0),0,IF(BD$3&lt;0,0,N(INDEX('CURVA PREVISION'!$A$1:$KZ$3000,$C38,10+3*MIN(BD$3,$D$2-1)))))</f>
        <v>100</v>
      </c>
      <c r="BE38" s="131" t="n">
        <f aca="false">IF(OR($C38="",$B$2="",$D$2=0),0,IF(BE$3&lt;0,0,N(INDEX('CURVA PREVISION'!$A$1:$KZ$3000,$C38,10+3*MIN(BE$3,$D$2-1)))))</f>
        <v>100</v>
      </c>
      <c r="BF38" s="131" t="n">
        <f aca="false">IF(OR($C38="",$B$2="",$D$2=0),0,IF(BF$3&lt;0,0,N(INDEX('CURVA PREVISION'!$A$1:$KZ$3000,$C38,10+3*MIN(BF$3,$D$2-1)))))</f>
        <v>100</v>
      </c>
      <c r="BG38" s="131" t="n">
        <f aca="false">IF(OR($C38="",$B$2="",$D$2=0),0,IF(BG$3&lt;0,0,N(INDEX('CURVA PREVISION'!$A$1:$KZ$3000,$C38,10+3*MIN(BG$3,$D$2-1)))))</f>
        <v>100</v>
      </c>
      <c r="BH38" s="131" t="n">
        <f aca="false">IF(OR($C38="",$B$2="",$D$2=0),0,IF(BH$3&lt;0,0,N(INDEX('CURVA PREVISION'!$A$1:$KZ$3000,$C38,10+3*MIN(BH$3,$D$2-1)))))</f>
        <v>100</v>
      </c>
      <c r="BI38" s="131" t="n">
        <f aca="false">IF(OR($C38="",$B$2="",$D$2=0),0,IF(BI$3&lt;0,0,N(INDEX('CURVA PREVISION'!$A$1:$KZ$3000,$C38,10+3*MIN(BI$3,$D$2-1)))))</f>
        <v>100</v>
      </c>
      <c r="BJ38" s="131" t="n">
        <f aca="false">IF(OR($C38="",$B$2="",$D$2=0),0,IF(BJ$3&lt;0,0,N(INDEX('CURVA PREVISION'!$A$1:$KZ$3000,$C38,10+3*MIN(BJ$3,$D$2-1)))))</f>
        <v>100</v>
      </c>
      <c r="BK38" s="131" t="n">
        <f aca="false">IF(OR($C38="",$B$2="",$D$2=0),0,IF(BK$3&lt;0,0,N(INDEX('CURVA PREVISION'!$A$1:$KZ$3000,$C38,10+3*MIN(BK$3,$D$2-1)))))</f>
        <v>100</v>
      </c>
      <c r="BL38" s="131" t="n">
        <f aca="false">IF(OR($C38="",$B$2="",$D$2=0),0,IF(BL$3&lt;0,0,N(INDEX('CURVA PREVISION'!$A$1:$KZ$3000,$C38,10+3*MIN(BL$3,$D$2-1)))))</f>
        <v>100</v>
      </c>
      <c r="BM38" s="131" t="n">
        <f aca="false">IF(OR($C38="",$B$2="",$D$2=0),0,IF(BM$3&lt;0,0,N(INDEX('CURVA PREVISION'!$A$1:$KZ$3000,$C38,10+3*MIN(BM$3,$D$2-1)))))</f>
        <v>100</v>
      </c>
      <c r="BN38" s="131" t="n">
        <f aca="false">IF(OR($C38="",$B$2="",$D$2=0),0,IF(BN$3&lt;0,0,N(INDEX('CURVA PREVISION'!$A$1:$KZ$3000,$C38,10+3*MIN(BN$3,$D$2-1)))))</f>
        <v>100</v>
      </c>
      <c r="BO38" s="131" t="n">
        <f aca="false">IF(OR($C38="",$B$2="",$D$2=0),0,IF(BO$3&lt;0,0,N(INDEX('CURVA PREVISION'!$A$1:$KZ$3000,$C38,10+3*MIN(BO$3,$D$2-1)))))</f>
        <v>100</v>
      </c>
      <c r="BP38" s="131" t="n">
        <f aca="false">IF(OR($C38="",$B$2="",$D$2=0),0,IF(BP$3&lt;0,0,N(INDEX('CURVA PREVISION'!$A$1:$KZ$3000,$C38,10+3*MIN(BP$3,$D$2-1)))))</f>
        <v>100</v>
      </c>
      <c r="BQ38" s="131" t="n">
        <f aca="false">IF(OR($C38="",$B$2="",$D$2=0),0,IF(BQ$3&lt;0,0,N(INDEX('CURVA PREVISION'!$A$1:$KZ$3000,$C38,10+3*MIN(BQ$3,$D$2-1)))))</f>
        <v>100</v>
      </c>
      <c r="BR38" s="131" t="n">
        <f aca="false">IF(OR($C38="",$B$2="",$D$2=0),0,IF(BR$3&lt;0,0,N(INDEX('CURVA PREVISION'!$A$1:$KZ$3000,$C38,10+3*MIN(BR$3,$D$2-1)))))</f>
        <v>100</v>
      </c>
      <c r="BS38" s="131" t="n">
        <f aca="false">IF(OR($C38="",$B$2="",$D$2=0),0,IF(BS$3&lt;0,0,N(INDEX('CURVA PREVISION'!$A$1:$KZ$3000,$C38,10+3*MIN(BS$3,$D$2-1)))))</f>
        <v>100</v>
      </c>
      <c r="BT38" s="131" t="n">
        <f aca="false">IF(OR($C38="",$B$2="",$D$2=0),0,IF(BT$3&lt;0,0,N(INDEX('CURVA PREVISION'!$A$1:$KZ$3000,$C38,10+3*MIN(BT$3,$D$2-1)))))</f>
        <v>100</v>
      </c>
      <c r="BU38" s="131" t="n">
        <f aca="false">IF(OR($C38="",$B$2="",$D$2=0),0,IF(BU$3&lt;0,0,N(INDEX('CURVA PREVISION'!$A$1:$KZ$3000,$C38,10+3*MIN(BU$3,$D$2-1)))))</f>
        <v>100</v>
      </c>
      <c r="BV38" s="131" t="n">
        <f aca="false">IF(OR($C38="",$B$2="",$D$2=0),0,IF(BV$3&lt;0,0,N(INDEX('CURVA PREVISION'!$A$1:$KZ$3000,$C38,10+3*MIN(BV$3,$D$2-1)))))</f>
        <v>100</v>
      </c>
      <c r="BW38" s="131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892</v>
      </c>
      <c r="D39" s="131" t="n">
        <f aca="false">IF(OR($C39="",$B$2="",$D$2=0),0,IF(D$3&lt;0,0,N(INDEX('CURVA PREVISION'!$A$1:$KZ$3000,$C39,10+3*MIN(D$3,$D$2-1)))))</f>
        <v>0</v>
      </c>
      <c r="E39" s="131" t="n">
        <f aca="false">IF(OR($C39="",$B$2="",$D$2=0),0,IF(E$3&lt;0,0,N(INDEX('CURVA PREVISION'!$A$1:$KZ$3000,$C39,10+3*MIN(E$3,$D$2-1)))))</f>
        <v>0</v>
      </c>
      <c r="F39" s="131" t="n">
        <f aca="false">IF(OR($C39="",$B$2="",$D$2=0),0,IF(F$3&lt;0,0,N(INDEX('CURVA PREVISION'!$A$1:$KZ$3000,$C39,10+3*MIN(F$3,$D$2-1)))))</f>
        <v>0</v>
      </c>
      <c r="G39" s="131" t="n">
        <f aca="false">IF(OR($C39="",$B$2="",$D$2=0),0,IF(G$3&lt;0,0,N(INDEX('CURVA PREVISION'!$A$1:$KZ$3000,$C39,10+3*MIN(G$3,$D$2-1)))))</f>
        <v>0</v>
      </c>
      <c r="H39" s="131" t="n">
        <f aca="false">IF(OR($C39="",$B$2="",$D$2=0),0,IF(H$3&lt;0,0,N(INDEX('CURVA PREVISION'!$A$1:$KZ$3000,$C39,10+3*MIN(H$3,$D$2-1)))))</f>
        <v>0</v>
      </c>
      <c r="I39" s="131" t="n">
        <f aca="false">IF(OR($C39="",$B$2="",$D$2=0),0,IF(I$3&lt;0,0,N(INDEX('CURVA PREVISION'!$A$1:$KZ$3000,$C39,10+3*MIN(I$3,$D$2-1)))))</f>
        <v>0</v>
      </c>
      <c r="J39" s="131" t="n">
        <f aca="false">IF(OR($C39="",$B$2="",$D$2=0),0,IF(J$3&lt;0,0,N(INDEX('CURVA PREVISION'!$A$1:$KZ$3000,$C39,10+3*MIN(J$3,$D$2-1)))))</f>
        <v>0</v>
      </c>
      <c r="K39" s="131" t="n">
        <f aca="false">IF(OR($C39="",$B$2="",$D$2=0),0,IF(K$3&lt;0,0,N(INDEX('CURVA PREVISION'!$A$1:$KZ$3000,$C39,10+3*MIN(K$3,$D$2-1)))))</f>
        <v>0</v>
      </c>
      <c r="L39" s="131" t="n">
        <f aca="false">IF(OR($C39="",$B$2="",$D$2=0),0,IF(L$3&lt;0,0,N(INDEX('CURVA PREVISION'!$A$1:$KZ$3000,$C39,10+3*MIN(L$3,$D$2-1)))))</f>
        <v>0</v>
      </c>
      <c r="M39" s="131" t="n">
        <f aca="false">IF(OR($C39="",$B$2="",$D$2=0),0,IF(M$3&lt;0,0,N(INDEX('CURVA PREVISION'!$A$1:$KZ$3000,$C39,10+3*MIN(M$3,$D$2-1)))))</f>
        <v>0</v>
      </c>
      <c r="N39" s="131" t="n">
        <f aca="false">IF(OR($C39="",$B$2="",$D$2=0),0,IF(N$3&lt;0,0,N(INDEX('CURVA PREVISION'!$A$1:$KZ$3000,$C39,10+3*MIN(N$3,$D$2-1)))))</f>
        <v>0</v>
      </c>
      <c r="O39" s="131" t="n">
        <f aca="false">IF(OR($C39="",$B$2="",$D$2=0),0,IF(O$3&lt;0,0,N(INDEX('CURVA PREVISION'!$A$1:$KZ$3000,$C39,10+3*MIN(O$3,$D$2-1)))))</f>
        <v>0</v>
      </c>
      <c r="P39" s="131" t="n">
        <f aca="false">IF(OR($C39="",$B$2="",$D$2=0),0,IF(P$3&lt;0,0,N(INDEX('CURVA PREVISION'!$A$1:$KZ$3000,$C39,10+3*MIN(P$3,$D$2-1)))))</f>
        <v>0</v>
      </c>
      <c r="Q39" s="131" t="n">
        <f aca="false">IF(OR($C39="",$B$2="",$D$2=0),0,IF(Q$3&lt;0,0,N(INDEX('CURVA PREVISION'!$A$1:$KZ$3000,$C39,10+3*MIN(Q$3,$D$2-1)))))</f>
        <v>0</v>
      </c>
      <c r="R39" s="131" t="n">
        <f aca="false">IF(OR($C39="",$B$2="",$D$2=0),0,IF(R$3&lt;0,0,N(INDEX('CURVA PREVISION'!$A$1:$KZ$3000,$C39,10+3*MIN(R$3,$D$2-1)))))</f>
        <v>0</v>
      </c>
      <c r="S39" s="131" t="n">
        <f aca="false">IF(OR($C39="",$B$2="",$D$2=0),0,IF(S$3&lt;0,0,N(INDEX('CURVA PREVISION'!$A$1:$KZ$3000,$C39,10+3*MIN(S$3,$D$2-1)))))</f>
        <v>0</v>
      </c>
      <c r="T39" s="131" t="n">
        <f aca="false">IF(OR($C39="",$B$2="",$D$2=0),0,IF(T$3&lt;0,0,N(INDEX('CURVA PREVISION'!$A$1:$KZ$3000,$C39,10+3*MIN(T$3,$D$2-1)))))</f>
        <v>0</v>
      </c>
      <c r="U39" s="131" t="n">
        <f aca="false">IF(OR($C39="",$B$2="",$D$2=0),0,IF(U$3&lt;0,0,N(INDEX('CURVA PREVISION'!$A$1:$KZ$3000,$C39,10+3*MIN(U$3,$D$2-1)))))</f>
        <v>0</v>
      </c>
      <c r="V39" s="131" t="n">
        <f aca="false">IF(OR($C39="",$B$2="",$D$2=0),0,IF(V$3&lt;0,0,N(INDEX('CURVA PREVISION'!$A$1:$KZ$3000,$C39,10+3*MIN(V$3,$D$2-1)))))</f>
        <v>0</v>
      </c>
      <c r="W39" s="131" t="n">
        <f aca="false">IF(OR($C39="",$B$2="",$D$2=0),0,IF(W$3&lt;0,0,N(INDEX('CURVA PREVISION'!$A$1:$KZ$3000,$C39,10+3*MIN(W$3,$D$2-1)))))</f>
        <v>0</v>
      </c>
      <c r="X39" s="131" t="n">
        <f aca="false">IF(OR($C39="",$B$2="",$D$2=0),0,IF(X$3&lt;0,0,N(INDEX('CURVA PREVISION'!$A$1:$KZ$3000,$C39,10+3*MIN(X$3,$D$2-1)))))</f>
        <v>0</v>
      </c>
      <c r="Y39" s="131" t="n">
        <f aca="false">IF(OR($C39="",$B$2="",$D$2=0),0,IF(Y$3&lt;0,0,N(INDEX('CURVA PREVISION'!$A$1:$KZ$3000,$C39,10+3*MIN(Y$3,$D$2-1)))))</f>
        <v>0</v>
      </c>
      <c r="Z39" s="131" t="n">
        <f aca="false">IF(OR($C39="",$B$2="",$D$2=0),0,IF(Z$3&lt;0,0,N(INDEX('CURVA PREVISION'!$A$1:$KZ$3000,$C39,10+3*MIN(Z$3,$D$2-1)))))</f>
        <v>0.92</v>
      </c>
      <c r="AA39" s="131" t="n">
        <f aca="false">IF(OR($C39="",$B$2="",$D$2=0),0,IF(AA$3&lt;0,0,N(INDEX('CURVA PREVISION'!$A$1:$KZ$3000,$C39,10+3*MIN(AA$3,$D$2-1)))))</f>
        <v>2.65</v>
      </c>
      <c r="AB39" s="131" t="n">
        <f aca="false">IF(OR($C39="",$B$2="",$D$2=0),0,IF(AB$3&lt;0,0,N(INDEX('CURVA PREVISION'!$A$1:$KZ$3000,$C39,10+3*MIN(AB$3,$D$2-1)))))</f>
        <v>4.12</v>
      </c>
      <c r="AC39" s="131" t="n">
        <f aca="false">IF(OR($C39="",$B$2="",$D$2=0),0,IF(AC$3&lt;0,0,N(INDEX('CURVA PREVISION'!$A$1:$KZ$3000,$C39,10+3*MIN(AC$3,$D$2-1)))))</f>
        <v>6.59</v>
      </c>
      <c r="AD39" s="131" t="n">
        <f aca="false">IF(OR($C39="",$B$2="",$D$2=0),0,IF(AD$3&lt;0,0,N(INDEX('CURVA PREVISION'!$A$1:$KZ$3000,$C39,10+3*MIN(AD$3,$D$2-1)))))</f>
        <v>9.06</v>
      </c>
      <c r="AE39" s="131" t="n">
        <f aca="false">IF(OR($C39="",$B$2="",$D$2=0),0,IF(AE$3&lt;0,0,N(INDEX('CURVA PREVISION'!$A$1:$KZ$3000,$C39,10+3*MIN(AE$3,$D$2-1)))))</f>
        <v>11.53</v>
      </c>
      <c r="AF39" s="131" t="n">
        <f aca="false">IF(OR($C39="",$B$2="",$D$2=0),0,IF(AF$3&lt;0,0,N(INDEX('CURVA PREVISION'!$A$1:$KZ$3000,$C39,10+3*MIN(AF$3,$D$2-1)))))</f>
        <v>14.21</v>
      </c>
      <c r="AG39" s="131" t="n">
        <f aca="false">IF(OR($C39="",$B$2="",$D$2=0),0,IF(AG$3&lt;0,0,N(INDEX('CURVA PREVISION'!$A$1:$KZ$3000,$C39,10+3*MIN(AG$3,$D$2-1)))))</f>
        <v>14.99</v>
      </c>
      <c r="AH39" s="131" t="n">
        <f aca="false">IF(OR($C39="",$B$2="",$D$2=0),0,IF(AH$3&lt;0,0,N(INDEX('CURVA PREVISION'!$A$1:$KZ$3000,$C39,10+3*MIN(AH$3,$D$2-1)))))</f>
        <v>14.99</v>
      </c>
      <c r="AI39" s="131" t="n">
        <f aca="false">IF(OR($C39="",$B$2="",$D$2=0),0,IF(AI$3&lt;0,0,N(INDEX('CURVA PREVISION'!$A$1:$KZ$3000,$C39,10+3*MIN(AI$3,$D$2-1)))))</f>
        <v>14.99</v>
      </c>
      <c r="AJ39" s="131" t="n">
        <f aca="false">IF(OR($C39="",$B$2="",$D$2=0),0,IF(AJ$3&lt;0,0,N(INDEX('CURVA PREVISION'!$A$1:$KZ$3000,$C39,10+3*MIN(AJ$3,$D$2-1)))))</f>
        <v>14.99</v>
      </c>
      <c r="AK39" s="131" t="n">
        <f aca="false">IF(OR($C39="",$B$2="",$D$2=0),0,IF(AK$3&lt;0,0,N(INDEX('CURVA PREVISION'!$A$1:$KZ$3000,$C39,10+3*MIN(AK$3,$D$2-1)))))</f>
        <v>14.99</v>
      </c>
      <c r="AL39" s="131" t="n">
        <f aca="false">IF(OR($C39="",$B$2="",$D$2=0),0,IF(AL$3&lt;0,0,N(INDEX('CURVA PREVISION'!$A$1:$KZ$3000,$C39,10+3*MIN(AL$3,$D$2-1)))))</f>
        <v>14.99</v>
      </c>
      <c r="AM39" s="131" t="n">
        <f aca="false">IF(OR($C39="",$B$2="",$D$2=0),0,IF(AM$3&lt;0,0,N(INDEX('CURVA PREVISION'!$A$1:$KZ$3000,$C39,10+3*MIN(AM$3,$D$2-1)))))</f>
        <v>14.99</v>
      </c>
      <c r="AN39" s="131" t="n">
        <f aca="false">IF(OR($C39="",$B$2="",$D$2=0),0,IF(AN$3&lt;0,0,N(INDEX('CURVA PREVISION'!$A$1:$KZ$3000,$C39,10+3*MIN(AN$3,$D$2-1)))))</f>
        <v>14.99</v>
      </c>
      <c r="AO39" s="131" t="n">
        <f aca="false">IF(OR($C39="",$B$2="",$D$2=0),0,IF(AO$3&lt;0,0,N(INDEX('CURVA PREVISION'!$A$1:$KZ$3000,$C39,10+3*MIN(AO$3,$D$2-1)))))</f>
        <v>16.23</v>
      </c>
      <c r="AP39" s="131" t="n">
        <f aca="false">IF(OR($C39="",$B$2="",$D$2=0),0,IF(AP$3&lt;0,0,N(INDEX('CURVA PREVISION'!$A$1:$KZ$3000,$C39,10+3*MIN(AP$3,$D$2-1)))))</f>
        <v>17.97</v>
      </c>
      <c r="AQ39" s="131" t="n">
        <f aca="false">IF(OR($C39="",$B$2="",$D$2=0),0,IF(AQ$3&lt;0,0,N(INDEX('CURVA PREVISION'!$A$1:$KZ$3000,$C39,10+3*MIN(AQ$3,$D$2-1)))))</f>
        <v>20.41</v>
      </c>
      <c r="AR39" s="131" t="n">
        <f aca="false">IF(OR($C39="",$B$2="",$D$2=0),0,IF(AR$3&lt;0,0,N(INDEX('CURVA PREVISION'!$A$1:$KZ$3000,$C39,10+3*MIN(AR$3,$D$2-1)))))</f>
        <v>24.42</v>
      </c>
      <c r="AS39" s="131" t="n">
        <f aca="false">IF(OR($C39="",$B$2="",$D$2=0),0,IF(AS$3&lt;0,0,N(INDEX('CURVA PREVISION'!$A$1:$KZ$3000,$C39,10+3*MIN(AS$3,$D$2-1)))))</f>
        <v>33.71</v>
      </c>
      <c r="AT39" s="131" t="n">
        <f aca="false">IF(OR($C39="",$B$2="",$D$2=0),0,IF(AT$3&lt;0,0,N(INDEX('CURVA PREVISION'!$A$1:$KZ$3000,$C39,10+3*MIN(AT$3,$D$2-1)))))</f>
        <v>42.73</v>
      </c>
      <c r="AU39" s="131" t="n">
        <f aca="false">IF(OR($C39="",$B$2="",$D$2=0),0,IF(AU$3&lt;0,0,N(INDEX('CURVA PREVISION'!$A$1:$KZ$3000,$C39,10+3*MIN(AU$3,$D$2-1)))))</f>
        <v>48.89</v>
      </c>
      <c r="AV39" s="131" t="n">
        <f aca="false">IF(OR($C39="",$B$2="",$D$2=0),0,IF(AV$3&lt;0,0,N(INDEX('CURVA PREVISION'!$A$1:$KZ$3000,$C39,10+3*MIN(AV$3,$D$2-1)))))</f>
        <v>55.02</v>
      </c>
      <c r="AW39" s="131" t="n">
        <f aca="false">IF(OR($C39="",$B$2="",$D$2=0),0,IF(AW$3&lt;0,0,N(INDEX('CURVA PREVISION'!$A$1:$KZ$3000,$C39,10+3*MIN(AW$3,$D$2-1)))))</f>
        <v>61.92</v>
      </c>
      <c r="AX39" s="131" t="n">
        <f aca="false">IF(OR($C39="",$B$2="",$D$2=0),0,IF(AX$3&lt;0,0,N(INDEX('CURVA PREVISION'!$A$1:$KZ$3000,$C39,10+3*MIN(AX$3,$D$2-1)))))</f>
        <v>69.41</v>
      </c>
      <c r="AY39" s="131" t="n">
        <f aca="false">IF(OR($C39="",$B$2="",$D$2=0),0,IF(AY$3&lt;0,0,N(INDEX('CURVA PREVISION'!$A$1:$KZ$3000,$C39,10+3*MIN(AY$3,$D$2-1)))))</f>
        <v>76.93</v>
      </c>
      <c r="AZ39" s="131" t="n">
        <f aca="false">IF(OR($C39="",$B$2="",$D$2=0),0,IF(AZ$3&lt;0,0,N(INDEX('CURVA PREVISION'!$A$1:$KZ$3000,$C39,10+3*MIN(AZ$3,$D$2-1)))))</f>
        <v>81.96</v>
      </c>
      <c r="BA39" s="131" t="n">
        <f aca="false">IF(OR($C39="",$B$2="",$D$2=0),0,IF(BA$3&lt;0,0,N(INDEX('CURVA PREVISION'!$A$1:$KZ$3000,$C39,10+3*MIN(BA$3,$D$2-1)))))</f>
        <v>89.78</v>
      </c>
      <c r="BB39" s="131" t="n">
        <f aca="false">IF(OR($C39="",$B$2="",$D$2=0),0,IF(BB$3&lt;0,0,N(INDEX('CURVA PREVISION'!$A$1:$KZ$3000,$C39,10+3*MIN(BB$3,$D$2-1)))))</f>
        <v>95.38</v>
      </c>
      <c r="BC39" s="131" t="n">
        <f aca="false">IF(OR($C39="",$B$2="",$D$2=0),0,IF(BC$3&lt;0,0,N(INDEX('CURVA PREVISION'!$A$1:$KZ$3000,$C39,10+3*MIN(BC$3,$D$2-1)))))</f>
        <v>98.44</v>
      </c>
      <c r="BD39" s="131" t="n">
        <f aca="false">IF(OR($C39="",$B$2="",$D$2=0),0,IF(BD$3&lt;0,0,N(INDEX('CURVA PREVISION'!$A$1:$KZ$3000,$C39,10+3*MIN(BD$3,$D$2-1)))))</f>
        <v>98.46</v>
      </c>
      <c r="BE39" s="131" t="n">
        <f aca="false">IF(OR($C39="",$B$2="",$D$2=0),0,IF(BE$3&lt;0,0,N(INDEX('CURVA PREVISION'!$A$1:$KZ$3000,$C39,10+3*MIN(BE$3,$D$2-1)))))</f>
        <v>98.46</v>
      </c>
      <c r="BF39" s="131" t="n">
        <f aca="false">IF(OR($C39="",$B$2="",$D$2=0),0,IF(BF$3&lt;0,0,N(INDEX('CURVA PREVISION'!$A$1:$KZ$3000,$C39,10+3*MIN(BF$3,$D$2-1)))))</f>
        <v>98.46</v>
      </c>
      <c r="BG39" s="131" t="n">
        <f aca="false">IF(OR($C39="",$B$2="",$D$2=0),0,IF(BG$3&lt;0,0,N(INDEX('CURVA PREVISION'!$A$1:$KZ$3000,$C39,10+3*MIN(BG$3,$D$2-1)))))</f>
        <v>98.46</v>
      </c>
      <c r="BH39" s="131" t="n">
        <f aca="false">IF(OR($C39="",$B$2="",$D$2=0),0,IF(BH$3&lt;0,0,N(INDEX('CURVA PREVISION'!$A$1:$KZ$3000,$C39,10+3*MIN(BH$3,$D$2-1)))))</f>
        <v>98.46</v>
      </c>
      <c r="BI39" s="131" t="n">
        <f aca="false">IF(OR($C39="",$B$2="",$D$2=0),0,IF(BI$3&lt;0,0,N(INDEX('CURVA PREVISION'!$A$1:$KZ$3000,$C39,10+3*MIN(BI$3,$D$2-1)))))</f>
        <v>98.46</v>
      </c>
      <c r="BJ39" s="131" t="n">
        <f aca="false">IF(OR($C39="",$B$2="",$D$2=0),0,IF(BJ$3&lt;0,0,N(INDEX('CURVA PREVISION'!$A$1:$KZ$3000,$C39,10+3*MIN(BJ$3,$D$2-1)))))</f>
        <v>98.46</v>
      </c>
      <c r="BK39" s="131" t="n">
        <f aca="false">IF(OR($C39="",$B$2="",$D$2=0),0,IF(BK$3&lt;0,0,N(INDEX('CURVA PREVISION'!$A$1:$KZ$3000,$C39,10+3*MIN(BK$3,$D$2-1)))))</f>
        <v>98.46</v>
      </c>
      <c r="BL39" s="131" t="n">
        <f aca="false">IF(OR($C39="",$B$2="",$D$2=0),0,IF(BL$3&lt;0,0,N(INDEX('CURVA PREVISION'!$A$1:$KZ$3000,$C39,10+3*MIN(BL$3,$D$2-1)))))</f>
        <v>98.46</v>
      </c>
      <c r="BM39" s="131" t="n">
        <f aca="false">IF(OR($C39="",$B$2="",$D$2=0),0,IF(BM$3&lt;0,0,N(INDEX('CURVA PREVISION'!$A$1:$KZ$3000,$C39,10+3*MIN(BM$3,$D$2-1)))))</f>
        <v>98.46</v>
      </c>
      <c r="BN39" s="131" t="n">
        <f aca="false">IF(OR($C39="",$B$2="",$D$2=0),0,IF(BN$3&lt;0,0,N(INDEX('CURVA PREVISION'!$A$1:$KZ$3000,$C39,10+3*MIN(BN$3,$D$2-1)))))</f>
        <v>98.46</v>
      </c>
      <c r="BO39" s="131" t="n">
        <f aca="false">IF(OR($C39="",$B$2="",$D$2=0),0,IF(BO$3&lt;0,0,N(INDEX('CURVA PREVISION'!$A$1:$KZ$3000,$C39,10+3*MIN(BO$3,$D$2-1)))))</f>
        <v>98.46</v>
      </c>
      <c r="BP39" s="131" t="n">
        <f aca="false">IF(OR($C39="",$B$2="",$D$2=0),0,IF(BP$3&lt;0,0,N(INDEX('CURVA PREVISION'!$A$1:$KZ$3000,$C39,10+3*MIN(BP$3,$D$2-1)))))</f>
        <v>98.46</v>
      </c>
      <c r="BQ39" s="131" t="n">
        <f aca="false">IF(OR($C39="",$B$2="",$D$2=0),0,IF(BQ$3&lt;0,0,N(INDEX('CURVA PREVISION'!$A$1:$KZ$3000,$C39,10+3*MIN(BQ$3,$D$2-1)))))</f>
        <v>98.46</v>
      </c>
      <c r="BR39" s="131" t="n">
        <f aca="false">IF(OR($C39="",$B$2="",$D$2=0),0,IF(BR$3&lt;0,0,N(INDEX('CURVA PREVISION'!$A$1:$KZ$3000,$C39,10+3*MIN(BR$3,$D$2-1)))))</f>
        <v>98.46</v>
      </c>
      <c r="BS39" s="131" t="n">
        <f aca="false">IF(OR($C39="",$B$2="",$D$2=0),0,IF(BS$3&lt;0,0,N(INDEX('CURVA PREVISION'!$A$1:$KZ$3000,$C39,10+3*MIN(BS$3,$D$2-1)))))</f>
        <v>98.46</v>
      </c>
      <c r="BT39" s="131" t="n">
        <f aca="false">IF(OR($C39="",$B$2="",$D$2=0),0,IF(BT$3&lt;0,0,N(INDEX('CURVA PREVISION'!$A$1:$KZ$3000,$C39,10+3*MIN(BT$3,$D$2-1)))))</f>
        <v>98.46</v>
      </c>
      <c r="BU39" s="131" t="n">
        <f aca="false">IF(OR($C39="",$B$2="",$D$2=0),0,IF(BU$3&lt;0,0,N(INDEX('CURVA PREVISION'!$A$1:$KZ$3000,$C39,10+3*MIN(BU$3,$D$2-1)))))</f>
        <v>98.46</v>
      </c>
      <c r="BV39" s="131" t="n">
        <f aca="false">IF(OR($C39="",$B$2="",$D$2=0),0,IF(BV$3&lt;0,0,N(INDEX('CURVA PREVISION'!$A$1:$KZ$3000,$C39,10+3*MIN(BV$3,$D$2-1)))))</f>
        <v>98.46</v>
      </c>
      <c r="BW39" s="131" t="n">
        <f aca="false">IF(OR($C39="",$B$2="",$D$2=0),0,IF(BW$3&lt;0,0,N(INDEX('CURVA PREVISION'!$A$1:$KZ$3000,$C39,10+3*MIN(BW$3,$D$2-1)))))</f>
        <v>98.46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PAISAGISMO</v>
      </c>
      <c r="C40" s="64" t="n">
        <f aca="false">IFERROR(MATCH(A40,'CURVA PREVISION'!$B$1:$B$3000,0),"")</f>
        <v>919</v>
      </c>
      <c r="D40" s="131" t="n">
        <f aca="false">IF(OR($C40="",$B$2="",$D$2=0),0,IF(D$3&lt;0,0,N(INDEX('CURVA PREVISION'!$A$1:$KZ$3000,$C40,10+3*MIN(D$3,$D$2-1)))))</f>
        <v>0</v>
      </c>
      <c r="E40" s="131" t="n">
        <f aca="false">IF(OR($C40="",$B$2="",$D$2=0),0,IF(E$3&lt;0,0,N(INDEX('CURVA PREVISION'!$A$1:$KZ$3000,$C40,10+3*MIN(E$3,$D$2-1)))))</f>
        <v>0</v>
      </c>
      <c r="F40" s="131" t="n">
        <f aca="false">IF(OR($C40="",$B$2="",$D$2=0),0,IF(F$3&lt;0,0,N(INDEX('CURVA PREVISION'!$A$1:$KZ$3000,$C40,10+3*MIN(F$3,$D$2-1)))))</f>
        <v>0</v>
      </c>
      <c r="G40" s="131" t="n">
        <f aca="false">IF(OR($C40="",$B$2="",$D$2=0),0,IF(G$3&lt;0,0,N(INDEX('CURVA PREVISION'!$A$1:$KZ$3000,$C40,10+3*MIN(G$3,$D$2-1)))))</f>
        <v>0</v>
      </c>
      <c r="H40" s="131" t="n">
        <f aca="false">IF(OR($C40="",$B$2="",$D$2=0),0,IF(H$3&lt;0,0,N(INDEX('CURVA PREVISION'!$A$1:$KZ$3000,$C40,10+3*MIN(H$3,$D$2-1)))))</f>
        <v>0</v>
      </c>
      <c r="I40" s="131" t="n">
        <f aca="false">IF(OR($C40="",$B$2="",$D$2=0),0,IF(I$3&lt;0,0,N(INDEX('CURVA PREVISION'!$A$1:$KZ$3000,$C40,10+3*MIN(I$3,$D$2-1)))))</f>
        <v>0</v>
      </c>
      <c r="J40" s="131" t="n">
        <f aca="false">IF(OR($C40="",$B$2="",$D$2=0),0,IF(J$3&lt;0,0,N(INDEX('CURVA PREVISION'!$A$1:$KZ$3000,$C40,10+3*MIN(J$3,$D$2-1)))))</f>
        <v>0</v>
      </c>
      <c r="K40" s="131" t="n">
        <f aca="false">IF(OR($C40="",$B$2="",$D$2=0),0,IF(K$3&lt;0,0,N(INDEX('CURVA PREVISION'!$A$1:$KZ$3000,$C40,10+3*MIN(K$3,$D$2-1)))))</f>
        <v>0</v>
      </c>
      <c r="L40" s="131" t="n">
        <f aca="false">IF(OR($C40="",$B$2="",$D$2=0),0,IF(L$3&lt;0,0,N(INDEX('CURVA PREVISION'!$A$1:$KZ$3000,$C40,10+3*MIN(L$3,$D$2-1)))))</f>
        <v>0</v>
      </c>
      <c r="M40" s="131" t="n">
        <f aca="false">IF(OR($C40="",$B$2="",$D$2=0),0,IF(M$3&lt;0,0,N(INDEX('CURVA PREVISION'!$A$1:$KZ$3000,$C40,10+3*MIN(M$3,$D$2-1)))))</f>
        <v>0</v>
      </c>
      <c r="N40" s="131" t="n">
        <f aca="false">IF(OR($C40="",$B$2="",$D$2=0),0,IF(N$3&lt;0,0,N(INDEX('CURVA PREVISION'!$A$1:$KZ$3000,$C40,10+3*MIN(N$3,$D$2-1)))))</f>
        <v>0</v>
      </c>
      <c r="O40" s="131" t="n">
        <f aca="false">IF(OR($C40="",$B$2="",$D$2=0),0,IF(O$3&lt;0,0,N(INDEX('CURVA PREVISION'!$A$1:$KZ$3000,$C40,10+3*MIN(O$3,$D$2-1)))))</f>
        <v>0</v>
      </c>
      <c r="P40" s="131" t="n">
        <f aca="false">IF(OR($C40="",$B$2="",$D$2=0),0,IF(P$3&lt;0,0,N(INDEX('CURVA PREVISION'!$A$1:$KZ$3000,$C40,10+3*MIN(P$3,$D$2-1)))))</f>
        <v>0</v>
      </c>
      <c r="Q40" s="131" t="n">
        <f aca="false">IF(OR($C40="",$B$2="",$D$2=0),0,IF(Q$3&lt;0,0,N(INDEX('CURVA PREVISION'!$A$1:$KZ$3000,$C40,10+3*MIN(Q$3,$D$2-1)))))</f>
        <v>0</v>
      </c>
      <c r="R40" s="131" t="n">
        <f aca="false">IF(OR($C40="",$B$2="",$D$2=0),0,IF(R$3&lt;0,0,N(INDEX('CURVA PREVISION'!$A$1:$KZ$3000,$C40,10+3*MIN(R$3,$D$2-1)))))</f>
        <v>0</v>
      </c>
      <c r="S40" s="131" t="n">
        <f aca="false">IF(OR($C40="",$B$2="",$D$2=0),0,IF(S$3&lt;0,0,N(INDEX('CURVA PREVISION'!$A$1:$KZ$3000,$C40,10+3*MIN(S$3,$D$2-1)))))</f>
        <v>0</v>
      </c>
      <c r="T40" s="131" t="n">
        <f aca="false">IF(OR($C40="",$B$2="",$D$2=0),0,IF(T$3&lt;0,0,N(INDEX('CURVA PREVISION'!$A$1:$KZ$3000,$C40,10+3*MIN(T$3,$D$2-1)))))</f>
        <v>0</v>
      </c>
      <c r="U40" s="131" t="n">
        <f aca="false">IF(OR($C40="",$B$2="",$D$2=0),0,IF(U$3&lt;0,0,N(INDEX('CURVA PREVISION'!$A$1:$KZ$3000,$C40,10+3*MIN(U$3,$D$2-1)))))</f>
        <v>0</v>
      </c>
      <c r="V40" s="131" t="n">
        <f aca="false">IF(OR($C40="",$B$2="",$D$2=0),0,IF(V$3&lt;0,0,N(INDEX('CURVA PREVISION'!$A$1:$KZ$3000,$C40,10+3*MIN(V$3,$D$2-1)))))</f>
        <v>0</v>
      </c>
      <c r="W40" s="131" t="n">
        <f aca="false">IF(OR($C40="",$B$2="",$D$2=0),0,IF(W$3&lt;0,0,N(INDEX('CURVA PREVISION'!$A$1:$KZ$3000,$C40,10+3*MIN(W$3,$D$2-1)))))</f>
        <v>0</v>
      </c>
      <c r="X40" s="131" t="n">
        <f aca="false">IF(OR($C40="",$B$2="",$D$2=0),0,IF(X$3&lt;0,0,N(INDEX('CURVA PREVISION'!$A$1:$KZ$3000,$C40,10+3*MIN(X$3,$D$2-1)))))</f>
        <v>0</v>
      </c>
      <c r="Y40" s="131" t="n">
        <f aca="false">IF(OR($C40="",$B$2="",$D$2=0),0,IF(Y$3&lt;0,0,N(INDEX('CURVA PREVISION'!$A$1:$KZ$3000,$C40,10+3*MIN(Y$3,$D$2-1)))))</f>
        <v>0</v>
      </c>
      <c r="Z40" s="131" t="n">
        <f aca="false">IF(OR($C40="",$B$2="",$D$2=0),0,IF(Z$3&lt;0,0,N(INDEX('CURVA PREVISION'!$A$1:$KZ$3000,$C40,10+3*MIN(Z$3,$D$2-1)))))</f>
        <v>0</v>
      </c>
      <c r="AA40" s="131" t="n">
        <f aca="false">IF(OR($C40="",$B$2="",$D$2=0),0,IF(AA$3&lt;0,0,N(INDEX('CURVA PREVISION'!$A$1:$KZ$3000,$C40,10+3*MIN(AA$3,$D$2-1)))))</f>
        <v>0</v>
      </c>
      <c r="AB40" s="131" t="n">
        <f aca="false">IF(OR($C40="",$B$2="",$D$2=0),0,IF(AB$3&lt;0,0,N(INDEX('CURVA PREVISION'!$A$1:$KZ$3000,$C40,10+3*MIN(AB$3,$D$2-1)))))</f>
        <v>0</v>
      </c>
      <c r="AC40" s="131" t="n">
        <f aca="false">IF(OR($C40="",$B$2="",$D$2=0),0,IF(AC$3&lt;0,0,N(INDEX('CURVA PREVISION'!$A$1:$KZ$3000,$C40,10+3*MIN(AC$3,$D$2-1)))))</f>
        <v>0</v>
      </c>
      <c r="AD40" s="131" t="n">
        <f aca="false">IF(OR($C40="",$B$2="",$D$2=0),0,IF(AD$3&lt;0,0,N(INDEX('CURVA PREVISION'!$A$1:$KZ$3000,$C40,10+3*MIN(AD$3,$D$2-1)))))</f>
        <v>0</v>
      </c>
      <c r="AE40" s="131" t="n">
        <f aca="false">IF(OR($C40="",$B$2="",$D$2=0),0,IF(AE$3&lt;0,0,N(INDEX('CURVA PREVISION'!$A$1:$KZ$3000,$C40,10+3*MIN(AE$3,$D$2-1)))))</f>
        <v>0</v>
      </c>
      <c r="AF40" s="131" t="n">
        <f aca="false">IF(OR($C40="",$B$2="",$D$2=0),0,IF(AF$3&lt;0,0,N(INDEX('CURVA PREVISION'!$A$1:$KZ$3000,$C40,10+3*MIN(AF$3,$D$2-1)))))</f>
        <v>0</v>
      </c>
      <c r="AG40" s="131" t="n">
        <f aca="false">IF(OR($C40="",$B$2="",$D$2=0),0,IF(AG$3&lt;0,0,N(INDEX('CURVA PREVISION'!$A$1:$KZ$3000,$C40,10+3*MIN(AG$3,$D$2-1)))))</f>
        <v>0</v>
      </c>
      <c r="AH40" s="131" t="n">
        <f aca="false">IF(OR($C40="",$B$2="",$D$2=0),0,IF(AH$3&lt;0,0,N(INDEX('CURVA PREVISION'!$A$1:$KZ$3000,$C40,10+3*MIN(AH$3,$D$2-1)))))</f>
        <v>0</v>
      </c>
      <c r="AI40" s="131" t="n">
        <f aca="false">IF(OR($C40="",$B$2="",$D$2=0),0,IF(AI$3&lt;0,0,N(INDEX('CURVA PREVISION'!$A$1:$KZ$3000,$C40,10+3*MIN(AI$3,$D$2-1)))))</f>
        <v>0</v>
      </c>
      <c r="AJ40" s="131" t="n">
        <f aca="false">IF(OR($C40="",$B$2="",$D$2=0),0,IF(AJ$3&lt;0,0,N(INDEX('CURVA PREVISION'!$A$1:$KZ$3000,$C40,10+3*MIN(AJ$3,$D$2-1)))))</f>
        <v>0</v>
      </c>
      <c r="AK40" s="131" t="n">
        <f aca="false">IF(OR($C40="",$B$2="",$D$2=0),0,IF(AK$3&lt;0,0,N(INDEX('CURVA PREVISION'!$A$1:$KZ$3000,$C40,10+3*MIN(AK$3,$D$2-1)))))</f>
        <v>0</v>
      </c>
      <c r="AL40" s="131" t="n">
        <f aca="false">IF(OR($C40="",$B$2="",$D$2=0),0,IF(AL$3&lt;0,0,N(INDEX('CURVA PREVISION'!$A$1:$KZ$3000,$C40,10+3*MIN(AL$3,$D$2-1)))))</f>
        <v>0</v>
      </c>
      <c r="AM40" s="131" t="n">
        <f aca="false">IF(OR($C40="",$B$2="",$D$2=0),0,IF(AM$3&lt;0,0,N(INDEX('CURVA PREVISION'!$A$1:$KZ$3000,$C40,10+3*MIN(AM$3,$D$2-1)))))</f>
        <v>0</v>
      </c>
      <c r="AN40" s="131" t="n">
        <f aca="false">IF(OR($C40="",$B$2="",$D$2=0),0,IF(AN$3&lt;0,0,N(INDEX('CURVA PREVISION'!$A$1:$KZ$3000,$C40,10+3*MIN(AN$3,$D$2-1)))))</f>
        <v>0</v>
      </c>
      <c r="AO40" s="131" t="n">
        <f aca="false">IF(OR($C40="",$B$2="",$D$2=0),0,IF(AO$3&lt;0,0,N(INDEX('CURVA PREVISION'!$A$1:$KZ$3000,$C40,10+3*MIN(AO$3,$D$2-1)))))</f>
        <v>0</v>
      </c>
      <c r="AP40" s="131" t="n">
        <f aca="false">IF(OR($C40="",$B$2="",$D$2=0),0,IF(AP$3&lt;0,0,N(INDEX('CURVA PREVISION'!$A$1:$KZ$3000,$C40,10+3*MIN(AP$3,$D$2-1)))))</f>
        <v>0</v>
      </c>
      <c r="AQ40" s="131" t="n">
        <f aca="false">IF(OR($C40="",$B$2="",$D$2=0),0,IF(AQ$3&lt;0,0,N(INDEX('CURVA PREVISION'!$A$1:$KZ$3000,$C40,10+3*MIN(AQ$3,$D$2-1)))))</f>
        <v>0</v>
      </c>
      <c r="AR40" s="131" t="n">
        <f aca="false">IF(OR($C40="",$B$2="",$D$2=0),0,IF(AR$3&lt;0,0,N(INDEX('CURVA PREVISION'!$A$1:$KZ$3000,$C40,10+3*MIN(AR$3,$D$2-1)))))</f>
        <v>0</v>
      </c>
      <c r="AS40" s="131" t="n">
        <f aca="false">IF(OR($C40="",$B$2="",$D$2=0),0,IF(AS$3&lt;0,0,N(INDEX('CURVA PREVISION'!$A$1:$KZ$3000,$C40,10+3*MIN(AS$3,$D$2-1)))))</f>
        <v>0</v>
      </c>
      <c r="AT40" s="131" t="n">
        <f aca="false">IF(OR($C40="",$B$2="",$D$2=0),0,IF(AT$3&lt;0,0,N(INDEX('CURVA PREVISION'!$A$1:$KZ$3000,$C40,10+3*MIN(AT$3,$D$2-1)))))</f>
        <v>0</v>
      </c>
      <c r="AU40" s="131" t="n">
        <f aca="false">IF(OR($C40="",$B$2="",$D$2=0),0,IF(AU$3&lt;0,0,N(INDEX('CURVA PREVISION'!$A$1:$KZ$3000,$C40,10+3*MIN(AU$3,$D$2-1)))))</f>
        <v>23.66</v>
      </c>
      <c r="AV40" s="131" t="n">
        <f aca="false">IF(OR($C40="",$B$2="",$D$2=0),0,IF(AV$3&lt;0,0,N(INDEX('CURVA PREVISION'!$A$1:$KZ$3000,$C40,10+3*MIN(AV$3,$D$2-1)))))</f>
        <v>56.37</v>
      </c>
      <c r="AW40" s="131" t="n">
        <f aca="false">IF(OR($C40="",$B$2="",$D$2=0),0,IF(AW$3&lt;0,0,N(INDEX('CURVA PREVISION'!$A$1:$KZ$3000,$C40,10+3*MIN(AW$3,$D$2-1)))))</f>
        <v>70.83</v>
      </c>
      <c r="AX40" s="131" t="n">
        <f aca="false">IF(OR($C40="",$B$2="",$D$2=0),0,IF(AX$3&lt;0,0,N(INDEX('CURVA PREVISION'!$A$1:$KZ$3000,$C40,10+3*MIN(AX$3,$D$2-1)))))</f>
        <v>89.09</v>
      </c>
      <c r="AY40" s="131" t="n">
        <f aca="false">IF(OR($C40="",$B$2="",$D$2=0),0,IF(AY$3&lt;0,0,N(INDEX('CURVA PREVISION'!$A$1:$KZ$3000,$C40,10+3*MIN(AY$3,$D$2-1)))))</f>
        <v>98.1</v>
      </c>
      <c r="AZ40" s="131" t="n">
        <f aca="false">IF(OR($C40="",$B$2="",$D$2=0),0,IF(AZ$3&lt;0,0,N(INDEX('CURVA PREVISION'!$A$1:$KZ$3000,$C40,10+3*MIN(AZ$3,$D$2-1)))))</f>
        <v>100</v>
      </c>
      <c r="BA40" s="131" t="n">
        <f aca="false">IF(OR($C40="",$B$2="",$D$2=0),0,IF(BA$3&lt;0,0,N(INDEX('CURVA PREVISION'!$A$1:$KZ$3000,$C40,10+3*MIN(BA$3,$D$2-1)))))</f>
        <v>100</v>
      </c>
      <c r="BB40" s="131" t="n">
        <f aca="false">IF(OR($C40="",$B$2="",$D$2=0),0,IF(BB$3&lt;0,0,N(INDEX('CURVA PREVISION'!$A$1:$KZ$3000,$C40,10+3*MIN(BB$3,$D$2-1)))))</f>
        <v>100</v>
      </c>
      <c r="BC40" s="131" t="n">
        <f aca="false">IF(OR($C40="",$B$2="",$D$2=0),0,IF(BC$3&lt;0,0,N(INDEX('CURVA PREVISION'!$A$1:$KZ$3000,$C40,10+3*MIN(BC$3,$D$2-1)))))</f>
        <v>100</v>
      </c>
      <c r="BD40" s="131" t="n">
        <f aca="false">IF(OR($C40="",$B$2="",$D$2=0),0,IF(BD$3&lt;0,0,N(INDEX('CURVA PREVISION'!$A$1:$KZ$3000,$C40,10+3*MIN(BD$3,$D$2-1)))))</f>
        <v>100</v>
      </c>
      <c r="BE40" s="131" t="n">
        <f aca="false">IF(OR($C40="",$B$2="",$D$2=0),0,IF(BE$3&lt;0,0,N(INDEX('CURVA PREVISION'!$A$1:$KZ$3000,$C40,10+3*MIN(BE$3,$D$2-1)))))</f>
        <v>100</v>
      </c>
      <c r="BF40" s="131" t="n">
        <f aca="false">IF(OR($C40="",$B$2="",$D$2=0),0,IF(BF$3&lt;0,0,N(INDEX('CURVA PREVISION'!$A$1:$KZ$3000,$C40,10+3*MIN(BF$3,$D$2-1)))))</f>
        <v>100</v>
      </c>
      <c r="BG40" s="131" t="n">
        <f aca="false">IF(OR($C40="",$B$2="",$D$2=0),0,IF(BG$3&lt;0,0,N(INDEX('CURVA PREVISION'!$A$1:$KZ$3000,$C40,10+3*MIN(BG$3,$D$2-1)))))</f>
        <v>100</v>
      </c>
      <c r="BH40" s="131" t="n">
        <f aca="false">IF(OR($C40="",$B$2="",$D$2=0),0,IF(BH$3&lt;0,0,N(INDEX('CURVA PREVISION'!$A$1:$KZ$3000,$C40,10+3*MIN(BH$3,$D$2-1)))))</f>
        <v>100</v>
      </c>
      <c r="BI40" s="131" t="n">
        <f aca="false">IF(OR($C40="",$B$2="",$D$2=0),0,IF(BI$3&lt;0,0,N(INDEX('CURVA PREVISION'!$A$1:$KZ$3000,$C40,10+3*MIN(BI$3,$D$2-1)))))</f>
        <v>100</v>
      </c>
      <c r="BJ40" s="131" t="n">
        <f aca="false">IF(OR($C40="",$B$2="",$D$2=0),0,IF(BJ$3&lt;0,0,N(INDEX('CURVA PREVISION'!$A$1:$KZ$3000,$C40,10+3*MIN(BJ$3,$D$2-1)))))</f>
        <v>100</v>
      </c>
      <c r="BK40" s="131" t="n">
        <f aca="false">IF(OR($C40="",$B$2="",$D$2=0),0,IF(BK$3&lt;0,0,N(INDEX('CURVA PREVISION'!$A$1:$KZ$3000,$C40,10+3*MIN(BK$3,$D$2-1)))))</f>
        <v>100</v>
      </c>
      <c r="BL40" s="131" t="n">
        <f aca="false">IF(OR($C40="",$B$2="",$D$2=0),0,IF(BL$3&lt;0,0,N(INDEX('CURVA PREVISION'!$A$1:$KZ$3000,$C40,10+3*MIN(BL$3,$D$2-1)))))</f>
        <v>100</v>
      </c>
      <c r="BM40" s="131" t="n">
        <f aca="false">IF(OR($C40="",$B$2="",$D$2=0),0,IF(BM$3&lt;0,0,N(INDEX('CURVA PREVISION'!$A$1:$KZ$3000,$C40,10+3*MIN(BM$3,$D$2-1)))))</f>
        <v>100</v>
      </c>
      <c r="BN40" s="131" t="n">
        <f aca="false">IF(OR($C40="",$B$2="",$D$2=0),0,IF(BN$3&lt;0,0,N(INDEX('CURVA PREVISION'!$A$1:$KZ$3000,$C40,10+3*MIN(BN$3,$D$2-1)))))</f>
        <v>100</v>
      </c>
      <c r="BO40" s="131" t="n">
        <f aca="false">IF(OR($C40="",$B$2="",$D$2=0),0,IF(BO$3&lt;0,0,N(INDEX('CURVA PREVISION'!$A$1:$KZ$3000,$C40,10+3*MIN(BO$3,$D$2-1)))))</f>
        <v>100</v>
      </c>
      <c r="BP40" s="131" t="n">
        <f aca="false">IF(OR($C40="",$B$2="",$D$2=0),0,IF(BP$3&lt;0,0,N(INDEX('CURVA PREVISION'!$A$1:$KZ$3000,$C40,10+3*MIN(BP$3,$D$2-1)))))</f>
        <v>100</v>
      </c>
      <c r="BQ40" s="131" t="n">
        <f aca="false">IF(OR($C40="",$B$2="",$D$2=0),0,IF(BQ$3&lt;0,0,N(INDEX('CURVA PREVISION'!$A$1:$KZ$3000,$C40,10+3*MIN(BQ$3,$D$2-1)))))</f>
        <v>100</v>
      </c>
      <c r="BR40" s="131" t="n">
        <f aca="false">IF(OR($C40="",$B$2="",$D$2=0),0,IF(BR$3&lt;0,0,N(INDEX('CURVA PREVISION'!$A$1:$KZ$3000,$C40,10+3*MIN(BR$3,$D$2-1)))))</f>
        <v>100</v>
      </c>
      <c r="BS40" s="131" t="n">
        <f aca="false">IF(OR($C40="",$B$2="",$D$2=0),0,IF(BS$3&lt;0,0,N(INDEX('CURVA PREVISION'!$A$1:$KZ$3000,$C40,10+3*MIN(BS$3,$D$2-1)))))</f>
        <v>100</v>
      </c>
      <c r="BT40" s="131" t="n">
        <f aca="false">IF(OR($C40="",$B$2="",$D$2=0),0,IF(BT$3&lt;0,0,N(INDEX('CURVA PREVISION'!$A$1:$KZ$3000,$C40,10+3*MIN(BT$3,$D$2-1)))))</f>
        <v>100</v>
      </c>
      <c r="BU40" s="131" t="n">
        <f aca="false">IF(OR($C40="",$B$2="",$D$2=0),0,IF(BU$3&lt;0,0,N(INDEX('CURVA PREVISION'!$A$1:$KZ$3000,$C40,10+3*MIN(BU$3,$D$2-1)))))</f>
        <v>100</v>
      </c>
      <c r="BV40" s="131" t="n">
        <f aca="false">IF(OR($C40="",$B$2="",$D$2=0),0,IF(BV$3&lt;0,0,N(INDEX('CURVA PREVISION'!$A$1:$KZ$3000,$C40,10+3*MIN(BV$3,$D$2-1)))))</f>
        <v>100</v>
      </c>
      <c r="BW40" s="131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927</v>
      </c>
      <c r="D41" s="131" t="n">
        <f aca="false">IF(OR($C41="",$B$2="",$D$2=0),0,IF(D$3&lt;0,0,N(INDEX('CURVA PREVISION'!$A$1:$KZ$3000,$C41,10+3*MIN(D$3,$D$2-1)))))</f>
        <v>0</v>
      </c>
      <c r="E41" s="131" t="n">
        <f aca="false">IF(OR($C41="",$B$2="",$D$2=0),0,IF(E$3&lt;0,0,N(INDEX('CURVA PREVISION'!$A$1:$KZ$3000,$C41,10+3*MIN(E$3,$D$2-1)))))</f>
        <v>0</v>
      </c>
      <c r="F41" s="131" t="n">
        <f aca="false">IF(OR($C41="",$B$2="",$D$2=0),0,IF(F$3&lt;0,0,N(INDEX('CURVA PREVISION'!$A$1:$KZ$3000,$C41,10+3*MIN(F$3,$D$2-1)))))</f>
        <v>0</v>
      </c>
      <c r="G41" s="131" t="n">
        <f aca="false">IF(OR($C41="",$B$2="",$D$2=0),0,IF(G$3&lt;0,0,N(INDEX('CURVA PREVISION'!$A$1:$KZ$3000,$C41,10+3*MIN(G$3,$D$2-1)))))</f>
        <v>0</v>
      </c>
      <c r="H41" s="131" t="n">
        <f aca="false">IF(OR($C41="",$B$2="",$D$2=0),0,IF(H$3&lt;0,0,N(INDEX('CURVA PREVISION'!$A$1:$KZ$3000,$C41,10+3*MIN(H$3,$D$2-1)))))</f>
        <v>0</v>
      </c>
      <c r="I41" s="131" t="n">
        <f aca="false">IF(OR($C41="",$B$2="",$D$2=0),0,IF(I$3&lt;0,0,N(INDEX('CURVA PREVISION'!$A$1:$KZ$3000,$C41,10+3*MIN(I$3,$D$2-1)))))</f>
        <v>0</v>
      </c>
      <c r="J41" s="131" t="n">
        <f aca="false">IF(OR($C41="",$B$2="",$D$2=0),0,IF(J$3&lt;0,0,N(INDEX('CURVA PREVISION'!$A$1:$KZ$3000,$C41,10+3*MIN(J$3,$D$2-1)))))</f>
        <v>0</v>
      </c>
      <c r="K41" s="131" t="n">
        <f aca="false">IF(OR($C41="",$B$2="",$D$2=0),0,IF(K$3&lt;0,0,N(INDEX('CURVA PREVISION'!$A$1:$KZ$3000,$C41,10+3*MIN(K$3,$D$2-1)))))</f>
        <v>0</v>
      </c>
      <c r="L41" s="131" t="n">
        <f aca="false">IF(OR($C41="",$B$2="",$D$2=0),0,IF(L$3&lt;0,0,N(INDEX('CURVA PREVISION'!$A$1:$KZ$3000,$C41,10+3*MIN(L$3,$D$2-1)))))</f>
        <v>0</v>
      </c>
      <c r="M41" s="131" t="n">
        <f aca="false">IF(OR($C41="",$B$2="",$D$2=0),0,IF(M$3&lt;0,0,N(INDEX('CURVA PREVISION'!$A$1:$KZ$3000,$C41,10+3*MIN(M$3,$D$2-1)))))</f>
        <v>0</v>
      </c>
      <c r="N41" s="131" t="n">
        <f aca="false">IF(OR($C41="",$B$2="",$D$2=0),0,IF(N$3&lt;0,0,N(INDEX('CURVA PREVISION'!$A$1:$KZ$3000,$C41,10+3*MIN(N$3,$D$2-1)))))</f>
        <v>0</v>
      </c>
      <c r="O41" s="131" t="n">
        <f aca="false">IF(OR($C41="",$B$2="",$D$2=0),0,IF(O$3&lt;0,0,N(INDEX('CURVA PREVISION'!$A$1:$KZ$3000,$C41,10+3*MIN(O$3,$D$2-1)))))</f>
        <v>0</v>
      </c>
      <c r="P41" s="131" t="n">
        <f aca="false">IF(OR($C41="",$B$2="",$D$2=0),0,IF(P$3&lt;0,0,N(INDEX('CURVA PREVISION'!$A$1:$KZ$3000,$C41,10+3*MIN(P$3,$D$2-1)))))</f>
        <v>0</v>
      </c>
      <c r="Q41" s="131" t="n">
        <f aca="false">IF(OR($C41="",$B$2="",$D$2=0),0,IF(Q$3&lt;0,0,N(INDEX('CURVA PREVISION'!$A$1:$KZ$3000,$C41,10+3*MIN(Q$3,$D$2-1)))))</f>
        <v>0</v>
      </c>
      <c r="R41" s="131" t="n">
        <f aca="false">IF(OR($C41="",$B$2="",$D$2=0),0,IF(R$3&lt;0,0,N(INDEX('CURVA PREVISION'!$A$1:$KZ$3000,$C41,10+3*MIN(R$3,$D$2-1)))))</f>
        <v>0</v>
      </c>
      <c r="S41" s="131" t="n">
        <f aca="false">IF(OR($C41="",$B$2="",$D$2=0),0,IF(S$3&lt;0,0,N(INDEX('CURVA PREVISION'!$A$1:$KZ$3000,$C41,10+3*MIN(S$3,$D$2-1)))))</f>
        <v>0</v>
      </c>
      <c r="T41" s="131" t="n">
        <f aca="false">IF(OR($C41="",$B$2="",$D$2=0),0,IF(T$3&lt;0,0,N(INDEX('CURVA PREVISION'!$A$1:$KZ$3000,$C41,10+3*MIN(T$3,$D$2-1)))))</f>
        <v>0</v>
      </c>
      <c r="U41" s="131" t="n">
        <f aca="false">IF(OR($C41="",$B$2="",$D$2=0),0,IF(U$3&lt;0,0,N(INDEX('CURVA PREVISION'!$A$1:$KZ$3000,$C41,10+3*MIN(U$3,$D$2-1)))))</f>
        <v>0</v>
      </c>
      <c r="V41" s="131" t="n">
        <f aca="false">IF(OR($C41="",$B$2="",$D$2=0),0,IF(V$3&lt;0,0,N(INDEX('CURVA PREVISION'!$A$1:$KZ$3000,$C41,10+3*MIN(V$3,$D$2-1)))))</f>
        <v>0</v>
      </c>
      <c r="W41" s="131" t="n">
        <f aca="false">IF(OR($C41="",$B$2="",$D$2=0),0,IF(W$3&lt;0,0,N(INDEX('CURVA PREVISION'!$A$1:$KZ$3000,$C41,10+3*MIN(W$3,$D$2-1)))))</f>
        <v>0</v>
      </c>
      <c r="X41" s="131" t="n">
        <f aca="false">IF(OR($C41="",$B$2="",$D$2=0),0,IF(X$3&lt;0,0,N(INDEX('CURVA PREVISION'!$A$1:$KZ$3000,$C41,10+3*MIN(X$3,$D$2-1)))))</f>
        <v>0</v>
      </c>
      <c r="Y41" s="131" t="n">
        <f aca="false">IF(OR($C41="",$B$2="",$D$2=0),0,IF(Y$3&lt;0,0,N(INDEX('CURVA PREVISION'!$A$1:$KZ$3000,$C41,10+3*MIN(Y$3,$D$2-1)))))</f>
        <v>0</v>
      </c>
      <c r="Z41" s="131" t="n">
        <f aca="false">IF(OR($C41="",$B$2="",$D$2=0),0,IF(Z$3&lt;0,0,N(INDEX('CURVA PREVISION'!$A$1:$KZ$3000,$C41,10+3*MIN(Z$3,$D$2-1)))))</f>
        <v>0</v>
      </c>
      <c r="AA41" s="131" t="n">
        <f aca="false">IF(OR($C41="",$B$2="",$D$2=0),0,IF(AA$3&lt;0,0,N(INDEX('CURVA PREVISION'!$A$1:$KZ$3000,$C41,10+3*MIN(AA$3,$D$2-1)))))</f>
        <v>0</v>
      </c>
      <c r="AB41" s="131" t="n">
        <f aca="false">IF(OR($C41="",$B$2="",$D$2=0),0,IF(AB$3&lt;0,0,N(INDEX('CURVA PREVISION'!$A$1:$KZ$3000,$C41,10+3*MIN(AB$3,$D$2-1)))))</f>
        <v>0</v>
      </c>
      <c r="AC41" s="131" t="n">
        <f aca="false">IF(OR($C41="",$B$2="",$D$2=0),0,IF(AC$3&lt;0,0,N(INDEX('CURVA PREVISION'!$A$1:$KZ$3000,$C41,10+3*MIN(AC$3,$D$2-1)))))</f>
        <v>0</v>
      </c>
      <c r="AD41" s="131" t="n">
        <f aca="false">IF(OR($C41="",$B$2="",$D$2=0),0,IF(AD$3&lt;0,0,N(INDEX('CURVA PREVISION'!$A$1:$KZ$3000,$C41,10+3*MIN(AD$3,$D$2-1)))))</f>
        <v>0</v>
      </c>
      <c r="AE41" s="131" t="n">
        <f aca="false">IF(OR($C41="",$B$2="",$D$2=0),0,IF(AE$3&lt;0,0,N(INDEX('CURVA PREVISION'!$A$1:$KZ$3000,$C41,10+3*MIN(AE$3,$D$2-1)))))</f>
        <v>0</v>
      </c>
      <c r="AF41" s="131" t="n">
        <f aca="false">IF(OR($C41="",$B$2="",$D$2=0),0,IF(AF$3&lt;0,0,N(INDEX('CURVA PREVISION'!$A$1:$KZ$3000,$C41,10+3*MIN(AF$3,$D$2-1)))))</f>
        <v>0</v>
      </c>
      <c r="AG41" s="131" t="n">
        <f aca="false">IF(OR($C41="",$B$2="",$D$2=0),0,IF(AG$3&lt;0,0,N(INDEX('CURVA PREVISION'!$A$1:$KZ$3000,$C41,10+3*MIN(AG$3,$D$2-1)))))</f>
        <v>0</v>
      </c>
      <c r="AH41" s="131" t="n">
        <f aca="false">IF(OR($C41="",$B$2="",$D$2=0),0,IF(AH$3&lt;0,0,N(INDEX('CURVA PREVISION'!$A$1:$KZ$3000,$C41,10+3*MIN(AH$3,$D$2-1)))))</f>
        <v>0</v>
      </c>
      <c r="AI41" s="131" t="n">
        <f aca="false">IF(OR($C41="",$B$2="",$D$2=0),0,IF(AI$3&lt;0,0,N(INDEX('CURVA PREVISION'!$A$1:$KZ$3000,$C41,10+3*MIN(AI$3,$D$2-1)))))</f>
        <v>0</v>
      </c>
      <c r="AJ41" s="131" t="n">
        <f aca="false">IF(OR($C41="",$B$2="",$D$2=0),0,IF(AJ$3&lt;0,0,N(INDEX('CURVA PREVISION'!$A$1:$KZ$3000,$C41,10+3*MIN(AJ$3,$D$2-1)))))</f>
        <v>0</v>
      </c>
      <c r="AK41" s="131" t="n">
        <f aca="false">IF(OR($C41="",$B$2="",$D$2=0),0,IF(AK$3&lt;0,0,N(INDEX('CURVA PREVISION'!$A$1:$KZ$3000,$C41,10+3*MIN(AK$3,$D$2-1)))))</f>
        <v>0</v>
      </c>
      <c r="AL41" s="131" t="n">
        <f aca="false">IF(OR($C41="",$B$2="",$D$2=0),0,IF(AL$3&lt;0,0,N(INDEX('CURVA PREVISION'!$A$1:$KZ$3000,$C41,10+3*MIN(AL$3,$D$2-1)))))</f>
        <v>0</v>
      </c>
      <c r="AM41" s="131" t="n">
        <f aca="false">IF(OR($C41="",$B$2="",$D$2=0),0,IF(AM$3&lt;0,0,N(INDEX('CURVA PREVISION'!$A$1:$KZ$3000,$C41,10+3*MIN(AM$3,$D$2-1)))))</f>
        <v>0</v>
      </c>
      <c r="AN41" s="131" t="n">
        <f aca="false">IF(OR($C41="",$B$2="",$D$2=0),0,IF(AN$3&lt;0,0,N(INDEX('CURVA PREVISION'!$A$1:$KZ$3000,$C41,10+3*MIN(AN$3,$D$2-1)))))</f>
        <v>0</v>
      </c>
      <c r="AO41" s="131" t="n">
        <f aca="false">IF(OR($C41="",$B$2="",$D$2=0),0,IF(AO$3&lt;0,0,N(INDEX('CURVA PREVISION'!$A$1:$KZ$3000,$C41,10+3*MIN(AO$3,$D$2-1)))))</f>
        <v>0</v>
      </c>
      <c r="AP41" s="131" t="n">
        <f aca="false">IF(OR($C41="",$B$2="",$D$2=0),0,IF(AP$3&lt;0,0,N(INDEX('CURVA PREVISION'!$A$1:$KZ$3000,$C41,10+3*MIN(AP$3,$D$2-1)))))</f>
        <v>0</v>
      </c>
      <c r="AQ41" s="131" t="n">
        <f aca="false">IF(OR($C41="",$B$2="",$D$2=0),0,IF(AQ$3&lt;0,0,N(INDEX('CURVA PREVISION'!$A$1:$KZ$3000,$C41,10+3*MIN(AQ$3,$D$2-1)))))</f>
        <v>2.04</v>
      </c>
      <c r="AR41" s="131" t="n">
        <f aca="false">IF(OR($C41="",$B$2="",$D$2=0),0,IF(AR$3&lt;0,0,N(INDEX('CURVA PREVISION'!$A$1:$KZ$3000,$C41,10+3*MIN(AR$3,$D$2-1)))))</f>
        <v>6</v>
      </c>
      <c r="AS41" s="131" t="n">
        <f aca="false">IF(OR($C41="",$B$2="",$D$2=0),0,IF(AS$3&lt;0,0,N(INDEX('CURVA PREVISION'!$A$1:$KZ$3000,$C41,10+3*MIN(AS$3,$D$2-1)))))</f>
        <v>13.15</v>
      </c>
      <c r="AT41" s="131" t="n">
        <f aca="false">IF(OR($C41="",$B$2="",$D$2=0),0,IF(AT$3&lt;0,0,N(INDEX('CURVA PREVISION'!$A$1:$KZ$3000,$C41,10+3*MIN(AT$3,$D$2-1)))))</f>
        <v>22.43</v>
      </c>
      <c r="AU41" s="131" t="n">
        <f aca="false">IF(OR($C41="",$B$2="",$D$2=0),0,IF(AU$3&lt;0,0,N(INDEX('CURVA PREVISION'!$A$1:$KZ$3000,$C41,10+3*MIN(AU$3,$D$2-1)))))</f>
        <v>31.21</v>
      </c>
      <c r="AV41" s="131" t="n">
        <f aca="false">IF(OR($C41="",$B$2="",$D$2=0),0,IF(AV$3&lt;0,0,N(INDEX('CURVA PREVISION'!$A$1:$KZ$3000,$C41,10+3*MIN(AV$3,$D$2-1)))))</f>
        <v>40.37</v>
      </c>
      <c r="AW41" s="131" t="n">
        <f aca="false">IF(OR($C41="",$B$2="",$D$2=0),0,IF(AW$3&lt;0,0,N(INDEX('CURVA PREVISION'!$A$1:$KZ$3000,$C41,10+3*MIN(AW$3,$D$2-1)))))</f>
        <v>48.99</v>
      </c>
      <c r="AX41" s="131" t="n">
        <f aca="false">IF(OR($C41="",$B$2="",$D$2=0),0,IF(AX$3&lt;0,0,N(INDEX('CURVA PREVISION'!$A$1:$KZ$3000,$C41,10+3*MIN(AX$3,$D$2-1)))))</f>
        <v>57.64</v>
      </c>
      <c r="AY41" s="131" t="n">
        <f aca="false">IF(OR($C41="",$B$2="",$D$2=0),0,IF(AY$3&lt;0,0,N(INDEX('CURVA PREVISION'!$A$1:$KZ$3000,$C41,10+3*MIN(AY$3,$D$2-1)))))</f>
        <v>64.68</v>
      </c>
      <c r="AZ41" s="131" t="n">
        <f aca="false">IF(OR($C41="",$B$2="",$D$2=0),0,IF(AZ$3&lt;0,0,N(INDEX('CURVA PREVISION'!$A$1:$KZ$3000,$C41,10+3*MIN(AZ$3,$D$2-1)))))</f>
        <v>71.38</v>
      </c>
      <c r="BA41" s="131" t="n">
        <f aca="false">IF(OR($C41="",$B$2="",$D$2=0),0,IF(BA$3&lt;0,0,N(INDEX('CURVA PREVISION'!$A$1:$KZ$3000,$C41,10+3*MIN(BA$3,$D$2-1)))))</f>
        <v>81.65</v>
      </c>
      <c r="BB41" s="131" t="n">
        <f aca="false">IF(OR($C41="",$B$2="",$D$2=0),0,IF(BB$3&lt;0,0,N(INDEX('CURVA PREVISION'!$A$1:$KZ$3000,$C41,10+3*MIN(BB$3,$D$2-1)))))</f>
        <v>91.26</v>
      </c>
      <c r="BC41" s="131" t="n">
        <f aca="false">IF(OR($C41="",$B$2="",$D$2=0),0,IF(BC$3&lt;0,0,N(INDEX('CURVA PREVISION'!$A$1:$KZ$3000,$C41,10+3*MIN(BC$3,$D$2-1)))))</f>
        <v>99.19</v>
      </c>
      <c r="BD41" s="131" t="n">
        <f aca="false">IF(OR($C41="",$B$2="",$D$2=0),0,IF(BD$3&lt;0,0,N(INDEX('CURVA PREVISION'!$A$1:$KZ$3000,$C41,10+3*MIN(BD$3,$D$2-1)))))</f>
        <v>99.95</v>
      </c>
      <c r="BE41" s="131" t="n">
        <f aca="false">IF(OR($C41="",$B$2="",$D$2=0),0,IF(BE$3&lt;0,0,N(INDEX('CURVA PREVISION'!$A$1:$KZ$3000,$C41,10+3*MIN(BE$3,$D$2-1)))))</f>
        <v>99.95</v>
      </c>
      <c r="BF41" s="131" t="n">
        <f aca="false">IF(OR($C41="",$B$2="",$D$2=0),0,IF(BF$3&lt;0,0,N(INDEX('CURVA PREVISION'!$A$1:$KZ$3000,$C41,10+3*MIN(BF$3,$D$2-1)))))</f>
        <v>99.95</v>
      </c>
      <c r="BG41" s="131" t="n">
        <f aca="false">IF(OR($C41="",$B$2="",$D$2=0),0,IF(BG$3&lt;0,0,N(INDEX('CURVA PREVISION'!$A$1:$KZ$3000,$C41,10+3*MIN(BG$3,$D$2-1)))))</f>
        <v>99.95</v>
      </c>
      <c r="BH41" s="131" t="n">
        <f aca="false">IF(OR($C41="",$B$2="",$D$2=0),0,IF(BH$3&lt;0,0,N(INDEX('CURVA PREVISION'!$A$1:$KZ$3000,$C41,10+3*MIN(BH$3,$D$2-1)))))</f>
        <v>99.95</v>
      </c>
      <c r="BI41" s="131" t="n">
        <f aca="false">IF(OR($C41="",$B$2="",$D$2=0),0,IF(BI$3&lt;0,0,N(INDEX('CURVA PREVISION'!$A$1:$KZ$3000,$C41,10+3*MIN(BI$3,$D$2-1)))))</f>
        <v>99.95</v>
      </c>
      <c r="BJ41" s="131" t="n">
        <f aca="false">IF(OR($C41="",$B$2="",$D$2=0),0,IF(BJ$3&lt;0,0,N(INDEX('CURVA PREVISION'!$A$1:$KZ$3000,$C41,10+3*MIN(BJ$3,$D$2-1)))))</f>
        <v>99.95</v>
      </c>
      <c r="BK41" s="131" t="n">
        <f aca="false">IF(OR($C41="",$B$2="",$D$2=0),0,IF(BK$3&lt;0,0,N(INDEX('CURVA PREVISION'!$A$1:$KZ$3000,$C41,10+3*MIN(BK$3,$D$2-1)))))</f>
        <v>99.95</v>
      </c>
      <c r="BL41" s="131" t="n">
        <f aca="false">IF(OR($C41="",$B$2="",$D$2=0),0,IF(BL$3&lt;0,0,N(INDEX('CURVA PREVISION'!$A$1:$KZ$3000,$C41,10+3*MIN(BL$3,$D$2-1)))))</f>
        <v>99.95</v>
      </c>
      <c r="BM41" s="131" t="n">
        <f aca="false">IF(OR($C41="",$B$2="",$D$2=0),0,IF(BM$3&lt;0,0,N(INDEX('CURVA PREVISION'!$A$1:$KZ$3000,$C41,10+3*MIN(BM$3,$D$2-1)))))</f>
        <v>99.95</v>
      </c>
      <c r="BN41" s="131" t="n">
        <f aca="false">IF(OR($C41="",$B$2="",$D$2=0),0,IF(BN$3&lt;0,0,N(INDEX('CURVA PREVISION'!$A$1:$KZ$3000,$C41,10+3*MIN(BN$3,$D$2-1)))))</f>
        <v>99.95</v>
      </c>
      <c r="BO41" s="131" t="n">
        <f aca="false">IF(OR($C41="",$B$2="",$D$2=0),0,IF(BO$3&lt;0,0,N(INDEX('CURVA PREVISION'!$A$1:$KZ$3000,$C41,10+3*MIN(BO$3,$D$2-1)))))</f>
        <v>99.95</v>
      </c>
      <c r="BP41" s="131" t="n">
        <f aca="false">IF(OR($C41="",$B$2="",$D$2=0),0,IF(BP$3&lt;0,0,N(INDEX('CURVA PREVISION'!$A$1:$KZ$3000,$C41,10+3*MIN(BP$3,$D$2-1)))))</f>
        <v>99.95</v>
      </c>
      <c r="BQ41" s="131" t="n">
        <f aca="false">IF(OR($C41="",$B$2="",$D$2=0),0,IF(BQ$3&lt;0,0,N(INDEX('CURVA PREVISION'!$A$1:$KZ$3000,$C41,10+3*MIN(BQ$3,$D$2-1)))))</f>
        <v>99.95</v>
      </c>
      <c r="BR41" s="131" t="n">
        <f aca="false">IF(OR($C41="",$B$2="",$D$2=0),0,IF(BR$3&lt;0,0,N(INDEX('CURVA PREVISION'!$A$1:$KZ$3000,$C41,10+3*MIN(BR$3,$D$2-1)))))</f>
        <v>99.95</v>
      </c>
      <c r="BS41" s="131" t="n">
        <f aca="false">IF(OR($C41="",$B$2="",$D$2=0),0,IF(BS$3&lt;0,0,N(INDEX('CURVA PREVISION'!$A$1:$KZ$3000,$C41,10+3*MIN(BS$3,$D$2-1)))))</f>
        <v>99.95</v>
      </c>
      <c r="BT41" s="131" t="n">
        <f aca="false">IF(OR($C41="",$B$2="",$D$2=0),0,IF(BT$3&lt;0,0,N(INDEX('CURVA PREVISION'!$A$1:$KZ$3000,$C41,10+3*MIN(BT$3,$D$2-1)))))</f>
        <v>99.95</v>
      </c>
      <c r="BU41" s="131" t="n">
        <f aca="false">IF(OR($C41="",$B$2="",$D$2=0),0,IF(BU$3&lt;0,0,N(INDEX('CURVA PREVISION'!$A$1:$KZ$3000,$C41,10+3*MIN(BU$3,$D$2-1)))))</f>
        <v>99.95</v>
      </c>
      <c r="BV41" s="131" t="n">
        <f aca="false">IF(OR($C41="",$B$2="",$D$2=0),0,IF(BV$3&lt;0,0,N(INDEX('CURVA PREVISION'!$A$1:$KZ$3000,$C41,10+3*MIN(BV$3,$D$2-1)))))</f>
        <v>99.95</v>
      </c>
      <c r="BW41" s="131" t="n">
        <f aca="false">IF(OR($C41="",$B$2="",$D$2=0),0,IF(BW$3&lt;0,0,N(INDEX('CURVA PREVISION'!$A$1:$KZ$3000,$C41,10+3*MIN(BW$3,$D$2-1)))))</f>
        <v>99.95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str">
        <f aca="false">IFERROR(MATCH(A42,'CURVA PREVISION'!$B$1:$B$3000,0),"")</f>
        <v/>
      </c>
      <c r="D42" s="131" t="n">
        <f aca="false">IF(OR($C42="",$B$2="",$D$2=0),0,IF(D$3&lt;0,0,N(INDEX('CURVA PREVISION'!$A$1:$KZ$3000,$C42,10+3*MIN(D$3,$D$2-1)))))</f>
        <v>0</v>
      </c>
      <c r="E42" s="131" t="n">
        <f aca="false">IF(OR($C42="",$B$2="",$D$2=0),0,IF(E$3&lt;0,0,N(INDEX('CURVA PREVISION'!$A$1:$KZ$3000,$C42,10+3*MIN(E$3,$D$2-1)))))</f>
        <v>0</v>
      </c>
      <c r="F42" s="131" t="n">
        <f aca="false">IF(OR($C42="",$B$2="",$D$2=0),0,IF(F$3&lt;0,0,N(INDEX('CURVA PREVISION'!$A$1:$KZ$3000,$C42,10+3*MIN(F$3,$D$2-1)))))</f>
        <v>0</v>
      </c>
      <c r="G42" s="131" t="n">
        <f aca="false">IF(OR($C42="",$B$2="",$D$2=0),0,IF(G$3&lt;0,0,N(INDEX('CURVA PREVISION'!$A$1:$KZ$3000,$C42,10+3*MIN(G$3,$D$2-1)))))</f>
        <v>0</v>
      </c>
      <c r="H42" s="131" t="n">
        <f aca="false">IF(OR($C42="",$B$2="",$D$2=0),0,IF(H$3&lt;0,0,N(INDEX('CURVA PREVISION'!$A$1:$KZ$3000,$C42,10+3*MIN(H$3,$D$2-1)))))</f>
        <v>0</v>
      </c>
      <c r="I42" s="131" t="n">
        <f aca="false">IF(OR($C42="",$B$2="",$D$2=0),0,IF(I$3&lt;0,0,N(INDEX('CURVA PREVISION'!$A$1:$KZ$3000,$C42,10+3*MIN(I$3,$D$2-1)))))</f>
        <v>0</v>
      </c>
      <c r="J42" s="131" t="n">
        <f aca="false">IF(OR($C42="",$B$2="",$D$2=0),0,IF(J$3&lt;0,0,N(INDEX('CURVA PREVISION'!$A$1:$KZ$3000,$C42,10+3*MIN(J$3,$D$2-1)))))</f>
        <v>0</v>
      </c>
      <c r="K42" s="131" t="n">
        <f aca="false">IF(OR($C42="",$B$2="",$D$2=0),0,IF(K$3&lt;0,0,N(INDEX('CURVA PREVISION'!$A$1:$KZ$3000,$C42,10+3*MIN(K$3,$D$2-1)))))</f>
        <v>0</v>
      </c>
      <c r="L42" s="131" t="n">
        <f aca="false">IF(OR($C42="",$B$2="",$D$2=0),0,IF(L$3&lt;0,0,N(INDEX('CURVA PREVISION'!$A$1:$KZ$3000,$C42,10+3*MIN(L$3,$D$2-1)))))</f>
        <v>0</v>
      </c>
      <c r="M42" s="131" t="n">
        <f aca="false">IF(OR($C42="",$B$2="",$D$2=0),0,IF(M$3&lt;0,0,N(INDEX('CURVA PREVISION'!$A$1:$KZ$3000,$C42,10+3*MIN(M$3,$D$2-1)))))</f>
        <v>0</v>
      </c>
      <c r="N42" s="131" t="n">
        <f aca="false">IF(OR($C42="",$B$2="",$D$2=0),0,IF(N$3&lt;0,0,N(INDEX('CURVA PREVISION'!$A$1:$KZ$3000,$C42,10+3*MIN(N$3,$D$2-1)))))</f>
        <v>0</v>
      </c>
      <c r="O42" s="131" t="n">
        <f aca="false">IF(OR($C42="",$B$2="",$D$2=0),0,IF(O$3&lt;0,0,N(INDEX('CURVA PREVISION'!$A$1:$KZ$3000,$C42,10+3*MIN(O$3,$D$2-1)))))</f>
        <v>0</v>
      </c>
      <c r="P42" s="131" t="n">
        <f aca="false">IF(OR($C42="",$B$2="",$D$2=0),0,IF(P$3&lt;0,0,N(INDEX('CURVA PREVISION'!$A$1:$KZ$3000,$C42,10+3*MIN(P$3,$D$2-1)))))</f>
        <v>0</v>
      </c>
      <c r="Q42" s="131" t="n">
        <f aca="false">IF(OR($C42="",$B$2="",$D$2=0),0,IF(Q$3&lt;0,0,N(INDEX('CURVA PREVISION'!$A$1:$KZ$3000,$C42,10+3*MIN(Q$3,$D$2-1)))))</f>
        <v>0</v>
      </c>
      <c r="R42" s="131" t="n">
        <f aca="false">IF(OR($C42="",$B$2="",$D$2=0),0,IF(R$3&lt;0,0,N(INDEX('CURVA PREVISION'!$A$1:$KZ$3000,$C42,10+3*MIN(R$3,$D$2-1)))))</f>
        <v>0</v>
      </c>
      <c r="S42" s="131" t="n">
        <f aca="false">IF(OR($C42="",$B$2="",$D$2=0),0,IF(S$3&lt;0,0,N(INDEX('CURVA PREVISION'!$A$1:$KZ$3000,$C42,10+3*MIN(S$3,$D$2-1)))))</f>
        <v>0</v>
      </c>
      <c r="T42" s="131" t="n">
        <f aca="false">IF(OR($C42="",$B$2="",$D$2=0),0,IF(T$3&lt;0,0,N(INDEX('CURVA PREVISION'!$A$1:$KZ$3000,$C42,10+3*MIN(T$3,$D$2-1)))))</f>
        <v>0</v>
      </c>
      <c r="U42" s="131" t="n">
        <f aca="false">IF(OR($C42="",$B$2="",$D$2=0),0,IF(U$3&lt;0,0,N(INDEX('CURVA PREVISION'!$A$1:$KZ$3000,$C42,10+3*MIN(U$3,$D$2-1)))))</f>
        <v>0</v>
      </c>
      <c r="V42" s="131" t="n">
        <f aca="false">IF(OR($C42="",$B$2="",$D$2=0),0,IF(V$3&lt;0,0,N(INDEX('CURVA PREVISION'!$A$1:$KZ$3000,$C42,10+3*MIN(V$3,$D$2-1)))))</f>
        <v>0</v>
      </c>
      <c r="W42" s="131" t="n">
        <f aca="false">IF(OR($C42="",$B$2="",$D$2=0),0,IF(W$3&lt;0,0,N(INDEX('CURVA PREVISION'!$A$1:$KZ$3000,$C42,10+3*MIN(W$3,$D$2-1)))))</f>
        <v>0</v>
      </c>
      <c r="X42" s="131" t="n">
        <f aca="false">IF(OR($C42="",$B$2="",$D$2=0),0,IF(X$3&lt;0,0,N(INDEX('CURVA PREVISION'!$A$1:$KZ$3000,$C42,10+3*MIN(X$3,$D$2-1)))))</f>
        <v>0</v>
      </c>
      <c r="Y42" s="131" t="n">
        <f aca="false">IF(OR($C42="",$B$2="",$D$2=0),0,IF(Y$3&lt;0,0,N(INDEX('CURVA PREVISION'!$A$1:$KZ$3000,$C42,10+3*MIN(Y$3,$D$2-1)))))</f>
        <v>0</v>
      </c>
      <c r="Z42" s="131" t="n">
        <f aca="false">IF(OR($C42="",$B$2="",$D$2=0),0,IF(Z$3&lt;0,0,N(INDEX('CURVA PREVISION'!$A$1:$KZ$3000,$C42,10+3*MIN(Z$3,$D$2-1)))))</f>
        <v>0</v>
      </c>
      <c r="AA42" s="131" t="n">
        <f aca="false">IF(OR($C42="",$B$2="",$D$2=0),0,IF(AA$3&lt;0,0,N(INDEX('CURVA PREVISION'!$A$1:$KZ$3000,$C42,10+3*MIN(AA$3,$D$2-1)))))</f>
        <v>0</v>
      </c>
      <c r="AB42" s="131" t="n">
        <f aca="false">IF(OR($C42="",$B$2="",$D$2=0),0,IF(AB$3&lt;0,0,N(INDEX('CURVA PREVISION'!$A$1:$KZ$3000,$C42,10+3*MIN(AB$3,$D$2-1)))))</f>
        <v>0</v>
      </c>
      <c r="AC42" s="131" t="n">
        <f aca="false">IF(OR($C42="",$B$2="",$D$2=0),0,IF(AC$3&lt;0,0,N(INDEX('CURVA PREVISION'!$A$1:$KZ$3000,$C42,10+3*MIN(AC$3,$D$2-1)))))</f>
        <v>0</v>
      </c>
      <c r="AD42" s="131" t="n">
        <f aca="false">IF(OR($C42="",$B$2="",$D$2=0),0,IF(AD$3&lt;0,0,N(INDEX('CURVA PREVISION'!$A$1:$KZ$3000,$C42,10+3*MIN(AD$3,$D$2-1)))))</f>
        <v>0</v>
      </c>
      <c r="AE42" s="131" t="n">
        <f aca="false">IF(OR($C42="",$B$2="",$D$2=0),0,IF(AE$3&lt;0,0,N(INDEX('CURVA PREVISION'!$A$1:$KZ$3000,$C42,10+3*MIN(AE$3,$D$2-1)))))</f>
        <v>0</v>
      </c>
      <c r="AF42" s="131" t="n">
        <f aca="false">IF(OR($C42="",$B$2="",$D$2=0),0,IF(AF$3&lt;0,0,N(INDEX('CURVA PREVISION'!$A$1:$KZ$3000,$C42,10+3*MIN(AF$3,$D$2-1)))))</f>
        <v>0</v>
      </c>
      <c r="AG42" s="131" t="n">
        <f aca="false">IF(OR($C42="",$B$2="",$D$2=0),0,IF(AG$3&lt;0,0,N(INDEX('CURVA PREVISION'!$A$1:$KZ$3000,$C42,10+3*MIN(AG$3,$D$2-1)))))</f>
        <v>0</v>
      </c>
      <c r="AH42" s="131" t="n">
        <f aca="false">IF(OR($C42="",$B$2="",$D$2=0),0,IF(AH$3&lt;0,0,N(INDEX('CURVA PREVISION'!$A$1:$KZ$3000,$C42,10+3*MIN(AH$3,$D$2-1)))))</f>
        <v>0</v>
      </c>
      <c r="AI42" s="131" t="n">
        <f aca="false">IF(OR($C42="",$B$2="",$D$2=0),0,IF(AI$3&lt;0,0,N(INDEX('CURVA PREVISION'!$A$1:$KZ$3000,$C42,10+3*MIN(AI$3,$D$2-1)))))</f>
        <v>0</v>
      </c>
      <c r="AJ42" s="131" t="n">
        <f aca="false">IF(OR($C42="",$B$2="",$D$2=0),0,IF(AJ$3&lt;0,0,N(INDEX('CURVA PREVISION'!$A$1:$KZ$3000,$C42,10+3*MIN(AJ$3,$D$2-1)))))</f>
        <v>0</v>
      </c>
      <c r="AK42" s="131" t="n">
        <f aca="false">IF(OR($C42="",$B$2="",$D$2=0),0,IF(AK$3&lt;0,0,N(INDEX('CURVA PREVISION'!$A$1:$KZ$3000,$C42,10+3*MIN(AK$3,$D$2-1)))))</f>
        <v>0</v>
      </c>
      <c r="AL42" s="131" t="n">
        <f aca="false">IF(OR($C42="",$B$2="",$D$2=0),0,IF(AL$3&lt;0,0,N(INDEX('CURVA PREVISION'!$A$1:$KZ$3000,$C42,10+3*MIN(AL$3,$D$2-1)))))</f>
        <v>0</v>
      </c>
      <c r="AM42" s="131" t="n">
        <f aca="false">IF(OR($C42="",$B$2="",$D$2=0),0,IF(AM$3&lt;0,0,N(INDEX('CURVA PREVISION'!$A$1:$KZ$3000,$C42,10+3*MIN(AM$3,$D$2-1)))))</f>
        <v>0</v>
      </c>
      <c r="AN42" s="131" t="n">
        <f aca="false">IF(OR($C42="",$B$2="",$D$2=0),0,IF(AN$3&lt;0,0,N(INDEX('CURVA PREVISION'!$A$1:$KZ$3000,$C42,10+3*MIN(AN$3,$D$2-1)))))</f>
        <v>0</v>
      </c>
      <c r="AO42" s="131" t="n">
        <f aca="false">IF(OR($C42="",$B$2="",$D$2=0),0,IF(AO$3&lt;0,0,N(INDEX('CURVA PREVISION'!$A$1:$KZ$3000,$C42,10+3*MIN(AO$3,$D$2-1)))))</f>
        <v>0</v>
      </c>
      <c r="AP42" s="131" t="n">
        <f aca="false">IF(OR($C42="",$B$2="",$D$2=0),0,IF(AP$3&lt;0,0,N(INDEX('CURVA PREVISION'!$A$1:$KZ$3000,$C42,10+3*MIN(AP$3,$D$2-1)))))</f>
        <v>0</v>
      </c>
      <c r="AQ42" s="131" t="n">
        <f aca="false">IF(OR($C42="",$B$2="",$D$2=0),0,IF(AQ$3&lt;0,0,N(INDEX('CURVA PREVISION'!$A$1:$KZ$3000,$C42,10+3*MIN(AQ$3,$D$2-1)))))</f>
        <v>0</v>
      </c>
      <c r="AR42" s="131" t="n">
        <f aca="false">IF(OR($C42="",$B$2="",$D$2=0),0,IF(AR$3&lt;0,0,N(INDEX('CURVA PREVISION'!$A$1:$KZ$3000,$C42,10+3*MIN(AR$3,$D$2-1)))))</f>
        <v>0</v>
      </c>
      <c r="AS42" s="131" t="n">
        <f aca="false">IF(OR($C42="",$B$2="",$D$2=0),0,IF(AS$3&lt;0,0,N(INDEX('CURVA PREVISION'!$A$1:$KZ$3000,$C42,10+3*MIN(AS$3,$D$2-1)))))</f>
        <v>0</v>
      </c>
      <c r="AT42" s="131" t="n">
        <f aca="false">IF(OR($C42="",$B$2="",$D$2=0),0,IF(AT$3&lt;0,0,N(INDEX('CURVA PREVISION'!$A$1:$KZ$3000,$C42,10+3*MIN(AT$3,$D$2-1)))))</f>
        <v>0</v>
      </c>
      <c r="AU42" s="131" t="n">
        <f aca="false">IF(OR($C42="",$B$2="",$D$2=0),0,IF(AU$3&lt;0,0,N(INDEX('CURVA PREVISION'!$A$1:$KZ$3000,$C42,10+3*MIN(AU$3,$D$2-1)))))</f>
        <v>0</v>
      </c>
      <c r="AV42" s="131" t="n">
        <f aca="false">IF(OR($C42="",$B$2="",$D$2=0),0,IF(AV$3&lt;0,0,N(INDEX('CURVA PREVISION'!$A$1:$KZ$3000,$C42,10+3*MIN(AV$3,$D$2-1)))))</f>
        <v>0</v>
      </c>
      <c r="AW42" s="131" t="n">
        <f aca="false">IF(OR($C42="",$B$2="",$D$2=0),0,IF(AW$3&lt;0,0,N(INDEX('CURVA PREVISION'!$A$1:$KZ$3000,$C42,10+3*MIN(AW$3,$D$2-1)))))</f>
        <v>0</v>
      </c>
      <c r="AX42" s="131" t="n">
        <f aca="false">IF(OR($C42="",$B$2="",$D$2=0),0,IF(AX$3&lt;0,0,N(INDEX('CURVA PREVISION'!$A$1:$KZ$3000,$C42,10+3*MIN(AX$3,$D$2-1)))))</f>
        <v>0</v>
      </c>
      <c r="AY42" s="131" t="n">
        <f aca="false">IF(OR($C42="",$B$2="",$D$2=0),0,IF(AY$3&lt;0,0,N(INDEX('CURVA PREVISION'!$A$1:$KZ$3000,$C42,10+3*MIN(AY$3,$D$2-1)))))</f>
        <v>0</v>
      </c>
      <c r="AZ42" s="131" t="n">
        <f aca="false">IF(OR($C42="",$B$2="",$D$2=0),0,IF(AZ$3&lt;0,0,N(INDEX('CURVA PREVISION'!$A$1:$KZ$3000,$C42,10+3*MIN(AZ$3,$D$2-1)))))</f>
        <v>0</v>
      </c>
      <c r="BA42" s="131" t="n">
        <f aca="false">IF(OR($C42="",$B$2="",$D$2=0),0,IF(BA$3&lt;0,0,N(INDEX('CURVA PREVISION'!$A$1:$KZ$3000,$C42,10+3*MIN(BA$3,$D$2-1)))))</f>
        <v>0</v>
      </c>
      <c r="BB42" s="131" t="n">
        <f aca="false">IF(OR($C42="",$B$2="",$D$2=0),0,IF(BB$3&lt;0,0,N(INDEX('CURVA PREVISION'!$A$1:$KZ$3000,$C42,10+3*MIN(BB$3,$D$2-1)))))</f>
        <v>0</v>
      </c>
      <c r="BC42" s="131" t="n">
        <f aca="false">IF(OR($C42="",$B$2="",$D$2=0),0,IF(BC$3&lt;0,0,N(INDEX('CURVA PREVISION'!$A$1:$KZ$3000,$C42,10+3*MIN(BC$3,$D$2-1)))))</f>
        <v>0</v>
      </c>
      <c r="BD42" s="131" t="n">
        <f aca="false">IF(OR($C42="",$B$2="",$D$2=0),0,IF(BD$3&lt;0,0,N(INDEX('CURVA PREVISION'!$A$1:$KZ$3000,$C42,10+3*MIN(BD$3,$D$2-1)))))</f>
        <v>0</v>
      </c>
      <c r="BE42" s="131" t="n">
        <f aca="false">IF(OR($C42="",$B$2="",$D$2=0),0,IF(BE$3&lt;0,0,N(INDEX('CURVA PREVISION'!$A$1:$KZ$3000,$C42,10+3*MIN(BE$3,$D$2-1)))))</f>
        <v>0</v>
      </c>
      <c r="BF42" s="131" t="n">
        <f aca="false">IF(OR($C42="",$B$2="",$D$2=0),0,IF(BF$3&lt;0,0,N(INDEX('CURVA PREVISION'!$A$1:$KZ$3000,$C42,10+3*MIN(BF$3,$D$2-1)))))</f>
        <v>0</v>
      </c>
      <c r="BG42" s="131" t="n">
        <f aca="false">IF(OR($C42="",$B$2="",$D$2=0),0,IF(BG$3&lt;0,0,N(INDEX('CURVA PREVISION'!$A$1:$KZ$3000,$C42,10+3*MIN(BG$3,$D$2-1)))))</f>
        <v>0</v>
      </c>
      <c r="BH42" s="131" t="n">
        <f aca="false">IF(OR($C42="",$B$2="",$D$2=0),0,IF(BH$3&lt;0,0,N(INDEX('CURVA PREVISION'!$A$1:$KZ$3000,$C42,10+3*MIN(BH$3,$D$2-1)))))</f>
        <v>0</v>
      </c>
      <c r="BI42" s="131" t="n">
        <f aca="false">IF(OR($C42="",$B$2="",$D$2=0),0,IF(BI$3&lt;0,0,N(INDEX('CURVA PREVISION'!$A$1:$KZ$3000,$C42,10+3*MIN(BI$3,$D$2-1)))))</f>
        <v>0</v>
      </c>
      <c r="BJ42" s="131" t="n">
        <f aca="false">IF(OR($C42="",$B$2="",$D$2=0),0,IF(BJ$3&lt;0,0,N(INDEX('CURVA PREVISION'!$A$1:$KZ$3000,$C42,10+3*MIN(BJ$3,$D$2-1)))))</f>
        <v>0</v>
      </c>
      <c r="BK42" s="131" t="n">
        <f aca="false">IF(OR($C42="",$B$2="",$D$2=0),0,IF(BK$3&lt;0,0,N(INDEX('CURVA PREVISION'!$A$1:$KZ$3000,$C42,10+3*MIN(BK$3,$D$2-1)))))</f>
        <v>0</v>
      </c>
      <c r="BL42" s="131" t="n">
        <f aca="false">IF(OR($C42="",$B$2="",$D$2=0),0,IF(BL$3&lt;0,0,N(INDEX('CURVA PREVISION'!$A$1:$KZ$3000,$C42,10+3*MIN(BL$3,$D$2-1)))))</f>
        <v>0</v>
      </c>
      <c r="BM42" s="131" t="n">
        <f aca="false">IF(OR($C42="",$B$2="",$D$2=0),0,IF(BM$3&lt;0,0,N(INDEX('CURVA PREVISION'!$A$1:$KZ$3000,$C42,10+3*MIN(BM$3,$D$2-1)))))</f>
        <v>0</v>
      </c>
      <c r="BN42" s="131" t="n">
        <f aca="false">IF(OR($C42="",$B$2="",$D$2=0),0,IF(BN$3&lt;0,0,N(INDEX('CURVA PREVISION'!$A$1:$KZ$3000,$C42,10+3*MIN(BN$3,$D$2-1)))))</f>
        <v>0</v>
      </c>
      <c r="BO42" s="131" t="n">
        <f aca="false">IF(OR($C42="",$B$2="",$D$2=0),0,IF(BO$3&lt;0,0,N(INDEX('CURVA PREVISION'!$A$1:$KZ$3000,$C42,10+3*MIN(BO$3,$D$2-1)))))</f>
        <v>0</v>
      </c>
      <c r="BP42" s="131" t="n">
        <f aca="false">IF(OR($C42="",$B$2="",$D$2=0),0,IF(BP$3&lt;0,0,N(INDEX('CURVA PREVISION'!$A$1:$KZ$3000,$C42,10+3*MIN(BP$3,$D$2-1)))))</f>
        <v>0</v>
      </c>
      <c r="BQ42" s="131" t="n">
        <f aca="false">IF(OR($C42="",$B$2="",$D$2=0),0,IF(BQ$3&lt;0,0,N(INDEX('CURVA PREVISION'!$A$1:$KZ$3000,$C42,10+3*MIN(BQ$3,$D$2-1)))))</f>
        <v>0</v>
      </c>
      <c r="BR42" s="131" t="n">
        <f aca="false">IF(OR($C42="",$B$2="",$D$2=0),0,IF(BR$3&lt;0,0,N(INDEX('CURVA PREVISION'!$A$1:$KZ$3000,$C42,10+3*MIN(BR$3,$D$2-1)))))</f>
        <v>0</v>
      </c>
      <c r="BS42" s="131" t="n">
        <f aca="false">IF(OR($C42="",$B$2="",$D$2=0),0,IF(BS$3&lt;0,0,N(INDEX('CURVA PREVISION'!$A$1:$KZ$3000,$C42,10+3*MIN(BS$3,$D$2-1)))))</f>
        <v>0</v>
      </c>
      <c r="BT42" s="131" t="n">
        <f aca="false">IF(OR($C42="",$B$2="",$D$2=0),0,IF(BT$3&lt;0,0,N(INDEX('CURVA PREVISION'!$A$1:$KZ$3000,$C42,10+3*MIN(BT$3,$D$2-1)))))</f>
        <v>0</v>
      </c>
      <c r="BU42" s="131" t="n">
        <f aca="false">IF(OR($C42="",$B$2="",$D$2=0),0,IF(BU$3&lt;0,0,N(INDEX('CURVA PREVISION'!$A$1:$KZ$3000,$C42,10+3*MIN(BU$3,$D$2-1)))))</f>
        <v>0</v>
      </c>
      <c r="BV42" s="131" t="n">
        <f aca="false">IF(OR($C42="",$B$2="",$D$2=0),0,IF(BV$3&lt;0,0,N(INDEX('CURVA PREVISION'!$A$1:$KZ$3000,$C42,10+3*MIN(BV$3,$D$2-1)))))</f>
        <v>0</v>
      </c>
      <c r="BW42" s="131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2864</v>
      </c>
    </row>
    <row r="46" customFormat="false" ht="31.5" hidden="false" customHeight="true" outlineLevel="0" collapsed="false">
      <c r="A46" s="54" t="s">
        <v>115</v>
      </c>
      <c r="B46" s="54" t="s">
        <v>2862</v>
      </c>
      <c r="C46" s="54" t="s">
        <v>2863</v>
      </c>
      <c r="D46" s="130" t="n">
        <f aca="false">D4</f>
        <v>45627</v>
      </c>
      <c r="E46" s="130" t="n">
        <f aca="false">E4</f>
        <v>45658</v>
      </c>
      <c r="F46" s="130" t="n">
        <f aca="false">F4</f>
        <v>45689</v>
      </c>
      <c r="G46" s="130" t="n">
        <f aca="false">G4</f>
        <v>45717</v>
      </c>
      <c r="H46" s="130" t="n">
        <f aca="false">H4</f>
        <v>45748</v>
      </c>
      <c r="I46" s="130" t="n">
        <f aca="false">I4</f>
        <v>45778</v>
      </c>
      <c r="J46" s="130" t="n">
        <f aca="false">J4</f>
        <v>45809</v>
      </c>
      <c r="K46" s="130" t="n">
        <f aca="false">K4</f>
        <v>45839</v>
      </c>
      <c r="L46" s="130" t="n">
        <f aca="false">L4</f>
        <v>45870</v>
      </c>
      <c r="M46" s="130" t="n">
        <f aca="false">M4</f>
        <v>45901</v>
      </c>
      <c r="N46" s="130" t="n">
        <f aca="false">N4</f>
        <v>45931</v>
      </c>
      <c r="O46" s="130" t="n">
        <f aca="false">O4</f>
        <v>45962</v>
      </c>
      <c r="P46" s="130" t="n">
        <f aca="false">P4</f>
        <v>45992</v>
      </c>
      <c r="Q46" s="130" t="n">
        <f aca="false">Q4</f>
        <v>46023</v>
      </c>
      <c r="R46" s="130" t="n">
        <f aca="false">R4</f>
        <v>46054</v>
      </c>
      <c r="S46" s="130" t="n">
        <f aca="false">S4</f>
        <v>46082</v>
      </c>
      <c r="T46" s="130" t="n">
        <f aca="false">T4</f>
        <v>46113</v>
      </c>
      <c r="U46" s="130" t="n">
        <f aca="false">U4</f>
        <v>46143</v>
      </c>
      <c r="V46" s="130" t="n">
        <f aca="false">V4</f>
        <v>46174</v>
      </c>
      <c r="W46" s="130" t="n">
        <f aca="false">W4</f>
        <v>46204</v>
      </c>
      <c r="X46" s="130" t="n">
        <f aca="false">X4</f>
        <v>46235</v>
      </c>
      <c r="Y46" s="130" t="n">
        <f aca="false">Y4</f>
        <v>46266</v>
      </c>
      <c r="Z46" s="130" t="n">
        <f aca="false">Z4</f>
        <v>46296</v>
      </c>
      <c r="AA46" s="130" t="n">
        <f aca="false">AA4</f>
        <v>46327</v>
      </c>
      <c r="AB46" s="130" t="n">
        <f aca="false">AB4</f>
        <v>46357</v>
      </c>
      <c r="AC46" s="130" t="n">
        <f aca="false">AC4</f>
        <v>46388</v>
      </c>
      <c r="AD46" s="130" t="n">
        <f aca="false">AD4</f>
        <v>46419</v>
      </c>
      <c r="AE46" s="130" t="n">
        <f aca="false">AE4</f>
        <v>46447</v>
      </c>
      <c r="AF46" s="130" t="n">
        <f aca="false">AF4</f>
        <v>46478</v>
      </c>
      <c r="AG46" s="130" t="n">
        <f aca="false">AG4</f>
        <v>46508</v>
      </c>
      <c r="AH46" s="130" t="n">
        <f aca="false">AH4</f>
        <v>46539</v>
      </c>
      <c r="AI46" s="130" t="n">
        <f aca="false">AI4</f>
        <v>46569</v>
      </c>
      <c r="AJ46" s="130" t="n">
        <f aca="false">AJ4</f>
        <v>46600</v>
      </c>
      <c r="AK46" s="130" t="n">
        <f aca="false">AK4</f>
        <v>46631</v>
      </c>
      <c r="AL46" s="130" t="n">
        <f aca="false">AL4</f>
        <v>46661</v>
      </c>
      <c r="AM46" s="130" t="n">
        <f aca="false">AM4</f>
        <v>46692</v>
      </c>
      <c r="AN46" s="130" t="n">
        <f aca="false">AN4</f>
        <v>46722</v>
      </c>
      <c r="AO46" s="130" t="n">
        <f aca="false">AO4</f>
        <v>46753</v>
      </c>
      <c r="AP46" s="130" t="n">
        <f aca="false">AP4</f>
        <v>46784</v>
      </c>
      <c r="AQ46" s="130" t="n">
        <f aca="false">AQ4</f>
        <v>46813</v>
      </c>
      <c r="AR46" s="130" t="n">
        <f aca="false">AR4</f>
        <v>46844</v>
      </c>
      <c r="AS46" s="130" t="n">
        <f aca="false">AS4</f>
        <v>46874</v>
      </c>
      <c r="AT46" s="130" t="n">
        <f aca="false">AT4</f>
        <v>46905</v>
      </c>
      <c r="AU46" s="130" t="n">
        <f aca="false">AU4</f>
        <v>46935</v>
      </c>
      <c r="AV46" s="130" t="n">
        <f aca="false">AV4</f>
        <v>46966</v>
      </c>
      <c r="AW46" s="130" t="n">
        <f aca="false">AW4</f>
        <v>46997</v>
      </c>
      <c r="AX46" s="130" t="n">
        <f aca="false">AX4</f>
        <v>47027</v>
      </c>
      <c r="AY46" s="130" t="n">
        <f aca="false">AY4</f>
        <v>47058</v>
      </c>
      <c r="AZ46" s="130" t="n">
        <f aca="false">AZ4</f>
        <v>47088</v>
      </c>
      <c r="BA46" s="130" t="n">
        <f aca="false">BA4</f>
        <v>47119</v>
      </c>
      <c r="BB46" s="130" t="n">
        <f aca="false">BB4</f>
        <v>47150</v>
      </c>
      <c r="BC46" s="130" t="n">
        <f aca="false">BC4</f>
        <v>47178</v>
      </c>
      <c r="BD46" s="130" t="n">
        <f aca="false">BD4</f>
        <v>47209</v>
      </c>
      <c r="BE46" s="130" t="n">
        <f aca="false">BE4</f>
        <v>47239</v>
      </c>
      <c r="BF46" s="130" t="n">
        <f aca="false">BF4</f>
        <v>47270</v>
      </c>
      <c r="BG46" s="130" t="n">
        <f aca="false">BG4</f>
        <v>47300</v>
      </c>
      <c r="BH46" s="130" t="n">
        <f aca="false">BH4</f>
        <v>47331</v>
      </c>
      <c r="BI46" s="130" t="n">
        <f aca="false">BI4</f>
        <v>47362</v>
      </c>
      <c r="BJ46" s="130" t="n">
        <f aca="false">BJ4</f>
        <v>47392</v>
      </c>
      <c r="BK46" s="130" t="n">
        <f aca="false">BK4</f>
        <v>47423</v>
      </c>
      <c r="BL46" s="130" t="n">
        <f aca="false">BL4</f>
        <v>47453</v>
      </c>
      <c r="BM46" s="130" t="n">
        <f aca="false">BM4</f>
        <v>47484</v>
      </c>
      <c r="BN46" s="130" t="n">
        <f aca="false">BN4</f>
        <v>47515</v>
      </c>
      <c r="BO46" s="130" t="n">
        <f aca="false">BO4</f>
        <v>47543</v>
      </c>
      <c r="BP46" s="130" t="n">
        <f aca="false">BP4</f>
        <v>47574</v>
      </c>
      <c r="BQ46" s="130" t="n">
        <f aca="false">BQ4</f>
        <v>47604</v>
      </c>
      <c r="BR46" s="130" t="n">
        <f aca="false">BR4</f>
        <v>47635</v>
      </c>
      <c r="BS46" s="130" t="n">
        <f aca="false">BS4</f>
        <v>47665</v>
      </c>
      <c r="BT46" s="130" t="n">
        <f aca="false">BT4</f>
        <v>47696</v>
      </c>
      <c r="BU46" s="130" t="n">
        <f aca="false">BU4</f>
        <v>47727</v>
      </c>
      <c r="BV46" s="130" t="n">
        <f aca="false">BV4</f>
        <v>47757</v>
      </c>
      <c r="BW46" s="130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4</v>
      </c>
      <c r="D47" s="131" t="n">
        <f aca="false">IF(OR($C47="",$B$2="",$D$2=0),0,IF(D$3&lt;0,0,N(INDEX('CURVA PREVISION'!$A$1:$KZ$3000,$C47,11+3*MIN(D$3,$D$2-1)))))</f>
        <v>0</v>
      </c>
      <c r="E47" s="131" t="n">
        <f aca="false">IF(OR($C47="",$B$2="",$D$2=0),0,IF(E$3&lt;0,0,N(INDEX('CURVA PREVISION'!$A$1:$KZ$3000,$C47,11+3*MIN(E$3,$D$2-1)))))</f>
        <v>0</v>
      </c>
      <c r="F47" s="131" t="n">
        <f aca="false">IF(OR($C47="",$B$2="",$D$2=0),0,IF(F$3&lt;0,0,N(INDEX('CURVA PREVISION'!$A$1:$KZ$3000,$C47,11+3*MIN(F$3,$D$2-1)))))</f>
        <v>0</v>
      </c>
      <c r="G47" s="131" t="n">
        <f aca="false">IF(OR($C47="",$B$2="",$D$2=0),0,IF(G$3&lt;0,0,N(INDEX('CURVA PREVISION'!$A$1:$KZ$3000,$C47,11+3*MIN(G$3,$D$2-1)))))</f>
        <v>0</v>
      </c>
      <c r="H47" s="131" t="n">
        <f aca="false">IF(OR($C47="",$B$2="",$D$2=0),0,IF(H$3&lt;0,0,N(INDEX('CURVA PREVISION'!$A$1:$KZ$3000,$C47,11+3*MIN(H$3,$D$2-1)))))</f>
        <v>0</v>
      </c>
      <c r="I47" s="131" t="n">
        <f aca="false">IF(OR($C47="",$B$2="",$D$2=0),0,IF(I$3&lt;0,0,N(INDEX('CURVA PREVISION'!$A$1:$KZ$3000,$C47,11+3*MIN(I$3,$D$2-1)))))</f>
        <v>0</v>
      </c>
      <c r="J47" s="131" t="n">
        <f aca="false">IF(OR($C47="",$B$2="",$D$2=0),0,IF(J$3&lt;0,0,N(INDEX('CURVA PREVISION'!$A$1:$KZ$3000,$C47,11+3*MIN(J$3,$D$2-1)))))</f>
        <v>0</v>
      </c>
      <c r="K47" s="131" t="n">
        <f aca="false">IF(OR($C47="",$B$2="",$D$2=0),0,IF(K$3&lt;0,0,N(INDEX('CURVA PREVISION'!$A$1:$KZ$3000,$C47,11+3*MIN(K$3,$D$2-1)))))</f>
        <v>0</v>
      </c>
      <c r="L47" s="131" t="n">
        <f aca="false">IF(OR($C47="",$B$2="",$D$2=0),0,IF(L$3&lt;0,0,N(INDEX('CURVA PREVISION'!$A$1:$KZ$3000,$C47,11+3*MIN(L$3,$D$2-1)))))</f>
        <v>0</v>
      </c>
      <c r="M47" s="131" t="n">
        <f aca="false">IF(OR($C47="",$B$2="",$D$2=0),0,IF(M$3&lt;0,0,N(INDEX('CURVA PREVISION'!$A$1:$KZ$3000,$C47,11+3*MIN(M$3,$D$2-1)))))</f>
        <v>0</v>
      </c>
      <c r="N47" s="131" t="n">
        <f aca="false">IF(OR($C47="",$B$2="",$D$2=0),0,IF(N$3&lt;0,0,N(INDEX('CURVA PREVISION'!$A$1:$KZ$3000,$C47,11+3*MIN(N$3,$D$2-1)))))</f>
        <v>0</v>
      </c>
      <c r="O47" s="131" t="n">
        <f aca="false">IF(OR($C47="",$B$2="",$D$2=0),0,IF(O$3&lt;0,0,N(INDEX('CURVA PREVISION'!$A$1:$KZ$3000,$C47,11+3*MIN(O$3,$D$2-1)))))</f>
        <v>0</v>
      </c>
      <c r="P47" s="131" t="n">
        <f aca="false">IF(OR($C47="",$B$2="",$D$2=0),0,IF(P$3&lt;0,0,N(INDEX('CURVA PREVISION'!$A$1:$KZ$3000,$C47,11+3*MIN(P$3,$D$2-1)))))</f>
        <v>0</v>
      </c>
      <c r="Q47" s="131" t="n">
        <f aca="false">IF(OR($C47="",$B$2="",$D$2=0),0,IF(Q$3&lt;0,0,N(INDEX('CURVA PREVISION'!$A$1:$KZ$3000,$C47,11+3*MIN(Q$3,$D$2-1)))))</f>
        <v>0</v>
      </c>
      <c r="R47" s="131" t="n">
        <f aca="false">IF(OR($C47="",$B$2="",$D$2=0),0,IF(R$3&lt;0,0,N(INDEX('CURVA PREVISION'!$A$1:$KZ$3000,$C47,11+3*MIN(R$3,$D$2-1)))))</f>
        <v>0</v>
      </c>
      <c r="S47" s="131" t="n">
        <f aca="false">IF(OR($C47="",$B$2="",$D$2=0),0,IF(S$3&lt;0,0,N(INDEX('CURVA PREVISION'!$A$1:$KZ$3000,$C47,11+3*MIN(S$3,$D$2-1)))))</f>
        <v>0</v>
      </c>
      <c r="T47" s="131" t="n">
        <f aca="false">IF(OR($C47="",$B$2="",$D$2=0),0,IF(T$3&lt;0,0,N(INDEX('CURVA PREVISION'!$A$1:$KZ$3000,$C47,11+3*MIN(T$3,$D$2-1)))))</f>
        <v>0</v>
      </c>
      <c r="U47" s="131" t="n">
        <f aca="false">IF(OR($C47="",$B$2="",$D$2=0),0,IF(U$3&lt;0,0,N(INDEX('CURVA PREVISION'!$A$1:$KZ$3000,$C47,11+3*MIN(U$3,$D$2-1)))))</f>
        <v>0</v>
      </c>
      <c r="V47" s="131" t="n">
        <f aca="false">IF(OR($C47="",$B$2="",$D$2=0),0,IF(V$3&lt;0,0,N(INDEX('CURVA PREVISION'!$A$1:$KZ$3000,$C47,11+3*MIN(V$3,$D$2-1)))))</f>
        <v>0</v>
      </c>
      <c r="W47" s="131" t="n">
        <f aca="false">IF(OR($C47="",$B$2="",$D$2=0),0,IF(W$3&lt;0,0,N(INDEX('CURVA PREVISION'!$A$1:$KZ$3000,$C47,11+3*MIN(W$3,$D$2-1)))))</f>
        <v>0</v>
      </c>
      <c r="X47" s="131" t="n">
        <f aca="false">IF(OR($C47="",$B$2="",$D$2=0),0,IF(X$3&lt;0,0,N(INDEX('CURVA PREVISION'!$A$1:$KZ$3000,$C47,11+3*MIN(X$3,$D$2-1)))))</f>
        <v>0</v>
      </c>
      <c r="Y47" s="131" t="n">
        <f aca="false">IF(OR($C47="",$B$2="",$D$2=0),0,IF(Y$3&lt;0,0,N(INDEX('CURVA PREVISION'!$A$1:$KZ$3000,$C47,11+3*MIN(Y$3,$D$2-1)))))</f>
        <v>0</v>
      </c>
      <c r="Z47" s="131" t="n">
        <f aca="false">IF(OR($C47="",$B$2="",$D$2=0),0,IF(Z$3&lt;0,0,N(INDEX('CURVA PREVISION'!$A$1:$KZ$3000,$C47,11+3*MIN(Z$3,$D$2-1)))))</f>
        <v>0</v>
      </c>
      <c r="AA47" s="131" t="n">
        <f aca="false">IF(OR($C47="",$B$2="",$D$2=0),0,IF(AA$3&lt;0,0,N(INDEX('CURVA PREVISION'!$A$1:$KZ$3000,$C47,11+3*MIN(AA$3,$D$2-1)))))</f>
        <v>0</v>
      </c>
      <c r="AB47" s="131" t="n">
        <f aca="false">IF(OR($C47="",$B$2="",$D$2=0),0,IF(AB$3&lt;0,0,N(INDEX('CURVA PREVISION'!$A$1:$KZ$3000,$C47,11+3*MIN(AB$3,$D$2-1)))))</f>
        <v>0</v>
      </c>
      <c r="AC47" s="131" t="n">
        <f aca="false">IF(OR($C47="",$B$2="",$D$2=0),0,IF(AC$3&lt;0,0,N(INDEX('CURVA PREVISION'!$A$1:$KZ$3000,$C47,11+3*MIN(AC$3,$D$2-1)))))</f>
        <v>0</v>
      </c>
      <c r="AD47" s="131" t="n">
        <f aca="false">IF(OR($C47="",$B$2="",$D$2=0),0,IF(AD$3&lt;0,0,N(INDEX('CURVA PREVISION'!$A$1:$KZ$3000,$C47,11+3*MIN(AD$3,$D$2-1)))))</f>
        <v>0</v>
      </c>
      <c r="AE47" s="131" t="n">
        <f aca="false">IF(OR($C47="",$B$2="",$D$2=0),0,IF(AE$3&lt;0,0,N(INDEX('CURVA PREVISION'!$A$1:$KZ$3000,$C47,11+3*MIN(AE$3,$D$2-1)))))</f>
        <v>0</v>
      </c>
      <c r="AF47" s="131" t="n">
        <f aca="false">IF(OR($C47="",$B$2="",$D$2=0),0,IF(AF$3&lt;0,0,N(INDEX('CURVA PREVISION'!$A$1:$KZ$3000,$C47,11+3*MIN(AF$3,$D$2-1)))))</f>
        <v>0</v>
      </c>
      <c r="AG47" s="131" t="n">
        <f aca="false">IF(OR($C47="",$B$2="",$D$2=0),0,IF(AG$3&lt;0,0,N(INDEX('CURVA PREVISION'!$A$1:$KZ$3000,$C47,11+3*MIN(AG$3,$D$2-1)))))</f>
        <v>0</v>
      </c>
      <c r="AH47" s="131" t="n">
        <f aca="false">IF(OR($C47="",$B$2="",$D$2=0),0,IF(AH$3&lt;0,0,N(INDEX('CURVA PREVISION'!$A$1:$KZ$3000,$C47,11+3*MIN(AH$3,$D$2-1)))))</f>
        <v>0</v>
      </c>
      <c r="AI47" s="131" t="n">
        <f aca="false">IF(OR($C47="",$B$2="",$D$2=0),0,IF(AI$3&lt;0,0,N(INDEX('CURVA PREVISION'!$A$1:$KZ$3000,$C47,11+3*MIN(AI$3,$D$2-1)))))</f>
        <v>0</v>
      </c>
      <c r="AJ47" s="131" t="n">
        <f aca="false">IF(OR($C47="",$B$2="",$D$2=0),0,IF(AJ$3&lt;0,0,N(INDEX('CURVA PREVISION'!$A$1:$KZ$3000,$C47,11+3*MIN(AJ$3,$D$2-1)))))</f>
        <v>0</v>
      </c>
      <c r="AK47" s="131" t="n">
        <f aca="false">IF(OR($C47="",$B$2="",$D$2=0),0,IF(AK$3&lt;0,0,N(INDEX('CURVA PREVISION'!$A$1:$KZ$3000,$C47,11+3*MIN(AK$3,$D$2-1)))))</f>
        <v>0</v>
      </c>
      <c r="AL47" s="131" t="n">
        <f aca="false">IF(OR($C47="",$B$2="",$D$2=0),0,IF(AL$3&lt;0,0,N(INDEX('CURVA PREVISION'!$A$1:$KZ$3000,$C47,11+3*MIN(AL$3,$D$2-1)))))</f>
        <v>0</v>
      </c>
      <c r="AM47" s="131" t="n">
        <f aca="false">IF(OR($C47="",$B$2="",$D$2=0),0,IF(AM$3&lt;0,0,N(INDEX('CURVA PREVISION'!$A$1:$KZ$3000,$C47,11+3*MIN(AM$3,$D$2-1)))))</f>
        <v>0</v>
      </c>
      <c r="AN47" s="131" t="n">
        <f aca="false">IF(OR($C47="",$B$2="",$D$2=0),0,IF(AN$3&lt;0,0,N(INDEX('CURVA PREVISION'!$A$1:$KZ$3000,$C47,11+3*MIN(AN$3,$D$2-1)))))</f>
        <v>0</v>
      </c>
      <c r="AO47" s="131" t="n">
        <f aca="false">IF(OR($C47="",$B$2="",$D$2=0),0,IF(AO$3&lt;0,0,N(INDEX('CURVA PREVISION'!$A$1:$KZ$3000,$C47,11+3*MIN(AO$3,$D$2-1)))))</f>
        <v>0</v>
      </c>
      <c r="AP47" s="131" t="n">
        <f aca="false">IF(OR($C47="",$B$2="",$D$2=0),0,IF(AP$3&lt;0,0,N(INDEX('CURVA PREVISION'!$A$1:$KZ$3000,$C47,11+3*MIN(AP$3,$D$2-1)))))</f>
        <v>0</v>
      </c>
      <c r="AQ47" s="131" t="n">
        <f aca="false">IF(OR($C47="",$B$2="",$D$2=0),0,IF(AQ$3&lt;0,0,N(INDEX('CURVA PREVISION'!$A$1:$KZ$3000,$C47,11+3*MIN(AQ$3,$D$2-1)))))</f>
        <v>0</v>
      </c>
      <c r="AR47" s="131" t="n">
        <f aca="false">IF(OR($C47="",$B$2="",$D$2=0),0,IF(AR$3&lt;0,0,N(INDEX('CURVA PREVISION'!$A$1:$KZ$3000,$C47,11+3*MIN(AR$3,$D$2-1)))))</f>
        <v>0</v>
      </c>
      <c r="AS47" s="131" t="n">
        <f aca="false">IF(OR($C47="",$B$2="",$D$2=0),0,IF(AS$3&lt;0,0,N(INDEX('CURVA PREVISION'!$A$1:$KZ$3000,$C47,11+3*MIN(AS$3,$D$2-1)))))</f>
        <v>0</v>
      </c>
      <c r="AT47" s="131" t="n">
        <f aca="false">IF(OR($C47="",$B$2="",$D$2=0),0,IF(AT$3&lt;0,0,N(INDEX('CURVA PREVISION'!$A$1:$KZ$3000,$C47,11+3*MIN(AT$3,$D$2-1)))))</f>
        <v>0</v>
      </c>
      <c r="AU47" s="131" t="n">
        <f aca="false">IF(OR($C47="",$B$2="",$D$2=0),0,IF(AU$3&lt;0,0,N(INDEX('CURVA PREVISION'!$A$1:$KZ$3000,$C47,11+3*MIN(AU$3,$D$2-1)))))</f>
        <v>0</v>
      </c>
      <c r="AV47" s="131" t="n">
        <f aca="false">IF(OR($C47="",$B$2="",$D$2=0),0,IF(AV$3&lt;0,0,N(INDEX('CURVA PREVISION'!$A$1:$KZ$3000,$C47,11+3*MIN(AV$3,$D$2-1)))))</f>
        <v>0</v>
      </c>
      <c r="AW47" s="131" t="n">
        <f aca="false">IF(OR($C47="",$B$2="",$D$2=0),0,IF(AW$3&lt;0,0,N(INDEX('CURVA PREVISION'!$A$1:$KZ$3000,$C47,11+3*MIN(AW$3,$D$2-1)))))</f>
        <v>0</v>
      </c>
      <c r="AX47" s="131" t="n">
        <f aca="false">IF(OR($C47="",$B$2="",$D$2=0),0,IF(AX$3&lt;0,0,N(INDEX('CURVA PREVISION'!$A$1:$KZ$3000,$C47,11+3*MIN(AX$3,$D$2-1)))))</f>
        <v>0</v>
      </c>
      <c r="AY47" s="131" t="n">
        <f aca="false">IF(OR($C47="",$B$2="",$D$2=0),0,IF(AY$3&lt;0,0,N(INDEX('CURVA PREVISION'!$A$1:$KZ$3000,$C47,11+3*MIN(AY$3,$D$2-1)))))</f>
        <v>0</v>
      </c>
      <c r="AZ47" s="131" t="n">
        <f aca="false">IF(OR($C47="",$B$2="",$D$2=0),0,IF(AZ$3&lt;0,0,N(INDEX('CURVA PREVISION'!$A$1:$KZ$3000,$C47,11+3*MIN(AZ$3,$D$2-1)))))</f>
        <v>0</v>
      </c>
      <c r="BA47" s="131" t="n">
        <f aca="false">IF(OR($C47="",$B$2="",$D$2=0),0,IF(BA$3&lt;0,0,N(INDEX('CURVA PREVISION'!$A$1:$KZ$3000,$C47,11+3*MIN(BA$3,$D$2-1)))))</f>
        <v>0</v>
      </c>
      <c r="BB47" s="131" t="n">
        <f aca="false">IF(OR($C47="",$B$2="",$D$2=0),0,IF(BB$3&lt;0,0,N(INDEX('CURVA PREVISION'!$A$1:$KZ$3000,$C47,11+3*MIN(BB$3,$D$2-1)))))</f>
        <v>0</v>
      </c>
      <c r="BC47" s="131" t="n">
        <f aca="false">IF(OR($C47="",$B$2="",$D$2=0),0,IF(BC$3&lt;0,0,N(INDEX('CURVA PREVISION'!$A$1:$KZ$3000,$C47,11+3*MIN(BC$3,$D$2-1)))))</f>
        <v>0</v>
      </c>
      <c r="BD47" s="131" t="n">
        <f aca="false">IF(OR($C47="",$B$2="",$D$2=0),0,IF(BD$3&lt;0,0,N(INDEX('CURVA PREVISION'!$A$1:$KZ$3000,$C47,11+3*MIN(BD$3,$D$2-1)))))</f>
        <v>0</v>
      </c>
      <c r="BE47" s="131" t="n">
        <f aca="false">IF(OR($C47="",$B$2="",$D$2=0),0,IF(BE$3&lt;0,0,N(INDEX('CURVA PREVISION'!$A$1:$KZ$3000,$C47,11+3*MIN(BE$3,$D$2-1)))))</f>
        <v>0</v>
      </c>
      <c r="BF47" s="131" t="n">
        <f aca="false">IF(OR($C47="",$B$2="",$D$2=0),0,IF(BF$3&lt;0,0,N(INDEX('CURVA PREVISION'!$A$1:$KZ$3000,$C47,11+3*MIN(BF$3,$D$2-1)))))</f>
        <v>0</v>
      </c>
      <c r="BG47" s="131" t="n">
        <f aca="false">IF(OR($C47="",$B$2="",$D$2=0),0,IF(BG$3&lt;0,0,N(INDEX('CURVA PREVISION'!$A$1:$KZ$3000,$C47,11+3*MIN(BG$3,$D$2-1)))))</f>
        <v>0</v>
      </c>
      <c r="BH47" s="131" t="n">
        <f aca="false">IF(OR($C47="",$B$2="",$D$2=0),0,IF(BH$3&lt;0,0,N(INDEX('CURVA PREVISION'!$A$1:$KZ$3000,$C47,11+3*MIN(BH$3,$D$2-1)))))</f>
        <v>0</v>
      </c>
      <c r="BI47" s="131" t="n">
        <f aca="false">IF(OR($C47="",$B$2="",$D$2=0),0,IF(BI$3&lt;0,0,N(INDEX('CURVA PREVISION'!$A$1:$KZ$3000,$C47,11+3*MIN(BI$3,$D$2-1)))))</f>
        <v>0</v>
      </c>
      <c r="BJ47" s="131" t="n">
        <f aca="false">IF(OR($C47="",$B$2="",$D$2=0),0,IF(BJ$3&lt;0,0,N(INDEX('CURVA PREVISION'!$A$1:$KZ$3000,$C47,11+3*MIN(BJ$3,$D$2-1)))))</f>
        <v>0</v>
      </c>
      <c r="BK47" s="131" t="n">
        <f aca="false">IF(OR($C47="",$B$2="",$D$2=0),0,IF(BK$3&lt;0,0,N(INDEX('CURVA PREVISION'!$A$1:$KZ$3000,$C47,11+3*MIN(BK$3,$D$2-1)))))</f>
        <v>0</v>
      </c>
      <c r="BL47" s="131" t="n">
        <f aca="false">IF(OR($C47="",$B$2="",$D$2=0),0,IF(BL$3&lt;0,0,N(INDEX('CURVA PREVISION'!$A$1:$KZ$3000,$C47,11+3*MIN(BL$3,$D$2-1)))))</f>
        <v>0</v>
      </c>
      <c r="BM47" s="131" t="n">
        <f aca="false">IF(OR($C47="",$B$2="",$D$2=0),0,IF(BM$3&lt;0,0,N(INDEX('CURVA PREVISION'!$A$1:$KZ$3000,$C47,11+3*MIN(BM$3,$D$2-1)))))</f>
        <v>0</v>
      </c>
      <c r="BN47" s="131" t="n">
        <f aca="false">IF(OR($C47="",$B$2="",$D$2=0),0,IF(BN$3&lt;0,0,N(INDEX('CURVA PREVISION'!$A$1:$KZ$3000,$C47,11+3*MIN(BN$3,$D$2-1)))))</f>
        <v>0</v>
      </c>
      <c r="BO47" s="131" t="n">
        <f aca="false">IF(OR($C47="",$B$2="",$D$2=0),0,IF(BO$3&lt;0,0,N(INDEX('CURVA PREVISION'!$A$1:$KZ$3000,$C47,11+3*MIN(BO$3,$D$2-1)))))</f>
        <v>0</v>
      </c>
      <c r="BP47" s="131" t="n">
        <f aca="false">IF(OR($C47="",$B$2="",$D$2=0),0,IF(BP$3&lt;0,0,N(INDEX('CURVA PREVISION'!$A$1:$KZ$3000,$C47,11+3*MIN(BP$3,$D$2-1)))))</f>
        <v>0</v>
      </c>
      <c r="BQ47" s="131" t="n">
        <f aca="false">IF(OR($C47="",$B$2="",$D$2=0),0,IF(BQ$3&lt;0,0,N(INDEX('CURVA PREVISION'!$A$1:$KZ$3000,$C47,11+3*MIN(BQ$3,$D$2-1)))))</f>
        <v>0</v>
      </c>
      <c r="BR47" s="131" t="n">
        <f aca="false">IF(OR($C47="",$B$2="",$D$2=0),0,IF(BR$3&lt;0,0,N(INDEX('CURVA PREVISION'!$A$1:$KZ$3000,$C47,11+3*MIN(BR$3,$D$2-1)))))</f>
        <v>0</v>
      </c>
      <c r="BS47" s="131" t="n">
        <f aca="false">IF(OR($C47="",$B$2="",$D$2=0),0,IF(BS$3&lt;0,0,N(INDEX('CURVA PREVISION'!$A$1:$KZ$3000,$C47,11+3*MIN(BS$3,$D$2-1)))))</f>
        <v>0</v>
      </c>
      <c r="BT47" s="131" t="n">
        <f aca="false">IF(OR($C47="",$B$2="",$D$2=0),0,IF(BT$3&lt;0,0,N(INDEX('CURVA PREVISION'!$A$1:$KZ$3000,$C47,11+3*MIN(BT$3,$D$2-1)))))</f>
        <v>0</v>
      </c>
      <c r="BU47" s="131" t="n">
        <f aca="false">IF(OR($C47="",$B$2="",$D$2=0),0,IF(BU$3&lt;0,0,N(INDEX('CURVA PREVISION'!$A$1:$KZ$3000,$C47,11+3*MIN(BU$3,$D$2-1)))))</f>
        <v>0</v>
      </c>
      <c r="BV47" s="131" t="n">
        <f aca="false">IF(OR($C47="",$B$2="",$D$2=0),0,IF(BV$3&lt;0,0,N(INDEX('CURVA PREVISION'!$A$1:$KZ$3000,$C47,11+3*MIN(BV$3,$D$2-1)))))</f>
        <v>0</v>
      </c>
      <c r="BW47" s="131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6</v>
      </c>
      <c r="D48" s="131" t="n">
        <f aca="false">IF(OR($C48="",$B$2="",$D$2=0),0,IF(D$3&lt;0,0,N(INDEX('CURVA PREVISION'!$A$1:$KZ$3000,$C48,11+3*MIN(D$3,$D$2-1)))))</f>
        <v>0</v>
      </c>
      <c r="E48" s="131" t="n">
        <f aca="false">IF(OR($C48="",$B$2="",$D$2=0),0,IF(E$3&lt;0,0,N(INDEX('CURVA PREVISION'!$A$1:$KZ$3000,$C48,11+3*MIN(E$3,$D$2-1)))))</f>
        <v>0</v>
      </c>
      <c r="F48" s="131" t="n">
        <f aca="false">IF(OR($C48="",$B$2="",$D$2=0),0,IF(F$3&lt;0,0,N(INDEX('CURVA PREVISION'!$A$1:$KZ$3000,$C48,11+3*MIN(F$3,$D$2-1)))))</f>
        <v>0</v>
      </c>
      <c r="G48" s="131" t="n">
        <f aca="false">IF(OR($C48="",$B$2="",$D$2=0),0,IF(G$3&lt;0,0,N(INDEX('CURVA PREVISION'!$A$1:$KZ$3000,$C48,11+3*MIN(G$3,$D$2-1)))))</f>
        <v>0</v>
      </c>
      <c r="H48" s="131" t="n">
        <f aca="false">IF(OR($C48="",$B$2="",$D$2=0),0,IF(H$3&lt;0,0,N(INDEX('CURVA PREVISION'!$A$1:$KZ$3000,$C48,11+3*MIN(H$3,$D$2-1)))))</f>
        <v>0</v>
      </c>
      <c r="I48" s="131" t="n">
        <f aca="false">IF(OR($C48="",$B$2="",$D$2=0),0,IF(I$3&lt;0,0,N(INDEX('CURVA PREVISION'!$A$1:$KZ$3000,$C48,11+3*MIN(I$3,$D$2-1)))))</f>
        <v>0</v>
      </c>
      <c r="J48" s="131" t="n">
        <f aca="false">IF(OR($C48="",$B$2="",$D$2=0),0,IF(J$3&lt;0,0,N(INDEX('CURVA PREVISION'!$A$1:$KZ$3000,$C48,11+3*MIN(J$3,$D$2-1)))))</f>
        <v>0</v>
      </c>
      <c r="K48" s="131" t="n">
        <f aca="false">IF(OR($C48="",$B$2="",$D$2=0),0,IF(K$3&lt;0,0,N(INDEX('CURVA PREVISION'!$A$1:$KZ$3000,$C48,11+3*MIN(K$3,$D$2-1)))))</f>
        <v>0</v>
      </c>
      <c r="L48" s="131" t="n">
        <f aca="false">IF(OR($C48="",$B$2="",$D$2=0),0,IF(L$3&lt;0,0,N(INDEX('CURVA PREVISION'!$A$1:$KZ$3000,$C48,11+3*MIN(L$3,$D$2-1)))))</f>
        <v>0</v>
      </c>
      <c r="M48" s="131" t="n">
        <f aca="false">IF(OR($C48="",$B$2="",$D$2=0),0,IF(M$3&lt;0,0,N(INDEX('CURVA PREVISION'!$A$1:$KZ$3000,$C48,11+3*MIN(M$3,$D$2-1)))))</f>
        <v>0</v>
      </c>
      <c r="N48" s="131" t="n">
        <f aca="false">IF(OR($C48="",$B$2="",$D$2=0),0,IF(N$3&lt;0,0,N(INDEX('CURVA PREVISION'!$A$1:$KZ$3000,$C48,11+3*MIN(N$3,$D$2-1)))))</f>
        <v>0</v>
      </c>
      <c r="O48" s="131" t="n">
        <f aca="false">IF(OR($C48="",$B$2="",$D$2=0),0,IF(O$3&lt;0,0,N(INDEX('CURVA PREVISION'!$A$1:$KZ$3000,$C48,11+3*MIN(O$3,$D$2-1)))))</f>
        <v>0</v>
      </c>
      <c r="P48" s="131" t="n">
        <f aca="false">IF(OR($C48="",$B$2="",$D$2=0),0,IF(P$3&lt;0,0,N(INDEX('CURVA PREVISION'!$A$1:$KZ$3000,$C48,11+3*MIN(P$3,$D$2-1)))))</f>
        <v>0</v>
      </c>
      <c r="Q48" s="131" t="n">
        <f aca="false">IF(OR($C48="",$B$2="",$D$2=0),0,IF(Q$3&lt;0,0,N(INDEX('CURVA PREVISION'!$A$1:$KZ$3000,$C48,11+3*MIN(Q$3,$D$2-1)))))</f>
        <v>0</v>
      </c>
      <c r="R48" s="131" t="n">
        <f aca="false">IF(OR($C48="",$B$2="",$D$2=0),0,IF(R$3&lt;0,0,N(INDEX('CURVA PREVISION'!$A$1:$KZ$3000,$C48,11+3*MIN(R$3,$D$2-1)))))</f>
        <v>0</v>
      </c>
      <c r="S48" s="131" t="n">
        <f aca="false">IF(OR($C48="",$B$2="",$D$2=0),0,IF(S$3&lt;0,0,N(INDEX('CURVA PREVISION'!$A$1:$KZ$3000,$C48,11+3*MIN(S$3,$D$2-1)))))</f>
        <v>0</v>
      </c>
      <c r="T48" s="131" t="n">
        <f aca="false">IF(OR($C48="",$B$2="",$D$2=0),0,IF(T$3&lt;0,0,N(INDEX('CURVA PREVISION'!$A$1:$KZ$3000,$C48,11+3*MIN(T$3,$D$2-1)))))</f>
        <v>0</v>
      </c>
      <c r="U48" s="131" t="n">
        <f aca="false">IF(OR($C48="",$B$2="",$D$2=0),0,IF(U$3&lt;0,0,N(INDEX('CURVA PREVISION'!$A$1:$KZ$3000,$C48,11+3*MIN(U$3,$D$2-1)))))</f>
        <v>0</v>
      </c>
      <c r="V48" s="131" t="n">
        <f aca="false">IF(OR($C48="",$B$2="",$D$2=0),0,IF(V$3&lt;0,0,N(INDEX('CURVA PREVISION'!$A$1:$KZ$3000,$C48,11+3*MIN(V$3,$D$2-1)))))</f>
        <v>0</v>
      </c>
      <c r="W48" s="131" t="n">
        <f aca="false">IF(OR($C48="",$B$2="",$D$2=0),0,IF(W$3&lt;0,0,N(INDEX('CURVA PREVISION'!$A$1:$KZ$3000,$C48,11+3*MIN(W$3,$D$2-1)))))</f>
        <v>0</v>
      </c>
      <c r="X48" s="131" t="n">
        <f aca="false">IF(OR($C48="",$B$2="",$D$2=0),0,IF(X$3&lt;0,0,N(INDEX('CURVA PREVISION'!$A$1:$KZ$3000,$C48,11+3*MIN(X$3,$D$2-1)))))</f>
        <v>0</v>
      </c>
      <c r="Y48" s="131" t="n">
        <f aca="false">IF(OR($C48="",$B$2="",$D$2=0),0,IF(Y$3&lt;0,0,N(INDEX('CURVA PREVISION'!$A$1:$KZ$3000,$C48,11+3*MIN(Y$3,$D$2-1)))))</f>
        <v>0</v>
      </c>
      <c r="Z48" s="131" t="n">
        <f aca="false">IF(OR($C48="",$B$2="",$D$2=0),0,IF(Z$3&lt;0,0,N(INDEX('CURVA PREVISION'!$A$1:$KZ$3000,$C48,11+3*MIN(Z$3,$D$2-1)))))</f>
        <v>0</v>
      </c>
      <c r="AA48" s="131" t="n">
        <f aca="false">IF(OR($C48="",$B$2="",$D$2=0),0,IF(AA$3&lt;0,0,N(INDEX('CURVA PREVISION'!$A$1:$KZ$3000,$C48,11+3*MIN(AA$3,$D$2-1)))))</f>
        <v>0</v>
      </c>
      <c r="AB48" s="131" t="n">
        <f aca="false">IF(OR($C48="",$B$2="",$D$2=0),0,IF(AB$3&lt;0,0,N(INDEX('CURVA PREVISION'!$A$1:$KZ$3000,$C48,11+3*MIN(AB$3,$D$2-1)))))</f>
        <v>0</v>
      </c>
      <c r="AC48" s="131" t="n">
        <f aca="false">IF(OR($C48="",$B$2="",$D$2=0),0,IF(AC$3&lt;0,0,N(INDEX('CURVA PREVISION'!$A$1:$KZ$3000,$C48,11+3*MIN(AC$3,$D$2-1)))))</f>
        <v>0</v>
      </c>
      <c r="AD48" s="131" t="n">
        <f aca="false">IF(OR($C48="",$B$2="",$D$2=0),0,IF(AD$3&lt;0,0,N(INDEX('CURVA PREVISION'!$A$1:$KZ$3000,$C48,11+3*MIN(AD$3,$D$2-1)))))</f>
        <v>0</v>
      </c>
      <c r="AE48" s="131" t="n">
        <f aca="false">IF(OR($C48="",$B$2="",$D$2=0),0,IF(AE$3&lt;0,0,N(INDEX('CURVA PREVISION'!$A$1:$KZ$3000,$C48,11+3*MIN(AE$3,$D$2-1)))))</f>
        <v>0</v>
      </c>
      <c r="AF48" s="131" t="n">
        <f aca="false">IF(OR($C48="",$B$2="",$D$2=0),0,IF(AF$3&lt;0,0,N(INDEX('CURVA PREVISION'!$A$1:$KZ$3000,$C48,11+3*MIN(AF$3,$D$2-1)))))</f>
        <v>0</v>
      </c>
      <c r="AG48" s="131" t="n">
        <f aca="false">IF(OR($C48="",$B$2="",$D$2=0),0,IF(AG$3&lt;0,0,N(INDEX('CURVA PREVISION'!$A$1:$KZ$3000,$C48,11+3*MIN(AG$3,$D$2-1)))))</f>
        <v>0</v>
      </c>
      <c r="AH48" s="131" t="n">
        <f aca="false">IF(OR($C48="",$B$2="",$D$2=0),0,IF(AH$3&lt;0,0,N(INDEX('CURVA PREVISION'!$A$1:$KZ$3000,$C48,11+3*MIN(AH$3,$D$2-1)))))</f>
        <v>0</v>
      </c>
      <c r="AI48" s="131" t="n">
        <f aca="false">IF(OR($C48="",$B$2="",$D$2=0),0,IF(AI$3&lt;0,0,N(INDEX('CURVA PREVISION'!$A$1:$KZ$3000,$C48,11+3*MIN(AI$3,$D$2-1)))))</f>
        <v>0</v>
      </c>
      <c r="AJ48" s="131" t="n">
        <f aca="false">IF(OR($C48="",$B$2="",$D$2=0),0,IF(AJ$3&lt;0,0,N(INDEX('CURVA PREVISION'!$A$1:$KZ$3000,$C48,11+3*MIN(AJ$3,$D$2-1)))))</f>
        <v>0</v>
      </c>
      <c r="AK48" s="131" t="n">
        <f aca="false">IF(OR($C48="",$B$2="",$D$2=0),0,IF(AK$3&lt;0,0,N(INDEX('CURVA PREVISION'!$A$1:$KZ$3000,$C48,11+3*MIN(AK$3,$D$2-1)))))</f>
        <v>0</v>
      </c>
      <c r="AL48" s="131" t="n">
        <f aca="false">IF(OR($C48="",$B$2="",$D$2=0),0,IF(AL$3&lt;0,0,N(INDEX('CURVA PREVISION'!$A$1:$KZ$3000,$C48,11+3*MIN(AL$3,$D$2-1)))))</f>
        <v>0</v>
      </c>
      <c r="AM48" s="131" t="n">
        <f aca="false">IF(OR($C48="",$B$2="",$D$2=0),0,IF(AM$3&lt;0,0,N(INDEX('CURVA PREVISION'!$A$1:$KZ$3000,$C48,11+3*MIN(AM$3,$D$2-1)))))</f>
        <v>0</v>
      </c>
      <c r="AN48" s="131" t="n">
        <f aca="false">IF(OR($C48="",$B$2="",$D$2=0),0,IF(AN$3&lt;0,0,N(INDEX('CURVA PREVISION'!$A$1:$KZ$3000,$C48,11+3*MIN(AN$3,$D$2-1)))))</f>
        <v>0</v>
      </c>
      <c r="AO48" s="131" t="n">
        <f aca="false">IF(OR($C48="",$B$2="",$D$2=0),0,IF(AO$3&lt;0,0,N(INDEX('CURVA PREVISION'!$A$1:$KZ$3000,$C48,11+3*MIN(AO$3,$D$2-1)))))</f>
        <v>0</v>
      </c>
      <c r="AP48" s="131" t="n">
        <f aca="false">IF(OR($C48="",$B$2="",$D$2=0),0,IF(AP$3&lt;0,0,N(INDEX('CURVA PREVISION'!$A$1:$KZ$3000,$C48,11+3*MIN(AP$3,$D$2-1)))))</f>
        <v>0</v>
      </c>
      <c r="AQ48" s="131" t="n">
        <f aca="false">IF(OR($C48="",$B$2="",$D$2=0),0,IF(AQ$3&lt;0,0,N(INDEX('CURVA PREVISION'!$A$1:$KZ$3000,$C48,11+3*MIN(AQ$3,$D$2-1)))))</f>
        <v>0</v>
      </c>
      <c r="AR48" s="131" t="n">
        <f aca="false">IF(OR($C48="",$B$2="",$D$2=0),0,IF(AR$3&lt;0,0,N(INDEX('CURVA PREVISION'!$A$1:$KZ$3000,$C48,11+3*MIN(AR$3,$D$2-1)))))</f>
        <v>0</v>
      </c>
      <c r="AS48" s="131" t="n">
        <f aca="false">IF(OR($C48="",$B$2="",$D$2=0),0,IF(AS$3&lt;0,0,N(INDEX('CURVA PREVISION'!$A$1:$KZ$3000,$C48,11+3*MIN(AS$3,$D$2-1)))))</f>
        <v>0</v>
      </c>
      <c r="AT48" s="131" t="n">
        <f aca="false">IF(OR($C48="",$B$2="",$D$2=0),0,IF(AT$3&lt;0,0,N(INDEX('CURVA PREVISION'!$A$1:$KZ$3000,$C48,11+3*MIN(AT$3,$D$2-1)))))</f>
        <v>0</v>
      </c>
      <c r="AU48" s="131" t="n">
        <f aca="false">IF(OR($C48="",$B$2="",$D$2=0),0,IF(AU$3&lt;0,0,N(INDEX('CURVA PREVISION'!$A$1:$KZ$3000,$C48,11+3*MIN(AU$3,$D$2-1)))))</f>
        <v>0</v>
      </c>
      <c r="AV48" s="131" t="n">
        <f aca="false">IF(OR($C48="",$B$2="",$D$2=0),0,IF(AV$3&lt;0,0,N(INDEX('CURVA PREVISION'!$A$1:$KZ$3000,$C48,11+3*MIN(AV$3,$D$2-1)))))</f>
        <v>0</v>
      </c>
      <c r="AW48" s="131" t="n">
        <f aca="false">IF(OR($C48="",$B$2="",$D$2=0),0,IF(AW$3&lt;0,0,N(INDEX('CURVA PREVISION'!$A$1:$KZ$3000,$C48,11+3*MIN(AW$3,$D$2-1)))))</f>
        <v>0</v>
      </c>
      <c r="AX48" s="131" t="n">
        <f aca="false">IF(OR($C48="",$B$2="",$D$2=0),0,IF(AX$3&lt;0,0,N(INDEX('CURVA PREVISION'!$A$1:$KZ$3000,$C48,11+3*MIN(AX$3,$D$2-1)))))</f>
        <v>0</v>
      </c>
      <c r="AY48" s="131" t="n">
        <f aca="false">IF(OR($C48="",$B$2="",$D$2=0),0,IF(AY$3&lt;0,0,N(INDEX('CURVA PREVISION'!$A$1:$KZ$3000,$C48,11+3*MIN(AY$3,$D$2-1)))))</f>
        <v>0</v>
      </c>
      <c r="AZ48" s="131" t="n">
        <f aca="false">IF(OR($C48="",$B$2="",$D$2=0),0,IF(AZ$3&lt;0,0,N(INDEX('CURVA PREVISION'!$A$1:$KZ$3000,$C48,11+3*MIN(AZ$3,$D$2-1)))))</f>
        <v>0</v>
      </c>
      <c r="BA48" s="131" t="n">
        <f aca="false">IF(OR($C48="",$B$2="",$D$2=0),0,IF(BA$3&lt;0,0,N(INDEX('CURVA PREVISION'!$A$1:$KZ$3000,$C48,11+3*MIN(BA$3,$D$2-1)))))</f>
        <v>0</v>
      </c>
      <c r="BB48" s="131" t="n">
        <f aca="false">IF(OR($C48="",$B$2="",$D$2=0),0,IF(BB$3&lt;0,0,N(INDEX('CURVA PREVISION'!$A$1:$KZ$3000,$C48,11+3*MIN(BB$3,$D$2-1)))))</f>
        <v>0</v>
      </c>
      <c r="BC48" s="131" t="n">
        <f aca="false">IF(OR($C48="",$B$2="",$D$2=0),0,IF(BC$3&lt;0,0,N(INDEX('CURVA PREVISION'!$A$1:$KZ$3000,$C48,11+3*MIN(BC$3,$D$2-1)))))</f>
        <v>0</v>
      </c>
      <c r="BD48" s="131" t="n">
        <f aca="false">IF(OR($C48="",$B$2="",$D$2=0),0,IF(BD$3&lt;0,0,N(INDEX('CURVA PREVISION'!$A$1:$KZ$3000,$C48,11+3*MIN(BD$3,$D$2-1)))))</f>
        <v>0</v>
      </c>
      <c r="BE48" s="131" t="n">
        <f aca="false">IF(OR($C48="",$B$2="",$D$2=0),0,IF(BE$3&lt;0,0,N(INDEX('CURVA PREVISION'!$A$1:$KZ$3000,$C48,11+3*MIN(BE$3,$D$2-1)))))</f>
        <v>0</v>
      </c>
      <c r="BF48" s="131" t="n">
        <f aca="false">IF(OR($C48="",$B$2="",$D$2=0),0,IF(BF$3&lt;0,0,N(INDEX('CURVA PREVISION'!$A$1:$KZ$3000,$C48,11+3*MIN(BF$3,$D$2-1)))))</f>
        <v>0</v>
      </c>
      <c r="BG48" s="131" t="n">
        <f aca="false">IF(OR($C48="",$B$2="",$D$2=0),0,IF(BG$3&lt;0,0,N(INDEX('CURVA PREVISION'!$A$1:$KZ$3000,$C48,11+3*MIN(BG$3,$D$2-1)))))</f>
        <v>0</v>
      </c>
      <c r="BH48" s="131" t="n">
        <f aca="false">IF(OR($C48="",$B$2="",$D$2=0),0,IF(BH$3&lt;0,0,N(INDEX('CURVA PREVISION'!$A$1:$KZ$3000,$C48,11+3*MIN(BH$3,$D$2-1)))))</f>
        <v>0</v>
      </c>
      <c r="BI48" s="131" t="n">
        <f aca="false">IF(OR($C48="",$B$2="",$D$2=0),0,IF(BI$3&lt;0,0,N(INDEX('CURVA PREVISION'!$A$1:$KZ$3000,$C48,11+3*MIN(BI$3,$D$2-1)))))</f>
        <v>0</v>
      </c>
      <c r="BJ48" s="131" t="n">
        <f aca="false">IF(OR($C48="",$B$2="",$D$2=0),0,IF(BJ$3&lt;0,0,N(INDEX('CURVA PREVISION'!$A$1:$KZ$3000,$C48,11+3*MIN(BJ$3,$D$2-1)))))</f>
        <v>0</v>
      </c>
      <c r="BK48" s="131" t="n">
        <f aca="false">IF(OR($C48="",$B$2="",$D$2=0),0,IF(BK$3&lt;0,0,N(INDEX('CURVA PREVISION'!$A$1:$KZ$3000,$C48,11+3*MIN(BK$3,$D$2-1)))))</f>
        <v>0</v>
      </c>
      <c r="BL48" s="131" t="n">
        <f aca="false">IF(OR($C48="",$B$2="",$D$2=0),0,IF(BL$3&lt;0,0,N(INDEX('CURVA PREVISION'!$A$1:$KZ$3000,$C48,11+3*MIN(BL$3,$D$2-1)))))</f>
        <v>0</v>
      </c>
      <c r="BM48" s="131" t="n">
        <f aca="false">IF(OR($C48="",$B$2="",$D$2=0),0,IF(BM$3&lt;0,0,N(INDEX('CURVA PREVISION'!$A$1:$KZ$3000,$C48,11+3*MIN(BM$3,$D$2-1)))))</f>
        <v>0</v>
      </c>
      <c r="BN48" s="131" t="n">
        <f aca="false">IF(OR($C48="",$B$2="",$D$2=0),0,IF(BN$3&lt;0,0,N(INDEX('CURVA PREVISION'!$A$1:$KZ$3000,$C48,11+3*MIN(BN$3,$D$2-1)))))</f>
        <v>0</v>
      </c>
      <c r="BO48" s="131" t="n">
        <f aca="false">IF(OR($C48="",$B$2="",$D$2=0),0,IF(BO$3&lt;0,0,N(INDEX('CURVA PREVISION'!$A$1:$KZ$3000,$C48,11+3*MIN(BO$3,$D$2-1)))))</f>
        <v>0</v>
      </c>
      <c r="BP48" s="131" t="n">
        <f aca="false">IF(OR($C48="",$B$2="",$D$2=0),0,IF(BP$3&lt;0,0,N(INDEX('CURVA PREVISION'!$A$1:$KZ$3000,$C48,11+3*MIN(BP$3,$D$2-1)))))</f>
        <v>0</v>
      </c>
      <c r="BQ48" s="131" t="n">
        <f aca="false">IF(OR($C48="",$B$2="",$D$2=0),0,IF(BQ$3&lt;0,0,N(INDEX('CURVA PREVISION'!$A$1:$KZ$3000,$C48,11+3*MIN(BQ$3,$D$2-1)))))</f>
        <v>0</v>
      </c>
      <c r="BR48" s="131" t="n">
        <f aca="false">IF(OR($C48="",$B$2="",$D$2=0),0,IF(BR$3&lt;0,0,N(INDEX('CURVA PREVISION'!$A$1:$KZ$3000,$C48,11+3*MIN(BR$3,$D$2-1)))))</f>
        <v>0</v>
      </c>
      <c r="BS48" s="131" t="n">
        <f aca="false">IF(OR($C48="",$B$2="",$D$2=0),0,IF(BS$3&lt;0,0,N(INDEX('CURVA PREVISION'!$A$1:$KZ$3000,$C48,11+3*MIN(BS$3,$D$2-1)))))</f>
        <v>0</v>
      </c>
      <c r="BT48" s="131" t="n">
        <f aca="false">IF(OR($C48="",$B$2="",$D$2=0),0,IF(BT$3&lt;0,0,N(INDEX('CURVA PREVISION'!$A$1:$KZ$3000,$C48,11+3*MIN(BT$3,$D$2-1)))))</f>
        <v>0</v>
      </c>
      <c r="BU48" s="131" t="n">
        <f aca="false">IF(OR($C48="",$B$2="",$D$2=0),0,IF(BU$3&lt;0,0,N(INDEX('CURVA PREVISION'!$A$1:$KZ$3000,$C48,11+3*MIN(BU$3,$D$2-1)))))</f>
        <v>0</v>
      </c>
      <c r="BV48" s="131" t="n">
        <f aca="false">IF(OR($C48="",$B$2="",$D$2=0),0,IF(BV$3&lt;0,0,N(INDEX('CURVA PREVISION'!$A$1:$KZ$3000,$C48,11+3*MIN(BV$3,$D$2-1)))))</f>
        <v>0</v>
      </c>
      <c r="BW48" s="131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8</v>
      </c>
      <c r="D49" s="131" t="n">
        <f aca="false">IF(OR($C49="",$B$2="",$D$2=0),0,IF(D$3&lt;0,0,N(INDEX('CURVA PREVISION'!$A$1:$KZ$3000,$C49,11+3*MIN(D$3,$D$2-1)))))</f>
        <v>0</v>
      </c>
      <c r="E49" s="131" t="n">
        <f aca="false">IF(OR($C49="",$B$2="",$D$2=0),0,IF(E$3&lt;0,0,N(INDEX('CURVA PREVISION'!$A$1:$KZ$3000,$C49,11+3*MIN(E$3,$D$2-1)))))</f>
        <v>0</v>
      </c>
      <c r="F49" s="131" t="n">
        <f aca="false">IF(OR($C49="",$B$2="",$D$2=0),0,IF(F$3&lt;0,0,N(INDEX('CURVA PREVISION'!$A$1:$KZ$3000,$C49,11+3*MIN(F$3,$D$2-1)))))</f>
        <v>0</v>
      </c>
      <c r="G49" s="131" t="n">
        <f aca="false">IF(OR($C49="",$B$2="",$D$2=0),0,IF(G$3&lt;0,0,N(INDEX('CURVA PREVISION'!$A$1:$KZ$3000,$C49,11+3*MIN(G$3,$D$2-1)))))</f>
        <v>0</v>
      </c>
      <c r="H49" s="131" t="n">
        <f aca="false">IF(OR($C49="",$B$2="",$D$2=0),0,IF(H$3&lt;0,0,N(INDEX('CURVA PREVISION'!$A$1:$KZ$3000,$C49,11+3*MIN(H$3,$D$2-1)))))</f>
        <v>0</v>
      </c>
      <c r="I49" s="131" t="n">
        <f aca="false">IF(OR($C49="",$B$2="",$D$2=0),0,IF(I$3&lt;0,0,N(INDEX('CURVA PREVISION'!$A$1:$KZ$3000,$C49,11+3*MIN(I$3,$D$2-1)))))</f>
        <v>0</v>
      </c>
      <c r="J49" s="131" t="n">
        <f aca="false">IF(OR($C49="",$B$2="",$D$2=0),0,IF(J$3&lt;0,0,N(INDEX('CURVA PREVISION'!$A$1:$KZ$3000,$C49,11+3*MIN(J$3,$D$2-1)))))</f>
        <v>0</v>
      </c>
      <c r="K49" s="131" t="n">
        <f aca="false">IF(OR($C49="",$B$2="",$D$2=0),0,IF(K$3&lt;0,0,N(INDEX('CURVA PREVISION'!$A$1:$KZ$3000,$C49,11+3*MIN(K$3,$D$2-1)))))</f>
        <v>0</v>
      </c>
      <c r="L49" s="131" t="n">
        <f aca="false">IF(OR($C49="",$B$2="",$D$2=0),0,IF(L$3&lt;0,0,N(INDEX('CURVA PREVISION'!$A$1:$KZ$3000,$C49,11+3*MIN(L$3,$D$2-1)))))</f>
        <v>0</v>
      </c>
      <c r="M49" s="131" t="n">
        <f aca="false">IF(OR($C49="",$B$2="",$D$2=0),0,IF(M$3&lt;0,0,N(INDEX('CURVA PREVISION'!$A$1:$KZ$3000,$C49,11+3*MIN(M$3,$D$2-1)))))</f>
        <v>0</v>
      </c>
      <c r="N49" s="131" t="n">
        <f aca="false">IF(OR($C49="",$B$2="",$D$2=0),0,IF(N$3&lt;0,0,N(INDEX('CURVA PREVISION'!$A$1:$KZ$3000,$C49,11+3*MIN(N$3,$D$2-1)))))</f>
        <v>0</v>
      </c>
      <c r="O49" s="131" t="n">
        <f aca="false">IF(OR($C49="",$B$2="",$D$2=0),0,IF(O$3&lt;0,0,N(INDEX('CURVA PREVISION'!$A$1:$KZ$3000,$C49,11+3*MIN(O$3,$D$2-1)))))</f>
        <v>0</v>
      </c>
      <c r="P49" s="131" t="n">
        <f aca="false">IF(OR($C49="",$B$2="",$D$2=0),0,IF(P$3&lt;0,0,N(INDEX('CURVA PREVISION'!$A$1:$KZ$3000,$C49,11+3*MIN(P$3,$D$2-1)))))</f>
        <v>0</v>
      </c>
      <c r="Q49" s="131" t="n">
        <f aca="false">IF(OR($C49="",$B$2="",$D$2=0),0,IF(Q$3&lt;0,0,N(INDEX('CURVA PREVISION'!$A$1:$KZ$3000,$C49,11+3*MIN(Q$3,$D$2-1)))))</f>
        <v>0</v>
      </c>
      <c r="R49" s="131" t="n">
        <f aca="false">IF(OR($C49="",$B$2="",$D$2=0),0,IF(R$3&lt;0,0,N(INDEX('CURVA PREVISION'!$A$1:$KZ$3000,$C49,11+3*MIN(R$3,$D$2-1)))))</f>
        <v>0</v>
      </c>
      <c r="S49" s="131" t="n">
        <f aca="false">IF(OR($C49="",$B$2="",$D$2=0),0,IF(S$3&lt;0,0,N(INDEX('CURVA PREVISION'!$A$1:$KZ$3000,$C49,11+3*MIN(S$3,$D$2-1)))))</f>
        <v>0</v>
      </c>
      <c r="T49" s="131" t="n">
        <f aca="false">IF(OR($C49="",$B$2="",$D$2=0),0,IF(T$3&lt;0,0,N(INDEX('CURVA PREVISION'!$A$1:$KZ$3000,$C49,11+3*MIN(T$3,$D$2-1)))))</f>
        <v>0</v>
      </c>
      <c r="U49" s="131" t="n">
        <f aca="false">IF(OR($C49="",$B$2="",$D$2=0),0,IF(U$3&lt;0,0,N(INDEX('CURVA PREVISION'!$A$1:$KZ$3000,$C49,11+3*MIN(U$3,$D$2-1)))))</f>
        <v>0</v>
      </c>
      <c r="V49" s="131" t="n">
        <f aca="false">IF(OR($C49="",$B$2="",$D$2=0),0,IF(V$3&lt;0,0,N(INDEX('CURVA PREVISION'!$A$1:$KZ$3000,$C49,11+3*MIN(V$3,$D$2-1)))))</f>
        <v>0</v>
      </c>
      <c r="W49" s="131" t="n">
        <f aca="false">IF(OR($C49="",$B$2="",$D$2=0),0,IF(W$3&lt;0,0,N(INDEX('CURVA PREVISION'!$A$1:$KZ$3000,$C49,11+3*MIN(W$3,$D$2-1)))))</f>
        <v>0</v>
      </c>
      <c r="X49" s="131" t="n">
        <f aca="false">IF(OR($C49="",$B$2="",$D$2=0),0,IF(X$3&lt;0,0,N(INDEX('CURVA PREVISION'!$A$1:$KZ$3000,$C49,11+3*MIN(X$3,$D$2-1)))))</f>
        <v>0</v>
      </c>
      <c r="Y49" s="131" t="n">
        <f aca="false">IF(OR($C49="",$B$2="",$D$2=0),0,IF(Y$3&lt;0,0,N(INDEX('CURVA PREVISION'!$A$1:$KZ$3000,$C49,11+3*MIN(Y$3,$D$2-1)))))</f>
        <v>0</v>
      </c>
      <c r="Z49" s="131" t="n">
        <f aca="false">IF(OR($C49="",$B$2="",$D$2=0),0,IF(Z$3&lt;0,0,N(INDEX('CURVA PREVISION'!$A$1:$KZ$3000,$C49,11+3*MIN(Z$3,$D$2-1)))))</f>
        <v>0</v>
      </c>
      <c r="AA49" s="131" t="n">
        <f aca="false">IF(OR($C49="",$B$2="",$D$2=0),0,IF(AA$3&lt;0,0,N(INDEX('CURVA PREVISION'!$A$1:$KZ$3000,$C49,11+3*MIN(AA$3,$D$2-1)))))</f>
        <v>0</v>
      </c>
      <c r="AB49" s="131" t="n">
        <f aca="false">IF(OR($C49="",$B$2="",$D$2=0),0,IF(AB$3&lt;0,0,N(INDEX('CURVA PREVISION'!$A$1:$KZ$3000,$C49,11+3*MIN(AB$3,$D$2-1)))))</f>
        <v>0</v>
      </c>
      <c r="AC49" s="131" t="n">
        <f aca="false">IF(OR($C49="",$B$2="",$D$2=0),0,IF(AC$3&lt;0,0,N(INDEX('CURVA PREVISION'!$A$1:$KZ$3000,$C49,11+3*MIN(AC$3,$D$2-1)))))</f>
        <v>0</v>
      </c>
      <c r="AD49" s="131" t="n">
        <f aca="false">IF(OR($C49="",$B$2="",$D$2=0),0,IF(AD$3&lt;0,0,N(INDEX('CURVA PREVISION'!$A$1:$KZ$3000,$C49,11+3*MIN(AD$3,$D$2-1)))))</f>
        <v>0</v>
      </c>
      <c r="AE49" s="131" t="n">
        <f aca="false">IF(OR($C49="",$B$2="",$D$2=0),0,IF(AE$3&lt;0,0,N(INDEX('CURVA PREVISION'!$A$1:$KZ$3000,$C49,11+3*MIN(AE$3,$D$2-1)))))</f>
        <v>0</v>
      </c>
      <c r="AF49" s="131" t="n">
        <f aca="false">IF(OR($C49="",$B$2="",$D$2=0),0,IF(AF$3&lt;0,0,N(INDEX('CURVA PREVISION'!$A$1:$KZ$3000,$C49,11+3*MIN(AF$3,$D$2-1)))))</f>
        <v>0</v>
      </c>
      <c r="AG49" s="131" t="n">
        <f aca="false">IF(OR($C49="",$B$2="",$D$2=0),0,IF(AG$3&lt;0,0,N(INDEX('CURVA PREVISION'!$A$1:$KZ$3000,$C49,11+3*MIN(AG$3,$D$2-1)))))</f>
        <v>0</v>
      </c>
      <c r="AH49" s="131" t="n">
        <f aca="false">IF(OR($C49="",$B$2="",$D$2=0),0,IF(AH$3&lt;0,0,N(INDEX('CURVA PREVISION'!$A$1:$KZ$3000,$C49,11+3*MIN(AH$3,$D$2-1)))))</f>
        <v>0</v>
      </c>
      <c r="AI49" s="131" t="n">
        <f aca="false">IF(OR($C49="",$B$2="",$D$2=0),0,IF(AI$3&lt;0,0,N(INDEX('CURVA PREVISION'!$A$1:$KZ$3000,$C49,11+3*MIN(AI$3,$D$2-1)))))</f>
        <v>0</v>
      </c>
      <c r="AJ49" s="131" t="n">
        <f aca="false">IF(OR($C49="",$B$2="",$D$2=0),0,IF(AJ$3&lt;0,0,N(INDEX('CURVA PREVISION'!$A$1:$KZ$3000,$C49,11+3*MIN(AJ$3,$D$2-1)))))</f>
        <v>0</v>
      </c>
      <c r="AK49" s="131" t="n">
        <f aca="false">IF(OR($C49="",$B$2="",$D$2=0),0,IF(AK$3&lt;0,0,N(INDEX('CURVA PREVISION'!$A$1:$KZ$3000,$C49,11+3*MIN(AK$3,$D$2-1)))))</f>
        <v>0</v>
      </c>
      <c r="AL49" s="131" t="n">
        <f aca="false">IF(OR($C49="",$B$2="",$D$2=0),0,IF(AL$3&lt;0,0,N(INDEX('CURVA PREVISION'!$A$1:$KZ$3000,$C49,11+3*MIN(AL$3,$D$2-1)))))</f>
        <v>0</v>
      </c>
      <c r="AM49" s="131" t="n">
        <f aca="false">IF(OR($C49="",$B$2="",$D$2=0),0,IF(AM$3&lt;0,0,N(INDEX('CURVA PREVISION'!$A$1:$KZ$3000,$C49,11+3*MIN(AM$3,$D$2-1)))))</f>
        <v>0</v>
      </c>
      <c r="AN49" s="131" t="n">
        <f aca="false">IF(OR($C49="",$B$2="",$D$2=0),0,IF(AN$3&lt;0,0,N(INDEX('CURVA PREVISION'!$A$1:$KZ$3000,$C49,11+3*MIN(AN$3,$D$2-1)))))</f>
        <v>0</v>
      </c>
      <c r="AO49" s="131" t="n">
        <f aca="false">IF(OR($C49="",$B$2="",$D$2=0),0,IF(AO$3&lt;0,0,N(INDEX('CURVA PREVISION'!$A$1:$KZ$3000,$C49,11+3*MIN(AO$3,$D$2-1)))))</f>
        <v>0</v>
      </c>
      <c r="AP49" s="131" t="n">
        <f aca="false">IF(OR($C49="",$B$2="",$D$2=0),0,IF(AP$3&lt;0,0,N(INDEX('CURVA PREVISION'!$A$1:$KZ$3000,$C49,11+3*MIN(AP$3,$D$2-1)))))</f>
        <v>0</v>
      </c>
      <c r="AQ49" s="131" t="n">
        <f aca="false">IF(OR($C49="",$B$2="",$D$2=0),0,IF(AQ$3&lt;0,0,N(INDEX('CURVA PREVISION'!$A$1:$KZ$3000,$C49,11+3*MIN(AQ$3,$D$2-1)))))</f>
        <v>0</v>
      </c>
      <c r="AR49" s="131" t="n">
        <f aca="false">IF(OR($C49="",$B$2="",$D$2=0),0,IF(AR$3&lt;0,0,N(INDEX('CURVA PREVISION'!$A$1:$KZ$3000,$C49,11+3*MIN(AR$3,$D$2-1)))))</f>
        <v>0</v>
      </c>
      <c r="AS49" s="131" t="n">
        <f aca="false">IF(OR($C49="",$B$2="",$D$2=0),0,IF(AS$3&lt;0,0,N(INDEX('CURVA PREVISION'!$A$1:$KZ$3000,$C49,11+3*MIN(AS$3,$D$2-1)))))</f>
        <v>0</v>
      </c>
      <c r="AT49" s="131" t="n">
        <f aca="false">IF(OR($C49="",$B$2="",$D$2=0),0,IF(AT$3&lt;0,0,N(INDEX('CURVA PREVISION'!$A$1:$KZ$3000,$C49,11+3*MIN(AT$3,$D$2-1)))))</f>
        <v>0</v>
      </c>
      <c r="AU49" s="131" t="n">
        <f aca="false">IF(OR($C49="",$B$2="",$D$2=0),0,IF(AU$3&lt;0,0,N(INDEX('CURVA PREVISION'!$A$1:$KZ$3000,$C49,11+3*MIN(AU$3,$D$2-1)))))</f>
        <v>0</v>
      </c>
      <c r="AV49" s="131" t="n">
        <f aca="false">IF(OR($C49="",$B$2="",$D$2=0),0,IF(AV$3&lt;0,0,N(INDEX('CURVA PREVISION'!$A$1:$KZ$3000,$C49,11+3*MIN(AV$3,$D$2-1)))))</f>
        <v>0</v>
      </c>
      <c r="AW49" s="131" t="n">
        <f aca="false">IF(OR($C49="",$B$2="",$D$2=0),0,IF(AW$3&lt;0,0,N(INDEX('CURVA PREVISION'!$A$1:$KZ$3000,$C49,11+3*MIN(AW$3,$D$2-1)))))</f>
        <v>0</v>
      </c>
      <c r="AX49" s="131" t="n">
        <f aca="false">IF(OR($C49="",$B$2="",$D$2=0),0,IF(AX$3&lt;0,0,N(INDEX('CURVA PREVISION'!$A$1:$KZ$3000,$C49,11+3*MIN(AX$3,$D$2-1)))))</f>
        <v>0</v>
      </c>
      <c r="AY49" s="131" t="n">
        <f aca="false">IF(OR($C49="",$B$2="",$D$2=0),0,IF(AY$3&lt;0,0,N(INDEX('CURVA PREVISION'!$A$1:$KZ$3000,$C49,11+3*MIN(AY$3,$D$2-1)))))</f>
        <v>0</v>
      </c>
      <c r="AZ49" s="131" t="n">
        <f aca="false">IF(OR($C49="",$B$2="",$D$2=0),0,IF(AZ$3&lt;0,0,N(INDEX('CURVA PREVISION'!$A$1:$KZ$3000,$C49,11+3*MIN(AZ$3,$D$2-1)))))</f>
        <v>0</v>
      </c>
      <c r="BA49" s="131" t="n">
        <f aca="false">IF(OR($C49="",$B$2="",$D$2=0),0,IF(BA$3&lt;0,0,N(INDEX('CURVA PREVISION'!$A$1:$KZ$3000,$C49,11+3*MIN(BA$3,$D$2-1)))))</f>
        <v>0</v>
      </c>
      <c r="BB49" s="131" t="n">
        <f aca="false">IF(OR($C49="",$B$2="",$D$2=0),0,IF(BB$3&lt;0,0,N(INDEX('CURVA PREVISION'!$A$1:$KZ$3000,$C49,11+3*MIN(BB$3,$D$2-1)))))</f>
        <v>0</v>
      </c>
      <c r="BC49" s="131" t="n">
        <f aca="false">IF(OR($C49="",$B$2="",$D$2=0),0,IF(BC$3&lt;0,0,N(INDEX('CURVA PREVISION'!$A$1:$KZ$3000,$C49,11+3*MIN(BC$3,$D$2-1)))))</f>
        <v>0</v>
      </c>
      <c r="BD49" s="131" t="n">
        <f aca="false">IF(OR($C49="",$B$2="",$D$2=0),0,IF(BD$3&lt;0,0,N(INDEX('CURVA PREVISION'!$A$1:$KZ$3000,$C49,11+3*MIN(BD$3,$D$2-1)))))</f>
        <v>0</v>
      </c>
      <c r="BE49" s="131" t="n">
        <f aca="false">IF(OR($C49="",$B$2="",$D$2=0),0,IF(BE$3&lt;0,0,N(INDEX('CURVA PREVISION'!$A$1:$KZ$3000,$C49,11+3*MIN(BE$3,$D$2-1)))))</f>
        <v>0</v>
      </c>
      <c r="BF49" s="131" t="n">
        <f aca="false">IF(OR($C49="",$B$2="",$D$2=0),0,IF(BF$3&lt;0,0,N(INDEX('CURVA PREVISION'!$A$1:$KZ$3000,$C49,11+3*MIN(BF$3,$D$2-1)))))</f>
        <v>0</v>
      </c>
      <c r="BG49" s="131" t="n">
        <f aca="false">IF(OR($C49="",$B$2="",$D$2=0),0,IF(BG$3&lt;0,0,N(INDEX('CURVA PREVISION'!$A$1:$KZ$3000,$C49,11+3*MIN(BG$3,$D$2-1)))))</f>
        <v>0</v>
      </c>
      <c r="BH49" s="131" t="n">
        <f aca="false">IF(OR($C49="",$B$2="",$D$2=0),0,IF(BH$3&lt;0,0,N(INDEX('CURVA PREVISION'!$A$1:$KZ$3000,$C49,11+3*MIN(BH$3,$D$2-1)))))</f>
        <v>0</v>
      </c>
      <c r="BI49" s="131" t="n">
        <f aca="false">IF(OR($C49="",$B$2="",$D$2=0),0,IF(BI$3&lt;0,0,N(INDEX('CURVA PREVISION'!$A$1:$KZ$3000,$C49,11+3*MIN(BI$3,$D$2-1)))))</f>
        <v>0</v>
      </c>
      <c r="BJ49" s="131" t="n">
        <f aca="false">IF(OR($C49="",$B$2="",$D$2=0),0,IF(BJ$3&lt;0,0,N(INDEX('CURVA PREVISION'!$A$1:$KZ$3000,$C49,11+3*MIN(BJ$3,$D$2-1)))))</f>
        <v>0</v>
      </c>
      <c r="BK49" s="131" t="n">
        <f aca="false">IF(OR($C49="",$B$2="",$D$2=0),0,IF(BK$3&lt;0,0,N(INDEX('CURVA PREVISION'!$A$1:$KZ$3000,$C49,11+3*MIN(BK$3,$D$2-1)))))</f>
        <v>0</v>
      </c>
      <c r="BL49" s="131" t="n">
        <f aca="false">IF(OR($C49="",$B$2="",$D$2=0),0,IF(BL$3&lt;0,0,N(INDEX('CURVA PREVISION'!$A$1:$KZ$3000,$C49,11+3*MIN(BL$3,$D$2-1)))))</f>
        <v>0</v>
      </c>
      <c r="BM49" s="131" t="n">
        <f aca="false">IF(OR($C49="",$B$2="",$D$2=0),0,IF(BM$3&lt;0,0,N(INDEX('CURVA PREVISION'!$A$1:$KZ$3000,$C49,11+3*MIN(BM$3,$D$2-1)))))</f>
        <v>0</v>
      </c>
      <c r="BN49" s="131" t="n">
        <f aca="false">IF(OR($C49="",$B$2="",$D$2=0),0,IF(BN$3&lt;0,0,N(INDEX('CURVA PREVISION'!$A$1:$KZ$3000,$C49,11+3*MIN(BN$3,$D$2-1)))))</f>
        <v>0</v>
      </c>
      <c r="BO49" s="131" t="n">
        <f aca="false">IF(OR($C49="",$B$2="",$D$2=0),0,IF(BO$3&lt;0,0,N(INDEX('CURVA PREVISION'!$A$1:$KZ$3000,$C49,11+3*MIN(BO$3,$D$2-1)))))</f>
        <v>0</v>
      </c>
      <c r="BP49" s="131" t="n">
        <f aca="false">IF(OR($C49="",$B$2="",$D$2=0),0,IF(BP$3&lt;0,0,N(INDEX('CURVA PREVISION'!$A$1:$KZ$3000,$C49,11+3*MIN(BP$3,$D$2-1)))))</f>
        <v>0</v>
      </c>
      <c r="BQ49" s="131" t="n">
        <f aca="false">IF(OR($C49="",$B$2="",$D$2=0),0,IF(BQ$3&lt;0,0,N(INDEX('CURVA PREVISION'!$A$1:$KZ$3000,$C49,11+3*MIN(BQ$3,$D$2-1)))))</f>
        <v>0</v>
      </c>
      <c r="BR49" s="131" t="n">
        <f aca="false">IF(OR($C49="",$B$2="",$D$2=0),0,IF(BR$3&lt;0,0,N(INDEX('CURVA PREVISION'!$A$1:$KZ$3000,$C49,11+3*MIN(BR$3,$D$2-1)))))</f>
        <v>0</v>
      </c>
      <c r="BS49" s="131" t="n">
        <f aca="false">IF(OR($C49="",$B$2="",$D$2=0),0,IF(BS$3&lt;0,0,N(INDEX('CURVA PREVISION'!$A$1:$KZ$3000,$C49,11+3*MIN(BS$3,$D$2-1)))))</f>
        <v>0</v>
      </c>
      <c r="BT49" s="131" t="n">
        <f aca="false">IF(OR($C49="",$B$2="",$D$2=0),0,IF(BT$3&lt;0,0,N(INDEX('CURVA PREVISION'!$A$1:$KZ$3000,$C49,11+3*MIN(BT$3,$D$2-1)))))</f>
        <v>0</v>
      </c>
      <c r="BU49" s="131" t="n">
        <f aca="false">IF(OR($C49="",$B$2="",$D$2=0),0,IF(BU$3&lt;0,0,N(INDEX('CURVA PREVISION'!$A$1:$KZ$3000,$C49,11+3*MIN(BU$3,$D$2-1)))))</f>
        <v>0</v>
      </c>
      <c r="BV49" s="131" t="n">
        <f aca="false">IF(OR($C49="",$B$2="",$D$2=0),0,IF(BV$3&lt;0,0,N(INDEX('CURVA PREVISION'!$A$1:$KZ$3000,$C49,11+3*MIN(BV$3,$D$2-1)))))</f>
        <v>0</v>
      </c>
      <c r="BW49" s="131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11</v>
      </c>
      <c r="D50" s="131" t="n">
        <f aca="false">IF(OR($C50="",$B$2="",$D$2=0),0,IF(D$3&lt;0,0,N(INDEX('CURVA PREVISION'!$A$1:$KZ$3000,$C50,11+3*MIN(D$3,$D$2-1)))))</f>
        <v>0</v>
      </c>
      <c r="E50" s="131" t="n">
        <f aca="false">IF(OR($C50="",$B$2="",$D$2=0),0,IF(E$3&lt;0,0,N(INDEX('CURVA PREVISION'!$A$1:$KZ$3000,$C50,11+3*MIN(E$3,$D$2-1)))))</f>
        <v>0</v>
      </c>
      <c r="F50" s="131" t="n">
        <f aca="false">IF(OR($C50="",$B$2="",$D$2=0),0,IF(F$3&lt;0,0,N(INDEX('CURVA PREVISION'!$A$1:$KZ$3000,$C50,11+3*MIN(F$3,$D$2-1)))))</f>
        <v>0</v>
      </c>
      <c r="G50" s="131" t="n">
        <f aca="false">IF(OR($C50="",$B$2="",$D$2=0),0,IF(G$3&lt;0,0,N(INDEX('CURVA PREVISION'!$A$1:$KZ$3000,$C50,11+3*MIN(G$3,$D$2-1)))))</f>
        <v>0</v>
      </c>
      <c r="H50" s="131" t="n">
        <f aca="false">IF(OR($C50="",$B$2="",$D$2=0),0,IF(H$3&lt;0,0,N(INDEX('CURVA PREVISION'!$A$1:$KZ$3000,$C50,11+3*MIN(H$3,$D$2-1)))))</f>
        <v>0</v>
      </c>
      <c r="I50" s="131" t="n">
        <f aca="false">IF(OR($C50="",$B$2="",$D$2=0),0,IF(I$3&lt;0,0,N(INDEX('CURVA PREVISION'!$A$1:$KZ$3000,$C50,11+3*MIN(I$3,$D$2-1)))))</f>
        <v>0</v>
      </c>
      <c r="J50" s="131" t="n">
        <f aca="false">IF(OR($C50="",$B$2="",$D$2=0),0,IF(J$3&lt;0,0,N(INDEX('CURVA PREVISION'!$A$1:$KZ$3000,$C50,11+3*MIN(J$3,$D$2-1)))))</f>
        <v>0</v>
      </c>
      <c r="K50" s="131" t="n">
        <f aca="false">IF(OR($C50="",$B$2="",$D$2=0),0,IF(K$3&lt;0,0,N(INDEX('CURVA PREVISION'!$A$1:$KZ$3000,$C50,11+3*MIN(K$3,$D$2-1)))))</f>
        <v>0</v>
      </c>
      <c r="L50" s="131" t="n">
        <f aca="false">IF(OR($C50="",$B$2="",$D$2=0),0,IF(L$3&lt;0,0,N(INDEX('CURVA PREVISION'!$A$1:$KZ$3000,$C50,11+3*MIN(L$3,$D$2-1)))))</f>
        <v>0</v>
      </c>
      <c r="M50" s="131" t="n">
        <f aca="false">IF(OR($C50="",$B$2="",$D$2=0),0,IF(M$3&lt;0,0,N(INDEX('CURVA PREVISION'!$A$1:$KZ$3000,$C50,11+3*MIN(M$3,$D$2-1)))))</f>
        <v>0</v>
      </c>
      <c r="N50" s="131" t="n">
        <f aca="false">IF(OR($C50="",$B$2="",$D$2=0),0,IF(N$3&lt;0,0,N(INDEX('CURVA PREVISION'!$A$1:$KZ$3000,$C50,11+3*MIN(N$3,$D$2-1)))))</f>
        <v>0</v>
      </c>
      <c r="O50" s="131" t="n">
        <f aca="false">IF(OR($C50="",$B$2="",$D$2=0),0,IF(O$3&lt;0,0,N(INDEX('CURVA PREVISION'!$A$1:$KZ$3000,$C50,11+3*MIN(O$3,$D$2-1)))))</f>
        <v>0</v>
      </c>
      <c r="P50" s="131" t="n">
        <f aca="false">IF(OR($C50="",$B$2="",$D$2=0),0,IF(P$3&lt;0,0,N(INDEX('CURVA PREVISION'!$A$1:$KZ$3000,$C50,11+3*MIN(P$3,$D$2-1)))))</f>
        <v>0</v>
      </c>
      <c r="Q50" s="131" t="n">
        <f aca="false">IF(OR($C50="",$B$2="",$D$2=0),0,IF(Q$3&lt;0,0,N(INDEX('CURVA PREVISION'!$A$1:$KZ$3000,$C50,11+3*MIN(Q$3,$D$2-1)))))</f>
        <v>0</v>
      </c>
      <c r="R50" s="131" t="n">
        <f aca="false">IF(OR($C50="",$B$2="",$D$2=0),0,IF(R$3&lt;0,0,N(INDEX('CURVA PREVISION'!$A$1:$KZ$3000,$C50,11+3*MIN(R$3,$D$2-1)))))</f>
        <v>0</v>
      </c>
      <c r="S50" s="131" t="n">
        <f aca="false">IF(OR($C50="",$B$2="",$D$2=0),0,IF(S$3&lt;0,0,N(INDEX('CURVA PREVISION'!$A$1:$KZ$3000,$C50,11+3*MIN(S$3,$D$2-1)))))</f>
        <v>0</v>
      </c>
      <c r="T50" s="131" t="n">
        <f aca="false">IF(OR($C50="",$B$2="",$D$2=0),0,IF(T$3&lt;0,0,N(INDEX('CURVA PREVISION'!$A$1:$KZ$3000,$C50,11+3*MIN(T$3,$D$2-1)))))</f>
        <v>0</v>
      </c>
      <c r="U50" s="131" t="n">
        <f aca="false">IF(OR($C50="",$B$2="",$D$2=0),0,IF(U$3&lt;0,0,N(INDEX('CURVA PREVISION'!$A$1:$KZ$3000,$C50,11+3*MIN(U$3,$D$2-1)))))</f>
        <v>0</v>
      </c>
      <c r="V50" s="131" t="n">
        <f aca="false">IF(OR($C50="",$B$2="",$D$2=0),0,IF(V$3&lt;0,0,N(INDEX('CURVA PREVISION'!$A$1:$KZ$3000,$C50,11+3*MIN(V$3,$D$2-1)))))</f>
        <v>0</v>
      </c>
      <c r="W50" s="131" t="n">
        <f aca="false">IF(OR($C50="",$B$2="",$D$2=0),0,IF(W$3&lt;0,0,N(INDEX('CURVA PREVISION'!$A$1:$KZ$3000,$C50,11+3*MIN(W$3,$D$2-1)))))</f>
        <v>0</v>
      </c>
      <c r="X50" s="131" t="n">
        <f aca="false">IF(OR($C50="",$B$2="",$D$2=0),0,IF(X$3&lt;0,0,N(INDEX('CURVA PREVISION'!$A$1:$KZ$3000,$C50,11+3*MIN(X$3,$D$2-1)))))</f>
        <v>0</v>
      </c>
      <c r="Y50" s="131" t="n">
        <f aca="false">IF(OR($C50="",$B$2="",$D$2=0),0,IF(Y$3&lt;0,0,N(INDEX('CURVA PREVISION'!$A$1:$KZ$3000,$C50,11+3*MIN(Y$3,$D$2-1)))))</f>
        <v>0</v>
      </c>
      <c r="Z50" s="131" t="n">
        <f aca="false">IF(OR($C50="",$B$2="",$D$2=0),0,IF(Z$3&lt;0,0,N(INDEX('CURVA PREVISION'!$A$1:$KZ$3000,$C50,11+3*MIN(Z$3,$D$2-1)))))</f>
        <v>0</v>
      </c>
      <c r="AA50" s="131" t="n">
        <f aca="false">IF(OR($C50="",$B$2="",$D$2=0),0,IF(AA$3&lt;0,0,N(INDEX('CURVA PREVISION'!$A$1:$KZ$3000,$C50,11+3*MIN(AA$3,$D$2-1)))))</f>
        <v>0</v>
      </c>
      <c r="AB50" s="131" t="n">
        <f aca="false">IF(OR($C50="",$B$2="",$D$2=0),0,IF(AB$3&lt;0,0,N(INDEX('CURVA PREVISION'!$A$1:$KZ$3000,$C50,11+3*MIN(AB$3,$D$2-1)))))</f>
        <v>0</v>
      </c>
      <c r="AC50" s="131" t="n">
        <f aca="false">IF(OR($C50="",$B$2="",$D$2=0),0,IF(AC$3&lt;0,0,N(INDEX('CURVA PREVISION'!$A$1:$KZ$3000,$C50,11+3*MIN(AC$3,$D$2-1)))))</f>
        <v>0</v>
      </c>
      <c r="AD50" s="131" t="n">
        <f aca="false">IF(OR($C50="",$B$2="",$D$2=0),0,IF(AD$3&lt;0,0,N(INDEX('CURVA PREVISION'!$A$1:$KZ$3000,$C50,11+3*MIN(AD$3,$D$2-1)))))</f>
        <v>0</v>
      </c>
      <c r="AE50" s="131" t="n">
        <f aca="false">IF(OR($C50="",$B$2="",$D$2=0),0,IF(AE$3&lt;0,0,N(INDEX('CURVA PREVISION'!$A$1:$KZ$3000,$C50,11+3*MIN(AE$3,$D$2-1)))))</f>
        <v>0</v>
      </c>
      <c r="AF50" s="131" t="n">
        <f aca="false">IF(OR($C50="",$B$2="",$D$2=0),0,IF(AF$3&lt;0,0,N(INDEX('CURVA PREVISION'!$A$1:$KZ$3000,$C50,11+3*MIN(AF$3,$D$2-1)))))</f>
        <v>0</v>
      </c>
      <c r="AG50" s="131" t="n">
        <f aca="false">IF(OR($C50="",$B$2="",$D$2=0),0,IF(AG$3&lt;0,0,N(INDEX('CURVA PREVISION'!$A$1:$KZ$3000,$C50,11+3*MIN(AG$3,$D$2-1)))))</f>
        <v>0</v>
      </c>
      <c r="AH50" s="131" t="n">
        <f aca="false">IF(OR($C50="",$B$2="",$D$2=0),0,IF(AH$3&lt;0,0,N(INDEX('CURVA PREVISION'!$A$1:$KZ$3000,$C50,11+3*MIN(AH$3,$D$2-1)))))</f>
        <v>0</v>
      </c>
      <c r="AI50" s="131" t="n">
        <f aca="false">IF(OR($C50="",$B$2="",$D$2=0),0,IF(AI$3&lt;0,0,N(INDEX('CURVA PREVISION'!$A$1:$KZ$3000,$C50,11+3*MIN(AI$3,$D$2-1)))))</f>
        <v>0</v>
      </c>
      <c r="AJ50" s="131" t="n">
        <f aca="false">IF(OR($C50="",$B$2="",$D$2=0),0,IF(AJ$3&lt;0,0,N(INDEX('CURVA PREVISION'!$A$1:$KZ$3000,$C50,11+3*MIN(AJ$3,$D$2-1)))))</f>
        <v>0</v>
      </c>
      <c r="AK50" s="131" t="n">
        <f aca="false">IF(OR($C50="",$B$2="",$D$2=0),0,IF(AK$3&lt;0,0,N(INDEX('CURVA PREVISION'!$A$1:$KZ$3000,$C50,11+3*MIN(AK$3,$D$2-1)))))</f>
        <v>0</v>
      </c>
      <c r="AL50" s="131" t="n">
        <f aca="false">IF(OR($C50="",$B$2="",$D$2=0),0,IF(AL$3&lt;0,0,N(INDEX('CURVA PREVISION'!$A$1:$KZ$3000,$C50,11+3*MIN(AL$3,$D$2-1)))))</f>
        <v>0</v>
      </c>
      <c r="AM50" s="131" t="n">
        <f aca="false">IF(OR($C50="",$B$2="",$D$2=0),0,IF(AM$3&lt;0,0,N(INDEX('CURVA PREVISION'!$A$1:$KZ$3000,$C50,11+3*MIN(AM$3,$D$2-1)))))</f>
        <v>0</v>
      </c>
      <c r="AN50" s="131" t="n">
        <f aca="false">IF(OR($C50="",$B$2="",$D$2=0),0,IF(AN$3&lt;0,0,N(INDEX('CURVA PREVISION'!$A$1:$KZ$3000,$C50,11+3*MIN(AN$3,$D$2-1)))))</f>
        <v>0</v>
      </c>
      <c r="AO50" s="131" t="n">
        <f aca="false">IF(OR($C50="",$B$2="",$D$2=0),0,IF(AO$3&lt;0,0,N(INDEX('CURVA PREVISION'!$A$1:$KZ$3000,$C50,11+3*MIN(AO$3,$D$2-1)))))</f>
        <v>0</v>
      </c>
      <c r="AP50" s="131" t="n">
        <f aca="false">IF(OR($C50="",$B$2="",$D$2=0),0,IF(AP$3&lt;0,0,N(INDEX('CURVA PREVISION'!$A$1:$KZ$3000,$C50,11+3*MIN(AP$3,$D$2-1)))))</f>
        <v>0</v>
      </c>
      <c r="AQ50" s="131" t="n">
        <f aca="false">IF(OR($C50="",$B$2="",$D$2=0),0,IF(AQ$3&lt;0,0,N(INDEX('CURVA PREVISION'!$A$1:$KZ$3000,$C50,11+3*MIN(AQ$3,$D$2-1)))))</f>
        <v>0</v>
      </c>
      <c r="AR50" s="131" t="n">
        <f aca="false">IF(OR($C50="",$B$2="",$D$2=0),0,IF(AR$3&lt;0,0,N(INDEX('CURVA PREVISION'!$A$1:$KZ$3000,$C50,11+3*MIN(AR$3,$D$2-1)))))</f>
        <v>0</v>
      </c>
      <c r="AS50" s="131" t="n">
        <f aca="false">IF(OR($C50="",$B$2="",$D$2=0),0,IF(AS$3&lt;0,0,N(INDEX('CURVA PREVISION'!$A$1:$KZ$3000,$C50,11+3*MIN(AS$3,$D$2-1)))))</f>
        <v>0</v>
      </c>
      <c r="AT50" s="131" t="n">
        <f aca="false">IF(OR($C50="",$B$2="",$D$2=0),0,IF(AT$3&lt;0,0,N(INDEX('CURVA PREVISION'!$A$1:$KZ$3000,$C50,11+3*MIN(AT$3,$D$2-1)))))</f>
        <v>0</v>
      </c>
      <c r="AU50" s="131" t="n">
        <f aca="false">IF(OR($C50="",$B$2="",$D$2=0),0,IF(AU$3&lt;0,0,N(INDEX('CURVA PREVISION'!$A$1:$KZ$3000,$C50,11+3*MIN(AU$3,$D$2-1)))))</f>
        <v>0</v>
      </c>
      <c r="AV50" s="131" t="n">
        <f aca="false">IF(OR($C50="",$B$2="",$D$2=0),0,IF(AV$3&lt;0,0,N(INDEX('CURVA PREVISION'!$A$1:$KZ$3000,$C50,11+3*MIN(AV$3,$D$2-1)))))</f>
        <v>0</v>
      </c>
      <c r="AW50" s="131" t="n">
        <f aca="false">IF(OR($C50="",$B$2="",$D$2=0),0,IF(AW$3&lt;0,0,N(INDEX('CURVA PREVISION'!$A$1:$KZ$3000,$C50,11+3*MIN(AW$3,$D$2-1)))))</f>
        <v>0</v>
      </c>
      <c r="AX50" s="131" t="n">
        <f aca="false">IF(OR($C50="",$B$2="",$D$2=0),0,IF(AX$3&lt;0,0,N(INDEX('CURVA PREVISION'!$A$1:$KZ$3000,$C50,11+3*MIN(AX$3,$D$2-1)))))</f>
        <v>0</v>
      </c>
      <c r="AY50" s="131" t="n">
        <f aca="false">IF(OR($C50="",$B$2="",$D$2=0),0,IF(AY$3&lt;0,0,N(INDEX('CURVA PREVISION'!$A$1:$KZ$3000,$C50,11+3*MIN(AY$3,$D$2-1)))))</f>
        <v>0</v>
      </c>
      <c r="AZ50" s="131" t="n">
        <f aca="false">IF(OR($C50="",$B$2="",$D$2=0),0,IF(AZ$3&lt;0,0,N(INDEX('CURVA PREVISION'!$A$1:$KZ$3000,$C50,11+3*MIN(AZ$3,$D$2-1)))))</f>
        <v>0</v>
      </c>
      <c r="BA50" s="131" t="n">
        <f aca="false">IF(OR($C50="",$B$2="",$D$2=0),0,IF(BA$3&lt;0,0,N(INDEX('CURVA PREVISION'!$A$1:$KZ$3000,$C50,11+3*MIN(BA$3,$D$2-1)))))</f>
        <v>0</v>
      </c>
      <c r="BB50" s="131" t="n">
        <f aca="false">IF(OR($C50="",$B$2="",$D$2=0),0,IF(BB$3&lt;0,0,N(INDEX('CURVA PREVISION'!$A$1:$KZ$3000,$C50,11+3*MIN(BB$3,$D$2-1)))))</f>
        <v>0</v>
      </c>
      <c r="BC50" s="131" t="n">
        <f aca="false">IF(OR($C50="",$B$2="",$D$2=0),0,IF(BC$3&lt;0,0,N(INDEX('CURVA PREVISION'!$A$1:$KZ$3000,$C50,11+3*MIN(BC$3,$D$2-1)))))</f>
        <v>0</v>
      </c>
      <c r="BD50" s="131" t="n">
        <f aca="false">IF(OR($C50="",$B$2="",$D$2=0),0,IF(BD$3&lt;0,0,N(INDEX('CURVA PREVISION'!$A$1:$KZ$3000,$C50,11+3*MIN(BD$3,$D$2-1)))))</f>
        <v>0</v>
      </c>
      <c r="BE50" s="131" t="n">
        <f aca="false">IF(OR($C50="",$B$2="",$D$2=0),0,IF(BE$3&lt;0,0,N(INDEX('CURVA PREVISION'!$A$1:$KZ$3000,$C50,11+3*MIN(BE$3,$D$2-1)))))</f>
        <v>0</v>
      </c>
      <c r="BF50" s="131" t="n">
        <f aca="false">IF(OR($C50="",$B$2="",$D$2=0),0,IF(BF$3&lt;0,0,N(INDEX('CURVA PREVISION'!$A$1:$KZ$3000,$C50,11+3*MIN(BF$3,$D$2-1)))))</f>
        <v>0</v>
      </c>
      <c r="BG50" s="131" t="n">
        <f aca="false">IF(OR($C50="",$B$2="",$D$2=0),0,IF(BG$3&lt;0,0,N(INDEX('CURVA PREVISION'!$A$1:$KZ$3000,$C50,11+3*MIN(BG$3,$D$2-1)))))</f>
        <v>0</v>
      </c>
      <c r="BH50" s="131" t="n">
        <f aca="false">IF(OR($C50="",$B$2="",$D$2=0),0,IF(BH$3&lt;0,0,N(INDEX('CURVA PREVISION'!$A$1:$KZ$3000,$C50,11+3*MIN(BH$3,$D$2-1)))))</f>
        <v>0</v>
      </c>
      <c r="BI50" s="131" t="n">
        <f aca="false">IF(OR($C50="",$B$2="",$D$2=0),0,IF(BI$3&lt;0,0,N(INDEX('CURVA PREVISION'!$A$1:$KZ$3000,$C50,11+3*MIN(BI$3,$D$2-1)))))</f>
        <v>0</v>
      </c>
      <c r="BJ50" s="131" t="n">
        <f aca="false">IF(OR($C50="",$B$2="",$D$2=0),0,IF(BJ$3&lt;0,0,N(INDEX('CURVA PREVISION'!$A$1:$KZ$3000,$C50,11+3*MIN(BJ$3,$D$2-1)))))</f>
        <v>0</v>
      </c>
      <c r="BK50" s="131" t="n">
        <f aca="false">IF(OR($C50="",$B$2="",$D$2=0),0,IF(BK$3&lt;0,0,N(INDEX('CURVA PREVISION'!$A$1:$KZ$3000,$C50,11+3*MIN(BK$3,$D$2-1)))))</f>
        <v>0</v>
      </c>
      <c r="BL50" s="131" t="n">
        <f aca="false">IF(OR($C50="",$B$2="",$D$2=0),0,IF(BL$3&lt;0,0,N(INDEX('CURVA PREVISION'!$A$1:$KZ$3000,$C50,11+3*MIN(BL$3,$D$2-1)))))</f>
        <v>0</v>
      </c>
      <c r="BM50" s="131" t="n">
        <f aca="false">IF(OR($C50="",$B$2="",$D$2=0),0,IF(BM$3&lt;0,0,N(INDEX('CURVA PREVISION'!$A$1:$KZ$3000,$C50,11+3*MIN(BM$3,$D$2-1)))))</f>
        <v>0</v>
      </c>
      <c r="BN50" s="131" t="n">
        <f aca="false">IF(OR($C50="",$B$2="",$D$2=0),0,IF(BN$3&lt;0,0,N(INDEX('CURVA PREVISION'!$A$1:$KZ$3000,$C50,11+3*MIN(BN$3,$D$2-1)))))</f>
        <v>0</v>
      </c>
      <c r="BO50" s="131" t="n">
        <f aca="false">IF(OR($C50="",$B$2="",$D$2=0),0,IF(BO$3&lt;0,0,N(INDEX('CURVA PREVISION'!$A$1:$KZ$3000,$C50,11+3*MIN(BO$3,$D$2-1)))))</f>
        <v>0</v>
      </c>
      <c r="BP50" s="131" t="n">
        <f aca="false">IF(OR($C50="",$B$2="",$D$2=0),0,IF(BP$3&lt;0,0,N(INDEX('CURVA PREVISION'!$A$1:$KZ$3000,$C50,11+3*MIN(BP$3,$D$2-1)))))</f>
        <v>0</v>
      </c>
      <c r="BQ50" s="131" t="n">
        <f aca="false">IF(OR($C50="",$B$2="",$D$2=0),0,IF(BQ$3&lt;0,0,N(INDEX('CURVA PREVISION'!$A$1:$KZ$3000,$C50,11+3*MIN(BQ$3,$D$2-1)))))</f>
        <v>0</v>
      </c>
      <c r="BR50" s="131" t="n">
        <f aca="false">IF(OR($C50="",$B$2="",$D$2=0),0,IF(BR$3&lt;0,0,N(INDEX('CURVA PREVISION'!$A$1:$KZ$3000,$C50,11+3*MIN(BR$3,$D$2-1)))))</f>
        <v>0</v>
      </c>
      <c r="BS50" s="131" t="n">
        <f aca="false">IF(OR($C50="",$B$2="",$D$2=0),0,IF(BS$3&lt;0,0,N(INDEX('CURVA PREVISION'!$A$1:$KZ$3000,$C50,11+3*MIN(BS$3,$D$2-1)))))</f>
        <v>0</v>
      </c>
      <c r="BT50" s="131" t="n">
        <f aca="false">IF(OR($C50="",$B$2="",$D$2=0),0,IF(BT$3&lt;0,0,N(INDEX('CURVA PREVISION'!$A$1:$KZ$3000,$C50,11+3*MIN(BT$3,$D$2-1)))))</f>
        <v>0</v>
      </c>
      <c r="BU50" s="131" t="n">
        <f aca="false">IF(OR($C50="",$B$2="",$D$2=0),0,IF(BU$3&lt;0,0,N(INDEX('CURVA PREVISION'!$A$1:$KZ$3000,$C50,11+3*MIN(BU$3,$D$2-1)))))</f>
        <v>0</v>
      </c>
      <c r="BV50" s="131" t="n">
        <f aca="false">IF(OR($C50="",$B$2="",$D$2=0),0,IF(BV$3&lt;0,0,N(INDEX('CURVA PREVISION'!$A$1:$KZ$3000,$C50,11+3*MIN(BV$3,$D$2-1)))))</f>
        <v>0</v>
      </c>
      <c r="BW50" s="131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69</v>
      </c>
      <c r="D51" s="131" t="n">
        <f aca="false">IF(OR($C51="",$B$2="",$D$2=0),0,IF(D$3&lt;0,0,N(INDEX('CURVA PREVISION'!$A$1:$KZ$3000,$C51,11+3*MIN(D$3,$D$2-1)))))</f>
        <v>0</v>
      </c>
      <c r="E51" s="131" t="n">
        <f aca="false">IF(OR($C51="",$B$2="",$D$2=0),0,IF(E$3&lt;0,0,N(INDEX('CURVA PREVISION'!$A$1:$KZ$3000,$C51,11+3*MIN(E$3,$D$2-1)))))</f>
        <v>0</v>
      </c>
      <c r="F51" s="131" t="n">
        <f aca="false">IF(OR($C51="",$B$2="",$D$2=0),0,IF(F$3&lt;0,0,N(INDEX('CURVA PREVISION'!$A$1:$KZ$3000,$C51,11+3*MIN(F$3,$D$2-1)))))</f>
        <v>0</v>
      </c>
      <c r="G51" s="131" t="n">
        <f aca="false">IF(OR($C51="",$B$2="",$D$2=0),0,IF(G$3&lt;0,0,N(INDEX('CURVA PREVISION'!$A$1:$KZ$3000,$C51,11+3*MIN(G$3,$D$2-1)))))</f>
        <v>0</v>
      </c>
      <c r="H51" s="131" t="n">
        <f aca="false">IF(OR($C51="",$B$2="",$D$2=0),0,IF(H$3&lt;0,0,N(INDEX('CURVA PREVISION'!$A$1:$KZ$3000,$C51,11+3*MIN(H$3,$D$2-1)))))</f>
        <v>0</v>
      </c>
      <c r="I51" s="131" t="n">
        <f aca="false">IF(OR($C51="",$B$2="",$D$2=0),0,IF(I$3&lt;0,0,N(INDEX('CURVA PREVISION'!$A$1:$KZ$3000,$C51,11+3*MIN(I$3,$D$2-1)))))</f>
        <v>0</v>
      </c>
      <c r="J51" s="131" t="n">
        <f aca="false">IF(OR($C51="",$B$2="",$D$2=0),0,IF(J$3&lt;0,0,N(INDEX('CURVA PREVISION'!$A$1:$KZ$3000,$C51,11+3*MIN(J$3,$D$2-1)))))</f>
        <v>0</v>
      </c>
      <c r="K51" s="131" t="n">
        <f aca="false">IF(OR($C51="",$B$2="",$D$2=0),0,IF(K$3&lt;0,0,N(INDEX('CURVA PREVISION'!$A$1:$KZ$3000,$C51,11+3*MIN(K$3,$D$2-1)))))</f>
        <v>0</v>
      </c>
      <c r="L51" s="131" t="n">
        <f aca="false">IF(OR($C51="",$B$2="",$D$2=0),0,IF(L$3&lt;0,0,N(INDEX('CURVA PREVISION'!$A$1:$KZ$3000,$C51,11+3*MIN(L$3,$D$2-1)))))</f>
        <v>0</v>
      </c>
      <c r="M51" s="131" t="n">
        <f aca="false">IF(OR($C51="",$B$2="",$D$2=0),0,IF(M$3&lt;0,0,N(INDEX('CURVA PREVISION'!$A$1:$KZ$3000,$C51,11+3*MIN(M$3,$D$2-1)))))</f>
        <v>0</v>
      </c>
      <c r="N51" s="131" t="n">
        <f aca="false">IF(OR($C51="",$B$2="",$D$2=0),0,IF(N$3&lt;0,0,N(INDEX('CURVA PREVISION'!$A$1:$KZ$3000,$C51,11+3*MIN(N$3,$D$2-1)))))</f>
        <v>0</v>
      </c>
      <c r="O51" s="131" t="n">
        <f aca="false">IF(OR($C51="",$B$2="",$D$2=0),0,IF(O$3&lt;0,0,N(INDEX('CURVA PREVISION'!$A$1:$KZ$3000,$C51,11+3*MIN(O$3,$D$2-1)))))</f>
        <v>0</v>
      </c>
      <c r="P51" s="131" t="n">
        <f aca="false">IF(OR($C51="",$B$2="",$D$2=0),0,IF(P$3&lt;0,0,N(INDEX('CURVA PREVISION'!$A$1:$KZ$3000,$C51,11+3*MIN(P$3,$D$2-1)))))</f>
        <v>0</v>
      </c>
      <c r="Q51" s="131" t="n">
        <f aca="false">IF(OR($C51="",$B$2="",$D$2=0),0,IF(Q$3&lt;0,0,N(INDEX('CURVA PREVISION'!$A$1:$KZ$3000,$C51,11+3*MIN(Q$3,$D$2-1)))))</f>
        <v>0</v>
      </c>
      <c r="R51" s="131" t="n">
        <f aca="false">IF(OR($C51="",$B$2="",$D$2=0),0,IF(R$3&lt;0,0,N(INDEX('CURVA PREVISION'!$A$1:$KZ$3000,$C51,11+3*MIN(R$3,$D$2-1)))))</f>
        <v>0</v>
      </c>
      <c r="S51" s="131" t="n">
        <f aca="false">IF(OR($C51="",$B$2="",$D$2=0),0,IF(S$3&lt;0,0,N(INDEX('CURVA PREVISION'!$A$1:$KZ$3000,$C51,11+3*MIN(S$3,$D$2-1)))))</f>
        <v>0</v>
      </c>
      <c r="T51" s="131" t="n">
        <f aca="false">IF(OR($C51="",$B$2="",$D$2=0),0,IF(T$3&lt;0,0,N(INDEX('CURVA PREVISION'!$A$1:$KZ$3000,$C51,11+3*MIN(T$3,$D$2-1)))))</f>
        <v>0</v>
      </c>
      <c r="U51" s="131" t="n">
        <f aca="false">IF(OR($C51="",$B$2="",$D$2=0),0,IF(U$3&lt;0,0,N(INDEX('CURVA PREVISION'!$A$1:$KZ$3000,$C51,11+3*MIN(U$3,$D$2-1)))))</f>
        <v>0</v>
      </c>
      <c r="V51" s="131" t="n">
        <f aca="false">IF(OR($C51="",$B$2="",$D$2=0),0,IF(V$3&lt;0,0,N(INDEX('CURVA PREVISION'!$A$1:$KZ$3000,$C51,11+3*MIN(V$3,$D$2-1)))))</f>
        <v>0</v>
      </c>
      <c r="W51" s="131" t="n">
        <f aca="false">IF(OR($C51="",$B$2="",$D$2=0),0,IF(W$3&lt;0,0,N(INDEX('CURVA PREVISION'!$A$1:$KZ$3000,$C51,11+3*MIN(W$3,$D$2-1)))))</f>
        <v>0</v>
      </c>
      <c r="X51" s="131" t="n">
        <f aca="false">IF(OR($C51="",$B$2="",$D$2=0),0,IF(X$3&lt;0,0,N(INDEX('CURVA PREVISION'!$A$1:$KZ$3000,$C51,11+3*MIN(X$3,$D$2-1)))))</f>
        <v>0</v>
      </c>
      <c r="Y51" s="131" t="n">
        <f aca="false">IF(OR($C51="",$B$2="",$D$2=0),0,IF(Y$3&lt;0,0,N(INDEX('CURVA PREVISION'!$A$1:$KZ$3000,$C51,11+3*MIN(Y$3,$D$2-1)))))</f>
        <v>0</v>
      </c>
      <c r="Z51" s="131" t="n">
        <f aca="false">IF(OR($C51="",$B$2="",$D$2=0),0,IF(Z$3&lt;0,0,N(INDEX('CURVA PREVISION'!$A$1:$KZ$3000,$C51,11+3*MIN(Z$3,$D$2-1)))))</f>
        <v>0</v>
      </c>
      <c r="AA51" s="131" t="n">
        <f aca="false">IF(OR($C51="",$B$2="",$D$2=0),0,IF(AA$3&lt;0,0,N(INDEX('CURVA PREVISION'!$A$1:$KZ$3000,$C51,11+3*MIN(AA$3,$D$2-1)))))</f>
        <v>0</v>
      </c>
      <c r="AB51" s="131" t="n">
        <f aca="false">IF(OR($C51="",$B$2="",$D$2=0),0,IF(AB$3&lt;0,0,N(INDEX('CURVA PREVISION'!$A$1:$KZ$3000,$C51,11+3*MIN(AB$3,$D$2-1)))))</f>
        <v>0</v>
      </c>
      <c r="AC51" s="131" t="n">
        <f aca="false">IF(OR($C51="",$B$2="",$D$2=0),0,IF(AC$3&lt;0,0,N(INDEX('CURVA PREVISION'!$A$1:$KZ$3000,$C51,11+3*MIN(AC$3,$D$2-1)))))</f>
        <v>0</v>
      </c>
      <c r="AD51" s="131" t="n">
        <f aca="false">IF(OR($C51="",$B$2="",$D$2=0),0,IF(AD$3&lt;0,0,N(INDEX('CURVA PREVISION'!$A$1:$KZ$3000,$C51,11+3*MIN(AD$3,$D$2-1)))))</f>
        <v>0</v>
      </c>
      <c r="AE51" s="131" t="n">
        <f aca="false">IF(OR($C51="",$B$2="",$D$2=0),0,IF(AE$3&lt;0,0,N(INDEX('CURVA PREVISION'!$A$1:$KZ$3000,$C51,11+3*MIN(AE$3,$D$2-1)))))</f>
        <v>0</v>
      </c>
      <c r="AF51" s="131" t="n">
        <f aca="false">IF(OR($C51="",$B$2="",$D$2=0),0,IF(AF$3&lt;0,0,N(INDEX('CURVA PREVISION'!$A$1:$KZ$3000,$C51,11+3*MIN(AF$3,$D$2-1)))))</f>
        <v>0</v>
      </c>
      <c r="AG51" s="131" t="n">
        <f aca="false">IF(OR($C51="",$B$2="",$D$2=0),0,IF(AG$3&lt;0,0,N(INDEX('CURVA PREVISION'!$A$1:$KZ$3000,$C51,11+3*MIN(AG$3,$D$2-1)))))</f>
        <v>0</v>
      </c>
      <c r="AH51" s="131" t="n">
        <f aca="false">IF(OR($C51="",$B$2="",$D$2=0),0,IF(AH$3&lt;0,0,N(INDEX('CURVA PREVISION'!$A$1:$KZ$3000,$C51,11+3*MIN(AH$3,$D$2-1)))))</f>
        <v>0</v>
      </c>
      <c r="AI51" s="131" t="n">
        <f aca="false">IF(OR($C51="",$B$2="",$D$2=0),0,IF(AI$3&lt;0,0,N(INDEX('CURVA PREVISION'!$A$1:$KZ$3000,$C51,11+3*MIN(AI$3,$D$2-1)))))</f>
        <v>0</v>
      </c>
      <c r="AJ51" s="131" t="n">
        <f aca="false">IF(OR($C51="",$B$2="",$D$2=0),0,IF(AJ$3&lt;0,0,N(INDEX('CURVA PREVISION'!$A$1:$KZ$3000,$C51,11+3*MIN(AJ$3,$D$2-1)))))</f>
        <v>0</v>
      </c>
      <c r="AK51" s="131" t="n">
        <f aca="false">IF(OR($C51="",$B$2="",$D$2=0),0,IF(AK$3&lt;0,0,N(INDEX('CURVA PREVISION'!$A$1:$KZ$3000,$C51,11+3*MIN(AK$3,$D$2-1)))))</f>
        <v>0</v>
      </c>
      <c r="AL51" s="131" t="n">
        <f aca="false">IF(OR($C51="",$B$2="",$D$2=0),0,IF(AL$3&lt;0,0,N(INDEX('CURVA PREVISION'!$A$1:$KZ$3000,$C51,11+3*MIN(AL$3,$D$2-1)))))</f>
        <v>0</v>
      </c>
      <c r="AM51" s="131" t="n">
        <f aca="false">IF(OR($C51="",$B$2="",$D$2=0),0,IF(AM$3&lt;0,0,N(INDEX('CURVA PREVISION'!$A$1:$KZ$3000,$C51,11+3*MIN(AM$3,$D$2-1)))))</f>
        <v>0</v>
      </c>
      <c r="AN51" s="131" t="n">
        <f aca="false">IF(OR($C51="",$B$2="",$D$2=0),0,IF(AN$3&lt;0,0,N(INDEX('CURVA PREVISION'!$A$1:$KZ$3000,$C51,11+3*MIN(AN$3,$D$2-1)))))</f>
        <v>0</v>
      </c>
      <c r="AO51" s="131" t="n">
        <f aca="false">IF(OR($C51="",$B$2="",$D$2=0),0,IF(AO$3&lt;0,0,N(INDEX('CURVA PREVISION'!$A$1:$KZ$3000,$C51,11+3*MIN(AO$3,$D$2-1)))))</f>
        <v>0</v>
      </c>
      <c r="AP51" s="131" t="n">
        <f aca="false">IF(OR($C51="",$B$2="",$D$2=0),0,IF(AP$3&lt;0,0,N(INDEX('CURVA PREVISION'!$A$1:$KZ$3000,$C51,11+3*MIN(AP$3,$D$2-1)))))</f>
        <v>0</v>
      </c>
      <c r="AQ51" s="131" t="n">
        <f aca="false">IF(OR($C51="",$B$2="",$D$2=0),0,IF(AQ$3&lt;0,0,N(INDEX('CURVA PREVISION'!$A$1:$KZ$3000,$C51,11+3*MIN(AQ$3,$D$2-1)))))</f>
        <v>0</v>
      </c>
      <c r="AR51" s="131" t="n">
        <f aca="false">IF(OR($C51="",$B$2="",$D$2=0),0,IF(AR$3&lt;0,0,N(INDEX('CURVA PREVISION'!$A$1:$KZ$3000,$C51,11+3*MIN(AR$3,$D$2-1)))))</f>
        <v>0</v>
      </c>
      <c r="AS51" s="131" t="n">
        <f aca="false">IF(OR($C51="",$B$2="",$D$2=0),0,IF(AS$3&lt;0,0,N(INDEX('CURVA PREVISION'!$A$1:$KZ$3000,$C51,11+3*MIN(AS$3,$D$2-1)))))</f>
        <v>0</v>
      </c>
      <c r="AT51" s="131" t="n">
        <f aca="false">IF(OR($C51="",$B$2="",$D$2=0),0,IF(AT$3&lt;0,0,N(INDEX('CURVA PREVISION'!$A$1:$KZ$3000,$C51,11+3*MIN(AT$3,$D$2-1)))))</f>
        <v>0</v>
      </c>
      <c r="AU51" s="131" t="n">
        <f aca="false">IF(OR($C51="",$B$2="",$D$2=0),0,IF(AU$3&lt;0,0,N(INDEX('CURVA PREVISION'!$A$1:$KZ$3000,$C51,11+3*MIN(AU$3,$D$2-1)))))</f>
        <v>0</v>
      </c>
      <c r="AV51" s="131" t="n">
        <f aca="false">IF(OR($C51="",$B$2="",$D$2=0),0,IF(AV$3&lt;0,0,N(INDEX('CURVA PREVISION'!$A$1:$KZ$3000,$C51,11+3*MIN(AV$3,$D$2-1)))))</f>
        <v>0</v>
      </c>
      <c r="AW51" s="131" t="n">
        <f aca="false">IF(OR($C51="",$B$2="",$D$2=0),0,IF(AW$3&lt;0,0,N(INDEX('CURVA PREVISION'!$A$1:$KZ$3000,$C51,11+3*MIN(AW$3,$D$2-1)))))</f>
        <v>0</v>
      </c>
      <c r="AX51" s="131" t="n">
        <f aca="false">IF(OR($C51="",$B$2="",$D$2=0),0,IF(AX$3&lt;0,0,N(INDEX('CURVA PREVISION'!$A$1:$KZ$3000,$C51,11+3*MIN(AX$3,$D$2-1)))))</f>
        <v>0</v>
      </c>
      <c r="AY51" s="131" t="n">
        <f aca="false">IF(OR($C51="",$B$2="",$D$2=0),0,IF(AY$3&lt;0,0,N(INDEX('CURVA PREVISION'!$A$1:$KZ$3000,$C51,11+3*MIN(AY$3,$D$2-1)))))</f>
        <v>0</v>
      </c>
      <c r="AZ51" s="131" t="n">
        <f aca="false">IF(OR($C51="",$B$2="",$D$2=0),0,IF(AZ$3&lt;0,0,N(INDEX('CURVA PREVISION'!$A$1:$KZ$3000,$C51,11+3*MIN(AZ$3,$D$2-1)))))</f>
        <v>0</v>
      </c>
      <c r="BA51" s="131" t="n">
        <f aca="false">IF(OR($C51="",$B$2="",$D$2=0),0,IF(BA$3&lt;0,0,N(INDEX('CURVA PREVISION'!$A$1:$KZ$3000,$C51,11+3*MIN(BA$3,$D$2-1)))))</f>
        <v>0</v>
      </c>
      <c r="BB51" s="131" t="n">
        <f aca="false">IF(OR($C51="",$B$2="",$D$2=0),0,IF(BB$3&lt;0,0,N(INDEX('CURVA PREVISION'!$A$1:$KZ$3000,$C51,11+3*MIN(BB$3,$D$2-1)))))</f>
        <v>0</v>
      </c>
      <c r="BC51" s="131" t="n">
        <f aca="false">IF(OR($C51="",$B$2="",$D$2=0),0,IF(BC$3&lt;0,0,N(INDEX('CURVA PREVISION'!$A$1:$KZ$3000,$C51,11+3*MIN(BC$3,$D$2-1)))))</f>
        <v>0</v>
      </c>
      <c r="BD51" s="131" t="n">
        <f aca="false">IF(OR($C51="",$B$2="",$D$2=0),0,IF(BD$3&lt;0,0,N(INDEX('CURVA PREVISION'!$A$1:$KZ$3000,$C51,11+3*MIN(BD$3,$D$2-1)))))</f>
        <v>0</v>
      </c>
      <c r="BE51" s="131" t="n">
        <f aca="false">IF(OR($C51="",$B$2="",$D$2=0),0,IF(BE$3&lt;0,0,N(INDEX('CURVA PREVISION'!$A$1:$KZ$3000,$C51,11+3*MIN(BE$3,$D$2-1)))))</f>
        <v>0</v>
      </c>
      <c r="BF51" s="131" t="n">
        <f aca="false">IF(OR($C51="",$B$2="",$D$2=0),0,IF(BF$3&lt;0,0,N(INDEX('CURVA PREVISION'!$A$1:$KZ$3000,$C51,11+3*MIN(BF$3,$D$2-1)))))</f>
        <v>0</v>
      </c>
      <c r="BG51" s="131" t="n">
        <f aca="false">IF(OR($C51="",$B$2="",$D$2=0),0,IF(BG$3&lt;0,0,N(INDEX('CURVA PREVISION'!$A$1:$KZ$3000,$C51,11+3*MIN(BG$3,$D$2-1)))))</f>
        <v>0</v>
      </c>
      <c r="BH51" s="131" t="n">
        <f aca="false">IF(OR($C51="",$B$2="",$D$2=0),0,IF(BH$3&lt;0,0,N(INDEX('CURVA PREVISION'!$A$1:$KZ$3000,$C51,11+3*MIN(BH$3,$D$2-1)))))</f>
        <v>0</v>
      </c>
      <c r="BI51" s="131" t="n">
        <f aca="false">IF(OR($C51="",$B$2="",$D$2=0),0,IF(BI$3&lt;0,0,N(INDEX('CURVA PREVISION'!$A$1:$KZ$3000,$C51,11+3*MIN(BI$3,$D$2-1)))))</f>
        <v>0</v>
      </c>
      <c r="BJ51" s="131" t="n">
        <f aca="false">IF(OR($C51="",$B$2="",$D$2=0),0,IF(BJ$3&lt;0,0,N(INDEX('CURVA PREVISION'!$A$1:$KZ$3000,$C51,11+3*MIN(BJ$3,$D$2-1)))))</f>
        <v>0</v>
      </c>
      <c r="BK51" s="131" t="n">
        <f aca="false">IF(OR($C51="",$B$2="",$D$2=0),0,IF(BK$3&lt;0,0,N(INDEX('CURVA PREVISION'!$A$1:$KZ$3000,$C51,11+3*MIN(BK$3,$D$2-1)))))</f>
        <v>0</v>
      </c>
      <c r="BL51" s="131" t="n">
        <f aca="false">IF(OR($C51="",$B$2="",$D$2=0),0,IF(BL$3&lt;0,0,N(INDEX('CURVA PREVISION'!$A$1:$KZ$3000,$C51,11+3*MIN(BL$3,$D$2-1)))))</f>
        <v>0</v>
      </c>
      <c r="BM51" s="131" t="n">
        <f aca="false">IF(OR($C51="",$B$2="",$D$2=0),0,IF(BM$3&lt;0,0,N(INDEX('CURVA PREVISION'!$A$1:$KZ$3000,$C51,11+3*MIN(BM$3,$D$2-1)))))</f>
        <v>0</v>
      </c>
      <c r="BN51" s="131" t="n">
        <f aca="false">IF(OR($C51="",$B$2="",$D$2=0),0,IF(BN$3&lt;0,0,N(INDEX('CURVA PREVISION'!$A$1:$KZ$3000,$C51,11+3*MIN(BN$3,$D$2-1)))))</f>
        <v>0</v>
      </c>
      <c r="BO51" s="131" t="n">
        <f aca="false">IF(OR($C51="",$B$2="",$D$2=0),0,IF(BO$3&lt;0,0,N(INDEX('CURVA PREVISION'!$A$1:$KZ$3000,$C51,11+3*MIN(BO$3,$D$2-1)))))</f>
        <v>0</v>
      </c>
      <c r="BP51" s="131" t="n">
        <f aca="false">IF(OR($C51="",$B$2="",$D$2=0),0,IF(BP$3&lt;0,0,N(INDEX('CURVA PREVISION'!$A$1:$KZ$3000,$C51,11+3*MIN(BP$3,$D$2-1)))))</f>
        <v>0</v>
      </c>
      <c r="BQ51" s="131" t="n">
        <f aca="false">IF(OR($C51="",$B$2="",$D$2=0),0,IF(BQ$3&lt;0,0,N(INDEX('CURVA PREVISION'!$A$1:$KZ$3000,$C51,11+3*MIN(BQ$3,$D$2-1)))))</f>
        <v>0</v>
      </c>
      <c r="BR51" s="131" t="n">
        <f aca="false">IF(OR($C51="",$B$2="",$D$2=0),0,IF(BR$3&lt;0,0,N(INDEX('CURVA PREVISION'!$A$1:$KZ$3000,$C51,11+3*MIN(BR$3,$D$2-1)))))</f>
        <v>0</v>
      </c>
      <c r="BS51" s="131" t="n">
        <f aca="false">IF(OR($C51="",$B$2="",$D$2=0),0,IF(BS$3&lt;0,0,N(INDEX('CURVA PREVISION'!$A$1:$KZ$3000,$C51,11+3*MIN(BS$3,$D$2-1)))))</f>
        <v>0</v>
      </c>
      <c r="BT51" s="131" t="n">
        <f aca="false">IF(OR($C51="",$B$2="",$D$2=0),0,IF(BT$3&lt;0,0,N(INDEX('CURVA PREVISION'!$A$1:$KZ$3000,$C51,11+3*MIN(BT$3,$D$2-1)))))</f>
        <v>0</v>
      </c>
      <c r="BU51" s="131" t="n">
        <f aca="false">IF(OR($C51="",$B$2="",$D$2=0),0,IF(BU$3&lt;0,0,N(INDEX('CURVA PREVISION'!$A$1:$KZ$3000,$C51,11+3*MIN(BU$3,$D$2-1)))))</f>
        <v>0</v>
      </c>
      <c r="BV51" s="131" t="n">
        <f aca="false">IF(OR($C51="",$B$2="",$D$2=0),0,IF(BV$3&lt;0,0,N(INDEX('CURVA PREVISION'!$A$1:$KZ$3000,$C51,11+3*MIN(BV$3,$D$2-1)))))</f>
        <v>0</v>
      </c>
      <c r="BW51" s="131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73</v>
      </c>
      <c r="D52" s="131" t="n">
        <f aca="false">IF(OR($C52="",$B$2="",$D$2=0),0,IF(D$3&lt;0,0,N(INDEX('CURVA PREVISION'!$A$1:$KZ$3000,$C52,11+3*MIN(D$3,$D$2-1)))))</f>
        <v>0</v>
      </c>
      <c r="E52" s="131" t="n">
        <f aca="false">IF(OR($C52="",$B$2="",$D$2=0),0,IF(E$3&lt;0,0,N(INDEX('CURVA PREVISION'!$A$1:$KZ$3000,$C52,11+3*MIN(E$3,$D$2-1)))))</f>
        <v>0</v>
      </c>
      <c r="F52" s="131" t="n">
        <f aca="false">IF(OR($C52="",$B$2="",$D$2=0),0,IF(F$3&lt;0,0,N(INDEX('CURVA PREVISION'!$A$1:$KZ$3000,$C52,11+3*MIN(F$3,$D$2-1)))))</f>
        <v>0</v>
      </c>
      <c r="G52" s="131" t="n">
        <f aca="false">IF(OR($C52="",$B$2="",$D$2=0),0,IF(G$3&lt;0,0,N(INDEX('CURVA PREVISION'!$A$1:$KZ$3000,$C52,11+3*MIN(G$3,$D$2-1)))))</f>
        <v>0</v>
      </c>
      <c r="H52" s="131" t="n">
        <f aca="false">IF(OR($C52="",$B$2="",$D$2=0),0,IF(H$3&lt;0,0,N(INDEX('CURVA PREVISION'!$A$1:$KZ$3000,$C52,11+3*MIN(H$3,$D$2-1)))))</f>
        <v>0</v>
      </c>
      <c r="I52" s="131" t="n">
        <f aca="false">IF(OR($C52="",$B$2="",$D$2=0),0,IF(I$3&lt;0,0,N(INDEX('CURVA PREVISION'!$A$1:$KZ$3000,$C52,11+3*MIN(I$3,$D$2-1)))))</f>
        <v>0</v>
      </c>
      <c r="J52" s="131" t="n">
        <f aca="false">IF(OR($C52="",$B$2="",$D$2=0),0,IF(J$3&lt;0,0,N(INDEX('CURVA PREVISION'!$A$1:$KZ$3000,$C52,11+3*MIN(J$3,$D$2-1)))))</f>
        <v>0</v>
      </c>
      <c r="K52" s="131" t="n">
        <f aca="false">IF(OR($C52="",$B$2="",$D$2=0),0,IF(K$3&lt;0,0,N(INDEX('CURVA PREVISION'!$A$1:$KZ$3000,$C52,11+3*MIN(K$3,$D$2-1)))))</f>
        <v>0</v>
      </c>
      <c r="L52" s="131" t="n">
        <f aca="false">IF(OR($C52="",$B$2="",$D$2=0),0,IF(L$3&lt;0,0,N(INDEX('CURVA PREVISION'!$A$1:$KZ$3000,$C52,11+3*MIN(L$3,$D$2-1)))))</f>
        <v>0</v>
      </c>
      <c r="M52" s="131" t="n">
        <f aca="false">IF(OR($C52="",$B$2="",$D$2=0),0,IF(M$3&lt;0,0,N(INDEX('CURVA PREVISION'!$A$1:$KZ$3000,$C52,11+3*MIN(M$3,$D$2-1)))))</f>
        <v>0</v>
      </c>
      <c r="N52" s="131" t="n">
        <f aca="false">IF(OR($C52="",$B$2="",$D$2=0),0,IF(N$3&lt;0,0,N(INDEX('CURVA PREVISION'!$A$1:$KZ$3000,$C52,11+3*MIN(N$3,$D$2-1)))))</f>
        <v>0</v>
      </c>
      <c r="O52" s="131" t="n">
        <f aca="false">IF(OR($C52="",$B$2="",$D$2=0),0,IF(O$3&lt;0,0,N(INDEX('CURVA PREVISION'!$A$1:$KZ$3000,$C52,11+3*MIN(O$3,$D$2-1)))))</f>
        <v>0</v>
      </c>
      <c r="P52" s="131" t="n">
        <f aca="false">IF(OR($C52="",$B$2="",$D$2=0),0,IF(P$3&lt;0,0,N(INDEX('CURVA PREVISION'!$A$1:$KZ$3000,$C52,11+3*MIN(P$3,$D$2-1)))))</f>
        <v>0</v>
      </c>
      <c r="Q52" s="131" t="n">
        <f aca="false">IF(OR($C52="",$B$2="",$D$2=0),0,IF(Q$3&lt;0,0,N(INDEX('CURVA PREVISION'!$A$1:$KZ$3000,$C52,11+3*MIN(Q$3,$D$2-1)))))</f>
        <v>0</v>
      </c>
      <c r="R52" s="131" t="n">
        <f aca="false">IF(OR($C52="",$B$2="",$D$2=0),0,IF(R$3&lt;0,0,N(INDEX('CURVA PREVISION'!$A$1:$KZ$3000,$C52,11+3*MIN(R$3,$D$2-1)))))</f>
        <v>0</v>
      </c>
      <c r="S52" s="131" t="n">
        <f aca="false">IF(OR($C52="",$B$2="",$D$2=0),0,IF(S$3&lt;0,0,N(INDEX('CURVA PREVISION'!$A$1:$KZ$3000,$C52,11+3*MIN(S$3,$D$2-1)))))</f>
        <v>0</v>
      </c>
      <c r="T52" s="131" t="n">
        <f aca="false">IF(OR($C52="",$B$2="",$D$2=0),0,IF(T$3&lt;0,0,N(INDEX('CURVA PREVISION'!$A$1:$KZ$3000,$C52,11+3*MIN(T$3,$D$2-1)))))</f>
        <v>0</v>
      </c>
      <c r="U52" s="131" t="n">
        <f aca="false">IF(OR($C52="",$B$2="",$D$2=0),0,IF(U$3&lt;0,0,N(INDEX('CURVA PREVISION'!$A$1:$KZ$3000,$C52,11+3*MIN(U$3,$D$2-1)))))</f>
        <v>0</v>
      </c>
      <c r="V52" s="131" t="n">
        <f aca="false">IF(OR($C52="",$B$2="",$D$2=0),0,IF(V$3&lt;0,0,N(INDEX('CURVA PREVISION'!$A$1:$KZ$3000,$C52,11+3*MIN(V$3,$D$2-1)))))</f>
        <v>0</v>
      </c>
      <c r="W52" s="131" t="n">
        <f aca="false">IF(OR($C52="",$B$2="",$D$2=0),0,IF(W$3&lt;0,0,N(INDEX('CURVA PREVISION'!$A$1:$KZ$3000,$C52,11+3*MIN(W$3,$D$2-1)))))</f>
        <v>0</v>
      </c>
      <c r="X52" s="131" t="n">
        <f aca="false">IF(OR($C52="",$B$2="",$D$2=0),0,IF(X$3&lt;0,0,N(INDEX('CURVA PREVISION'!$A$1:$KZ$3000,$C52,11+3*MIN(X$3,$D$2-1)))))</f>
        <v>0</v>
      </c>
      <c r="Y52" s="131" t="n">
        <f aca="false">IF(OR($C52="",$B$2="",$D$2=0),0,IF(Y$3&lt;0,0,N(INDEX('CURVA PREVISION'!$A$1:$KZ$3000,$C52,11+3*MIN(Y$3,$D$2-1)))))</f>
        <v>0</v>
      </c>
      <c r="Z52" s="131" t="n">
        <f aca="false">IF(OR($C52="",$B$2="",$D$2=0),0,IF(Z$3&lt;0,0,N(INDEX('CURVA PREVISION'!$A$1:$KZ$3000,$C52,11+3*MIN(Z$3,$D$2-1)))))</f>
        <v>0</v>
      </c>
      <c r="AA52" s="131" t="n">
        <f aca="false">IF(OR($C52="",$B$2="",$D$2=0),0,IF(AA$3&lt;0,0,N(INDEX('CURVA PREVISION'!$A$1:$KZ$3000,$C52,11+3*MIN(AA$3,$D$2-1)))))</f>
        <v>0</v>
      </c>
      <c r="AB52" s="131" t="n">
        <f aca="false">IF(OR($C52="",$B$2="",$D$2=0),0,IF(AB$3&lt;0,0,N(INDEX('CURVA PREVISION'!$A$1:$KZ$3000,$C52,11+3*MIN(AB$3,$D$2-1)))))</f>
        <v>0</v>
      </c>
      <c r="AC52" s="131" t="n">
        <f aca="false">IF(OR($C52="",$B$2="",$D$2=0),0,IF(AC$3&lt;0,0,N(INDEX('CURVA PREVISION'!$A$1:$KZ$3000,$C52,11+3*MIN(AC$3,$D$2-1)))))</f>
        <v>0</v>
      </c>
      <c r="AD52" s="131" t="n">
        <f aca="false">IF(OR($C52="",$B$2="",$D$2=0),0,IF(AD$3&lt;0,0,N(INDEX('CURVA PREVISION'!$A$1:$KZ$3000,$C52,11+3*MIN(AD$3,$D$2-1)))))</f>
        <v>0</v>
      </c>
      <c r="AE52" s="131" t="n">
        <f aca="false">IF(OR($C52="",$B$2="",$D$2=0),0,IF(AE$3&lt;0,0,N(INDEX('CURVA PREVISION'!$A$1:$KZ$3000,$C52,11+3*MIN(AE$3,$D$2-1)))))</f>
        <v>0</v>
      </c>
      <c r="AF52" s="131" t="n">
        <f aca="false">IF(OR($C52="",$B$2="",$D$2=0),0,IF(AF$3&lt;0,0,N(INDEX('CURVA PREVISION'!$A$1:$KZ$3000,$C52,11+3*MIN(AF$3,$D$2-1)))))</f>
        <v>0</v>
      </c>
      <c r="AG52" s="131" t="n">
        <f aca="false">IF(OR($C52="",$B$2="",$D$2=0),0,IF(AG$3&lt;0,0,N(INDEX('CURVA PREVISION'!$A$1:$KZ$3000,$C52,11+3*MIN(AG$3,$D$2-1)))))</f>
        <v>0</v>
      </c>
      <c r="AH52" s="131" t="n">
        <f aca="false">IF(OR($C52="",$B$2="",$D$2=0),0,IF(AH$3&lt;0,0,N(INDEX('CURVA PREVISION'!$A$1:$KZ$3000,$C52,11+3*MIN(AH$3,$D$2-1)))))</f>
        <v>0</v>
      </c>
      <c r="AI52" s="131" t="n">
        <f aca="false">IF(OR($C52="",$B$2="",$D$2=0),0,IF(AI$3&lt;0,0,N(INDEX('CURVA PREVISION'!$A$1:$KZ$3000,$C52,11+3*MIN(AI$3,$D$2-1)))))</f>
        <v>0</v>
      </c>
      <c r="AJ52" s="131" t="n">
        <f aca="false">IF(OR($C52="",$B$2="",$D$2=0),0,IF(AJ$3&lt;0,0,N(INDEX('CURVA PREVISION'!$A$1:$KZ$3000,$C52,11+3*MIN(AJ$3,$D$2-1)))))</f>
        <v>0</v>
      </c>
      <c r="AK52" s="131" t="n">
        <f aca="false">IF(OR($C52="",$B$2="",$D$2=0),0,IF(AK$3&lt;0,0,N(INDEX('CURVA PREVISION'!$A$1:$KZ$3000,$C52,11+3*MIN(AK$3,$D$2-1)))))</f>
        <v>0</v>
      </c>
      <c r="AL52" s="131" t="n">
        <f aca="false">IF(OR($C52="",$B$2="",$D$2=0),0,IF(AL$3&lt;0,0,N(INDEX('CURVA PREVISION'!$A$1:$KZ$3000,$C52,11+3*MIN(AL$3,$D$2-1)))))</f>
        <v>0</v>
      </c>
      <c r="AM52" s="131" t="n">
        <f aca="false">IF(OR($C52="",$B$2="",$D$2=0),0,IF(AM$3&lt;0,0,N(INDEX('CURVA PREVISION'!$A$1:$KZ$3000,$C52,11+3*MIN(AM$3,$D$2-1)))))</f>
        <v>0</v>
      </c>
      <c r="AN52" s="131" t="n">
        <f aca="false">IF(OR($C52="",$B$2="",$D$2=0),0,IF(AN$3&lt;0,0,N(INDEX('CURVA PREVISION'!$A$1:$KZ$3000,$C52,11+3*MIN(AN$3,$D$2-1)))))</f>
        <v>0</v>
      </c>
      <c r="AO52" s="131" t="n">
        <f aca="false">IF(OR($C52="",$B$2="",$D$2=0),0,IF(AO$3&lt;0,0,N(INDEX('CURVA PREVISION'!$A$1:$KZ$3000,$C52,11+3*MIN(AO$3,$D$2-1)))))</f>
        <v>0</v>
      </c>
      <c r="AP52" s="131" t="n">
        <f aca="false">IF(OR($C52="",$B$2="",$D$2=0),0,IF(AP$3&lt;0,0,N(INDEX('CURVA PREVISION'!$A$1:$KZ$3000,$C52,11+3*MIN(AP$3,$D$2-1)))))</f>
        <v>0</v>
      </c>
      <c r="AQ52" s="131" t="n">
        <f aca="false">IF(OR($C52="",$B$2="",$D$2=0),0,IF(AQ$3&lt;0,0,N(INDEX('CURVA PREVISION'!$A$1:$KZ$3000,$C52,11+3*MIN(AQ$3,$D$2-1)))))</f>
        <v>0</v>
      </c>
      <c r="AR52" s="131" t="n">
        <f aca="false">IF(OR($C52="",$B$2="",$D$2=0),0,IF(AR$3&lt;0,0,N(INDEX('CURVA PREVISION'!$A$1:$KZ$3000,$C52,11+3*MIN(AR$3,$D$2-1)))))</f>
        <v>0</v>
      </c>
      <c r="AS52" s="131" t="n">
        <f aca="false">IF(OR($C52="",$B$2="",$D$2=0),0,IF(AS$3&lt;0,0,N(INDEX('CURVA PREVISION'!$A$1:$KZ$3000,$C52,11+3*MIN(AS$3,$D$2-1)))))</f>
        <v>0</v>
      </c>
      <c r="AT52" s="131" t="n">
        <f aca="false">IF(OR($C52="",$B$2="",$D$2=0),0,IF(AT$3&lt;0,0,N(INDEX('CURVA PREVISION'!$A$1:$KZ$3000,$C52,11+3*MIN(AT$3,$D$2-1)))))</f>
        <v>0</v>
      </c>
      <c r="AU52" s="131" t="n">
        <f aca="false">IF(OR($C52="",$B$2="",$D$2=0),0,IF(AU$3&lt;0,0,N(INDEX('CURVA PREVISION'!$A$1:$KZ$3000,$C52,11+3*MIN(AU$3,$D$2-1)))))</f>
        <v>0</v>
      </c>
      <c r="AV52" s="131" t="n">
        <f aca="false">IF(OR($C52="",$B$2="",$D$2=0),0,IF(AV$3&lt;0,0,N(INDEX('CURVA PREVISION'!$A$1:$KZ$3000,$C52,11+3*MIN(AV$3,$D$2-1)))))</f>
        <v>0</v>
      </c>
      <c r="AW52" s="131" t="n">
        <f aca="false">IF(OR($C52="",$B$2="",$D$2=0),0,IF(AW$3&lt;0,0,N(INDEX('CURVA PREVISION'!$A$1:$KZ$3000,$C52,11+3*MIN(AW$3,$D$2-1)))))</f>
        <v>0</v>
      </c>
      <c r="AX52" s="131" t="n">
        <f aca="false">IF(OR($C52="",$B$2="",$D$2=0),0,IF(AX$3&lt;0,0,N(INDEX('CURVA PREVISION'!$A$1:$KZ$3000,$C52,11+3*MIN(AX$3,$D$2-1)))))</f>
        <v>0</v>
      </c>
      <c r="AY52" s="131" t="n">
        <f aca="false">IF(OR($C52="",$B$2="",$D$2=0),0,IF(AY$3&lt;0,0,N(INDEX('CURVA PREVISION'!$A$1:$KZ$3000,$C52,11+3*MIN(AY$3,$D$2-1)))))</f>
        <v>0</v>
      </c>
      <c r="AZ52" s="131" t="n">
        <f aca="false">IF(OR($C52="",$B$2="",$D$2=0),0,IF(AZ$3&lt;0,0,N(INDEX('CURVA PREVISION'!$A$1:$KZ$3000,$C52,11+3*MIN(AZ$3,$D$2-1)))))</f>
        <v>0</v>
      </c>
      <c r="BA52" s="131" t="n">
        <f aca="false">IF(OR($C52="",$B$2="",$D$2=0),0,IF(BA$3&lt;0,0,N(INDEX('CURVA PREVISION'!$A$1:$KZ$3000,$C52,11+3*MIN(BA$3,$D$2-1)))))</f>
        <v>0</v>
      </c>
      <c r="BB52" s="131" t="n">
        <f aca="false">IF(OR($C52="",$B$2="",$D$2=0),0,IF(BB$3&lt;0,0,N(INDEX('CURVA PREVISION'!$A$1:$KZ$3000,$C52,11+3*MIN(BB$3,$D$2-1)))))</f>
        <v>0</v>
      </c>
      <c r="BC52" s="131" t="n">
        <f aca="false">IF(OR($C52="",$B$2="",$D$2=0),0,IF(BC$3&lt;0,0,N(INDEX('CURVA PREVISION'!$A$1:$KZ$3000,$C52,11+3*MIN(BC$3,$D$2-1)))))</f>
        <v>0</v>
      </c>
      <c r="BD52" s="131" t="n">
        <f aca="false">IF(OR($C52="",$B$2="",$D$2=0),0,IF(BD$3&lt;0,0,N(INDEX('CURVA PREVISION'!$A$1:$KZ$3000,$C52,11+3*MIN(BD$3,$D$2-1)))))</f>
        <v>0</v>
      </c>
      <c r="BE52" s="131" t="n">
        <f aca="false">IF(OR($C52="",$B$2="",$D$2=0),0,IF(BE$3&lt;0,0,N(INDEX('CURVA PREVISION'!$A$1:$KZ$3000,$C52,11+3*MIN(BE$3,$D$2-1)))))</f>
        <v>0</v>
      </c>
      <c r="BF52" s="131" t="n">
        <f aca="false">IF(OR($C52="",$B$2="",$D$2=0),0,IF(BF$3&lt;0,0,N(INDEX('CURVA PREVISION'!$A$1:$KZ$3000,$C52,11+3*MIN(BF$3,$D$2-1)))))</f>
        <v>0</v>
      </c>
      <c r="BG52" s="131" t="n">
        <f aca="false">IF(OR($C52="",$B$2="",$D$2=0),0,IF(BG$3&lt;0,0,N(INDEX('CURVA PREVISION'!$A$1:$KZ$3000,$C52,11+3*MIN(BG$3,$D$2-1)))))</f>
        <v>0</v>
      </c>
      <c r="BH52" s="131" t="n">
        <f aca="false">IF(OR($C52="",$B$2="",$D$2=0),0,IF(BH$3&lt;0,0,N(INDEX('CURVA PREVISION'!$A$1:$KZ$3000,$C52,11+3*MIN(BH$3,$D$2-1)))))</f>
        <v>0</v>
      </c>
      <c r="BI52" s="131" t="n">
        <f aca="false">IF(OR($C52="",$B$2="",$D$2=0),0,IF(BI$3&lt;0,0,N(INDEX('CURVA PREVISION'!$A$1:$KZ$3000,$C52,11+3*MIN(BI$3,$D$2-1)))))</f>
        <v>0</v>
      </c>
      <c r="BJ52" s="131" t="n">
        <f aca="false">IF(OR($C52="",$B$2="",$D$2=0),0,IF(BJ$3&lt;0,0,N(INDEX('CURVA PREVISION'!$A$1:$KZ$3000,$C52,11+3*MIN(BJ$3,$D$2-1)))))</f>
        <v>0</v>
      </c>
      <c r="BK52" s="131" t="n">
        <f aca="false">IF(OR($C52="",$B$2="",$D$2=0),0,IF(BK$3&lt;0,0,N(INDEX('CURVA PREVISION'!$A$1:$KZ$3000,$C52,11+3*MIN(BK$3,$D$2-1)))))</f>
        <v>0</v>
      </c>
      <c r="BL52" s="131" t="n">
        <f aca="false">IF(OR($C52="",$B$2="",$D$2=0),0,IF(BL$3&lt;0,0,N(INDEX('CURVA PREVISION'!$A$1:$KZ$3000,$C52,11+3*MIN(BL$3,$D$2-1)))))</f>
        <v>0</v>
      </c>
      <c r="BM52" s="131" t="n">
        <f aca="false">IF(OR($C52="",$B$2="",$D$2=0),0,IF(BM$3&lt;0,0,N(INDEX('CURVA PREVISION'!$A$1:$KZ$3000,$C52,11+3*MIN(BM$3,$D$2-1)))))</f>
        <v>0</v>
      </c>
      <c r="BN52" s="131" t="n">
        <f aca="false">IF(OR($C52="",$B$2="",$D$2=0),0,IF(BN$3&lt;0,0,N(INDEX('CURVA PREVISION'!$A$1:$KZ$3000,$C52,11+3*MIN(BN$3,$D$2-1)))))</f>
        <v>0</v>
      </c>
      <c r="BO52" s="131" t="n">
        <f aca="false">IF(OR($C52="",$B$2="",$D$2=0),0,IF(BO$3&lt;0,0,N(INDEX('CURVA PREVISION'!$A$1:$KZ$3000,$C52,11+3*MIN(BO$3,$D$2-1)))))</f>
        <v>0</v>
      </c>
      <c r="BP52" s="131" t="n">
        <f aca="false">IF(OR($C52="",$B$2="",$D$2=0),0,IF(BP$3&lt;0,0,N(INDEX('CURVA PREVISION'!$A$1:$KZ$3000,$C52,11+3*MIN(BP$3,$D$2-1)))))</f>
        <v>0</v>
      </c>
      <c r="BQ52" s="131" t="n">
        <f aca="false">IF(OR($C52="",$B$2="",$D$2=0),0,IF(BQ$3&lt;0,0,N(INDEX('CURVA PREVISION'!$A$1:$KZ$3000,$C52,11+3*MIN(BQ$3,$D$2-1)))))</f>
        <v>0</v>
      </c>
      <c r="BR52" s="131" t="n">
        <f aca="false">IF(OR($C52="",$B$2="",$D$2=0),0,IF(BR$3&lt;0,0,N(INDEX('CURVA PREVISION'!$A$1:$KZ$3000,$C52,11+3*MIN(BR$3,$D$2-1)))))</f>
        <v>0</v>
      </c>
      <c r="BS52" s="131" t="n">
        <f aca="false">IF(OR($C52="",$B$2="",$D$2=0),0,IF(BS$3&lt;0,0,N(INDEX('CURVA PREVISION'!$A$1:$KZ$3000,$C52,11+3*MIN(BS$3,$D$2-1)))))</f>
        <v>0</v>
      </c>
      <c r="BT52" s="131" t="n">
        <f aca="false">IF(OR($C52="",$B$2="",$D$2=0),0,IF(BT$3&lt;0,0,N(INDEX('CURVA PREVISION'!$A$1:$KZ$3000,$C52,11+3*MIN(BT$3,$D$2-1)))))</f>
        <v>0</v>
      </c>
      <c r="BU52" s="131" t="n">
        <f aca="false">IF(OR($C52="",$B$2="",$D$2=0),0,IF(BU$3&lt;0,0,N(INDEX('CURVA PREVISION'!$A$1:$KZ$3000,$C52,11+3*MIN(BU$3,$D$2-1)))))</f>
        <v>0</v>
      </c>
      <c r="BV52" s="131" t="n">
        <f aca="false">IF(OR($C52="",$B$2="",$D$2=0),0,IF(BV$3&lt;0,0,N(INDEX('CURVA PREVISION'!$A$1:$KZ$3000,$C52,11+3*MIN(BV$3,$D$2-1)))))</f>
        <v>0</v>
      </c>
      <c r="BW52" s="131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78</v>
      </c>
      <c r="D53" s="131" t="n">
        <f aca="false">IF(OR($C53="",$B$2="",$D$2=0),0,IF(D$3&lt;0,0,N(INDEX('CURVA PREVISION'!$A$1:$KZ$3000,$C53,11+3*MIN(D$3,$D$2-1)))))</f>
        <v>0</v>
      </c>
      <c r="E53" s="131" t="n">
        <f aca="false">IF(OR($C53="",$B$2="",$D$2=0),0,IF(E$3&lt;0,0,N(INDEX('CURVA PREVISION'!$A$1:$KZ$3000,$C53,11+3*MIN(E$3,$D$2-1)))))</f>
        <v>0</v>
      </c>
      <c r="F53" s="131" t="n">
        <f aca="false">IF(OR($C53="",$B$2="",$D$2=0),0,IF(F$3&lt;0,0,N(INDEX('CURVA PREVISION'!$A$1:$KZ$3000,$C53,11+3*MIN(F$3,$D$2-1)))))</f>
        <v>0</v>
      </c>
      <c r="G53" s="131" t="n">
        <f aca="false">IF(OR($C53="",$B$2="",$D$2=0),0,IF(G$3&lt;0,0,N(INDEX('CURVA PREVISION'!$A$1:$KZ$3000,$C53,11+3*MIN(G$3,$D$2-1)))))</f>
        <v>0</v>
      </c>
      <c r="H53" s="131" t="n">
        <f aca="false">IF(OR($C53="",$B$2="",$D$2=0),0,IF(H$3&lt;0,0,N(INDEX('CURVA PREVISION'!$A$1:$KZ$3000,$C53,11+3*MIN(H$3,$D$2-1)))))</f>
        <v>0</v>
      </c>
      <c r="I53" s="131" t="n">
        <f aca="false">IF(OR($C53="",$B$2="",$D$2=0),0,IF(I$3&lt;0,0,N(INDEX('CURVA PREVISION'!$A$1:$KZ$3000,$C53,11+3*MIN(I$3,$D$2-1)))))</f>
        <v>0</v>
      </c>
      <c r="J53" s="131" t="n">
        <f aca="false">IF(OR($C53="",$B$2="",$D$2=0),0,IF(J$3&lt;0,0,N(INDEX('CURVA PREVISION'!$A$1:$KZ$3000,$C53,11+3*MIN(J$3,$D$2-1)))))</f>
        <v>0</v>
      </c>
      <c r="K53" s="131" t="n">
        <f aca="false">IF(OR($C53="",$B$2="",$D$2=0),0,IF(K$3&lt;0,0,N(INDEX('CURVA PREVISION'!$A$1:$KZ$3000,$C53,11+3*MIN(K$3,$D$2-1)))))</f>
        <v>0</v>
      </c>
      <c r="L53" s="131" t="n">
        <f aca="false">IF(OR($C53="",$B$2="",$D$2=0),0,IF(L$3&lt;0,0,N(INDEX('CURVA PREVISION'!$A$1:$KZ$3000,$C53,11+3*MIN(L$3,$D$2-1)))))</f>
        <v>0</v>
      </c>
      <c r="M53" s="131" t="n">
        <f aca="false">IF(OR($C53="",$B$2="",$D$2=0),0,IF(M$3&lt;0,0,N(INDEX('CURVA PREVISION'!$A$1:$KZ$3000,$C53,11+3*MIN(M$3,$D$2-1)))))</f>
        <v>0</v>
      </c>
      <c r="N53" s="131" t="n">
        <f aca="false">IF(OR($C53="",$B$2="",$D$2=0),0,IF(N$3&lt;0,0,N(INDEX('CURVA PREVISION'!$A$1:$KZ$3000,$C53,11+3*MIN(N$3,$D$2-1)))))</f>
        <v>0</v>
      </c>
      <c r="O53" s="131" t="n">
        <f aca="false">IF(OR($C53="",$B$2="",$D$2=0),0,IF(O$3&lt;0,0,N(INDEX('CURVA PREVISION'!$A$1:$KZ$3000,$C53,11+3*MIN(O$3,$D$2-1)))))</f>
        <v>0</v>
      </c>
      <c r="P53" s="131" t="n">
        <f aca="false">IF(OR($C53="",$B$2="",$D$2=0),0,IF(P$3&lt;0,0,N(INDEX('CURVA PREVISION'!$A$1:$KZ$3000,$C53,11+3*MIN(P$3,$D$2-1)))))</f>
        <v>0</v>
      </c>
      <c r="Q53" s="131" t="n">
        <f aca="false">IF(OR($C53="",$B$2="",$D$2=0),0,IF(Q$3&lt;0,0,N(INDEX('CURVA PREVISION'!$A$1:$KZ$3000,$C53,11+3*MIN(Q$3,$D$2-1)))))</f>
        <v>0</v>
      </c>
      <c r="R53" s="131" t="n">
        <f aca="false">IF(OR($C53="",$B$2="",$D$2=0),0,IF(R$3&lt;0,0,N(INDEX('CURVA PREVISION'!$A$1:$KZ$3000,$C53,11+3*MIN(R$3,$D$2-1)))))</f>
        <v>0</v>
      </c>
      <c r="S53" s="131" t="n">
        <f aca="false">IF(OR($C53="",$B$2="",$D$2=0),0,IF(S$3&lt;0,0,N(INDEX('CURVA PREVISION'!$A$1:$KZ$3000,$C53,11+3*MIN(S$3,$D$2-1)))))</f>
        <v>0</v>
      </c>
      <c r="T53" s="131" t="n">
        <f aca="false">IF(OR($C53="",$B$2="",$D$2=0),0,IF(T$3&lt;0,0,N(INDEX('CURVA PREVISION'!$A$1:$KZ$3000,$C53,11+3*MIN(T$3,$D$2-1)))))</f>
        <v>0</v>
      </c>
      <c r="U53" s="131" t="n">
        <f aca="false">IF(OR($C53="",$B$2="",$D$2=0),0,IF(U$3&lt;0,0,N(INDEX('CURVA PREVISION'!$A$1:$KZ$3000,$C53,11+3*MIN(U$3,$D$2-1)))))</f>
        <v>0</v>
      </c>
      <c r="V53" s="131" t="n">
        <f aca="false">IF(OR($C53="",$B$2="",$D$2=0),0,IF(V$3&lt;0,0,N(INDEX('CURVA PREVISION'!$A$1:$KZ$3000,$C53,11+3*MIN(V$3,$D$2-1)))))</f>
        <v>0</v>
      </c>
      <c r="W53" s="131" t="n">
        <f aca="false">IF(OR($C53="",$B$2="",$D$2=0),0,IF(W$3&lt;0,0,N(INDEX('CURVA PREVISION'!$A$1:$KZ$3000,$C53,11+3*MIN(W$3,$D$2-1)))))</f>
        <v>0</v>
      </c>
      <c r="X53" s="131" t="n">
        <f aca="false">IF(OR($C53="",$B$2="",$D$2=0),0,IF(X$3&lt;0,0,N(INDEX('CURVA PREVISION'!$A$1:$KZ$3000,$C53,11+3*MIN(X$3,$D$2-1)))))</f>
        <v>0</v>
      </c>
      <c r="Y53" s="131" t="n">
        <f aca="false">IF(OR($C53="",$B$2="",$D$2=0),0,IF(Y$3&lt;0,0,N(INDEX('CURVA PREVISION'!$A$1:$KZ$3000,$C53,11+3*MIN(Y$3,$D$2-1)))))</f>
        <v>0</v>
      </c>
      <c r="Z53" s="131" t="n">
        <f aca="false">IF(OR($C53="",$B$2="",$D$2=0),0,IF(Z$3&lt;0,0,N(INDEX('CURVA PREVISION'!$A$1:$KZ$3000,$C53,11+3*MIN(Z$3,$D$2-1)))))</f>
        <v>0</v>
      </c>
      <c r="AA53" s="131" t="n">
        <f aca="false">IF(OR($C53="",$B$2="",$D$2=0),0,IF(AA$3&lt;0,0,N(INDEX('CURVA PREVISION'!$A$1:$KZ$3000,$C53,11+3*MIN(AA$3,$D$2-1)))))</f>
        <v>0</v>
      </c>
      <c r="AB53" s="131" t="n">
        <f aca="false">IF(OR($C53="",$B$2="",$D$2=0),0,IF(AB$3&lt;0,0,N(INDEX('CURVA PREVISION'!$A$1:$KZ$3000,$C53,11+3*MIN(AB$3,$D$2-1)))))</f>
        <v>0</v>
      </c>
      <c r="AC53" s="131" t="n">
        <f aca="false">IF(OR($C53="",$B$2="",$D$2=0),0,IF(AC$3&lt;0,0,N(INDEX('CURVA PREVISION'!$A$1:$KZ$3000,$C53,11+3*MIN(AC$3,$D$2-1)))))</f>
        <v>0</v>
      </c>
      <c r="AD53" s="131" t="n">
        <f aca="false">IF(OR($C53="",$B$2="",$D$2=0),0,IF(AD$3&lt;0,0,N(INDEX('CURVA PREVISION'!$A$1:$KZ$3000,$C53,11+3*MIN(AD$3,$D$2-1)))))</f>
        <v>0</v>
      </c>
      <c r="AE53" s="131" t="n">
        <f aca="false">IF(OR($C53="",$B$2="",$D$2=0),0,IF(AE$3&lt;0,0,N(INDEX('CURVA PREVISION'!$A$1:$KZ$3000,$C53,11+3*MIN(AE$3,$D$2-1)))))</f>
        <v>0</v>
      </c>
      <c r="AF53" s="131" t="n">
        <f aca="false">IF(OR($C53="",$B$2="",$D$2=0),0,IF(AF$3&lt;0,0,N(INDEX('CURVA PREVISION'!$A$1:$KZ$3000,$C53,11+3*MIN(AF$3,$D$2-1)))))</f>
        <v>0</v>
      </c>
      <c r="AG53" s="131" t="n">
        <f aca="false">IF(OR($C53="",$B$2="",$D$2=0),0,IF(AG$3&lt;0,0,N(INDEX('CURVA PREVISION'!$A$1:$KZ$3000,$C53,11+3*MIN(AG$3,$D$2-1)))))</f>
        <v>0</v>
      </c>
      <c r="AH53" s="131" t="n">
        <f aca="false">IF(OR($C53="",$B$2="",$D$2=0),0,IF(AH$3&lt;0,0,N(INDEX('CURVA PREVISION'!$A$1:$KZ$3000,$C53,11+3*MIN(AH$3,$D$2-1)))))</f>
        <v>0</v>
      </c>
      <c r="AI53" s="131" t="n">
        <f aca="false">IF(OR($C53="",$B$2="",$D$2=0),0,IF(AI$3&lt;0,0,N(INDEX('CURVA PREVISION'!$A$1:$KZ$3000,$C53,11+3*MIN(AI$3,$D$2-1)))))</f>
        <v>0</v>
      </c>
      <c r="AJ53" s="131" t="n">
        <f aca="false">IF(OR($C53="",$B$2="",$D$2=0),0,IF(AJ$3&lt;0,0,N(INDEX('CURVA PREVISION'!$A$1:$KZ$3000,$C53,11+3*MIN(AJ$3,$D$2-1)))))</f>
        <v>0</v>
      </c>
      <c r="AK53" s="131" t="n">
        <f aca="false">IF(OR($C53="",$B$2="",$D$2=0),0,IF(AK$3&lt;0,0,N(INDEX('CURVA PREVISION'!$A$1:$KZ$3000,$C53,11+3*MIN(AK$3,$D$2-1)))))</f>
        <v>0</v>
      </c>
      <c r="AL53" s="131" t="n">
        <f aca="false">IF(OR($C53="",$B$2="",$D$2=0),0,IF(AL$3&lt;0,0,N(INDEX('CURVA PREVISION'!$A$1:$KZ$3000,$C53,11+3*MIN(AL$3,$D$2-1)))))</f>
        <v>0</v>
      </c>
      <c r="AM53" s="131" t="n">
        <f aca="false">IF(OR($C53="",$B$2="",$D$2=0),0,IF(AM$3&lt;0,0,N(INDEX('CURVA PREVISION'!$A$1:$KZ$3000,$C53,11+3*MIN(AM$3,$D$2-1)))))</f>
        <v>0</v>
      </c>
      <c r="AN53" s="131" t="n">
        <f aca="false">IF(OR($C53="",$B$2="",$D$2=0),0,IF(AN$3&lt;0,0,N(INDEX('CURVA PREVISION'!$A$1:$KZ$3000,$C53,11+3*MIN(AN$3,$D$2-1)))))</f>
        <v>0</v>
      </c>
      <c r="AO53" s="131" t="n">
        <f aca="false">IF(OR($C53="",$B$2="",$D$2=0),0,IF(AO$3&lt;0,0,N(INDEX('CURVA PREVISION'!$A$1:$KZ$3000,$C53,11+3*MIN(AO$3,$D$2-1)))))</f>
        <v>0</v>
      </c>
      <c r="AP53" s="131" t="n">
        <f aca="false">IF(OR($C53="",$B$2="",$D$2=0),0,IF(AP$3&lt;0,0,N(INDEX('CURVA PREVISION'!$A$1:$KZ$3000,$C53,11+3*MIN(AP$3,$D$2-1)))))</f>
        <v>0</v>
      </c>
      <c r="AQ53" s="131" t="n">
        <f aca="false">IF(OR($C53="",$B$2="",$D$2=0),0,IF(AQ$3&lt;0,0,N(INDEX('CURVA PREVISION'!$A$1:$KZ$3000,$C53,11+3*MIN(AQ$3,$D$2-1)))))</f>
        <v>0</v>
      </c>
      <c r="AR53" s="131" t="n">
        <f aca="false">IF(OR($C53="",$B$2="",$D$2=0),0,IF(AR$3&lt;0,0,N(INDEX('CURVA PREVISION'!$A$1:$KZ$3000,$C53,11+3*MIN(AR$3,$D$2-1)))))</f>
        <v>0</v>
      </c>
      <c r="AS53" s="131" t="n">
        <f aca="false">IF(OR($C53="",$B$2="",$D$2=0),0,IF(AS$3&lt;0,0,N(INDEX('CURVA PREVISION'!$A$1:$KZ$3000,$C53,11+3*MIN(AS$3,$D$2-1)))))</f>
        <v>0</v>
      </c>
      <c r="AT53" s="131" t="n">
        <f aca="false">IF(OR($C53="",$B$2="",$D$2=0),0,IF(AT$3&lt;0,0,N(INDEX('CURVA PREVISION'!$A$1:$KZ$3000,$C53,11+3*MIN(AT$3,$D$2-1)))))</f>
        <v>0</v>
      </c>
      <c r="AU53" s="131" t="n">
        <f aca="false">IF(OR($C53="",$B$2="",$D$2=0),0,IF(AU$3&lt;0,0,N(INDEX('CURVA PREVISION'!$A$1:$KZ$3000,$C53,11+3*MIN(AU$3,$D$2-1)))))</f>
        <v>0</v>
      </c>
      <c r="AV53" s="131" t="n">
        <f aca="false">IF(OR($C53="",$B$2="",$D$2=0),0,IF(AV$3&lt;0,0,N(INDEX('CURVA PREVISION'!$A$1:$KZ$3000,$C53,11+3*MIN(AV$3,$D$2-1)))))</f>
        <v>0</v>
      </c>
      <c r="AW53" s="131" t="n">
        <f aca="false">IF(OR($C53="",$B$2="",$D$2=0),0,IF(AW$3&lt;0,0,N(INDEX('CURVA PREVISION'!$A$1:$KZ$3000,$C53,11+3*MIN(AW$3,$D$2-1)))))</f>
        <v>0</v>
      </c>
      <c r="AX53" s="131" t="n">
        <f aca="false">IF(OR($C53="",$B$2="",$D$2=0),0,IF(AX$3&lt;0,0,N(INDEX('CURVA PREVISION'!$A$1:$KZ$3000,$C53,11+3*MIN(AX$3,$D$2-1)))))</f>
        <v>0</v>
      </c>
      <c r="AY53" s="131" t="n">
        <f aca="false">IF(OR($C53="",$B$2="",$D$2=0),0,IF(AY$3&lt;0,0,N(INDEX('CURVA PREVISION'!$A$1:$KZ$3000,$C53,11+3*MIN(AY$3,$D$2-1)))))</f>
        <v>0</v>
      </c>
      <c r="AZ53" s="131" t="n">
        <f aca="false">IF(OR($C53="",$B$2="",$D$2=0),0,IF(AZ$3&lt;0,0,N(INDEX('CURVA PREVISION'!$A$1:$KZ$3000,$C53,11+3*MIN(AZ$3,$D$2-1)))))</f>
        <v>0</v>
      </c>
      <c r="BA53" s="131" t="n">
        <f aca="false">IF(OR($C53="",$B$2="",$D$2=0),0,IF(BA$3&lt;0,0,N(INDEX('CURVA PREVISION'!$A$1:$KZ$3000,$C53,11+3*MIN(BA$3,$D$2-1)))))</f>
        <v>0</v>
      </c>
      <c r="BB53" s="131" t="n">
        <f aca="false">IF(OR($C53="",$B$2="",$D$2=0),0,IF(BB$3&lt;0,0,N(INDEX('CURVA PREVISION'!$A$1:$KZ$3000,$C53,11+3*MIN(BB$3,$D$2-1)))))</f>
        <v>0</v>
      </c>
      <c r="BC53" s="131" t="n">
        <f aca="false">IF(OR($C53="",$B$2="",$D$2=0),0,IF(BC$3&lt;0,0,N(INDEX('CURVA PREVISION'!$A$1:$KZ$3000,$C53,11+3*MIN(BC$3,$D$2-1)))))</f>
        <v>0</v>
      </c>
      <c r="BD53" s="131" t="n">
        <f aca="false">IF(OR($C53="",$B$2="",$D$2=0),0,IF(BD$3&lt;0,0,N(INDEX('CURVA PREVISION'!$A$1:$KZ$3000,$C53,11+3*MIN(BD$3,$D$2-1)))))</f>
        <v>0</v>
      </c>
      <c r="BE53" s="131" t="n">
        <f aca="false">IF(OR($C53="",$B$2="",$D$2=0),0,IF(BE$3&lt;0,0,N(INDEX('CURVA PREVISION'!$A$1:$KZ$3000,$C53,11+3*MIN(BE$3,$D$2-1)))))</f>
        <v>0</v>
      </c>
      <c r="BF53" s="131" t="n">
        <f aca="false">IF(OR($C53="",$B$2="",$D$2=0),0,IF(BF$3&lt;0,0,N(INDEX('CURVA PREVISION'!$A$1:$KZ$3000,$C53,11+3*MIN(BF$3,$D$2-1)))))</f>
        <v>0</v>
      </c>
      <c r="BG53" s="131" t="n">
        <f aca="false">IF(OR($C53="",$B$2="",$D$2=0),0,IF(BG$3&lt;0,0,N(INDEX('CURVA PREVISION'!$A$1:$KZ$3000,$C53,11+3*MIN(BG$3,$D$2-1)))))</f>
        <v>0</v>
      </c>
      <c r="BH53" s="131" t="n">
        <f aca="false">IF(OR($C53="",$B$2="",$D$2=0),0,IF(BH$3&lt;0,0,N(INDEX('CURVA PREVISION'!$A$1:$KZ$3000,$C53,11+3*MIN(BH$3,$D$2-1)))))</f>
        <v>0</v>
      </c>
      <c r="BI53" s="131" t="n">
        <f aca="false">IF(OR($C53="",$B$2="",$D$2=0),0,IF(BI$3&lt;0,0,N(INDEX('CURVA PREVISION'!$A$1:$KZ$3000,$C53,11+3*MIN(BI$3,$D$2-1)))))</f>
        <v>0</v>
      </c>
      <c r="BJ53" s="131" t="n">
        <f aca="false">IF(OR($C53="",$B$2="",$D$2=0),0,IF(BJ$3&lt;0,0,N(INDEX('CURVA PREVISION'!$A$1:$KZ$3000,$C53,11+3*MIN(BJ$3,$D$2-1)))))</f>
        <v>0</v>
      </c>
      <c r="BK53" s="131" t="n">
        <f aca="false">IF(OR($C53="",$B$2="",$D$2=0),0,IF(BK$3&lt;0,0,N(INDEX('CURVA PREVISION'!$A$1:$KZ$3000,$C53,11+3*MIN(BK$3,$D$2-1)))))</f>
        <v>0</v>
      </c>
      <c r="BL53" s="131" t="n">
        <f aca="false">IF(OR($C53="",$B$2="",$D$2=0),0,IF(BL$3&lt;0,0,N(INDEX('CURVA PREVISION'!$A$1:$KZ$3000,$C53,11+3*MIN(BL$3,$D$2-1)))))</f>
        <v>0</v>
      </c>
      <c r="BM53" s="131" t="n">
        <f aca="false">IF(OR($C53="",$B$2="",$D$2=0),0,IF(BM$3&lt;0,0,N(INDEX('CURVA PREVISION'!$A$1:$KZ$3000,$C53,11+3*MIN(BM$3,$D$2-1)))))</f>
        <v>0</v>
      </c>
      <c r="BN53" s="131" t="n">
        <f aca="false">IF(OR($C53="",$B$2="",$D$2=0),0,IF(BN$3&lt;0,0,N(INDEX('CURVA PREVISION'!$A$1:$KZ$3000,$C53,11+3*MIN(BN$3,$D$2-1)))))</f>
        <v>0</v>
      </c>
      <c r="BO53" s="131" t="n">
        <f aca="false">IF(OR($C53="",$B$2="",$D$2=0),0,IF(BO$3&lt;0,0,N(INDEX('CURVA PREVISION'!$A$1:$KZ$3000,$C53,11+3*MIN(BO$3,$D$2-1)))))</f>
        <v>0</v>
      </c>
      <c r="BP53" s="131" t="n">
        <f aca="false">IF(OR($C53="",$B$2="",$D$2=0),0,IF(BP$3&lt;0,0,N(INDEX('CURVA PREVISION'!$A$1:$KZ$3000,$C53,11+3*MIN(BP$3,$D$2-1)))))</f>
        <v>0</v>
      </c>
      <c r="BQ53" s="131" t="n">
        <f aca="false">IF(OR($C53="",$B$2="",$D$2=0),0,IF(BQ$3&lt;0,0,N(INDEX('CURVA PREVISION'!$A$1:$KZ$3000,$C53,11+3*MIN(BQ$3,$D$2-1)))))</f>
        <v>0</v>
      </c>
      <c r="BR53" s="131" t="n">
        <f aca="false">IF(OR($C53="",$B$2="",$D$2=0),0,IF(BR$3&lt;0,0,N(INDEX('CURVA PREVISION'!$A$1:$KZ$3000,$C53,11+3*MIN(BR$3,$D$2-1)))))</f>
        <v>0</v>
      </c>
      <c r="BS53" s="131" t="n">
        <f aca="false">IF(OR($C53="",$B$2="",$D$2=0),0,IF(BS$3&lt;0,0,N(INDEX('CURVA PREVISION'!$A$1:$KZ$3000,$C53,11+3*MIN(BS$3,$D$2-1)))))</f>
        <v>0</v>
      </c>
      <c r="BT53" s="131" t="n">
        <f aca="false">IF(OR($C53="",$B$2="",$D$2=0),0,IF(BT$3&lt;0,0,N(INDEX('CURVA PREVISION'!$A$1:$KZ$3000,$C53,11+3*MIN(BT$3,$D$2-1)))))</f>
        <v>0</v>
      </c>
      <c r="BU53" s="131" t="n">
        <f aca="false">IF(OR($C53="",$B$2="",$D$2=0),0,IF(BU$3&lt;0,0,N(INDEX('CURVA PREVISION'!$A$1:$KZ$3000,$C53,11+3*MIN(BU$3,$D$2-1)))))</f>
        <v>0</v>
      </c>
      <c r="BV53" s="131" t="n">
        <f aca="false">IF(OR($C53="",$B$2="",$D$2=0),0,IF(BV$3&lt;0,0,N(INDEX('CURVA PREVISION'!$A$1:$KZ$3000,$C53,11+3*MIN(BV$3,$D$2-1)))))</f>
        <v>0</v>
      </c>
      <c r="BW53" s="131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84</v>
      </c>
      <c r="D54" s="131" t="n">
        <f aca="false">IF(OR($C54="",$B$2="",$D$2=0),0,IF(D$3&lt;0,0,N(INDEX('CURVA PREVISION'!$A$1:$KZ$3000,$C54,11+3*MIN(D$3,$D$2-1)))))</f>
        <v>0</v>
      </c>
      <c r="E54" s="131" t="n">
        <f aca="false">IF(OR($C54="",$B$2="",$D$2=0),0,IF(E$3&lt;0,0,N(INDEX('CURVA PREVISION'!$A$1:$KZ$3000,$C54,11+3*MIN(E$3,$D$2-1)))))</f>
        <v>0</v>
      </c>
      <c r="F54" s="131" t="n">
        <f aca="false">IF(OR($C54="",$B$2="",$D$2=0),0,IF(F$3&lt;0,0,N(INDEX('CURVA PREVISION'!$A$1:$KZ$3000,$C54,11+3*MIN(F$3,$D$2-1)))))</f>
        <v>0</v>
      </c>
      <c r="G54" s="131" t="n">
        <f aca="false">IF(OR($C54="",$B$2="",$D$2=0),0,IF(G$3&lt;0,0,N(INDEX('CURVA PREVISION'!$A$1:$KZ$3000,$C54,11+3*MIN(G$3,$D$2-1)))))</f>
        <v>0</v>
      </c>
      <c r="H54" s="131" t="n">
        <f aca="false">IF(OR($C54="",$B$2="",$D$2=0),0,IF(H$3&lt;0,0,N(INDEX('CURVA PREVISION'!$A$1:$KZ$3000,$C54,11+3*MIN(H$3,$D$2-1)))))</f>
        <v>0</v>
      </c>
      <c r="I54" s="131" t="n">
        <f aca="false">IF(OR($C54="",$B$2="",$D$2=0),0,IF(I$3&lt;0,0,N(INDEX('CURVA PREVISION'!$A$1:$KZ$3000,$C54,11+3*MIN(I$3,$D$2-1)))))</f>
        <v>0</v>
      </c>
      <c r="J54" s="131" t="n">
        <f aca="false">IF(OR($C54="",$B$2="",$D$2=0),0,IF(J$3&lt;0,0,N(INDEX('CURVA PREVISION'!$A$1:$KZ$3000,$C54,11+3*MIN(J$3,$D$2-1)))))</f>
        <v>0</v>
      </c>
      <c r="K54" s="131" t="n">
        <f aca="false">IF(OR($C54="",$B$2="",$D$2=0),0,IF(K$3&lt;0,0,N(INDEX('CURVA PREVISION'!$A$1:$KZ$3000,$C54,11+3*MIN(K$3,$D$2-1)))))</f>
        <v>0</v>
      </c>
      <c r="L54" s="131" t="n">
        <f aca="false">IF(OR($C54="",$B$2="",$D$2=0),0,IF(L$3&lt;0,0,N(INDEX('CURVA PREVISION'!$A$1:$KZ$3000,$C54,11+3*MIN(L$3,$D$2-1)))))</f>
        <v>0</v>
      </c>
      <c r="M54" s="131" t="n">
        <f aca="false">IF(OR($C54="",$B$2="",$D$2=0),0,IF(M$3&lt;0,0,N(INDEX('CURVA PREVISION'!$A$1:$KZ$3000,$C54,11+3*MIN(M$3,$D$2-1)))))</f>
        <v>0</v>
      </c>
      <c r="N54" s="131" t="n">
        <f aca="false">IF(OR($C54="",$B$2="",$D$2=0),0,IF(N$3&lt;0,0,N(INDEX('CURVA PREVISION'!$A$1:$KZ$3000,$C54,11+3*MIN(N$3,$D$2-1)))))</f>
        <v>0</v>
      </c>
      <c r="O54" s="131" t="n">
        <f aca="false">IF(OR($C54="",$B$2="",$D$2=0),0,IF(O$3&lt;0,0,N(INDEX('CURVA PREVISION'!$A$1:$KZ$3000,$C54,11+3*MIN(O$3,$D$2-1)))))</f>
        <v>0</v>
      </c>
      <c r="P54" s="131" t="n">
        <f aca="false">IF(OR($C54="",$B$2="",$D$2=0),0,IF(P$3&lt;0,0,N(INDEX('CURVA PREVISION'!$A$1:$KZ$3000,$C54,11+3*MIN(P$3,$D$2-1)))))</f>
        <v>0</v>
      </c>
      <c r="Q54" s="131" t="n">
        <f aca="false">IF(OR($C54="",$B$2="",$D$2=0),0,IF(Q$3&lt;0,0,N(INDEX('CURVA PREVISION'!$A$1:$KZ$3000,$C54,11+3*MIN(Q$3,$D$2-1)))))</f>
        <v>0</v>
      </c>
      <c r="R54" s="131" t="n">
        <f aca="false">IF(OR($C54="",$B$2="",$D$2=0),0,IF(R$3&lt;0,0,N(INDEX('CURVA PREVISION'!$A$1:$KZ$3000,$C54,11+3*MIN(R$3,$D$2-1)))))</f>
        <v>0</v>
      </c>
      <c r="S54" s="131" t="n">
        <f aca="false">IF(OR($C54="",$B$2="",$D$2=0),0,IF(S$3&lt;0,0,N(INDEX('CURVA PREVISION'!$A$1:$KZ$3000,$C54,11+3*MIN(S$3,$D$2-1)))))</f>
        <v>0</v>
      </c>
      <c r="T54" s="131" t="n">
        <f aca="false">IF(OR($C54="",$B$2="",$D$2=0),0,IF(T$3&lt;0,0,N(INDEX('CURVA PREVISION'!$A$1:$KZ$3000,$C54,11+3*MIN(T$3,$D$2-1)))))</f>
        <v>0</v>
      </c>
      <c r="U54" s="131" t="n">
        <f aca="false">IF(OR($C54="",$B$2="",$D$2=0),0,IF(U$3&lt;0,0,N(INDEX('CURVA PREVISION'!$A$1:$KZ$3000,$C54,11+3*MIN(U$3,$D$2-1)))))</f>
        <v>0</v>
      </c>
      <c r="V54" s="131" t="n">
        <f aca="false">IF(OR($C54="",$B$2="",$D$2=0),0,IF(V$3&lt;0,0,N(INDEX('CURVA PREVISION'!$A$1:$KZ$3000,$C54,11+3*MIN(V$3,$D$2-1)))))</f>
        <v>0</v>
      </c>
      <c r="W54" s="131" t="n">
        <f aca="false">IF(OR($C54="",$B$2="",$D$2=0),0,IF(W$3&lt;0,0,N(INDEX('CURVA PREVISION'!$A$1:$KZ$3000,$C54,11+3*MIN(W$3,$D$2-1)))))</f>
        <v>0</v>
      </c>
      <c r="X54" s="131" t="n">
        <f aca="false">IF(OR($C54="",$B$2="",$D$2=0),0,IF(X$3&lt;0,0,N(INDEX('CURVA PREVISION'!$A$1:$KZ$3000,$C54,11+3*MIN(X$3,$D$2-1)))))</f>
        <v>0</v>
      </c>
      <c r="Y54" s="131" t="n">
        <f aca="false">IF(OR($C54="",$B$2="",$D$2=0),0,IF(Y$3&lt;0,0,N(INDEX('CURVA PREVISION'!$A$1:$KZ$3000,$C54,11+3*MIN(Y$3,$D$2-1)))))</f>
        <v>0</v>
      </c>
      <c r="Z54" s="131" t="n">
        <f aca="false">IF(OR($C54="",$B$2="",$D$2=0),0,IF(Z$3&lt;0,0,N(INDEX('CURVA PREVISION'!$A$1:$KZ$3000,$C54,11+3*MIN(Z$3,$D$2-1)))))</f>
        <v>0</v>
      </c>
      <c r="AA54" s="131" t="n">
        <f aca="false">IF(OR($C54="",$B$2="",$D$2=0),0,IF(AA$3&lt;0,0,N(INDEX('CURVA PREVISION'!$A$1:$KZ$3000,$C54,11+3*MIN(AA$3,$D$2-1)))))</f>
        <v>0</v>
      </c>
      <c r="AB54" s="131" t="n">
        <f aca="false">IF(OR($C54="",$B$2="",$D$2=0),0,IF(AB$3&lt;0,0,N(INDEX('CURVA PREVISION'!$A$1:$KZ$3000,$C54,11+3*MIN(AB$3,$D$2-1)))))</f>
        <v>0</v>
      </c>
      <c r="AC54" s="131" t="n">
        <f aca="false">IF(OR($C54="",$B$2="",$D$2=0),0,IF(AC$3&lt;0,0,N(INDEX('CURVA PREVISION'!$A$1:$KZ$3000,$C54,11+3*MIN(AC$3,$D$2-1)))))</f>
        <v>0</v>
      </c>
      <c r="AD54" s="131" t="n">
        <f aca="false">IF(OR($C54="",$B$2="",$D$2=0),0,IF(AD$3&lt;0,0,N(INDEX('CURVA PREVISION'!$A$1:$KZ$3000,$C54,11+3*MIN(AD$3,$D$2-1)))))</f>
        <v>0</v>
      </c>
      <c r="AE54" s="131" t="n">
        <f aca="false">IF(OR($C54="",$B$2="",$D$2=0),0,IF(AE$3&lt;0,0,N(INDEX('CURVA PREVISION'!$A$1:$KZ$3000,$C54,11+3*MIN(AE$3,$D$2-1)))))</f>
        <v>0</v>
      </c>
      <c r="AF54" s="131" t="n">
        <f aca="false">IF(OR($C54="",$B$2="",$D$2=0),0,IF(AF$3&lt;0,0,N(INDEX('CURVA PREVISION'!$A$1:$KZ$3000,$C54,11+3*MIN(AF$3,$D$2-1)))))</f>
        <v>0</v>
      </c>
      <c r="AG54" s="131" t="n">
        <f aca="false">IF(OR($C54="",$B$2="",$D$2=0),0,IF(AG$3&lt;0,0,N(INDEX('CURVA PREVISION'!$A$1:$KZ$3000,$C54,11+3*MIN(AG$3,$D$2-1)))))</f>
        <v>0</v>
      </c>
      <c r="AH54" s="131" t="n">
        <f aca="false">IF(OR($C54="",$B$2="",$D$2=0),0,IF(AH$3&lt;0,0,N(INDEX('CURVA PREVISION'!$A$1:$KZ$3000,$C54,11+3*MIN(AH$3,$D$2-1)))))</f>
        <v>0</v>
      </c>
      <c r="AI54" s="131" t="n">
        <f aca="false">IF(OR($C54="",$B$2="",$D$2=0),0,IF(AI$3&lt;0,0,N(INDEX('CURVA PREVISION'!$A$1:$KZ$3000,$C54,11+3*MIN(AI$3,$D$2-1)))))</f>
        <v>0</v>
      </c>
      <c r="AJ54" s="131" t="n">
        <f aca="false">IF(OR($C54="",$B$2="",$D$2=0),0,IF(AJ$3&lt;0,0,N(INDEX('CURVA PREVISION'!$A$1:$KZ$3000,$C54,11+3*MIN(AJ$3,$D$2-1)))))</f>
        <v>0</v>
      </c>
      <c r="AK54" s="131" t="n">
        <f aca="false">IF(OR($C54="",$B$2="",$D$2=0),0,IF(AK$3&lt;0,0,N(INDEX('CURVA PREVISION'!$A$1:$KZ$3000,$C54,11+3*MIN(AK$3,$D$2-1)))))</f>
        <v>0</v>
      </c>
      <c r="AL54" s="131" t="n">
        <f aca="false">IF(OR($C54="",$B$2="",$D$2=0),0,IF(AL$3&lt;0,0,N(INDEX('CURVA PREVISION'!$A$1:$KZ$3000,$C54,11+3*MIN(AL$3,$D$2-1)))))</f>
        <v>0</v>
      </c>
      <c r="AM54" s="131" t="n">
        <f aca="false">IF(OR($C54="",$B$2="",$D$2=0),0,IF(AM$3&lt;0,0,N(INDEX('CURVA PREVISION'!$A$1:$KZ$3000,$C54,11+3*MIN(AM$3,$D$2-1)))))</f>
        <v>0</v>
      </c>
      <c r="AN54" s="131" t="n">
        <f aca="false">IF(OR($C54="",$B$2="",$D$2=0),0,IF(AN$3&lt;0,0,N(INDEX('CURVA PREVISION'!$A$1:$KZ$3000,$C54,11+3*MIN(AN$3,$D$2-1)))))</f>
        <v>0</v>
      </c>
      <c r="AO54" s="131" t="n">
        <f aca="false">IF(OR($C54="",$B$2="",$D$2=0),0,IF(AO$3&lt;0,0,N(INDEX('CURVA PREVISION'!$A$1:$KZ$3000,$C54,11+3*MIN(AO$3,$D$2-1)))))</f>
        <v>0</v>
      </c>
      <c r="AP54" s="131" t="n">
        <f aca="false">IF(OR($C54="",$B$2="",$D$2=0),0,IF(AP$3&lt;0,0,N(INDEX('CURVA PREVISION'!$A$1:$KZ$3000,$C54,11+3*MIN(AP$3,$D$2-1)))))</f>
        <v>0</v>
      </c>
      <c r="AQ54" s="131" t="n">
        <f aca="false">IF(OR($C54="",$B$2="",$D$2=0),0,IF(AQ$3&lt;0,0,N(INDEX('CURVA PREVISION'!$A$1:$KZ$3000,$C54,11+3*MIN(AQ$3,$D$2-1)))))</f>
        <v>0</v>
      </c>
      <c r="AR54" s="131" t="n">
        <f aca="false">IF(OR($C54="",$B$2="",$D$2=0),0,IF(AR$3&lt;0,0,N(INDEX('CURVA PREVISION'!$A$1:$KZ$3000,$C54,11+3*MIN(AR$3,$D$2-1)))))</f>
        <v>0</v>
      </c>
      <c r="AS54" s="131" t="n">
        <f aca="false">IF(OR($C54="",$B$2="",$D$2=0),0,IF(AS$3&lt;0,0,N(INDEX('CURVA PREVISION'!$A$1:$KZ$3000,$C54,11+3*MIN(AS$3,$D$2-1)))))</f>
        <v>0</v>
      </c>
      <c r="AT54" s="131" t="n">
        <f aca="false">IF(OR($C54="",$B$2="",$D$2=0),0,IF(AT$3&lt;0,0,N(INDEX('CURVA PREVISION'!$A$1:$KZ$3000,$C54,11+3*MIN(AT$3,$D$2-1)))))</f>
        <v>0</v>
      </c>
      <c r="AU54" s="131" t="n">
        <f aca="false">IF(OR($C54="",$B$2="",$D$2=0),0,IF(AU$3&lt;0,0,N(INDEX('CURVA PREVISION'!$A$1:$KZ$3000,$C54,11+3*MIN(AU$3,$D$2-1)))))</f>
        <v>0</v>
      </c>
      <c r="AV54" s="131" t="n">
        <f aca="false">IF(OR($C54="",$B$2="",$D$2=0),0,IF(AV$3&lt;0,0,N(INDEX('CURVA PREVISION'!$A$1:$KZ$3000,$C54,11+3*MIN(AV$3,$D$2-1)))))</f>
        <v>0</v>
      </c>
      <c r="AW54" s="131" t="n">
        <f aca="false">IF(OR($C54="",$B$2="",$D$2=0),0,IF(AW$3&lt;0,0,N(INDEX('CURVA PREVISION'!$A$1:$KZ$3000,$C54,11+3*MIN(AW$3,$D$2-1)))))</f>
        <v>0</v>
      </c>
      <c r="AX54" s="131" t="n">
        <f aca="false">IF(OR($C54="",$B$2="",$D$2=0),0,IF(AX$3&lt;0,0,N(INDEX('CURVA PREVISION'!$A$1:$KZ$3000,$C54,11+3*MIN(AX$3,$D$2-1)))))</f>
        <v>0</v>
      </c>
      <c r="AY54" s="131" t="n">
        <f aca="false">IF(OR($C54="",$B$2="",$D$2=0),0,IF(AY$3&lt;0,0,N(INDEX('CURVA PREVISION'!$A$1:$KZ$3000,$C54,11+3*MIN(AY$3,$D$2-1)))))</f>
        <v>0</v>
      </c>
      <c r="AZ54" s="131" t="n">
        <f aca="false">IF(OR($C54="",$B$2="",$D$2=0),0,IF(AZ$3&lt;0,0,N(INDEX('CURVA PREVISION'!$A$1:$KZ$3000,$C54,11+3*MIN(AZ$3,$D$2-1)))))</f>
        <v>0</v>
      </c>
      <c r="BA54" s="131" t="n">
        <f aca="false">IF(OR($C54="",$B$2="",$D$2=0),0,IF(BA$3&lt;0,0,N(INDEX('CURVA PREVISION'!$A$1:$KZ$3000,$C54,11+3*MIN(BA$3,$D$2-1)))))</f>
        <v>0</v>
      </c>
      <c r="BB54" s="131" t="n">
        <f aca="false">IF(OR($C54="",$B$2="",$D$2=0),0,IF(BB$3&lt;0,0,N(INDEX('CURVA PREVISION'!$A$1:$KZ$3000,$C54,11+3*MIN(BB$3,$D$2-1)))))</f>
        <v>0</v>
      </c>
      <c r="BC54" s="131" t="n">
        <f aca="false">IF(OR($C54="",$B$2="",$D$2=0),0,IF(BC$3&lt;0,0,N(INDEX('CURVA PREVISION'!$A$1:$KZ$3000,$C54,11+3*MIN(BC$3,$D$2-1)))))</f>
        <v>0</v>
      </c>
      <c r="BD54" s="131" t="n">
        <f aca="false">IF(OR($C54="",$B$2="",$D$2=0),0,IF(BD$3&lt;0,0,N(INDEX('CURVA PREVISION'!$A$1:$KZ$3000,$C54,11+3*MIN(BD$3,$D$2-1)))))</f>
        <v>0</v>
      </c>
      <c r="BE54" s="131" t="n">
        <f aca="false">IF(OR($C54="",$B$2="",$D$2=0),0,IF(BE$3&lt;0,0,N(INDEX('CURVA PREVISION'!$A$1:$KZ$3000,$C54,11+3*MIN(BE$3,$D$2-1)))))</f>
        <v>0</v>
      </c>
      <c r="BF54" s="131" t="n">
        <f aca="false">IF(OR($C54="",$B$2="",$D$2=0),0,IF(BF$3&lt;0,0,N(INDEX('CURVA PREVISION'!$A$1:$KZ$3000,$C54,11+3*MIN(BF$3,$D$2-1)))))</f>
        <v>0</v>
      </c>
      <c r="BG54" s="131" t="n">
        <f aca="false">IF(OR($C54="",$B$2="",$D$2=0),0,IF(BG$3&lt;0,0,N(INDEX('CURVA PREVISION'!$A$1:$KZ$3000,$C54,11+3*MIN(BG$3,$D$2-1)))))</f>
        <v>0</v>
      </c>
      <c r="BH54" s="131" t="n">
        <f aca="false">IF(OR($C54="",$B$2="",$D$2=0),0,IF(BH$3&lt;0,0,N(INDEX('CURVA PREVISION'!$A$1:$KZ$3000,$C54,11+3*MIN(BH$3,$D$2-1)))))</f>
        <v>0</v>
      </c>
      <c r="BI54" s="131" t="n">
        <f aca="false">IF(OR($C54="",$B$2="",$D$2=0),0,IF(BI$3&lt;0,0,N(INDEX('CURVA PREVISION'!$A$1:$KZ$3000,$C54,11+3*MIN(BI$3,$D$2-1)))))</f>
        <v>0</v>
      </c>
      <c r="BJ54" s="131" t="n">
        <f aca="false">IF(OR($C54="",$B$2="",$D$2=0),0,IF(BJ$3&lt;0,0,N(INDEX('CURVA PREVISION'!$A$1:$KZ$3000,$C54,11+3*MIN(BJ$3,$D$2-1)))))</f>
        <v>0</v>
      </c>
      <c r="BK54" s="131" t="n">
        <f aca="false">IF(OR($C54="",$B$2="",$D$2=0),0,IF(BK$3&lt;0,0,N(INDEX('CURVA PREVISION'!$A$1:$KZ$3000,$C54,11+3*MIN(BK$3,$D$2-1)))))</f>
        <v>0</v>
      </c>
      <c r="BL54" s="131" t="n">
        <f aca="false">IF(OR($C54="",$B$2="",$D$2=0),0,IF(BL$3&lt;0,0,N(INDEX('CURVA PREVISION'!$A$1:$KZ$3000,$C54,11+3*MIN(BL$3,$D$2-1)))))</f>
        <v>0</v>
      </c>
      <c r="BM54" s="131" t="n">
        <f aca="false">IF(OR($C54="",$B$2="",$D$2=0),0,IF(BM$3&lt;0,0,N(INDEX('CURVA PREVISION'!$A$1:$KZ$3000,$C54,11+3*MIN(BM$3,$D$2-1)))))</f>
        <v>0</v>
      </c>
      <c r="BN54" s="131" t="n">
        <f aca="false">IF(OR($C54="",$B$2="",$D$2=0),0,IF(BN$3&lt;0,0,N(INDEX('CURVA PREVISION'!$A$1:$KZ$3000,$C54,11+3*MIN(BN$3,$D$2-1)))))</f>
        <v>0</v>
      </c>
      <c r="BO54" s="131" t="n">
        <f aca="false">IF(OR($C54="",$B$2="",$D$2=0),0,IF(BO$3&lt;0,0,N(INDEX('CURVA PREVISION'!$A$1:$KZ$3000,$C54,11+3*MIN(BO$3,$D$2-1)))))</f>
        <v>0</v>
      </c>
      <c r="BP54" s="131" t="n">
        <f aca="false">IF(OR($C54="",$B$2="",$D$2=0),0,IF(BP$3&lt;0,0,N(INDEX('CURVA PREVISION'!$A$1:$KZ$3000,$C54,11+3*MIN(BP$3,$D$2-1)))))</f>
        <v>0</v>
      </c>
      <c r="BQ54" s="131" t="n">
        <f aca="false">IF(OR($C54="",$B$2="",$D$2=0),0,IF(BQ$3&lt;0,0,N(INDEX('CURVA PREVISION'!$A$1:$KZ$3000,$C54,11+3*MIN(BQ$3,$D$2-1)))))</f>
        <v>0</v>
      </c>
      <c r="BR54" s="131" t="n">
        <f aca="false">IF(OR($C54="",$B$2="",$D$2=0),0,IF(BR$3&lt;0,0,N(INDEX('CURVA PREVISION'!$A$1:$KZ$3000,$C54,11+3*MIN(BR$3,$D$2-1)))))</f>
        <v>0</v>
      </c>
      <c r="BS54" s="131" t="n">
        <f aca="false">IF(OR($C54="",$B$2="",$D$2=0),0,IF(BS$3&lt;0,0,N(INDEX('CURVA PREVISION'!$A$1:$KZ$3000,$C54,11+3*MIN(BS$3,$D$2-1)))))</f>
        <v>0</v>
      </c>
      <c r="BT54" s="131" t="n">
        <f aca="false">IF(OR($C54="",$B$2="",$D$2=0),0,IF(BT$3&lt;0,0,N(INDEX('CURVA PREVISION'!$A$1:$KZ$3000,$C54,11+3*MIN(BT$3,$D$2-1)))))</f>
        <v>0</v>
      </c>
      <c r="BU54" s="131" t="n">
        <f aca="false">IF(OR($C54="",$B$2="",$D$2=0),0,IF(BU$3&lt;0,0,N(INDEX('CURVA PREVISION'!$A$1:$KZ$3000,$C54,11+3*MIN(BU$3,$D$2-1)))))</f>
        <v>0</v>
      </c>
      <c r="BV54" s="131" t="n">
        <f aca="false">IF(OR($C54="",$B$2="",$D$2=0),0,IF(BV$3&lt;0,0,N(INDEX('CURVA PREVISION'!$A$1:$KZ$3000,$C54,11+3*MIN(BV$3,$D$2-1)))))</f>
        <v>0</v>
      </c>
      <c r="BW54" s="131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89</v>
      </c>
      <c r="D55" s="131" t="n">
        <f aca="false">IF(OR($C55="",$B$2="",$D$2=0),0,IF(D$3&lt;0,0,N(INDEX('CURVA PREVISION'!$A$1:$KZ$3000,$C55,11+3*MIN(D$3,$D$2-1)))))</f>
        <v>0</v>
      </c>
      <c r="E55" s="131" t="n">
        <f aca="false">IF(OR($C55="",$B$2="",$D$2=0),0,IF(E$3&lt;0,0,N(INDEX('CURVA PREVISION'!$A$1:$KZ$3000,$C55,11+3*MIN(E$3,$D$2-1)))))</f>
        <v>0</v>
      </c>
      <c r="F55" s="131" t="n">
        <f aca="false">IF(OR($C55="",$B$2="",$D$2=0),0,IF(F$3&lt;0,0,N(INDEX('CURVA PREVISION'!$A$1:$KZ$3000,$C55,11+3*MIN(F$3,$D$2-1)))))</f>
        <v>0</v>
      </c>
      <c r="G55" s="131" t="n">
        <f aca="false">IF(OR($C55="",$B$2="",$D$2=0),0,IF(G$3&lt;0,0,N(INDEX('CURVA PREVISION'!$A$1:$KZ$3000,$C55,11+3*MIN(G$3,$D$2-1)))))</f>
        <v>0</v>
      </c>
      <c r="H55" s="131" t="n">
        <f aca="false">IF(OR($C55="",$B$2="",$D$2=0),0,IF(H$3&lt;0,0,N(INDEX('CURVA PREVISION'!$A$1:$KZ$3000,$C55,11+3*MIN(H$3,$D$2-1)))))</f>
        <v>0</v>
      </c>
      <c r="I55" s="131" t="n">
        <f aca="false">IF(OR($C55="",$B$2="",$D$2=0),0,IF(I$3&lt;0,0,N(INDEX('CURVA PREVISION'!$A$1:$KZ$3000,$C55,11+3*MIN(I$3,$D$2-1)))))</f>
        <v>0</v>
      </c>
      <c r="J55" s="131" t="n">
        <f aca="false">IF(OR($C55="",$B$2="",$D$2=0),0,IF(J$3&lt;0,0,N(INDEX('CURVA PREVISION'!$A$1:$KZ$3000,$C55,11+3*MIN(J$3,$D$2-1)))))</f>
        <v>0</v>
      </c>
      <c r="K55" s="131" t="n">
        <f aca="false">IF(OR($C55="",$B$2="",$D$2=0),0,IF(K$3&lt;0,0,N(INDEX('CURVA PREVISION'!$A$1:$KZ$3000,$C55,11+3*MIN(K$3,$D$2-1)))))</f>
        <v>0</v>
      </c>
      <c r="L55" s="131" t="n">
        <f aca="false">IF(OR($C55="",$B$2="",$D$2=0),0,IF(L$3&lt;0,0,N(INDEX('CURVA PREVISION'!$A$1:$KZ$3000,$C55,11+3*MIN(L$3,$D$2-1)))))</f>
        <v>0</v>
      </c>
      <c r="M55" s="131" t="n">
        <f aca="false">IF(OR($C55="",$B$2="",$D$2=0),0,IF(M$3&lt;0,0,N(INDEX('CURVA PREVISION'!$A$1:$KZ$3000,$C55,11+3*MIN(M$3,$D$2-1)))))</f>
        <v>0</v>
      </c>
      <c r="N55" s="131" t="n">
        <f aca="false">IF(OR($C55="",$B$2="",$D$2=0),0,IF(N$3&lt;0,0,N(INDEX('CURVA PREVISION'!$A$1:$KZ$3000,$C55,11+3*MIN(N$3,$D$2-1)))))</f>
        <v>0</v>
      </c>
      <c r="O55" s="131" t="n">
        <f aca="false">IF(OR($C55="",$B$2="",$D$2=0),0,IF(O$3&lt;0,0,N(INDEX('CURVA PREVISION'!$A$1:$KZ$3000,$C55,11+3*MIN(O$3,$D$2-1)))))</f>
        <v>0</v>
      </c>
      <c r="P55" s="131" t="n">
        <f aca="false">IF(OR($C55="",$B$2="",$D$2=0),0,IF(P$3&lt;0,0,N(INDEX('CURVA PREVISION'!$A$1:$KZ$3000,$C55,11+3*MIN(P$3,$D$2-1)))))</f>
        <v>0</v>
      </c>
      <c r="Q55" s="131" t="n">
        <f aca="false">IF(OR($C55="",$B$2="",$D$2=0),0,IF(Q$3&lt;0,0,N(INDEX('CURVA PREVISION'!$A$1:$KZ$3000,$C55,11+3*MIN(Q$3,$D$2-1)))))</f>
        <v>0</v>
      </c>
      <c r="R55" s="131" t="n">
        <f aca="false">IF(OR($C55="",$B$2="",$D$2=0),0,IF(R$3&lt;0,0,N(INDEX('CURVA PREVISION'!$A$1:$KZ$3000,$C55,11+3*MIN(R$3,$D$2-1)))))</f>
        <v>0</v>
      </c>
      <c r="S55" s="131" t="n">
        <f aca="false">IF(OR($C55="",$B$2="",$D$2=0),0,IF(S$3&lt;0,0,N(INDEX('CURVA PREVISION'!$A$1:$KZ$3000,$C55,11+3*MIN(S$3,$D$2-1)))))</f>
        <v>0</v>
      </c>
      <c r="T55" s="131" t="n">
        <f aca="false">IF(OR($C55="",$B$2="",$D$2=0),0,IF(T$3&lt;0,0,N(INDEX('CURVA PREVISION'!$A$1:$KZ$3000,$C55,11+3*MIN(T$3,$D$2-1)))))</f>
        <v>0</v>
      </c>
      <c r="U55" s="131" t="n">
        <f aca="false">IF(OR($C55="",$B$2="",$D$2=0),0,IF(U$3&lt;0,0,N(INDEX('CURVA PREVISION'!$A$1:$KZ$3000,$C55,11+3*MIN(U$3,$D$2-1)))))</f>
        <v>0</v>
      </c>
      <c r="V55" s="131" t="n">
        <f aca="false">IF(OR($C55="",$B$2="",$D$2=0),0,IF(V$3&lt;0,0,N(INDEX('CURVA PREVISION'!$A$1:$KZ$3000,$C55,11+3*MIN(V$3,$D$2-1)))))</f>
        <v>0</v>
      </c>
      <c r="W55" s="131" t="n">
        <f aca="false">IF(OR($C55="",$B$2="",$D$2=0),0,IF(W$3&lt;0,0,N(INDEX('CURVA PREVISION'!$A$1:$KZ$3000,$C55,11+3*MIN(W$3,$D$2-1)))))</f>
        <v>0</v>
      </c>
      <c r="X55" s="131" t="n">
        <f aca="false">IF(OR($C55="",$B$2="",$D$2=0),0,IF(X$3&lt;0,0,N(INDEX('CURVA PREVISION'!$A$1:$KZ$3000,$C55,11+3*MIN(X$3,$D$2-1)))))</f>
        <v>0</v>
      </c>
      <c r="Y55" s="131" t="n">
        <f aca="false">IF(OR($C55="",$B$2="",$D$2=0),0,IF(Y$3&lt;0,0,N(INDEX('CURVA PREVISION'!$A$1:$KZ$3000,$C55,11+3*MIN(Y$3,$D$2-1)))))</f>
        <v>0</v>
      </c>
      <c r="Z55" s="131" t="n">
        <f aca="false">IF(OR($C55="",$B$2="",$D$2=0),0,IF(Z$3&lt;0,0,N(INDEX('CURVA PREVISION'!$A$1:$KZ$3000,$C55,11+3*MIN(Z$3,$D$2-1)))))</f>
        <v>0</v>
      </c>
      <c r="AA55" s="131" t="n">
        <f aca="false">IF(OR($C55="",$B$2="",$D$2=0),0,IF(AA$3&lt;0,0,N(INDEX('CURVA PREVISION'!$A$1:$KZ$3000,$C55,11+3*MIN(AA$3,$D$2-1)))))</f>
        <v>0</v>
      </c>
      <c r="AB55" s="131" t="n">
        <f aca="false">IF(OR($C55="",$B$2="",$D$2=0),0,IF(AB$3&lt;0,0,N(INDEX('CURVA PREVISION'!$A$1:$KZ$3000,$C55,11+3*MIN(AB$3,$D$2-1)))))</f>
        <v>0</v>
      </c>
      <c r="AC55" s="131" t="n">
        <f aca="false">IF(OR($C55="",$B$2="",$D$2=0),0,IF(AC$3&lt;0,0,N(INDEX('CURVA PREVISION'!$A$1:$KZ$3000,$C55,11+3*MIN(AC$3,$D$2-1)))))</f>
        <v>0</v>
      </c>
      <c r="AD55" s="131" t="n">
        <f aca="false">IF(OR($C55="",$B$2="",$D$2=0),0,IF(AD$3&lt;0,0,N(INDEX('CURVA PREVISION'!$A$1:$KZ$3000,$C55,11+3*MIN(AD$3,$D$2-1)))))</f>
        <v>0</v>
      </c>
      <c r="AE55" s="131" t="n">
        <f aca="false">IF(OR($C55="",$B$2="",$D$2=0),0,IF(AE$3&lt;0,0,N(INDEX('CURVA PREVISION'!$A$1:$KZ$3000,$C55,11+3*MIN(AE$3,$D$2-1)))))</f>
        <v>0</v>
      </c>
      <c r="AF55" s="131" t="n">
        <f aca="false">IF(OR($C55="",$B$2="",$D$2=0),0,IF(AF$3&lt;0,0,N(INDEX('CURVA PREVISION'!$A$1:$KZ$3000,$C55,11+3*MIN(AF$3,$D$2-1)))))</f>
        <v>0</v>
      </c>
      <c r="AG55" s="131" t="n">
        <f aca="false">IF(OR($C55="",$B$2="",$D$2=0),0,IF(AG$3&lt;0,0,N(INDEX('CURVA PREVISION'!$A$1:$KZ$3000,$C55,11+3*MIN(AG$3,$D$2-1)))))</f>
        <v>0</v>
      </c>
      <c r="AH55" s="131" t="n">
        <f aca="false">IF(OR($C55="",$B$2="",$D$2=0),0,IF(AH$3&lt;0,0,N(INDEX('CURVA PREVISION'!$A$1:$KZ$3000,$C55,11+3*MIN(AH$3,$D$2-1)))))</f>
        <v>0</v>
      </c>
      <c r="AI55" s="131" t="n">
        <f aca="false">IF(OR($C55="",$B$2="",$D$2=0),0,IF(AI$3&lt;0,0,N(INDEX('CURVA PREVISION'!$A$1:$KZ$3000,$C55,11+3*MIN(AI$3,$D$2-1)))))</f>
        <v>0</v>
      </c>
      <c r="AJ55" s="131" t="n">
        <f aca="false">IF(OR($C55="",$B$2="",$D$2=0),0,IF(AJ$3&lt;0,0,N(INDEX('CURVA PREVISION'!$A$1:$KZ$3000,$C55,11+3*MIN(AJ$3,$D$2-1)))))</f>
        <v>0</v>
      </c>
      <c r="AK55" s="131" t="n">
        <f aca="false">IF(OR($C55="",$B$2="",$D$2=0),0,IF(AK$3&lt;0,0,N(INDEX('CURVA PREVISION'!$A$1:$KZ$3000,$C55,11+3*MIN(AK$3,$D$2-1)))))</f>
        <v>0</v>
      </c>
      <c r="AL55" s="131" t="n">
        <f aca="false">IF(OR($C55="",$B$2="",$D$2=0),0,IF(AL$3&lt;0,0,N(INDEX('CURVA PREVISION'!$A$1:$KZ$3000,$C55,11+3*MIN(AL$3,$D$2-1)))))</f>
        <v>0</v>
      </c>
      <c r="AM55" s="131" t="n">
        <f aca="false">IF(OR($C55="",$B$2="",$D$2=0),0,IF(AM$3&lt;0,0,N(INDEX('CURVA PREVISION'!$A$1:$KZ$3000,$C55,11+3*MIN(AM$3,$D$2-1)))))</f>
        <v>0</v>
      </c>
      <c r="AN55" s="131" t="n">
        <f aca="false">IF(OR($C55="",$B$2="",$D$2=0),0,IF(AN$3&lt;0,0,N(INDEX('CURVA PREVISION'!$A$1:$KZ$3000,$C55,11+3*MIN(AN$3,$D$2-1)))))</f>
        <v>0</v>
      </c>
      <c r="AO55" s="131" t="n">
        <f aca="false">IF(OR($C55="",$B$2="",$D$2=0),0,IF(AO$3&lt;0,0,N(INDEX('CURVA PREVISION'!$A$1:$KZ$3000,$C55,11+3*MIN(AO$3,$D$2-1)))))</f>
        <v>0</v>
      </c>
      <c r="AP55" s="131" t="n">
        <f aca="false">IF(OR($C55="",$B$2="",$D$2=0),0,IF(AP$3&lt;0,0,N(INDEX('CURVA PREVISION'!$A$1:$KZ$3000,$C55,11+3*MIN(AP$3,$D$2-1)))))</f>
        <v>0</v>
      </c>
      <c r="AQ55" s="131" t="n">
        <f aca="false">IF(OR($C55="",$B$2="",$D$2=0),0,IF(AQ$3&lt;0,0,N(INDEX('CURVA PREVISION'!$A$1:$KZ$3000,$C55,11+3*MIN(AQ$3,$D$2-1)))))</f>
        <v>0</v>
      </c>
      <c r="AR55" s="131" t="n">
        <f aca="false">IF(OR($C55="",$B$2="",$D$2=0),0,IF(AR$3&lt;0,0,N(INDEX('CURVA PREVISION'!$A$1:$KZ$3000,$C55,11+3*MIN(AR$3,$D$2-1)))))</f>
        <v>0</v>
      </c>
      <c r="AS55" s="131" t="n">
        <f aca="false">IF(OR($C55="",$B$2="",$D$2=0),0,IF(AS$3&lt;0,0,N(INDEX('CURVA PREVISION'!$A$1:$KZ$3000,$C55,11+3*MIN(AS$3,$D$2-1)))))</f>
        <v>0</v>
      </c>
      <c r="AT55" s="131" t="n">
        <f aca="false">IF(OR($C55="",$B$2="",$D$2=0),0,IF(AT$3&lt;0,0,N(INDEX('CURVA PREVISION'!$A$1:$KZ$3000,$C55,11+3*MIN(AT$3,$D$2-1)))))</f>
        <v>0</v>
      </c>
      <c r="AU55" s="131" t="n">
        <f aca="false">IF(OR($C55="",$B$2="",$D$2=0),0,IF(AU$3&lt;0,0,N(INDEX('CURVA PREVISION'!$A$1:$KZ$3000,$C55,11+3*MIN(AU$3,$D$2-1)))))</f>
        <v>0</v>
      </c>
      <c r="AV55" s="131" t="n">
        <f aca="false">IF(OR($C55="",$B$2="",$D$2=0),0,IF(AV$3&lt;0,0,N(INDEX('CURVA PREVISION'!$A$1:$KZ$3000,$C55,11+3*MIN(AV$3,$D$2-1)))))</f>
        <v>0</v>
      </c>
      <c r="AW55" s="131" t="n">
        <f aca="false">IF(OR($C55="",$B$2="",$D$2=0),0,IF(AW$3&lt;0,0,N(INDEX('CURVA PREVISION'!$A$1:$KZ$3000,$C55,11+3*MIN(AW$3,$D$2-1)))))</f>
        <v>0</v>
      </c>
      <c r="AX55" s="131" t="n">
        <f aca="false">IF(OR($C55="",$B$2="",$D$2=0),0,IF(AX$3&lt;0,0,N(INDEX('CURVA PREVISION'!$A$1:$KZ$3000,$C55,11+3*MIN(AX$3,$D$2-1)))))</f>
        <v>0</v>
      </c>
      <c r="AY55" s="131" t="n">
        <f aca="false">IF(OR($C55="",$B$2="",$D$2=0),0,IF(AY$3&lt;0,0,N(INDEX('CURVA PREVISION'!$A$1:$KZ$3000,$C55,11+3*MIN(AY$3,$D$2-1)))))</f>
        <v>0</v>
      </c>
      <c r="AZ55" s="131" t="n">
        <f aca="false">IF(OR($C55="",$B$2="",$D$2=0),0,IF(AZ$3&lt;0,0,N(INDEX('CURVA PREVISION'!$A$1:$KZ$3000,$C55,11+3*MIN(AZ$3,$D$2-1)))))</f>
        <v>0</v>
      </c>
      <c r="BA55" s="131" t="n">
        <f aca="false">IF(OR($C55="",$B$2="",$D$2=0),0,IF(BA$3&lt;0,0,N(INDEX('CURVA PREVISION'!$A$1:$KZ$3000,$C55,11+3*MIN(BA$3,$D$2-1)))))</f>
        <v>0</v>
      </c>
      <c r="BB55" s="131" t="n">
        <f aca="false">IF(OR($C55="",$B$2="",$D$2=0),0,IF(BB$3&lt;0,0,N(INDEX('CURVA PREVISION'!$A$1:$KZ$3000,$C55,11+3*MIN(BB$3,$D$2-1)))))</f>
        <v>0</v>
      </c>
      <c r="BC55" s="131" t="n">
        <f aca="false">IF(OR($C55="",$B$2="",$D$2=0),0,IF(BC$3&lt;0,0,N(INDEX('CURVA PREVISION'!$A$1:$KZ$3000,$C55,11+3*MIN(BC$3,$D$2-1)))))</f>
        <v>0</v>
      </c>
      <c r="BD55" s="131" t="n">
        <f aca="false">IF(OR($C55="",$B$2="",$D$2=0),0,IF(BD$3&lt;0,0,N(INDEX('CURVA PREVISION'!$A$1:$KZ$3000,$C55,11+3*MIN(BD$3,$D$2-1)))))</f>
        <v>0</v>
      </c>
      <c r="BE55" s="131" t="n">
        <f aca="false">IF(OR($C55="",$B$2="",$D$2=0),0,IF(BE$3&lt;0,0,N(INDEX('CURVA PREVISION'!$A$1:$KZ$3000,$C55,11+3*MIN(BE$3,$D$2-1)))))</f>
        <v>0</v>
      </c>
      <c r="BF55" s="131" t="n">
        <f aca="false">IF(OR($C55="",$B$2="",$D$2=0),0,IF(BF$3&lt;0,0,N(INDEX('CURVA PREVISION'!$A$1:$KZ$3000,$C55,11+3*MIN(BF$3,$D$2-1)))))</f>
        <v>0</v>
      </c>
      <c r="BG55" s="131" t="n">
        <f aca="false">IF(OR($C55="",$B$2="",$D$2=0),0,IF(BG$3&lt;0,0,N(INDEX('CURVA PREVISION'!$A$1:$KZ$3000,$C55,11+3*MIN(BG$3,$D$2-1)))))</f>
        <v>0</v>
      </c>
      <c r="BH55" s="131" t="n">
        <f aca="false">IF(OR($C55="",$B$2="",$D$2=0),0,IF(BH$3&lt;0,0,N(INDEX('CURVA PREVISION'!$A$1:$KZ$3000,$C55,11+3*MIN(BH$3,$D$2-1)))))</f>
        <v>0</v>
      </c>
      <c r="BI55" s="131" t="n">
        <f aca="false">IF(OR($C55="",$B$2="",$D$2=0),0,IF(BI$3&lt;0,0,N(INDEX('CURVA PREVISION'!$A$1:$KZ$3000,$C55,11+3*MIN(BI$3,$D$2-1)))))</f>
        <v>0</v>
      </c>
      <c r="BJ55" s="131" t="n">
        <f aca="false">IF(OR($C55="",$B$2="",$D$2=0),0,IF(BJ$3&lt;0,0,N(INDEX('CURVA PREVISION'!$A$1:$KZ$3000,$C55,11+3*MIN(BJ$3,$D$2-1)))))</f>
        <v>0</v>
      </c>
      <c r="BK55" s="131" t="n">
        <f aca="false">IF(OR($C55="",$B$2="",$D$2=0),0,IF(BK$3&lt;0,0,N(INDEX('CURVA PREVISION'!$A$1:$KZ$3000,$C55,11+3*MIN(BK$3,$D$2-1)))))</f>
        <v>0</v>
      </c>
      <c r="BL55" s="131" t="n">
        <f aca="false">IF(OR($C55="",$B$2="",$D$2=0),0,IF(BL$3&lt;0,0,N(INDEX('CURVA PREVISION'!$A$1:$KZ$3000,$C55,11+3*MIN(BL$3,$D$2-1)))))</f>
        <v>0</v>
      </c>
      <c r="BM55" s="131" t="n">
        <f aca="false">IF(OR($C55="",$B$2="",$D$2=0),0,IF(BM$3&lt;0,0,N(INDEX('CURVA PREVISION'!$A$1:$KZ$3000,$C55,11+3*MIN(BM$3,$D$2-1)))))</f>
        <v>0</v>
      </c>
      <c r="BN55" s="131" t="n">
        <f aca="false">IF(OR($C55="",$B$2="",$D$2=0),0,IF(BN$3&lt;0,0,N(INDEX('CURVA PREVISION'!$A$1:$KZ$3000,$C55,11+3*MIN(BN$3,$D$2-1)))))</f>
        <v>0</v>
      </c>
      <c r="BO55" s="131" t="n">
        <f aca="false">IF(OR($C55="",$B$2="",$D$2=0),0,IF(BO$3&lt;0,0,N(INDEX('CURVA PREVISION'!$A$1:$KZ$3000,$C55,11+3*MIN(BO$3,$D$2-1)))))</f>
        <v>0</v>
      </c>
      <c r="BP55" s="131" t="n">
        <f aca="false">IF(OR($C55="",$B$2="",$D$2=0),0,IF(BP$3&lt;0,0,N(INDEX('CURVA PREVISION'!$A$1:$KZ$3000,$C55,11+3*MIN(BP$3,$D$2-1)))))</f>
        <v>0</v>
      </c>
      <c r="BQ55" s="131" t="n">
        <f aca="false">IF(OR($C55="",$B$2="",$D$2=0),0,IF(BQ$3&lt;0,0,N(INDEX('CURVA PREVISION'!$A$1:$KZ$3000,$C55,11+3*MIN(BQ$3,$D$2-1)))))</f>
        <v>0</v>
      </c>
      <c r="BR55" s="131" t="n">
        <f aca="false">IF(OR($C55="",$B$2="",$D$2=0),0,IF(BR$3&lt;0,0,N(INDEX('CURVA PREVISION'!$A$1:$KZ$3000,$C55,11+3*MIN(BR$3,$D$2-1)))))</f>
        <v>0</v>
      </c>
      <c r="BS55" s="131" t="n">
        <f aca="false">IF(OR($C55="",$B$2="",$D$2=0),0,IF(BS$3&lt;0,0,N(INDEX('CURVA PREVISION'!$A$1:$KZ$3000,$C55,11+3*MIN(BS$3,$D$2-1)))))</f>
        <v>0</v>
      </c>
      <c r="BT55" s="131" t="n">
        <f aca="false">IF(OR($C55="",$B$2="",$D$2=0),0,IF(BT$3&lt;0,0,N(INDEX('CURVA PREVISION'!$A$1:$KZ$3000,$C55,11+3*MIN(BT$3,$D$2-1)))))</f>
        <v>0</v>
      </c>
      <c r="BU55" s="131" t="n">
        <f aca="false">IF(OR($C55="",$B$2="",$D$2=0),0,IF(BU$3&lt;0,0,N(INDEX('CURVA PREVISION'!$A$1:$KZ$3000,$C55,11+3*MIN(BU$3,$D$2-1)))))</f>
        <v>0</v>
      </c>
      <c r="BV55" s="131" t="n">
        <f aca="false">IF(OR($C55="",$B$2="",$D$2=0),0,IF(BV$3&lt;0,0,N(INDEX('CURVA PREVISION'!$A$1:$KZ$3000,$C55,11+3*MIN(BV$3,$D$2-1)))))</f>
        <v>0</v>
      </c>
      <c r="BW55" s="131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105</v>
      </c>
      <c r="D56" s="131" t="n">
        <f aca="false">IF(OR($C56="",$B$2="",$D$2=0),0,IF(D$3&lt;0,0,N(INDEX('CURVA PREVISION'!$A$1:$KZ$3000,$C56,11+3*MIN(D$3,$D$2-1)))))</f>
        <v>0</v>
      </c>
      <c r="E56" s="131" t="n">
        <f aca="false">IF(OR($C56="",$B$2="",$D$2=0),0,IF(E$3&lt;0,0,N(INDEX('CURVA PREVISION'!$A$1:$KZ$3000,$C56,11+3*MIN(E$3,$D$2-1)))))</f>
        <v>0</v>
      </c>
      <c r="F56" s="131" t="n">
        <f aca="false">IF(OR($C56="",$B$2="",$D$2=0),0,IF(F$3&lt;0,0,N(INDEX('CURVA PREVISION'!$A$1:$KZ$3000,$C56,11+3*MIN(F$3,$D$2-1)))))</f>
        <v>0</v>
      </c>
      <c r="G56" s="131" t="n">
        <f aca="false">IF(OR($C56="",$B$2="",$D$2=0),0,IF(G$3&lt;0,0,N(INDEX('CURVA PREVISION'!$A$1:$KZ$3000,$C56,11+3*MIN(G$3,$D$2-1)))))</f>
        <v>0</v>
      </c>
      <c r="H56" s="131" t="n">
        <f aca="false">IF(OR($C56="",$B$2="",$D$2=0),0,IF(H$3&lt;0,0,N(INDEX('CURVA PREVISION'!$A$1:$KZ$3000,$C56,11+3*MIN(H$3,$D$2-1)))))</f>
        <v>0</v>
      </c>
      <c r="I56" s="131" t="n">
        <f aca="false">IF(OR($C56="",$B$2="",$D$2=0),0,IF(I$3&lt;0,0,N(INDEX('CURVA PREVISION'!$A$1:$KZ$3000,$C56,11+3*MIN(I$3,$D$2-1)))))</f>
        <v>0</v>
      </c>
      <c r="J56" s="131" t="n">
        <f aca="false">IF(OR($C56="",$B$2="",$D$2=0),0,IF(J$3&lt;0,0,N(INDEX('CURVA PREVISION'!$A$1:$KZ$3000,$C56,11+3*MIN(J$3,$D$2-1)))))</f>
        <v>0</v>
      </c>
      <c r="K56" s="131" t="n">
        <f aca="false">IF(OR($C56="",$B$2="",$D$2=0),0,IF(K$3&lt;0,0,N(INDEX('CURVA PREVISION'!$A$1:$KZ$3000,$C56,11+3*MIN(K$3,$D$2-1)))))</f>
        <v>0</v>
      </c>
      <c r="L56" s="131" t="n">
        <f aca="false">IF(OR($C56="",$B$2="",$D$2=0),0,IF(L$3&lt;0,0,N(INDEX('CURVA PREVISION'!$A$1:$KZ$3000,$C56,11+3*MIN(L$3,$D$2-1)))))</f>
        <v>0</v>
      </c>
      <c r="M56" s="131" t="n">
        <f aca="false">IF(OR($C56="",$B$2="",$D$2=0),0,IF(M$3&lt;0,0,N(INDEX('CURVA PREVISION'!$A$1:$KZ$3000,$C56,11+3*MIN(M$3,$D$2-1)))))</f>
        <v>0</v>
      </c>
      <c r="N56" s="131" t="n">
        <f aca="false">IF(OR($C56="",$B$2="",$D$2=0),0,IF(N$3&lt;0,0,N(INDEX('CURVA PREVISION'!$A$1:$KZ$3000,$C56,11+3*MIN(N$3,$D$2-1)))))</f>
        <v>0</v>
      </c>
      <c r="O56" s="131" t="n">
        <f aca="false">IF(OR($C56="",$B$2="",$D$2=0),0,IF(O$3&lt;0,0,N(INDEX('CURVA PREVISION'!$A$1:$KZ$3000,$C56,11+3*MIN(O$3,$D$2-1)))))</f>
        <v>0</v>
      </c>
      <c r="P56" s="131" t="n">
        <f aca="false">IF(OR($C56="",$B$2="",$D$2=0),0,IF(P$3&lt;0,0,N(INDEX('CURVA PREVISION'!$A$1:$KZ$3000,$C56,11+3*MIN(P$3,$D$2-1)))))</f>
        <v>0</v>
      </c>
      <c r="Q56" s="131" t="n">
        <f aca="false">IF(OR($C56="",$B$2="",$D$2=0),0,IF(Q$3&lt;0,0,N(INDEX('CURVA PREVISION'!$A$1:$KZ$3000,$C56,11+3*MIN(Q$3,$D$2-1)))))</f>
        <v>0</v>
      </c>
      <c r="R56" s="131" t="n">
        <f aca="false">IF(OR($C56="",$B$2="",$D$2=0),0,IF(R$3&lt;0,0,N(INDEX('CURVA PREVISION'!$A$1:$KZ$3000,$C56,11+3*MIN(R$3,$D$2-1)))))</f>
        <v>0</v>
      </c>
      <c r="S56" s="131" t="n">
        <f aca="false">IF(OR($C56="",$B$2="",$D$2=0),0,IF(S$3&lt;0,0,N(INDEX('CURVA PREVISION'!$A$1:$KZ$3000,$C56,11+3*MIN(S$3,$D$2-1)))))</f>
        <v>0</v>
      </c>
      <c r="T56" s="131" t="n">
        <f aca="false">IF(OR($C56="",$B$2="",$D$2=0),0,IF(T$3&lt;0,0,N(INDEX('CURVA PREVISION'!$A$1:$KZ$3000,$C56,11+3*MIN(T$3,$D$2-1)))))</f>
        <v>0</v>
      </c>
      <c r="U56" s="131" t="n">
        <f aca="false">IF(OR($C56="",$B$2="",$D$2=0),0,IF(U$3&lt;0,0,N(INDEX('CURVA PREVISION'!$A$1:$KZ$3000,$C56,11+3*MIN(U$3,$D$2-1)))))</f>
        <v>0</v>
      </c>
      <c r="V56" s="131" t="n">
        <f aca="false">IF(OR($C56="",$B$2="",$D$2=0),0,IF(V$3&lt;0,0,N(INDEX('CURVA PREVISION'!$A$1:$KZ$3000,$C56,11+3*MIN(V$3,$D$2-1)))))</f>
        <v>0</v>
      </c>
      <c r="W56" s="131" t="n">
        <f aca="false">IF(OR($C56="",$B$2="",$D$2=0),0,IF(W$3&lt;0,0,N(INDEX('CURVA PREVISION'!$A$1:$KZ$3000,$C56,11+3*MIN(W$3,$D$2-1)))))</f>
        <v>0</v>
      </c>
      <c r="X56" s="131" t="n">
        <f aca="false">IF(OR($C56="",$B$2="",$D$2=0),0,IF(X$3&lt;0,0,N(INDEX('CURVA PREVISION'!$A$1:$KZ$3000,$C56,11+3*MIN(X$3,$D$2-1)))))</f>
        <v>0</v>
      </c>
      <c r="Y56" s="131" t="n">
        <f aca="false">IF(OR($C56="",$B$2="",$D$2=0),0,IF(Y$3&lt;0,0,N(INDEX('CURVA PREVISION'!$A$1:$KZ$3000,$C56,11+3*MIN(Y$3,$D$2-1)))))</f>
        <v>0</v>
      </c>
      <c r="Z56" s="131" t="n">
        <f aca="false">IF(OR($C56="",$B$2="",$D$2=0),0,IF(Z$3&lt;0,0,N(INDEX('CURVA PREVISION'!$A$1:$KZ$3000,$C56,11+3*MIN(Z$3,$D$2-1)))))</f>
        <v>0</v>
      </c>
      <c r="AA56" s="131" t="n">
        <f aca="false">IF(OR($C56="",$B$2="",$D$2=0),0,IF(AA$3&lt;0,0,N(INDEX('CURVA PREVISION'!$A$1:$KZ$3000,$C56,11+3*MIN(AA$3,$D$2-1)))))</f>
        <v>0</v>
      </c>
      <c r="AB56" s="131" t="n">
        <f aca="false">IF(OR($C56="",$B$2="",$D$2=0),0,IF(AB$3&lt;0,0,N(INDEX('CURVA PREVISION'!$A$1:$KZ$3000,$C56,11+3*MIN(AB$3,$D$2-1)))))</f>
        <v>0</v>
      </c>
      <c r="AC56" s="131" t="n">
        <f aca="false">IF(OR($C56="",$B$2="",$D$2=0),0,IF(AC$3&lt;0,0,N(INDEX('CURVA PREVISION'!$A$1:$KZ$3000,$C56,11+3*MIN(AC$3,$D$2-1)))))</f>
        <v>0</v>
      </c>
      <c r="AD56" s="131" t="n">
        <f aca="false">IF(OR($C56="",$B$2="",$D$2=0),0,IF(AD$3&lt;0,0,N(INDEX('CURVA PREVISION'!$A$1:$KZ$3000,$C56,11+3*MIN(AD$3,$D$2-1)))))</f>
        <v>0</v>
      </c>
      <c r="AE56" s="131" t="n">
        <f aca="false">IF(OR($C56="",$B$2="",$D$2=0),0,IF(AE$3&lt;0,0,N(INDEX('CURVA PREVISION'!$A$1:$KZ$3000,$C56,11+3*MIN(AE$3,$D$2-1)))))</f>
        <v>0</v>
      </c>
      <c r="AF56" s="131" t="n">
        <f aca="false">IF(OR($C56="",$B$2="",$D$2=0),0,IF(AF$3&lt;0,0,N(INDEX('CURVA PREVISION'!$A$1:$KZ$3000,$C56,11+3*MIN(AF$3,$D$2-1)))))</f>
        <v>0</v>
      </c>
      <c r="AG56" s="131" t="n">
        <f aca="false">IF(OR($C56="",$B$2="",$D$2=0),0,IF(AG$3&lt;0,0,N(INDEX('CURVA PREVISION'!$A$1:$KZ$3000,$C56,11+3*MIN(AG$3,$D$2-1)))))</f>
        <v>0</v>
      </c>
      <c r="AH56" s="131" t="n">
        <f aca="false">IF(OR($C56="",$B$2="",$D$2=0),0,IF(AH$3&lt;0,0,N(INDEX('CURVA PREVISION'!$A$1:$KZ$3000,$C56,11+3*MIN(AH$3,$D$2-1)))))</f>
        <v>0</v>
      </c>
      <c r="AI56" s="131" t="n">
        <f aca="false">IF(OR($C56="",$B$2="",$D$2=0),0,IF(AI$3&lt;0,0,N(INDEX('CURVA PREVISION'!$A$1:$KZ$3000,$C56,11+3*MIN(AI$3,$D$2-1)))))</f>
        <v>0</v>
      </c>
      <c r="AJ56" s="131" t="n">
        <f aca="false">IF(OR($C56="",$B$2="",$D$2=0),0,IF(AJ$3&lt;0,0,N(INDEX('CURVA PREVISION'!$A$1:$KZ$3000,$C56,11+3*MIN(AJ$3,$D$2-1)))))</f>
        <v>0</v>
      </c>
      <c r="AK56" s="131" t="n">
        <f aca="false">IF(OR($C56="",$B$2="",$D$2=0),0,IF(AK$3&lt;0,0,N(INDEX('CURVA PREVISION'!$A$1:$KZ$3000,$C56,11+3*MIN(AK$3,$D$2-1)))))</f>
        <v>0</v>
      </c>
      <c r="AL56" s="131" t="n">
        <f aca="false">IF(OR($C56="",$B$2="",$D$2=0),0,IF(AL$3&lt;0,0,N(INDEX('CURVA PREVISION'!$A$1:$KZ$3000,$C56,11+3*MIN(AL$3,$D$2-1)))))</f>
        <v>0</v>
      </c>
      <c r="AM56" s="131" t="n">
        <f aca="false">IF(OR($C56="",$B$2="",$D$2=0),0,IF(AM$3&lt;0,0,N(INDEX('CURVA PREVISION'!$A$1:$KZ$3000,$C56,11+3*MIN(AM$3,$D$2-1)))))</f>
        <v>0</v>
      </c>
      <c r="AN56" s="131" t="n">
        <f aca="false">IF(OR($C56="",$B$2="",$D$2=0),0,IF(AN$3&lt;0,0,N(INDEX('CURVA PREVISION'!$A$1:$KZ$3000,$C56,11+3*MIN(AN$3,$D$2-1)))))</f>
        <v>0</v>
      </c>
      <c r="AO56" s="131" t="n">
        <f aca="false">IF(OR($C56="",$B$2="",$D$2=0),0,IF(AO$3&lt;0,0,N(INDEX('CURVA PREVISION'!$A$1:$KZ$3000,$C56,11+3*MIN(AO$3,$D$2-1)))))</f>
        <v>0</v>
      </c>
      <c r="AP56" s="131" t="n">
        <f aca="false">IF(OR($C56="",$B$2="",$D$2=0),0,IF(AP$3&lt;0,0,N(INDEX('CURVA PREVISION'!$A$1:$KZ$3000,$C56,11+3*MIN(AP$3,$D$2-1)))))</f>
        <v>0</v>
      </c>
      <c r="AQ56" s="131" t="n">
        <f aca="false">IF(OR($C56="",$B$2="",$D$2=0),0,IF(AQ$3&lt;0,0,N(INDEX('CURVA PREVISION'!$A$1:$KZ$3000,$C56,11+3*MIN(AQ$3,$D$2-1)))))</f>
        <v>0</v>
      </c>
      <c r="AR56" s="131" t="n">
        <f aca="false">IF(OR($C56="",$B$2="",$D$2=0),0,IF(AR$3&lt;0,0,N(INDEX('CURVA PREVISION'!$A$1:$KZ$3000,$C56,11+3*MIN(AR$3,$D$2-1)))))</f>
        <v>0</v>
      </c>
      <c r="AS56" s="131" t="n">
        <f aca="false">IF(OR($C56="",$B$2="",$D$2=0),0,IF(AS$3&lt;0,0,N(INDEX('CURVA PREVISION'!$A$1:$KZ$3000,$C56,11+3*MIN(AS$3,$D$2-1)))))</f>
        <v>0</v>
      </c>
      <c r="AT56" s="131" t="n">
        <f aca="false">IF(OR($C56="",$B$2="",$D$2=0),0,IF(AT$3&lt;0,0,N(INDEX('CURVA PREVISION'!$A$1:$KZ$3000,$C56,11+3*MIN(AT$3,$D$2-1)))))</f>
        <v>0</v>
      </c>
      <c r="AU56" s="131" t="n">
        <f aca="false">IF(OR($C56="",$B$2="",$D$2=0),0,IF(AU$3&lt;0,0,N(INDEX('CURVA PREVISION'!$A$1:$KZ$3000,$C56,11+3*MIN(AU$3,$D$2-1)))))</f>
        <v>0</v>
      </c>
      <c r="AV56" s="131" t="n">
        <f aca="false">IF(OR($C56="",$B$2="",$D$2=0),0,IF(AV$3&lt;0,0,N(INDEX('CURVA PREVISION'!$A$1:$KZ$3000,$C56,11+3*MIN(AV$3,$D$2-1)))))</f>
        <v>0</v>
      </c>
      <c r="AW56" s="131" t="n">
        <f aca="false">IF(OR($C56="",$B$2="",$D$2=0),0,IF(AW$3&lt;0,0,N(INDEX('CURVA PREVISION'!$A$1:$KZ$3000,$C56,11+3*MIN(AW$3,$D$2-1)))))</f>
        <v>0</v>
      </c>
      <c r="AX56" s="131" t="n">
        <f aca="false">IF(OR($C56="",$B$2="",$D$2=0),0,IF(AX$3&lt;0,0,N(INDEX('CURVA PREVISION'!$A$1:$KZ$3000,$C56,11+3*MIN(AX$3,$D$2-1)))))</f>
        <v>0</v>
      </c>
      <c r="AY56" s="131" t="n">
        <f aca="false">IF(OR($C56="",$B$2="",$D$2=0),0,IF(AY$3&lt;0,0,N(INDEX('CURVA PREVISION'!$A$1:$KZ$3000,$C56,11+3*MIN(AY$3,$D$2-1)))))</f>
        <v>0</v>
      </c>
      <c r="AZ56" s="131" t="n">
        <f aca="false">IF(OR($C56="",$B$2="",$D$2=0),0,IF(AZ$3&lt;0,0,N(INDEX('CURVA PREVISION'!$A$1:$KZ$3000,$C56,11+3*MIN(AZ$3,$D$2-1)))))</f>
        <v>0</v>
      </c>
      <c r="BA56" s="131" t="n">
        <f aca="false">IF(OR($C56="",$B$2="",$D$2=0),0,IF(BA$3&lt;0,0,N(INDEX('CURVA PREVISION'!$A$1:$KZ$3000,$C56,11+3*MIN(BA$3,$D$2-1)))))</f>
        <v>0</v>
      </c>
      <c r="BB56" s="131" t="n">
        <f aca="false">IF(OR($C56="",$B$2="",$D$2=0),0,IF(BB$3&lt;0,0,N(INDEX('CURVA PREVISION'!$A$1:$KZ$3000,$C56,11+3*MIN(BB$3,$D$2-1)))))</f>
        <v>0</v>
      </c>
      <c r="BC56" s="131" t="n">
        <f aca="false">IF(OR($C56="",$B$2="",$D$2=0),0,IF(BC$3&lt;0,0,N(INDEX('CURVA PREVISION'!$A$1:$KZ$3000,$C56,11+3*MIN(BC$3,$D$2-1)))))</f>
        <v>0</v>
      </c>
      <c r="BD56" s="131" t="n">
        <f aca="false">IF(OR($C56="",$B$2="",$D$2=0),0,IF(BD$3&lt;0,0,N(INDEX('CURVA PREVISION'!$A$1:$KZ$3000,$C56,11+3*MIN(BD$3,$D$2-1)))))</f>
        <v>0</v>
      </c>
      <c r="BE56" s="131" t="n">
        <f aca="false">IF(OR($C56="",$B$2="",$D$2=0),0,IF(BE$3&lt;0,0,N(INDEX('CURVA PREVISION'!$A$1:$KZ$3000,$C56,11+3*MIN(BE$3,$D$2-1)))))</f>
        <v>0</v>
      </c>
      <c r="BF56" s="131" t="n">
        <f aca="false">IF(OR($C56="",$B$2="",$D$2=0),0,IF(BF$3&lt;0,0,N(INDEX('CURVA PREVISION'!$A$1:$KZ$3000,$C56,11+3*MIN(BF$3,$D$2-1)))))</f>
        <v>0</v>
      </c>
      <c r="BG56" s="131" t="n">
        <f aca="false">IF(OR($C56="",$B$2="",$D$2=0),0,IF(BG$3&lt;0,0,N(INDEX('CURVA PREVISION'!$A$1:$KZ$3000,$C56,11+3*MIN(BG$3,$D$2-1)))))</f>
        <v>0</v>
      </c>
      <c r="BH56" s="131" t="n">
        <f aca="false">IF(OR($C56="",$B$2="",$D$2=0),0,IF(BH$3&lt;0,0,N(INDEX('CURVA PREVISION'!$A$1:$KZ$3000,$C56,11+3*MIN(BH$3,$D$2-1)))))</f>
        <v>0</v>
      </c>
      <c r="BI56" s="131" t="n">
        <f aca="false">IF(OR($C56="",$B$2="",$D$2=0),0,IF(BI$3&lt;0,0,N(INDEX('CURVA PREVISION'!$A$1:$KZ$3000,$C56,11+3*MIN(BI$3,$D$2-1)))))</f>
        <v>0</v>
      </c>
      <c r="BJ56" s="131" t="n">
        <f aca="false">IF(OR($C56="",$B$2="",$D$2=0),0,IF(BJ$3&lt;0,0,N(INDEX('CURVA PREVISION'!$A$1:$KZ$3000,$C56,11+3*MIN(BJ$3,$D$2-1)))))</f>
        <v>0</v>
      </c>
      <c r="BK56" s="131" t="n">
        <f aca="false">IF(OR($C56="",$B$2="",$D$2=0),0,IF(BK$3&lt;0,0,N(INDEX('CURVA PREVISION'!$A$1:$KZ$3000,$C56,11+3*MIN(BK$3,$D$2-1)))))</f>
        <v>0</v>
      </c>
      <c r="BL56" s="131" t="n">
        <f aca="false">IF(OR($C56="",$B$2="",$D$2=0),0,IF(BL$3&lt;0,0,N(INDEX('CURVA PREVISION'!$A$1:$KZ$3000,$C56,11+3*MIN(BL$3,$D$2-1)))))</f>
        <v>0</v>
      </c>
      <c r="BM56" s="131" t="n">
        <f aca="false">IF(OR($C56="",$B$2="",$D$2=0),0,IF(BM$3&lt;0,0,N(INDEX('CURVA PREVISION'!$A$1:$KZ$3000,$C56,11+3*MIN(BM$3,$D$2-1)))))</f>
        <v>0</v>
      </c>
      <c r="BN56" s="131" t="n">
        <f aca="false">IF(OR($C56="",$B$2="",$D$2=0),0,IF(BN$3&lt;0,0,N(INDEX('CURVA PREVISION'!$A$1:$KZ$3000,$C56,11+3*MIN(BN$3,$D$2-1)))))</f>
        <v>0</v>
      </c>
      <c r="BO56" s="131" t="n">
        <f aca="false">IF(OR($C56="",$B$2="",$D$2=0),0,IF(BO$3&lt;0,0,N(INDEX('CURVA PREVISION'!$A$1:$KZ$3000,$C56,11+3*MIN(BO$3,$D$2-1)))))</f>
        <v>0</v>
      </c>
      <c r="BP56" s="131" t="n">
        <f aca="false">IF(OR($C56="",$B$2="",$D$2=0),0,IF(BP$3&lt;0,0,N(INDEX('CURVA PREVISION'!$A$1:$KZ$3000,$C56,11+3*MIN(BP$3,$D$2-1)))))</f>
        <v>0</v>
      </c>
      <c r="BQ56" s="131" t="n">
        <f aca="false">IF(OR($C56="",$B$2="",$D$2=0),0,IF(BQ$3&lt;0,0,N(INDEX('CURVA PREVISION'!$A$1:$KZ$3000,$C56,11+3*MIN(BQ$3,$D$2-1)))))</f>
        <v>0</v>
      </c>
      <c r="BR56" s="131" t="n">
        <f aca="false">IF(OR($C56="",$B$2="",$D$2=0),0,IF(BR$3&lt;0,0,N(INDEX('CURVA PREVISION'!$A$1:$KZ$3000,$C56,11+3*MIN(BR$3,$D$2-1)))))</f>
        <v>0</v>
      </c>
      <c r="BS56" s="131" t="n">
        <f aca="false">IF(OR($C56="",$B$2="",$D$2=0),0,IF(BS$3&lt;0,0,N(INDEX('CURVA PREVISION'!$A$1:$KZ$3000,$C56,11+3*MIN(BS$3,$D$2-1)))))</f>
        <v>0</v>
      </c>
      <c r="BT56" s="131" t="n">
        <f aca="false">IF(OR($C56="",$B$2="",$D$2=0),0,IF(BT$3&lt;0,0,N(INDEX('CURVA PREVISION'!$A$1:$KZ$3000,$C56,11+3*MIN(BT$3,$D$2-1)))))</f>
        <v>0</v>
      </c>
      <c r="BU56" s="131" t="n">
        <f aca="false">IF(OR($C56="",$B$2="",$D$2=0),0,IF(BU$3&lt;0,0,N(INDEX('CURVA PREVISION'!$A$1:$KZ$3000,$C56,11+3*MIN(BU$3,$D$2-1)))))</f>
        <v>0</v>
      </c>
      <c r="BV56" s="131" t="n">
        <f aca="false">IF(OR($C56="",$B$2="",$D$2=0),0,IF(BV$3&lt;0,0,N(INDEX('CURVA PREVISION'!$A$1:$KZ$3000,$C56,11+3*MIN(BV$3,$D$2-1)))))</f>
        <v>0</v>
      </c>
      <c r="BW56" s="131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151</v>
      </c>
      <c r="D57" s="131" t="n">
        <f aca="false">IF(OR($C57="",$B$2="",$D$2=0),0,IF(D$3&lt;0,0,N(INDEX('CURVA PREVISION'!$A$1:$KZ$3000,$C57,11+3*MIN(D$3,$D$2-1)))))</f>
        <v>0</v>
      </c>
      <c r="E57" s="131" t="n">
        <f aca="false">IF(OR($C57="",$B$2="",$D$2=0),0,IF(E$3&lt;0,0,N(INDEX('CURVA PREVISION'!$A$1:$KZ$3000,$C57,11+3*MIN(E$3,$D$2-1)))))</f>
        <v>0</v>
      </c>
      <c r="F57" s="131" t="n">
        <f aca="false">IF(OR($C57="",$B$2="",$D$2=0),0,IF(F$3&lt;0,0,N(INDEX('CURVA PREVISION'!$A$1:$KZ$3000,$C57,11+3*MIN(F$3,$D$2-1)))))</f>
        <v>0</v>
      </c>
      <c r="G57" s="131" t="n">
        <f aca="false">IF(OR($C57="",$B$2="",$D$2=0),0,IF(G$3&lt;0,0,N(INDEX('CURVA PREVISION'!$A$1:$KZ$3000,$C57,11+3*MIN(G$3,$D$2-1)))))</f>
        <v>0</v>
      </c>
      <c r="H57" s="131" t="n">
        <f aca="false">IF(OR($C57="",$B$2="",$D$2=0),0,IF(H$3&lt;0,0,N(INDEX('CURVA PREVISION'!$A$1:$KZ$3000,$C57,11+3*MIN(H$3,$D$2-1)))))</f>
        <v>0</v>
      </c>
      <c r="I57" s="131" t="n">
        <f aca="false">IF(OR($C57="",$B$2="",$D$2=0),0,IF(I$3&lt;0,0,N(INDEX('CURVA PREVISION'!$A$1:$KZ$3000,$C57,11+3*MIN(I$3,$D$2-1)))))</f>
        <v>0</v>
      </c>
      <c r="J57" s="131" t="n">
        <f aca="false">IF(OR($C57="",$B$2="",$D$2=0),0,IF(J$3&lt;0,0,N(INDEX('CURVA PREVISION'!$A$1:$KZ$3000,$C57,11+3*MIN(J$3,$D$2-1)))))</f>
        <v>0</v>
      </c>
      <c r="K57" s="131" t="n">
        <f aca="false">IF(OR($C57="",$B$2="",$D$2=0),0,IF(K$3&lt;0,0,N(INDEX('CURVA PREVISION'!$A$1:$KZ$3000,$C57,11+3*MIN(K$3,$D$2-1)))))</f>
        <v>0</v>
      </c>
      <c r="L57" s="131" t="n">
        <f aca="false">IF(OR($C57="",$B$2="",$D$2=0),0,IF(L$3&lt;0,0,N(INDEX('CURVA PREVISION'!$A$1:$KZ$3000,$C57,11+3*MIN(L$3,$D$2-1)))))</f>
        <v>0</v>
      </c>
      <c r="M57" s="131" t="n">
        <f aca="false">IF(OR($C57="",$B$2="",$D$2=0),0,IF(M$3&lt;0,0,N(INDEX('CURVA PREVISION'!$A$1:$KZ$3000,$C57,11+3*MIN(M$3,$D$2-1)))))</f>
        <v>0</v>
      </c>
      <c r="N57" s="131" t="n">
        <f aca="false">IF(OR($C57="",$B$2="",$D$2=0),0,IF(N$3&lt;0,0,N(INDEX('CURVA PREVISION'!$A$1:$KZ$3000,$C57,11+3*MIN(N$3,$D$2-1)))))</f>
        <v>0</v>
      </c>
      <c r="O57" s="131" t="n">
        <f aca="false">IF(OR($C57="",$B$2="",$D$2=0),0,IF(O$3&lt;0,0,N(INDEX('CURVA PREVISION'!$A$1:$KZ$3000,$C57,11+3*MIN(O$3,$D$2-1)))))</f>
        <v>0</v>
      </c>
      <c r="P57" s="131" t="n">
        <f aca="false">IF(OR($C57="",$B$2="",$D$2=0),0,IF(P$3&lt;0,0,N(INDEX('CURVA PREVISION'!$A$1:$KZ$3000,$C57,11+3*MIN(P$3,$D$2-1)))))</f>
        <v>0</v>
      </c>
      <c r="Q57" s="131" t="n">
        <f aca="false">IF(OR($C57="",$B$2="",$D$2=0),0,IF(Q$3&lt;0,0,N(INDEX('CURVA PREVISION'!$A$1:$KZ$3000,$C57,11+3*MIN(Q$3,$D$2-1)))))</f>
        <v>0</v>
      </c>
      <c r="R57" s="131" t="n">
        <f aca="false">IF(OR($C57="",$B$2="",$D$2=0),0,IF(R$3&lt;0,0,N(INDEX('CURVA PREVISION'!$A$1:$KZ$3000,$C57,11+3*MIN(R$3,$D$2-1)))))</f>
        <v>0</v>
      </c>
      <c r="S57" s="131" t="n">
        <f aca="false">IF(OR($C57="",$B$2="",$D$2=0),0,IF(S$3&lt;0,0,N(INDEX('CURVA PREVISION'!$A$1:$KZ$3000,$C57,11+3*MIN(S$3,$D$2-1)))))</f>
        <v>0</v>
      </c>
      <c r="T57" s="131" t="n">
        <f aca="false">IF(OR($C57="",$B$2="",$D$2=0),0,IF(T$3&lt;0,0,N(INDEX('CURVA PREVISION'!$A$1:$KZ$3000,$C57,11+3*MIN(T$3,$D$2-1)))))</f>
        <v>0</v>
      </c>
      <c r="U57" s="131" t="n">
        <f aca="false">IF(OR($C57="",$B$2="",$D$2=0),0,IF(U$3&lt;0,0,N(INDEX('CURVA PREVISION'!$A$1:$KZ$3000,$C57,11+3*MIN(U$3,$D$2-1)))))</f>
        <v>0</v>
      </c>
      <c r="V57" s="131" t="n">
        <f aca="false">IF(OR($C57="",$B$2="",$D$2=0),0,IF(V$3&lt;0,0,N(INDEX('CURVA PREVISION'!$A$1:$KZ$3000,$C57,11+3*MIN(V$3,$D$2-1)))))</f>
        <v>0</v>
      </c>
      <c r="W57" s="131" t="n">
        <f aca="false">IF(OR($C57="",$B$2="",$D$2=0),0,IF(W$3&lt;0,0,N(INDEX('CURVA PREVISION'!$A$1:$KZ$3000,$C57,11+3*MIN(W$3,$D$2-1)))))</f>
        <v>0</v>
      </c>
      <c r="X57" s="131" t="n">
        <f aca="false">IF(OR($C57="",$B$2="",$D$2=0),0,IF(X$3&lt;0,0,N(INDEX('CURVA PREVISION'!$A$1:$KZ$3000,$C57,11+3*MIN(X$3,$D$2-1)))))</f>
        <v>0</v>
      </c>
      <c r="Y57" s="131" t="n">
        <f aca="false">IF(OR($C57="",$B$2="",$D$2=0),0,IF(Y$3&lt;0,0,N(INDEX('CURVA PREVISION'!$A$1:$KZ$3000,$C57,11+3*MIN(Y$3,$D$2-1)))))</f>
        <v>0</v>
      </c>
      <c r="Z57" s="131" t="n">
        <f aca="false">IF(OR($C57="",$B$2="",$D$2=0),0,IF(Z$3&lt;0,0,N(INDEX('CURVA PREVISION'!$A$1:$KZ$3000,$C57,11+3*MIN(Z$3,$D$2-1)))))</f>
        <v>0</v>
      </c>
      <c r="AA57" s="131" t="n">
        <f aca="false">IF(OR($C57="",$B$2="",$D$2=0),0,IF(AA$3&lt;0,0,N(INDEX('CURVA PREVISION'!$A$1:$KZ$3000,$C57,11+3*MIN(AA$3,$D$2-1)))))</f>
        <v>0</v>
      </c>
      <c r="AB57" s="131" t="n">
        <f aca="false">IF(OR($C57="",$B$2="",$D$2=0),0,IF(AB$3&lt;0,0,N(INDEX('CURVA PREVISION'!$A$1:$KZ$3000,$C57,11+3*MIN(AB$3,$D$2-1)))))</f>
        <v>0</v>
      </c>
      <c r="AC57" s="131" t="n">
        <f aca="false">IF(OR($C57="",$B$2="",$D$2=0),0,IF(AC$3&lt;0,0,N(INDEX('CURVA PREVISION'!$A$1:$KZ$3000,$C57,11+3*MIN(AC$3,$D$2-1)))))</f>
        <v>0</v>
      </c>
      <c r="AD57" s="131" t="n">
        <f aca="false">IF(OR($C57="",$B$2="",$D$2=0),0,IF(AD$3&lt;0,0,N(INDEX('CURVA PREVISION'!$A$1:$KZ$3000,$C57,11+3*MIN(AD$3,$D$2-1)))))</f>
        <v>0</v>
      </c>
      <c r="AE57" s="131" t="n">
        <f aca="false">IF(OR($C57="",$B$2="",$D$2=0),0,IF(AE$3&lt;0,0,N(INDEX('CURVA PREVISION'!$A$1:$KZ$3000,$C57,11+3*MIN(AE$3,$D$2-1)))))</f>
        <v>0</v>
      </c>
      <c r="AF57" s="131" t="n">
        <f aca="false">IF(OR($C57="",$B$2="",$D$2=0),0,IF(AF$3&lt;0,0,N(INDEX('CURVA PREVISION'!$A$1:$KZ$3000,$C57,11+3*MIN(AF$3,$D$2-1)))))</f>
        <v>0</v>
      </c>
      <c r="AG57" s="131" t="n">
        <f aca="false">IF(OR($C57="",$B$2="",$D$2=0),0,IF(AG$3&lt;0,0,N(INDEX('CURVA PREVISION'!$A$1:$KZ$3000,$C57,11+3*MIN(AG$3,$D$2-1)))))</f>
        <v>0</v>
      </c>
      <c r="AH57" s="131" t="n">
        <f aca="false">IF(OR($C57="",$B$2="",$D$2=0),0,IF(AH$3&lt;0,0,N(INDEX('CURVA PREVISION'!$A$1:$KZ$3000,$C57,11+3*MIN(AH$3,$D$2-1)))))</f>
        <v>0</v>
      </c>
      <c r="AI57" s="131" t="n">
        <f aca="false">IF(OR($C57="",$B$2="",$D$2=0),0,IF(AI$3&lt;0,0,N(INDEX('CURVA PREVISION'!$A$1:$KZ$3000,$C57,11+3*MIN(AI$3,$D$2-1)))))</f>
        <v>0</v>
      </c>
      <c r="AJ57" s="131" t="n">
        <f aca="false">IF(OR($C57="",$B$2="",$D$2=0),0,IF(AJ$3&lt;0,0,N(INDEX('CURVA PREVISION'!$A$1:$KZ$3000,$C57,11+3*MIN(AJ$3,$D$2-1)))))</f>
        <v>0</v>
      </c>
      <c r="AK57" s="131" t="n">
        <f aca="false">IF(OR($C57="",$B$2="",$D$2=0),0,IF(AK$3&lt;0,0,N(INDEX('CURVA PREVISION'!$A$1:$KZ$3000,$C57,11+3*MIN(AK$3,$D$2-1)))))</f>
        <v>0</v>
      </c>
      <c r="AL57" s="131" t="n">
        <f aca="false">IF(OR($C57="",$B$2="",$D$2=0),0,IF(AL$3&lt;0,0,N(INDEX('CURVA PREVISION'!$A$1:$KZ$3000,$C57,11+3*MIN(AL$3,$D$2-1)))))</f>
        <v>0</v>
      </c>
      <c r="AM57" s="131" t="n">
        <f aca="false">IF(OR($C57="",$B$2="",$D$2=0),0,IF(AM$3&lt;0,0,N(INDEX('CURVA PREVISION'!$A$1:$KZ$3000,$C57,11+3*MIN(AM$3,$D$2-1)))))</f>
        <v>0</v>
      </c>
      <c r="AN57" s="131" t="n">
        <f aca="false">IF(OR($C57="",$B$2="",$D$2=0),0,IF(AN$3&lt;0,0,N(INDEX('CURVA PREVISION'!$A$1:$KZ$3000,$C57,11+3*MIN(AN$3,$D$2-1)))))</f>
        <v>0</v>
      </c>
      <c r="AO57" s="131" t="n">
        <f aca="false">IF(OR($C57="",$B$2="",$D$2=0),0,IF(AO$3&lt;0,0,N(INDEX('CURVA PREVISION'!$A$1:$KZ$3000,$C57,11+3*MIN(AO$3,$D$2-1)))))</f>
        <v>0</v>
      </c>
      <c r="AP57" s="131" t="n">
        <f aca="false">IF(OR($C57="",$B$2="",$D$2=0),0,IF(AP$3&lt;0,0,N(INDEX('CURVA PREVISION'!$A$1:$KZ$3000,$C57,11+3*MIN(AP$3,$D$2-1)))))</f>
        <v>0</v>
      </c>
      <c r="AQ57" s="131" t="n">
        <f aca="false">IF(OR($C57="",$B$2="",$D$2=0),0,IF(AQ$3&lt;0,0,N(INDEX('CURVA PREVISION'!$A$1:$KZ$3000,$C57,11+3*MIN(AQ$3,$D$2-1)))))</f>
        <v>0</v>
      </c>
      <c r="AR57" s="131" t="n">
        <f aca="false">IF(OR($C57="",$B$2="",$D$2=0),0,IF(AR$3&lt;0,0,N(INDEX('CURVA PREVISION'!$A$1:$KZ$3000,$C57,11+3*MIN(AR$3,$D$2-1)))))</f>
        <v>0</v>
      </c>
      <c r="AS57" s="131" t="n">
        <f aca="false">IF(OR($C57="",$B$2="",$D$2=0),0,IF(AS$3&lt;0,0,N(INDEX('CURVA PREVISION'!$A$1:$KZ$3000,$C57,11+3*MIN(AS$3,$D$2-1)))))</f>
        <v>0</v>
      </c>
      <c r="AT57" s="131" t="n">
        <f aca="false">IF(OR($C57="",$B$2="",$D$2=0),0,IF(AT$3&lt;0,0,N(INDEX('CURVA PREVISION'!$A$1:$KZ$3000,$C57,11+3*MIN(AT$3,$D$2-1)))))</f>
        <v>0</v>
      </c>
      <c r="AU57" s="131" t="n">
        <f aca="false">IF(OR($C57="",$B$2="",$D$2=0),0,IF(AU$3&lt;0,0,N(INDEX('CURVA PREVISION'!$A$1:$KZ$3000,$C57,11+3*MIN(AU$3,$D$2-1)))))</f>
        <v>0</v>
      </c>
      <c r="AV57" s="131" t="n">
        <f aca="false">IF(OR($C57="",$B$2="",$D$2=0),0,IF(AV$3&lt;0,0,N(INDEX('CURVA PREVISION'!$A$1:$KZ$3000,$C57,11+3*MIN(AV$3,$D$2-1)))))</f>
        <v>0</v>
      </c>
      <c r="AW57" s="131" t="n">
        <f aca="false">IF(OR($C57="",$B$2="",$D$2=0),0,IF(AW$3&lt;0,0,N(INDEX('CURVA PREVISION'!$A$1:$KZ$3000,$C57,11+3*MIN(AW$3,$D$2-1)))))</f>
        <v>0</v>
      </c>
      <c r="AX57" s="131" t="n">
        <f aca="false">IF(OR($C57="",$B$2="",$D$2=0),0,IF(AX$3&lt;0,0,N(INDEX('CURVA PREVISION'!$A$1:$KZ$3000,$C57,11+3*MIN(AX$3,$D$2-1)))))</f>
        <v>0</v>
      </c>
      <c r="AY57" s="131" t="n">
        <f aca="false">IF(OR($C57="",$B$2="",$D$2=0),0,IF(AY$3&lt;0,0,N(INDEX('CURVA PREVISION'!$A$1:$KZ$3000,$C57,11+3*MIN(AY$3,$D$2-1)))))</f>
        <v>0</v>
      </c>
      <c r="AZ57" s="131" t="n">
        <f aca="false">IF(OR($C57="",$B$2="",$D$2=0),0,IF(AZ$3&lt;0,0,N(INDEX('CURVA PREVISION'!$A$1:$KZ$3000,$C57,11+3*MIN(AZ$3,$D$2-1)))))</f>
        <v>0</v>
      </c>
      <c r="BA57" s="131" t="n">
        <f aca="false">IF(OR($C57="",$B$2="",$D$2=0),0,IF(BA$3&lt;0,0,N(INDEX('CURVA PREVISION'!$A$1:$KZ$3000,$C57,11+3*MIN(BA$3,$D$2-1)))))</f>
        <v>0</v>
      </c>
      <c r="BB57" s="131" t="n">
        <f aca="false">IF(OR($C57="",$B$2="",$D$2=0),0,IF(BB$3&lt;0,0,N(INDEX('CURVA PREVISION'!$A$1:$KZ$3000,$C57,11+3*MIN(BB$3,$D$2-1)))))</f>
        <v>0</v>
      </c>
      <c r="BC57" s="131" t="n">
        <f aca="false">IF(OR($C57="",$B$2="",$D$2=0),0,IF(BC$3&lt;0,0,N(INDEX('CURVA PREVISION'!$A$1:$KZ$3000,$C57,11+3*MIN(BC$3,$D$2-1)))))</f>
        <v>0</v>
      </c>
      <c r="BD57" s="131" t="n">
        <f aca="false">IF(OR($C57="",$B$2="",$D$2=0),0,IF(BD$3&lt;0,0,N(INDEX('CURVA PREVISION'!$A$1:$KZ$3000,$C57,11+3*MIN(BD$3,$D$2-1)))))</f>
        <v>0</v>
      </c>
      <c r="BE57" s="131" t="n">
        <f aca="false">IF(OR($C57="",$B$2="",$D$2=0),0,IF(BE$3&lt;0,0,N(INDEX('CURVA PREVISION'!$A$1:$KZ$3000,$C57,11+3*MIN(BE$3,$D$2-1)))))</f>
        <v>0</v>
      </c>
      <c r="BF57" s="131" t="n">
        <f aca="false">IF(OR($C57="",$B$2="",$D$2=0),0,IF(BF$3&lt;0,0,N(INDEX('CURVA PREVISION'!$A$1:$KZ$3000,$C57,11+3*MIN(BF$3,$D$2-1)))))</f>
        <v>0</v>
      </c>
      <c r="BG57" s="131" t="n">
        <f aca="false">IF(OR($C57="",$B$2="",$D$2=0),0,IF(BG$3&lt;0,0,N(INDEX('CURVA PREVISION'!$A$1:$KZ$3000,$C57,11+3*MIN(BG$3,$D$2-1)))))</f>
        <v>0</v>
      </c>
      <c r="BH57" s="131" t="n">
        <f aca="false">IF(OR($C57="",$B$2="",$D$2=0),0,IF(BH$3&lt;0,0,N(INDEX('CURVA PREVISION'!$A$1:$KZ$3000,$C57,11+3*MIN(BH$3,$D$2-1)))))</f>
        <v>0</v>
      </c>
      <c r="BI57" s="131" t="n">
        <f aca="false">IF(OR($C57="",$B$2="",$D$2=0),0,IF(BI$3&lt;0,0,N(INDEX('CURVA PREVISION'!$A$1:$KZ$3000,$C57,11+3*MIN(BI$3,$D$2-1)))))</f>
        <v>0</v>
      </c>
      <c r="BJ57" s="131" t="n">
        <f aca="false">IF(OR($C57="",$B$2="",$D$2=0),0,IF(BJ$3&lt;0,0,N(INDEX('CURVA PREVISION'!$A$1:$KZ$3000,$C57,11+3*MIN(BJ$3,$D$2-1)))))</f>
        <v>0</v>
      </c>
      <c r="BK57" s="131" t="n">
        <f aca="false">IF(OR($C57="",$B$2="",$D$2=0),0,IF(BK$3&lt;0,0,N(INDEX('CURVA PREVISION'!$A$1:$KZ$3000,$C57,11+3*MIN(BK$3,$D$2-1)))))</f>
        <v>0</v>
      </c>
      <c r="BL57" s="131" t="n">
        <f aca="false">IF(OR($C57="",$B$2="",$D$2=0),0,IF(BL$3&lt;0,0,N(INDEX('CURVA PREVISION'!$A$1:$KZ$3000,$C57,11+3*MIN(BL$3,$D$2-1)))))</f>
        <v>0</v>
      </c>
      <c r="BM57" s="131" t="n">
        <f aca="false">IF(OR($C57="",$B$2="",$D$2=0),0,IF(BM$3&lt;0,0,N(INDEX('CURVA PREVISION'!$A$1:$KZ$3000,$C57,11+3*MIN(BM$3,$D$2-1)))))</f>
        <v>0</v>
      </c>
      <c r="BN57" s="131" t="n">
        <f aca="false">IF(OR($C57="",$B$2="",$D$2=0),0,IF(BN$3&lt;0,0,N(INDEX('CURVA PREVISION'!$A$1:$KZ$3000,$C57,11+3*MIN(BN$3,$D$2-1)))))</f>
        <v>0</v>
      </c>
      <c r="BO57" s="131" t="n">
        <f aca="false">IF(OR($C57="",$B$2="",$D$2=0),0,IF(BO$3&lt;0,0,N(INDEX('CURVA PREVISION'!$A$1:$KZ$3000,$C57,11+3*MIN(BO$3,$D$2-1)))))</f>
        <v>0</v>
      </c>
      <c r="BP57" s="131" t="n">
        <f aca="false">IF(OR($C57="",$B$2="",$D$2=0),0,IF(BP$3&lt;0,0,N(INDEX('CURVA PREVISION'!$A$1:$KZ$3000,$C57,11+3*MIN(BP$3,$D$2-1)))))</f>
        <v>0</v>
      </c>
      <c r="BQ57" s="131" t="n">
        <f aca="false">IF(OR($C57="",$B$2="",$D$2=0),0,IF(BQ$3&lt;0,0,N(INDEX('CURVA PREVISION'!$A$1:$KZ$3000,$C57,11+3*MIN(BQ$3,$D$2-1)))))</f>
        <v>0</v>
      </c>
      <c r="BR57" s="131" t="n">
        <f aca="false">IF(OR($C57="",$B$2="",$D$2=0),0,IF(BR$3&lt;0,0,N(INDEX('CURVA PREVISION'!$A$1:$KZ$3000,$C57,11+3*MIN(BR$3,$D$2-1)))))</f>
        <v>0</v>
      </c>
      <c r="BS57" s="131" t="n">
        <f aca="false">IF(OR($C57="",$B$2="",$D$2=0),0,IF(BS$3&lt;0,0,N(INDEX('CURVA PREVISION'!$A$1:$KZ$3000,$C57,11+3*MIN(BS$3,$D$2-1)))))</f>
        <v>0</v>
      </c>
      <c r="BT57" s="131" t="n">
        <f aca="false">IF(OR($C57="",$B$2="",$D$2=0),0,IF(BT$3&lt;0,0,N(INDEX('CURVA PREVISION'!$A$1:$KZ$3000,$C57,11+3*MIN(BT$3,$D$2-1)))))</f>
        <v>0</v>
      </c>
      <c r="BU57" s="131" t="n">
        <f aca="false">IF(OR($C57="",$B$2="",$D$2=0),0,IF(BU$3&lt;0,0,N(INDEX('CURVA PREVISION'!$A$1:$KZ$3000,$C57,11+3*MIN(BU$3,$D$2-1)))))</f>
        <v>0</v>
      </c>
      <c r="BV57" s="131" t="n">
        <f aca="false">IF(OR($C57="",$B$2="",$D$2=0),0,IF(BV$3&lt;0,0,N(INDEX('CURVA PREVISION'!$A$1:$KZ$3000,$C57,11+3*MIN(BV$3,$D$2-1)))))</f>
        <v>0</v>
      </c>
      <c r="BW57" s="131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1" t="n">
        <f aca="false">IF(OR($C58="",$B$2="",$D$2=0),0,IF(D$3&lt;0,0,N(INDEX('CURVA PREVISION'!$A$1:$KZ$3000,$C58,11+3*MIN(D$3,$D$2-1)))))</f>
        <v>0</v>
      </c>
      <c r="E58" s="131" t="n">
        <f aca="false">IF(OR($C58="",$B$2="",$D$2=0),0,IF(E$3&lt;0,0,N(INDEX('CURVA PREVISION'!$A$1:$KZ$3000,$C58,11+3*MIN(E$3,$D$2-1)))))</f>
        <v>0</v>
      </c>
      <c r="F58" s="131" t="n">
        <f aca="false">IF(OR($C58="",$B$2="",$D$2=0),0,IF(F$3&lt;0,0,N(INDEX('CURVA PREVISION'!$A$1:$KZ$3000,$C58,11+3*MIN(F$3,$D$2-1)))))</f>
        <v>0</v>
      </c>
      <c r="G58" s="131" t="n">
        <f aca="false">IF(OR($C58="",$B$2="",$D$2=0),0,IF(G$3&lt;0,0,N(INDEX('CURVA PREVISION'!$A$1:$KZ$3000,$C58,11+3*MIN(G$3,$D$2-1)))))</f>
        <v>0</v>
      </c>
      <c r="H58" s="131" t="n">
        <f aca="false">IF(OR($C58="",$B$2="",$D$2=0),0,IF(H$3&lt;0,0,N(INDEX('CURVA PREVISION'!$A$1:$KZ$3000,$C58,11+3*MIN(H$3,$D$2-1)))))</f>
        <v>0</v>
      </c>
      <c r="I58" s="131" t="n">
        <f aca="false">IF(OR($C58="",$B$2="",$D$2=0),0,IF(I$3&lt;0,0,N(INDEX('CURVA PREVISION'!$A$1:$KZ$3000,$C58,11+3*MIN(I$3,$D$2-1)))))</f>
        <v>0</v>
      </c>
      <c r="J58" s="131" t="n">
        <f aca="false">IF(OR($C58="",$B$2="",$D$2=0),0,IF(J$3&lt;0,0,N(INDEX('CURVA PREVISION'!$A$1:$KZ$3000,$C58,11+3*MIN(J$3,$D$2-1)))))</f>
        <v>0</v>
      </c>
      <c r="K58" s="131" t="n">
        <f aca="false">IF(OR($C58="",$B$2="",$D$2=0),0,IF(K$3&lt;0,0,N(INDEX('CURVA PREVISION'!$A$1:$KZ$3000,$C58,11+3*MIN(K$3,$D$2-1)))))</f>
        <v>0</v>
      </c>
      <c r="L58" s="131" t="n">
        <f aca="false">IF(OR($C58="",$B$2="",$D$2=0),0,IF(L$3&lt;0,0,N(INDEX('CURVA PREVISION'!$A$1:$KZ$3000,$C58,11+3*MIN(L$3,$D$2-1)))))</f>
        <v>0</v>
      </c>
      <c r="M58" s="131" t="n">
        <f aca="false">IF(OR($C58="",$B$2="",$D$2=0),0,IF(M$3&lt;0,0,N(INDEX('CURVA PREVISION'!$A$1:$KZ$3000,$C58,11+3*MIN(M$3,$D$2-1)))))</f>
        <v>100</v>
      </c>
      <c r="N58" s="131" t="n">
        <f aca="false">IF(OR($C58="",$B$2="",$D$2=0),0,IF(N$3&lt;0,0,N(INDEX('CURVA PREVISION'!$A$1:$KZ$3000,$C58,11+3*MIN(N$3,$D$2-1)))))</f>
        <v>100</v>
      </c>
      <c r="O58" s="131" t="n">
        <f aca="false">IF(OR($C58="",$B$2="",$D$2=0),0,IF(O$3&lt;0,0,N(INDEX('CURVA PREVISION'!$A$1:$KZ$3000,$C58,11+3*MIN(O$3,$D$2-1)))))</f>
        <v>100</v>
      </c>
      <c r="P58" s="131" t="n">
        <f aca="false">IF(OR($C58="",$B$2="",$D$2=0),0,IF(P$3&lt;0,0,N(INDEX('CURVA PREVISION'!$A$1:$KZ$3000,$C58,11+3*MIN(P$3,$D$2-1)))))</f>
        <v>100</v>
      </c>
      <c r="Q58" s="131" t="n">
        <f aca="false">IF(OR($C58="",$B$2="",$D$2=0),0,IF(Q$3&lt;0,0,N(INDEX('CURVA PREVISION'!$A$1:$KZ$3000,$C58,11+3*MIN(Q$3,$D$2-1)))))</f>
        <v>100</v>
      </c>
      <c r="R58" s="131" t="n">
        <f aca="false">IF(OR($C58="",$B$2="",$D$2=0),0,IF(R$3&lt;0,0,N(INDEX('CURVA PREVISION'!$A$1:$KZ$3000,$C58,11+3*MIN(R$3,$D$2-1)))))</f>
        <v>100</v>
      </c>
      <c r="S58" s="131" t="n">
        <f aca="false">IF(OR($C58="",$B$2="",$D$2=0),0,IF(S$3&lt;0,0,N(INDEX('CURVA PREVISION'!$A$1:$KZ$3000,$C58,11+3*MIN(S$3,$D$2-1)))))</f>
        <v>100</v>
      </c>
      <c r="T58" s="131" t="n">
        <f aca="false">IF(OR($C58="",$B$2="",$D$2=0),0,IF(T$3&lt;0,0,N(INDEX('CURVA PREVISION'!$A$1:$KZ$3000,$C58,11+3*MIN(T$3,$D$2-1)))))</f>
        <v>100</v>
      </c>
      <c r="U58" s="131" t="n">
        <f aca="false">IF(OR($C58="",$B$2="",$D$2=0),0,IF(U$3&lt;0,0,N(INDEX('CURVA PREVISION'!$A$1:$KZ$3000,$C58,11+3*MIN(U$3,$D$2-1)))))</f>
        <v>100</v>
      </c>
      <c r="V58" s="131" t="n">
        <f aca="false">IF(OR($C58="",$B$2="",$D$2=0),0,IF(V$3&lt;0,0,N(INDEX('CURVA PREVISION'!$A$1:$KZ$3000,$C58,11+3*MIN(V$3,$D$2-1)))))</f>
        <v>100</v>
      </c>
      <c r="W58" s="131" t="n">
        <f aca="false">IF(OR($C58="",$B$2="",$D$2=0),0,IF(W$3&lt;0,0,N(INDEX('CURVA PREVISION'!$A$1:$KZ$3000,$C58,11+3*MIN(W$3,$D$2-1)))))</f>
        <v>100</v>
      </c>
      <c r="X58" s="131" t="n">
        <f aca="false">IF(OR($C58="",$B$2="",$D$2=0),0,IF(X$3&lt;0,0,N(INDEX('CURVA PREVISION'!$A$1:$KZ$3000,$C58,11+3*MIN(X$3,$D$2-1)))))</f>
        <v>100</v>
      </c>
      <c r="Y58" s="131" t="n">
        <f aca="false">IF(OR($C58="",$B$2="",$D$2=0),0,IF(Y$3&lt;0,0,N(INDEX('CURVA PREVISION'!$A$1:$KZ$3000,$C58,11+3*MIN(Y$3,$D$2-1)))))</f>
        <v>100</v>
      </c>
      <c r="Z58" s="131" t="n">
        <f aca="false">IF(OR($C58="",$B$2="",$D$2=0),0,IF(Z$3&lt;0,0,N(INDEX('CURVA PREVISION'!$A$1:$KZ$3000,$C58,11+3*MIN(Z$3,$D$2-1)))))</f>
        <v>100</v>
      </c>
      <c r="AA58" s="131" t="n">
        <f aca="false">IF(OR($C58="",$B$2="",$D$2=0),0,IF(AA$3&lt;0,0,N(INDEX('CURVA PREVISION'!$A$1:$KZ$3000,$C58,11+3*MIN(AA$3,$D$2-1)))))</f>
        <v>100</v>
      </c>
      <c r="AB58" s="131" t="n">
        <f aca="false">IF(OR($C58="",$B$2="",$D$2=0),0,IF(AB$3&lt;0,0,N(INDEX('CURVA PREVISION'!$A$1:$KZ$3000,$C58,11+3*MIN(AB$3,$D$2-1)))))</f>
        <v>100</v>
      </c>
      <c r="AC58" s="131" t="n">
        <f aca="false">IF(OR($C58="",$B$2="",$D$2=0),0,IF(AC$3&lt;0,0,N(INDEX('CURVA PREVISION'!$A$1:$KZ$3000,$C58,11+3*MIN(AC$3,$D$2-1)))))</f>
        <v>100</v>
      </c>
      <c r="AD58" s="131" t="n">
        <f aca="false">IF(OR($C58="",$B$2="",$D$2=0),0,IF(AD$3&lt;0,0,N(INDEX('CURVA PREVISION'!$A$1:$KZ$3000,$C58,11+3*MIN(AD$3,$D$2-1)))))</f>
        <v>100</v>
      </c>
      <c r="AE58" s="131" t="n">
        <f aca="false">IF(OR($C58="",$B$2="",$D$2=0),0,IF(AE$3&lt;0,0,N(INDEX('CURVA PREVISION'!$A$1:$KZ$3000,$C58,11+3*MIN(AE$3,$D$2-1)))))</f>
        <v>100</v>
      </c>
      <c r="AF58" s="131" t="n">
        <f aca="false">IF(OR($C58="",$B$2="",$D$2=0),0,IF(AF$3&lt;0,0,N(INDEX('CURVA PREVISION'!$A$1:$KZ$3000,$C58,11+3*MIN(AF$3,$D$2-1)))))</f>
        <v>100</v>
      </c>
      <c r="AG58" s="131" t="n">
        <f aca="false">IF(OR($C58="",$B$2="",$D$2=0),0,IF(AG$3&lt;0,0,N(INDEX('CURVA PREVISION'!$A$1:$KZ$3000,$C58,11+3*MIN(AG$3,$D$2-1)))))</f>
        <v>100</v>
      </c>
      <c r="AH58" s="131" t="n">
        <f aca="false">IF(OR($C58="",$B$2="",$D$2=0),0,IF(AH$3&lt;0,0,N(INDEX('CURVA PREVISION'!$A$1:$KZ$3000,$C58,11+3*MIN(AH$3,$D$2-1)))))</f>
        <v>100</v>
      </c>
      <c r="AI58" s="131" t="n">
        <f aca="false">IF(OR($C58="",$B$2="",$D$2=0),0,IF(AI$3&lt;0,0,N(INDEX('CURVA PREVISION'!$A$1:$KZ$3000,$C58,11+3*MIN(AI$3,$D$2-1)))))</f>
        <v>100</v>
      </c>
      <c r="AJ58" s="131" t="n">
        <f aca="false">IF(OR($C58="",$B$2="",$D$2=0),0,IF(AJ$3&lt;0,0,N(INDEX('CURVA PREVISION'!$A$1:$KZ$3000,$C58,11+3*MIN(AJ$3,$D$2-1)))))</f>
        <v>100</v>
      </c>
      <c r="AK58" s="131" t="n">
        <f aca="false">IF(OR($C58="",$B$2="",$D$2=0),0,IF(AK$3&lt;0,0,N(INDEX('CURVA PREVISION'!$A$1:$KZ$3000,$C58,11+3*MIN(AK$3,$D$2-1)))))</f>
        <v>100</v>
      </c>
      <c r="AL58" s="131" t="n">
        <f aca="false">IF(OR($C58="",$B$2="",$D$2=0),0,IF(AL$3&lt;0,0,N(INDEX('CURVA PREVISION'!$A$1:$KZ$3000,$C58,11+3*MIN(AL$3,$D$2-1)))))</f>
        <v>100</v>
      </c>
      <c r="AM58" s="131" t="n">
        <f aca="false">IF(OR($C58="",$B$2="",$D$2=0),0,IF(AM$3&lt;0,0,N(INDEX('CURVA PREVISION'!$A$1:$KZ$3000,$C58,11+3*MIN(AM$3,$D$2-1)))))</f>
        <v>100</v>
      </c>
      <c r="AN58" s="131" t="n">
        <f aca="false">IF(OR($C58="",$B$2="",$D$2=0),0,IF(AN$3&lt;0,0,N(INDEX('CURVA PREVISION'!$A$1:$KZ$3000,$C58,11+3*MIN(AN$3,$D$2-1)))))</f>
        <v>100</v>
      </c>
      <c r="AO58" s="131" t="n">
        <f aca="false">IF(OR($C58="",$B$2="",$D$2=0),0,IF(AO$3&lt;0,0,N(INDEX('CURVA PREVISION'!$A$1:$KZ$3000,$C58,11+3*MIN(AO$3,$D$2-1)))))</f>
        <v>100</v>
      </c>
      <c r="AP58" s="131" t="n">
        <f aca="false">IF(OR($C58="",$B$2="",$D$2=0),0,IF(AP$3&lt;0,0,N(INDEX('CURVA PREVISION'!$A$1:$KZ$3000,$C58,11+3*MIN(AP$3,$D$2-1)))))</f>
        <v>100</v>
      </c>
      <c r="AQ58" s="131" t="n">
        <f aca="false">IF(OR($C58="",$B$2="",$D$2=0),0,IF(AQ$3&lt;0,0,N(INDEX('CURVA PREVISION'!$A$1:$KZ$3000,$C58,11+3*MIN(AQ$3,$D$2-1)))))</f>
        <v>100</v>
      </c>
      <c r="AR58" s="131" t="n">
        <f aca="false">IF(OR($C58="",$B$2="",$D$2=0),0,IF(AR$3&lt;0,0,N(INDEX('CURVA PREVISION'!$A$1:$KZ$3000,$C58,11+3*MIN(AR$3,$D$2-1)))))</f>
        <v>100</v>
      </c>
      <c r="AS58" s="131" t="n">
        <f aca="false">IF(OR($C58="",$B$2="",$D$2=0),0,IF(AS$3&lt;0,0,N(INDEX('CURVA PREVISION'!$A$1:$KZ$3000,$C58,11+3*MIN(AS$3,$D$2-1)))))</f>
        <v>100</v>
      </c>
      <c r="AT58" s="131" t="n">
        <f aca="false">IF(OR($C58="",$B$2="",$D$2=0),0,IF(AT$3&lt;0,0,N(INDEX('CURVA PREVISION'!$A$1:$KZ$3000,$C58,11+3*MIN(AT$3,$D$2-1)))))</f>
        <v>100</v>
      </c>
      <c r="AU58" s="131" t="n">
        <f aca="false">IF(OR($C58="",$B$2="",$D$2=0),0,IF(AU$3&lt;0,0,N(INDEX('CURVA PREVISION'!$A$1:$KZ$3000,$C58,11+3*MIN(AU$3,$D$2-1)))))</f>
        <v>100</v>
      </c>
      <c r="AV58" s="131" t="n">
        <f aca="false">IF(OR($C58="",$B$2="",$D$2=0),0,IF(AV$3&lt;0,0,N(INDEX('CURVA PREVISION'!$A$1:$KZ$3000,$C58,11+3*MIN(AV$3,$D$2-1)))))</f>
        <v>100</v>
      </c>
      <c r="AW58" s="131" t="n">
        <f aca="false">IF(OR($C58="",$B$2="",$D$2=0),0,IF(AW$3&lt;0,0,N(INDEX('CURVA PREVISION'!$A$1:$KZ$3000,$C58,11+3*MIN(AW$3,$D$2-1)))))</f>
        <v>100</v>
      </c>
      <c r="AX58" s="131" t="n">
        <f aca="false">IF(OR($C58="",$B$2="",$D$2=0),0,IF(AX$3&lt;0,0,N(INDEX('CURVA PREVISION'!$A$1:$KZ$3000,$C58,11+3*MIN(AX$3,$D$2-1)))))</f>
        <v>100</v>
      </c>
      <c r="AY58" s="131" t="n">
        <f aca="false">IF(OR($C58="",$B$2="",$D$2=0),0,IF(AY$3&lt;0,0,N(INDEX('CURVA PREVISION'!$A$1:$KZ$3000,$C58,11+3*MIN(AY$3,$D$2-1)))))</f>
        <v>100</v>
      </c>
      <c r="AZ58" s="131" t="n">
        <f aca="false">IF(OR($C58="",$B$2="",$D$2=0),0,IF(AZ$3&lt;0,0,N(INDEX('CURVA PREVISION'!$A$1:$KZ$3000,$C58,11+3*MIN(AZ$3,$D$2-1)))))</f>
        <v>100</v>
      </c>
      <c r="BA58" s="131" t="n">
        <f aca="false">IF(OR($C58="",$B$2="",$D$2=0),0,IF(BA$3&lt;0,0,N(INDEX('CURVA PREVISION'!$A$1:$KZ$3000,$C58,11+3*MIN(BA$3,$D$2-1)))))</f>
        <v>100</v>
      </c>
      <c r="BB58" s="131" t="n">
        <f aca="false">IF(OR($C58="",$B$2="",$D$2=0),0,IF(BB$3&lt;0,0,N(INDEX('CURVA PREVISION'!$A$1:$KZ$3000,$C58,11+3*MIN(BB$3,$D$2-1)))))</f>
        <v>100</v>
      </c>
      <c r="BC58" s="131" t="n">
        <f aca="false">IF(OR($C58="",$B$2="",$D$2=0),0,IF(BC$3&lt;0,0,N(INDEX('CURVA PREVISION'!$A$1:$KZ$3000,$C58,11+3*MIN(BC$3,$D$2-1)))))</f>
        <v>100</v>
      </c>
      <c r="BD58" s="131" t="n">
        <f aca="false">IF(OR($C58="",$B$2="",$D$2=0),0,IF(BD$3&lt;0,0,N(INDEX('CURVA PREVISION'!$A$1:$KZ$3000,$C58,11+3*MIN(BD$3,$D$2-1)))))</f>
        <v>100</v>
      </c>
      <c r="BE58" s="131" t="n">
        <f aca="false">IF(OR($C58="",$B$2="",$D$2=0),0,IF(BE$3&lt;0,0,N(INDEX('CURVA PREVISION'!$A$1:$KZ$3000,$C58,11+3*MIN(BE$3,$D$2-1)))))</f>
        <v>100</v>
      </c>
      <c r="BF58" s="131" t="n">
        <f aca="false">IF(OR($C58="",$B$2="",$D$2=0),0,IF(BF$3&lt;0,0,N(INDEX('CURVA PREVISION'!$A$1:$KZ$3000,$C58,11+3*MIN(BF$3,$D$2-1)))))</f>
        <v>100</v>
      </c>
      <c r="BG58" s="131" t="n">
        <f aca="false">IF(OR($C58="",$B$2="",$D$2=0),0,IF(BG$3&lt;0,0,N(INDEX('CURVA PREVISION'!$A$1:$KZ$3000,$C58,11+3*MIN(BG$3,$D$2-1)))))</f>
        <v>100</v>
      </c>
      <c r="BH58" s="131" t="n">
        <f aca="false">IF(OR($C58="",$B$2="",$D$2=0),0,IF(BH$3&lt;0,0,N(INDEX('CURVA PREVISION'!$A$1:$KZ$3000,$C58,11+3*MIN(BH$3,$D$2-1)))))</f>
        <v>100</v>
      </c>
      <c r="BI58" s="131" t="n">
        <f aca="false">IF(OR($C58="",$B$2="",$D$2=0),0,IF(BI$3&lt;0,0,N(INDEX('CURVA PREVISION'!$A$1:$KZ$3000,$C58,11+3*MIN(BI$3,$D$2-1)))))</f>
        <v>100</v>
      </c>
      <c r="BJ58" s="131" t="n">
        <f aca="false">IF(OR($C58="",$B$2="",$D$2=0),0,IF(BJ$3&lt;0,0,N(INDEX('CURVA PREVISION'!$A$1:$KZ$3000,$C58,11+3*MIN(BJ$3,$D$2-1)))))</f>
        <v>100</v>
      </c>
      <c r="BK58" s="131" t="n">
        <f aca="false">IF(OR($C58="",$B$2="",$D$2=0),0,IF(BK$3&lt;0,0,N(INDEX('CURVA PREVISION'!$A$1:$KZ$3000,$C58,11+3*MIN(BK$3,$D$2-1)))))</f>
        <v>100</v>
      </c>
      <c r="BL58" s="131" t="n">
        <f aca="false">IF(OR($C58="",$B$2="",$D$2=0),0,IF(BL$3&lt;0,0,N(INDEX('CURVA PREVISION'!$A$1:$KZ$3000,$C58,11+3*MIN(BL$3,$D$2-1)))))</f>
        <v>100</v>
      </c>
      <c r="BM58" s="131" t="n">
        <f aca="false">IF(OR($C58="",$B$2="",$D$2=0),0,IF(BM$3&lt;0,0,N(INDEX('CURVA PREVISION'!$A$1:$KZ$3000,$C58,11+3*MIN(BM$3,$D$2-1)))))</f>
        <v>100</v>
      </c>
      <c r="BN58" s="131" t="n">
        <f aca="false">IF(OR($C58="",$B$2="",$D$2=0),0,IF(BN$3&lt;0,0,N(INDEX('CURVA PREVISION'!$A$1:$KZ$3000,$C58,11+3*MIN(BN$3,$D$2-1)))))</f>
        <v>100</v>
      </c>
      <c r="BO58" s="131" t="n">
        <f aca="false">IF(OR($C58="",$B$2="",$D$2=0),0,IF(BO$3&lt;0,0,N(INDEX('CURVA PREVISION'!$A$1:$KZ$3000,$C58,11+3*MIN(BO$3,$D$2-1)))))</f>
        <v>100</v>
      </c>
      <c r="BP58" s="131" t="n">
        <f aca="false">IF(OR($C58="",$B$2="",$D$2=0),0,IF(BP$3&lt;0,0,N(INDEX('CURVA PREVISION'!$A$1:$KZ$3000,$C58,11+3*MIN(BP$3,$D$2-1)))))</f>
        <v>100</v>
      </c>
      <c r="BQ58" s="131" t="n">
        <f aca="false">IF(OR($C58="",$B$2="",$D$2=0),0,IF(BQ$3&lt;0,0,N(INDEX('CURVA PREVISION'!$A$1:$KZ$3000,$C58,11+3*MIN(BQ$3,$D$2-1)))))</f>
        <v>100</v>
      </c>
      <c r="BR58" s="131" t="n">
        <f aca="false">IF(OR($C58="",$B$2="",$D$2=0),0,IF(BR$3&lt;0,0,N(INDEX('CURVA PREVISION'!$A$1:$KZ$3000,$C58,11+3*MIN(BR$3,$D$2-1)))))</f>
        <v>100</v>
      </c>
      <c r="BS58" s="131" t="n">
        <f aca="false">IF(OR($C58="",$B$2="",$D$2=0),0,IF(BS$3&lt;0,0,N(INDEX('CURVA PREVISION'!$A$1:$KZ$3000,$C58,11+3*MIN(BS$3,$D$2-1)))))</f>
        <v>100</v>
      </c>
      <c r="BT58" s="131" t="n">
        <f aca="false">IF(OR($C58="",$B$2="",$D$2=0),0,IF(BT$3&lt;0,0,N(INDEX('CURVA PREVISION'!$A$1:$KZ$3000,$C58,11+3*MIN(BT$3,$D$2-1)))))</f>
        <v>100</v>
      </c>
      <c r="BU58" s="131" t="n">
        <f aca="false">IF(OR($C58="",$B$2="",$D$2=0),0,IF(BU$3&lt;0,0,N(INDEX('CURVA PREVISION'!$A$1:$KZ$3000,$C58,11+3*MIN(BU$3,$D$2-1)))))</f>
        <v>100</v>
      </c>
      <c r="BV58" s="131" t="n">
        <f aca="false">IF(OR($C58="",$B$2="",$D$2=0),0,IF(BV$3&lt;0,0,N(INDEX('CURVA PREVISION'!$A$1:$KZ$3000,$C58,11+3*MIN(BV$3,$D$2-1)))))</f>
        <v>100</v>
      </c>
      <c r="BW58" s="131" t="n">
        <f aca="false">IF(OR($C58="",$B$2="",$D$2=0),0,IF(BW$3&lt;0,0,N(INDEX('CURVA PREVISION'!$A$1:$KZ$3000,$C58,11+3*MIN(BW$3,$D$2-1)))))</f>
        <v>100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1" t="n">
        <f aca="false">IF(OR($C59="",$B$2="",$D$2=0),0,IF(D$3&lt;0,0,N(INDEX('CURVA PREVISION'!$A$1:$KZ$3000,$C59,11+3*MIN(D$3,$D$2-1)))))</f>
        <v>0</v>
      </c>
      <c r="E59" s="131" t="n">
        <f aca="false">IF(OR($C59="",$B$2="",$D$2=0),0,IF(E$3&lt;0,0,N(INDEX('CURVA PREVISION'!$A$1:$KZ$3000,$C59,11+3*MIN(E$3,$D$2-1)))))</f>
        <v>0</v>
      </c>
      <c r="F59" s="131" t="n">
        <f aca="false">IF(OR($C59="",$B$2="",$D$2=0),0,IF(F$3&lt;0,0,N(INDEX('CURVA PREVISION'!$A$1:$KZ$3000,$C59,11+3*MIN(F$3,$D$2-1)))))</f>
        <v>0</v>
      </c>
      <c r="G59" s="131" t="n">
        <f aca="false">IF(OR($C59="",$B$2="",$D$2=0),0,IF(G$3&lt;0,0,N(INDEX('CURVA PREVISION'!$A$1:$KZ$3000,$C59,11+3*MIN(G$3,$D$2-1)))))</f>
        <v>0</v>
      </c>
      <c r="H59" s="131" t="n">
        <f aca="false">IF(OR($C59="",$B$2="",$D$2=0),0,IF(H$3&lt;0,0,N(INDEX('CURVA PREVISION'!$A$1:$KZ$3000,$C59,11+3*MIN(H$3,$D$2-1)))))</f>
        <v>0</v>
      </c>
      <c r="I59" s="131" t="n">
        <f aca="false">IF(OR($C59="",$B$2="",$D$2=0),0,IF(I$3&lt;0,0,N(INDEX('CURVA PREVISION'!$A$1:$KZ$3000,$C59,11+3*MIN(I$3,$D$2-1)))))</f>
        <v>0</v>
      </c>
      <c r="J59" s="131" t="n">
        <f aca="false">IF(OR($C59="",$B$2="",$D$2=0),0,IF(J$3&lt;0,0,N(INDEX('CURVA PREVISION'!$A$1:$KZ$3000,$C59,11+3*MIN(J$3,$D$2-1)))))</f>
        <v>0</v>
      </c>
      <c r="K59" s="131" t="n">
        <f aca="false">IF(OR($C59="",$B$2="",$D$2=0),0,IF(K$3&lt;0,0,N(INDEX('CURVA PREVISION'!$A$1:$KZ$3000,$C59,11+3*MIN(K$3,$D$2-1)))))</f>
        <v>0</v>
      </c>
      <c r="L59" s="131" t="n">
        <f aca="false">IF(OR($C59="",$B$2="",$D$2=0),0,IF(L$3&lt;0,0,N(INDEX('CURVA PREVISION'!$A$1:$KZ$3000,$C59,11+3*MIN(L$3,$D$2-1)))))</f>
        <v>0</v>
      </c>
      <c r="M59" s="131" t="n">
        <f aca="false">IF(OR($C59="",$B$2="",$D$2=0),0,IF(M$3&lt;0,0,N(INDEX('CURVA PREVISION'!$A$1:$KZ$3000,$C59,11+3*MIN(M$3,$D$2-1)))))</f>
        <v>52.95</v>
      </c>
      <c r="N59" s="131" t="n">
        <f aca="false">IF(OR($C59="",$B$2="",$D$2=0),0,IF(N$3&lt;0,0,N(INDEX('CURVA PREVISION'!$A$1:$KZ$3000,$C59,11+3*MIN(N$3,$D$2-1)))))</f>
        <v>57.35</v>
      </c>
      <c r="O59" s="131" t="n">
        <f aca="false">IF(OR($C59="",$B$2="",$D$2=0),0,IF(O$3&lt;0,0,N(INDEX('CURVA PREVISION'!$A$1:$KZ$3000,$C59,11+3*MIN(O$3,$D$2-1)))))</f>
        <v>57.35</v>
      </c>
      <c r="P59" s="131" t="n">
        <f aca="false">IF(OR($C59="",$B$2="",$D$2=0),0,IF(P$3&lt;0,0,N(INDEX('CURVA PREVISION'!$A$1:$KZ$3000,$C59,11+3*MIN(P$3,$D$2-1)))))</f>
        <v>57.35</v>
      </c>
      <c r="Q59" s="131" t="n">
        <f aca="false">IF(OR($C59="",$B$2="",$D$2=0),0,IF(Q$3&lt;0,0,N(INDEX('CURVA PREVISION'!$A$1:$KZ$3000,$C59,11+3*MIN(Q$3,$D$2-1)))))</f>
        <v>57.35</v>
      </c>
      <c r="R59" s="131" t="n">
        <f aca="false">IF(OR($C59="",$B$2="",$D$2=0),0,IF(R$3&lt;0,0,N(INDEX('CURVA PREVISION'!$A$1:$KZ$3000,$C59,11+3*MIN(R$3,$D$2-1)))))</f>
        <v>57.35</v>
      </c>
      <c r="S59" s="131" t="n">
        <f aca="false">IF(OR($C59="",$B$2="",$D$2=0),0,IF(S$3&lt;0,0,N(INDEX('CURVA PREVISION'!$A$1:$KZ$3000,$C59,11+3*MIN(S$3,$D$2-1)))))</f>
        <v>57.35</v>
      </c>
      <c r="T59" s="131" t="n">
        <f aca="false">IF(OR($C59="",$B$2="",$D$2=0),0,IF(T$3&lt;0,0,N(INDEX('CURVA PREVISION'!$A$1:$KZ$3000,$C59,11+3*MIN(T$3,$D$2-1)))))</f>
        <v>57.35</v>
      </c>
      <c r="U59" s="131" t="n">
        <f aca="false">IF(OR($C59="",$B$2="",$D$2=0),0,IF(U$3&lt;0,0,N(INDEX('CURVA PREVISION'!$A$1:$KZ$3000,$C59,11+3*MIN(U$3,$D$2-1)))))</f>
        <v>72.08</v>
      </c>
      <c r="V59" s="131" t="n">
        <f aca="false">IF(OR($C59="",$B$2="",$D$2=0),0,IF(V$3&lt;0,0,N(INDEX('CURVA PREVISION'!$A$1:$KZ$3000,$C59,11+3*MIN(V$3,$D$2-1)))))</f>
        <v>75.43</v>
      </c>
      <c r="W59" s="131" t="n">
        <f aca="false">IF(OR($C59="",$B$2="",$D$2=0),0,IF(W$3&lt;0,0,N(INDEX('CURVA PREVISION'!$A$1:$KZ$3000,$C59,11+3*MIN(W$3,$D$2-1)))))</f>
        <v>75.23</v>
      </c>
      <c r="X59" s="131" t="n">
        <f aca="false">IF(OR($C59="",$B$2="",$D$2=0),0,IF(X$3&lt;0,0,N(INDEX('CURVA PREVISION'!$A$1:$KZ$3000,$C59,11+3*MIN(X$3,$D$2-1)))))</f>
        <v>75.23</v>
      </c>
      <c r="Y59" s="131" t="n">
        <f aca="false">IF(OR($C59="",$B$2="",$D$2=0),0,IF(Y$3&lt;0,0,N(INDEX('CURVA PREVISION'!$A$1:$KZ$3000,$C59,11+3*MIN(Y$3,$D$2-1)))))</f>
        <v>75.23</v>
      </c>
      <c r="Z59" s="131" t="n">
        <f aca="false">IF(OR($C59="",$B$2="",$D$2=0),0,IF(Z$3&lt;0,0,N(INDEX('CURVA PREVISION'!$A$1:$KZ$3000,$C59,11+3*MIN(Z$3,$D$2-1)))))</f>
        <v>75.23</v>
      </c>
      <c r="AA59" s="131" t="n">
        <f aca="false">IF(OR($C59="",$B$2="",$D$2=0),0,IF(AA$3&lt;0,0,N(INDEX('CURVA PREVISION'!$A$1:$KZ$3000,$C59,11+3*MIN(AA$3,$D$2-1)))))</f>
        <v>75.23</v>
      </c>
      <c r="AB59" s="131" t="n">
        <f aca="false">IF(OR($C59="",$B$2="",$D$2=0),0,IF(AB$3&lt;0,0,N(INDEX('CURVA PREVISION'!$A$1:$KZ$3000,$C59,11+3*MIN(AB$3,$D$2-1)))))</f>
        <v>75.23</v>
      </c>
      <c r="AC59" s="131" t="n">
        <f aca="false">IF(OR($C59="",$B$2="",$D$2=0),0,IF(AC$3&lt;0,0,N(INDEX('CURVA PREVISION'!$A$1:$KZ$3000,$C59,11+3*MIN(AC$3,$D$2-1)))))</f>
        <v>75.23</v>
      </c>
      <c r="AD59" s="131" t="n">
        <f aca="false">IF(OR($C59="",$B$2="",$D$2=0),0,IF(AD$3&lt;0,0,N(INDEX('CURVA PREVISION'!$A$1:$KZ$3000,$C59,11+3*MIN(AD$3,$D$2-1)))))</f>
        <v>75.23</v>
      </c>
      <c r="AE59" s="131" t="n">
        <f aca="false">IF(OR($C59="",$B$2="",$D$2=0),0,IF(AE$3&lt;0,0,N(INDEX('CURVA PREVISION'!$A$1:$KZ$3000,$C59,11+3*MIN(AE$3,$D$2-1)))))</f>
        <v>75.23</v>
      </c>
      <c r="AF59" s="131" t="n">
        <f aca="false">IF(OR($C59="",$B$2="",$D$2=0),0,IF(AF$3&lt;0,0,N(INDEX('CURVA PREVISION'!$A$1:$KZ$3000,$C59,11+3*MIN(AF$3,$D$2-1)))))</f>
        <v>75.23</v>
      </c>
      <c r="AG59" s="131" t="n">
        <f aca="false">IF(OR($C59="",$B$2="",$D$2=0),0,IF(AG$3&lt;0,0,N(INDEX('CURVA PREVISION'!$A$1:$KZ$3000,$C59,11+3*MIN(AG$3,$D$2-1)))))</f>
        <v>75.23</v>
      </c>
      <c r="AH59" s="131" t="n">
        <f aca="false">IF(OR($C59="",$B$2="",$D$2=0),0,IF(AH$3&lt;0,0,N(INDEX('CURVA PREVISION'!$A$1:$KZ$3000,$C59,11+3*MIN(AH$3,$D$2-1)))))</f>
        <v>75.23</v>
      </c>
      <c r="AI59" s="131" t="n">
        <f aca="false">IF(OR($C59="",$B$2="",$D$2=0),0,IF(AI$3&lt;0,0,N(INDEX('CURVA PREVISION'!$A$1:$KZ$3000,$C59,11+3*MIN(AI$3,$D$2-1)))))</f>
        <v>75.23</v>
      </c>
      <c r="AJ59" s="131" t="n">
        <f aca="false">IF(OR($C59="",$B$2="",$D$2=0),0,IF(AJ$3&lt;0,0,N(INDEX('CURVA PREVISION'!$A$1:$KZ$3000,$C59,11+3*MIN(AJ$3,$D$2-1)))))</f>
        <v>75.23</v>
      </c>
      <c r="AK59" s="131" t="n">
        <f aca="false">IF(OR($C59="",$B$2="",$D$2=0),0,IF(AK$3&lt;0,0,N(INDEX('CURVA PREVISION'!$A$1:$KZ$3000,$C59,11+3*MIN(AK$3,$D$2-1)))))</f>
        <v>75.23</v>
      </c>
      <c r="AL59" s="131" t="n">
        <f aca="false">IF(OR($C59="",$B$2="",$D$2=0),0,IF(AL$3&lt;0,0,N(INDEX('CURVA PREVISION'!$A$1:$KZ$3000,$C59,11+3*MIN(AL$3,$D$2-1)))))</f>
        <v>75.23</v>
      </c>
      <c r="AM59" s="131" t="n">
        <f aca="false">IF(OR($C59="",$B$2="",$D$2=0),0,IF(AM$3&lt;0,0,N(INDEX('CURVA PREVISION'!$A$1:$KZ$3000,$C59,11+3*MIN(AM$3,$D$2-1)))))</f>
        <v>75.23</v>
      </c>
      <c r="AN59" s="131" t="n">
        <f aca="false">IF(OR($C59="",$B$2="",$D$2=0),0,IF(AN$3&lt;0,0,N(INDEX('CURVA PREVISION'!$A$1:$KZ$3000,$C59,11+3*MIN(AN$3,$D$2-1)))))</f>
        <v>75.23</v>
      </c>
      <c r="AO59" s="131" t="n">
        <f aca="false">IF(OR($C59="",$B$2="",$D$2=0),0,IF(AO$3&lt;0,0,N(INDEX('CURVA PREVISION'!$A$1:$KZ$3000,$C59,11+3*MIN(AO$3,$D$2-1)))))</f>
        <v>75.23</v>
      </c>
      <c r="AP59" s="131" t="n">
        <f aca="false">IF(OR($C59="",$B$2="",$D$2=0),0,IF(AP$3&lt;0,0,N(INDEX('CURVA PREVISION'!$A$1:$KZ$3000,$C59,11+3*MIN(AP$3,$D$2-1)))))</f>
        <v>75.23</v>
      </c>
      <c r="AQ59" s="131" t="n">
        <f aca="false">IF(OR($C59="",$B$2="",$D$2=0),0,IF(AQ$3&lt;0,0,N(INDEX('CURVA PREVISION'!$A$1:$KZ$3000,$C59,11+3*MIN(AQ$3,$D$2-1)))))</f>
        <v>75.23</v>
      </c>
      <c r="AR59" s="131" t="n">
        <f aca="false">IF(OR($C59="",$B$2="",$D$2=0),0,IF(AR$3&lt;0,0,N(INDEX('CURVA PREVISION'!$A$1:$KZ$3000,$C59,11+3*MIN(AR$3,$D$2-1)))))</f>
        <v>75.23</v>
      </c>
      <c r="AS59" s="131" t="n">
        <f aca="false">IF(OR($C59="",$B$2="",$D$2=0),0,IF(AS$3&lt;0,0,N(INDEX('CURVA PREVISION'!$A$1:$KZ$3000,$C59,11+3*MIN(AS$3,$D$2-1)))))</f>
        <v>75.23</v>
      </c>
      <c r="AT59" s="131" t="n">
        <f aca="false">IF(OR($C59="",$B$2="",$D$2=0),0,IF(AT$3&lt;0,0,N(INDEX('CURVA PREVISION'!$A$1:$KZ$3000,$C59,11+3*MIN(AT$3,$D$2-1)))))</f>
        <v>75.23</v>
      </c>
      <c r="AU59" s="131" t="n">
        <f aca="false">IF(OR($C59="",$B$2="",$D$2=0),0,IF(AU$3&lt;0,0,N(INDEX('CURVA PREVISION'!$A$1:$KZ$3000,$C59,11+3*MIN(AU$3,$D$2-1)))))</f>
        <v>75.23</v>
      </c>
      <c r="AV59" s="131" t="n">
        <f aca="false">IF(OR($C59="",$B$2="",$D$2=0),0,IF(AV$3&lt;0,0,N(INDEX('CURVA PREVISION'!$A$1:$KZ$3000,$C59,11+3*MIN(AV$3,$D$2-1)))))</f>
        <v>75.23</v>
      </c>
      <c r="AW59" s="131" t="n">
        <f aca="false">IF(OR($C59="",$B$2="",$D$2=0),0,IF(AW$3&lt;0,0,N(INDEX('CURVA PREVISION'!$A$1:$KZ$3000,$C59,11+3*MIN(AW$3,$D$2-1)))))</f>
        <v>75.23</v>
      </c>
      <c r="AX59" s="131" t="n">
        <f aca="false">IF(OR($C59="",$B$2="",$D$2=0),0,IF(AX$3&lt;0,0,N(INDEX('CURVA PREVISION'!$A$1:$KZ$3000,$C59,11+3*MIN(AX$3,$D$2-1)))))</f>
        <v>75.23</v>
      </c>
      <c r="AY59" s="131" t="n">
        <f aca="false">IF(OR($C59="",$B$2="",$D$2=0),0,IF(AY$3&lt;0,0,N(INDEX('CURVA PREVISION'!$A$1:$KZ$3000,$C59,11+3*MIN(AY$3,$D$2-1)))))</f>
        <v>75.23</v>
      </c>
      <c r="AZ59" s="131" t="n">
        <f aca="false">IF(OR($C59="",$B$2="",$D$2=0),0,IF(AZ$3&lt;0,0,N(INDEX('CURVA PREVISION'!$A$1:$KZ$3000,$C59,11+3*MIN(AZ$3,$D$2-1)))))</f>
        <v>75.23</v>
      </c>
      <c r="BA59" s="131" t="n">
        <f aca="false">IF(OR($C59="",$B$2="",$D$2=0),0,IF(BA$3&lt;0,0,N(INDEX('CURVA PREVISION'!$A$1:$KZ$3000,$C59,11+3*MIN(BA$3,$D$2-1)))))</f>
        <v>75.23</v>
      </c>
      <c r="BB59" s="131" t="n">
        <f aca="false">IF(OR($C59="",$B$2="",$D$2=0),0,IF(BB$3&lt;0,0,N(INDEX('CURVA PREVISION'!$A$1:$KZ$3000,$C59,11+3*MIN(BB$3,$D$2-1)))))</f>
        <v>75.23</v>
      </c>
      <c r="BC59" s="131" t="n">
        <f aca="false">IF(OR($C59="",$B$2="",$D$2=0),0,IF(BC$3&lt;0,0,N(INDEX('CURVA PREVISION'!$A$1:$KZ$3000,$C59,11+3*MIN(BC$3,$D$2-1)))))</f>
        <v>75.23</v>
      </c>
      <c r="BD59" s="131" t="n">
        <f aca="false">IF(OR($C59="",$B$2="",$D$2=0),0,IF(BD$3&lt;0,0,N(INDEX('CURVA PREVISION'!$A$1:$KZ$3000,$C59,11+3*MIN(BD$3,$D$2-1)))))</f>
        <v>75.23</v>
      </c>
      <c r="BE59" s="131" t="n">
        <f aca="false">IF(OR($C59="",$B$2="",$D$2=0),0,IF(BE$3&lt;0,0,N(INDEX('CURVA PREVISION'!$A$1:$KZ$3000,$C59,11+3*MIN(BE$3,$D$2-1)))))</f>
        <v>75.23</v>
      </c>
      <c r="BF59" s="131" t="n">
        <f aca="false">IF(OR($C59="",$B$2="",$D$2=0),0,IF(BF$3&lt;0,0,N(INDEX('CURVA PREVISION'!$A$1:$KZ$3000,$C59,11+3*MIN(BF$3,$D$2-1)))))</f>
        <v>75.23</v>
      </c>
      <c r="BG59" s="131" t="n">
        <f aca="false">IF(OR($C59="",$B$2="",$D$2=0),0,IF(BG$3&lt;0,0,N(INDEX('CURVA PREVISION'!$A$1:$KZ$3000,$C59,11+3*MIN(BG$3,$D$2-1)))))</f>
        <v>75.23</v>
      </c>
      <c r="BH59" s="131" t="n">
        <f aca="false">IF(OR($C59="",$B$2="",$D$2=0),0,IF(BH$3&lt;0,0,N(INDEX('CURVA PREVISION'!$A$1:$KZ$3000,$C59,11+3*MIN(BH$3,$D$2-1)))))</f>
        <v>75.23</v>
      </c>
      <c r="BI59" s="131" t="n">
        <f aca="false">IF(OR($C59="",$B$2="",$D$2=0),0,IF(BI$3&lt;0,0,N(INDEX('CURVA PREVISION'!$A$1:$KZ$3000,$C59,11+3*MIN(BI$3,$D$2-1)))))</f>
        <v>75.23</v>
      </c>
      <c r="BJ59" s="131" t="n">
        <f aca="false">IF(OR($C59="",$B$2="",$D$2=0),0,IF(BJ$3&lt;0,0,N(INDEX('CURVA PREVISION'!$A$1:$KZ$3000,$C59,11+3*MIN(BJ$3,$D$2-1)))))</f>
        <v>75.23</v>
      </c>
      <c r="BK59" s="131" t="n">
        <f aca="false">IF(OR($C59="",$B$2="",$D$2=0),0,IF(BK$3&lt;0,0,N(INDEX('CURVA PREVISION'!$A$1:$KZ$3000,$C59,11+3*MIN(BK$3,$D$2-1)))))</f>
        <v>75.23</v>
      </c>
      <c r="BL59" s="131" t="n">
        <f aca="false">IF(OR($C59="",$B$2="",$D$2=0),0,IF(BL$3&lt;0,0,N(INDEX('CURVA PREVISION'!$A$1:$KZ$3000,$C59,11+3*MIN(BL$3,$D$2-1)))))</f>
        <v>75.23</v>
      </c>
      <c r="BM59" s="131" t="n">
        <f aca="false">IF(OR($C59="",$B$2="",$D$2=0),0,IF(BM$3&lt;0,0,N(INDEX('CURVA PREVISION'!$A$1:$KZ$3000,$C59,11+3*MIN(BM$3,$D$2-1)))))</f>
        <v>75.23</v>
      </c>
      <c r="BN59" s="131" t="n">
        <f aca="false">IF(OR($C59="",$B$2="",$D$2=0),0,IF(BN$3&lt;0,0,N(INDEX('CURVA PREVISION'!$A$1:$KZ$3000,$C59,11+3*MIN(BN$3,$D$2-1)))))</f>
        <v>75.23</v>
      </c>
      <c r="BO59" s="131" t="n">
        <f aca="false">IF(OR($C59="",$B$2="",$D$2=0),0,IF(BO$3&lt;0,0,N(INDEX('CURVA PREVISION'!$A$1:$KZ$3000,$C59,11+3*MIN(BO$3,$D$2-1)))))</f>
        <v>75.23</v>
      </c>
      <c r="BP59" s="131" t="n">
        <f aca="false">IF(OR($C59="",$B$2="",$D$2=0),0,IF(BP$3&lt;0,0,N(INDEX('CURVA PREVISION'!$A$1:$KZ$3000,$C59,11+3*MIN(BP$3,$D$2-1)))))</f>
        <v>75.23</v>
      </c>
      <c r="BQ59" s="131" t="n">
        <f aca="false">IF(OR($C59="",$B$2="",$D$2=0),0,IF(BQ$3&lt;0,0,N(INDEX('CURVA PREVISION'!$A$1:$KZ$3000,$C59,11+3*MIN(BQ$3,$D$2-1)))))</f>
        <v>75.23</v>
      </c>
      <c r="BR59" s="131" t="n">
        <f aca="false">IF(OR($C59="",$B$2="",$D$2=0),0,IF(BR$3&lt;0,0,N(INDEX('CURVA PREVISION'!$A$1:$KZ$3000,$C59,11+3*MIN(BR$3,$D$2-1)))))</f>
        <v>75.23</v>
      </c>
      <c r="BS59" s="131" t="n">
        <f aca="false">IF(OR($C59="",$B$2="",$D$2=0),0,IF(BS$3&lt;0,0,N(INDEX('CURVA PREVISION'!$A$1:$KZ$3000,$C59,11+3*MIN(BS$3,$D$2-1)))))</f>
        <v>75.23</v>
      </c>
      <c r="BT59" s="131" t="n">
        <f aca="false">IF(OR($C59="",$B$2="",$D$2=0),0,IF(BT$3&lt;0,0,N(INDEX('CURVA PREVISION'!$A$1:$KZ$3000,$C59,11+3*MIN(BT$3,$D$2-1)))))</f>
        <v>75.23</v>
      </c>
      <c r="BU59" s="131" t="n">
        <f aca="false">IF(OR($C59="",$B$2="",$D$2=0),0,IF(BU$3&lt;0,0,N(INDEX('CURVA PREVISION'!$A$1:$KZ$3000,$C59,11+3*MIN(BU$3,$D$2-1)))))</f>
        <v>75.23</v>
      </c>
      <c r="BV59" s="131" t="n">
        <f aca="false">IF(OR($C59="",$B$2="",$D$2=0),0,IF(BV$3&lt;0,0,N(INDEX('CURVA PREVISION'!$A$1:$KZ$3000,$C59,11+3*MIN(BV$3,$D$2-1)))))</f>
        <v>75.23</v>
      </c>
      <c r="BW59" s="131" t="n">
        <f aca="false">IF(OR($C59="",$B$2="",$D$2=0),0,IF(BW$3&lt;0,0,N(INDEX('CURVA PREVISION'!$A$1:$KZ$3000,$C59,11+3*MIN(BW$3,$D$2-1)))))</f>
        <v>75.23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275</v>
      </c>
      <c r="D60" s="131" t="n">
        <f aca="false">IF(OR($C60="",$B$2="",$D$2=0),0,IF(D$3&lt;0,0,N(INDEX('CURVA PREVISION'!$A$1:$KZ$3000,$C60,11+3*MIN(D$3,$D$2-1)))))</f>
        <v>0</v>
      </c>
      <c r="E60" s="131" t="n">
        <f aca="false">IF(OR($C60="",$B$2="",$D$2=0),0,IF(E$3&lt;0,0,N(INDEX('CURVA PREVISION'!$A$1:$KZ$3000,$C60,11+3*MIN(E$3,$D$2-1)))))</f>
        <v>0</v>
      </c>
      <c r="F60" s="131" t="n">
        <f aca="false">IF(OR($C60="",$B$2="",$D$2=0),0,IF(F$3&lt;0,0,N(INDEX('CURVA PREVISION'!$A$1:$KZ$3000,$C60,11+3*MIN(F$3,$D$2-1)))))</f>
        <v>0</v>
      </c>
      <c r="G60" s="131" t="n">
        <f aca="false">IF(OR($C60="",$B$2="",$D$2=0),0,IF(G$3&lt;0,0,N(INDEX('CURVA PREVISION'!$A$1:$KZ$3000,$C60,11+3*MIN(G$3,$D$2-1)))))</f>
        <v>0</v>
      </c>
      <c r="H60" s="131" t="n">
        <f aca="false">IF(OR($C60="",$B$2="",$D$2=0),0,IF(H$3&lt;0,0,N(INDEX('CURVA PREVISION'!$A$1:$KZ$3000,$C60,11+3*MIN(H$3,$D$2-1)))))</f>
        <v>0</v>
      </c>
      <c r="I60" s="131" t="n">
        <f aca="false">IF(OR($C60="",$B$2="",$D$2=0),0,IF(I$3&lt;0,0,N(INDEX('CURVA PREVISION'!$A$1:$KZ$3000,$C60,11+3*MIN(I$3,$D$2-1)))))</f>
        <v>0</v>
      </c>
      <c r="J60" s="131" t="n">
        <f aca="false">IF(OR($C60="",$B$2="",$D$2=0),0,IF(J$3&lt;0,0,N(INDEX('CURVA PREVISION'!$A$1:$KZ$3000,$C60,11+3*MIN(J$3,$D$2-1)))))</f>
        <v>0</v>
      </c>
      <c r="K60" s="131" t="n">
        <f aca="false">IF(OR($C60="",$B$2="",$D$2=0),0,IF(K$3&lt;0,0,N(INDEX('CURVA PREVISION'!$A$1:$KZ$3000,$C60,11+3*MIN(K$3,$D$2-1)))))</f>
        <v>0</v>
      </c>
      <c r="L60" s="131" t="n">
        <f aca="false">IF(OR($C60="",$B$2="",$D$2=0),0,IF(L$3&lt;0,0,N(INDEX('CURVA PREVISION'!$A$1:$KZ$3000,$C60,11+3*MIN(L$3,$D$2-1)))))</f>
        <v>0</v>
      </c>
      <c r="M60" s="131" t="n">
        <f aca="false">IF(OR($C60="",$B$2="",$D$2=0),0,IF(M$3&lt;0,0,N(INDEX('CURVA PREVISION'!$A$1:$KZ$3000,$C60,11+3*MIN(M$3,$D$2-1)))))</f>
        <v>0</v>
      </c>
      <c r="N60" s="131" t="n">
        <f aca="false">IF(OR($C60="",$B$2="",$D$2=0),0,IF(N$3&lt;0,0,N(INDEX('CURVA PREVISION'!$A$1:$KZ$3000,$C60,11+3*MIN(N$3,$D$2-1)))))</f>
        <v>0</v>
      </c>
      <c r="O60" s="131" t="n">
        <f aca="false">IF(OR($C60="",$B$2="",$D$2=0),0,IF(O$3&lt;0,0,N(INDEX('CURVA PREVISION'!$A$1:$KZ$3000,$C60,11+3*MIN(O$3,$D$2-1)))))</f>
        <v>0</v>
      </c>
      <c r="P60" s="131" t="n">
        <f aca="false">IF(OR($C60="",$B$2="",$D$2=0),0,IF(P$3&lt;0,0,N(INDEX('CURVA PREVISION'!$A$1:$KZ$3000,$C60,11+3*MIN(P$3,$D$2-1)))))</f>
        <v>0</v>
      </c>
      <c r="Q60" s="131" t="n">
        <f aca="false">IF(OR($C60="",$B$2="",$D$2=0),0,IF(Q$3&lt;0,0,N(INDEX('CURVA PREVISION'!$A$1:$KZ$3000,$C60,11+3*MIN(Q$3,$D$2-1)))))</f>
        <v>14.87</v>
      </c>
      <c r="R60" s="131" t="n">
        <f aca="false">IF(OR($C60="",$B$2="",$D$2=0),0,IF(R$3&lt;0,0,N(INDEX('CURVA PREVISION'!$A$1:$KZ$3000,$C60,11+3*MIN(R$3,$D$2-1)))))</f>
        <v>16.98</v>
      </c>
      <c r="S60" s="131" t="n">
        <f aca="false">IF(OR($C60="",$B$2="",$D$2=0),0,IF(S$3&lt;0,0,N(INDEX('CURVA PREVISION'!$A$1:$KZ$3000,$C60,11+3*MIN(S$3,$D$2-1)))))</f>
        <v>41.31</v>
      </c>
      <c r="T60" s="131" t="n">
        <f aca="false">IF(OR($C60="",$B$2="",$D$2=0),0,IF(T$3&lt;0,0,N(INDEX('CURVA PREVISION'!$A$1:$KZ$3000,$C60,11+3*MIN(T$3,$D$2-1)))))</f>
        <v>86</v>
      </c>
      <c r="U60" s="131" t="n">
        <f aca="false">IF(OR($C60="",$B$2="",$D$2=0),0,IF(U$3&lt;0,0,N(INDEX('CURVA PREVISION'!$A$1:$KZ$3000,$C60,11+3*MIN(U$3,$D$2-1)))))</f>
        <v>86</v>
      </c>
      <c r="V60" s="131" t="n">
        <f aca="false">IF(OR($C60="",$B$2="",$D$2=0),0,IF(V$3&lt;0,0,N(INDEX('CURVA PREVISION'!$A$1:$KZ$3000,$C60,11+3*MIN(V$3,$D$2-1)))))</f>
        <v>86</v>
      </c>
      <c r="W60" s="131" t="n">
        <f aca="false">IF(OR($C60="",$B$2="",$D$2=0),0,IF(W$3&lt;0,0,N(INDEX('CURVA PREVISION'!$A$1:$KZ$3000,$C60,11+3*MIN(W$3,$D$2-1)))))</f>
        <v>86</v>
      </c>
      <c r="X60" s="131" t="n">
        <f aca="false">IF(OR($C60="",$B$2="",$D$2=0),0,IF(X$3&lt;0,0,N(INDEX('CURVA PREVISION'!$A$1:$KZ$3000,$C60,11+3*MIN(X$3,$D$2-1)))))</f>
        <v>86</v>
      </c>
      <c r="Y60" s="131" t="n">
        <f aca="false">IF(OR($C60="",$B$2="",$D$2=0),0,IF(Y$3&lt;0,0,N(INDEX('CURVA PREVISION'!$A$1:$KZ$3000,$C60,11+3*MIN(Y$3,$D$2-1)))))</f>
        <v>86</v>
      </c>
      <c r="Z60" s="131" t="n">
        <f aca="false">IF(OR($C60="",$B$2="",$D$2=0),0,IF(Z$3&lt;0,0,N(INDEX('CURVA PREVISION'!$A$1:$KZ$3000,$C60,11+3*MIN(Z$3,$D$2-1)))))</f>
        <v>86</v>
      </c>
      <c r="AA60" s="131" t="n">
        <f aca="false">IF(OR($C60="",$B$2="",$D$2=0),0,IF(AA$3&lt;0,0,N(INDEX('CURVA PREVISION'!$A$1:$KZ$3000,$C60,11+3*MIN(AA$3,$D$2-1)))))</f>
        <v>86</v>
      </c>
      <c r="AB60" s="131" t="n">
        <f aca="false">IF(OR($C60="",$B$2="",$D$2=0),0,IF(AB$3&lt;0,0,N(INDEX('CURVA PREVISION'!$A$1:$KZ$3000,$C60,11+3*MIN(AB$3,$D$2-1)))))</f>
        <v>86</v>
      </c>
      <c r="AC60" s="131" t="n">
        <f aca="false">IF(OR($C60="",$B$2="",$D$2=0),0,IF(AC$3&lt;0,0,N(INDEX('CURVA PREVISION'!$A$1:$KZ$3000,$C60,11+3*MIN(AC$3,$D$2-1)))))</f>
        <v>86</v>
      </c>
      <c r="AD60" s="131" t="n">
        <f aca="false">IF(OR($C60="",$B$2="",$D$2=0),0,IF(AD$3&lt;0,0,N(INDEX('CURVA PREVISION'!$A$1:$KZ$3000,$C60,11+3*MIN(AD$3,$D$2-1)))))</f>
        <v>86</v>
      </c>
      <c r="AE60" s="131" t="n">
        <f aca="false">IF(OR($C60="",$B$2="",$D$2=0),0,IF(AE$3&lt;0,0,N(INDEX('CURVA PREVISION'!$A$1:$KZ$3000,$C60,11+3*MIN(AE$3,$D$2-1)))))</f>
        <v>86</v>
      </c>
      <c r="AF60" s="131" t="n">
        <f aca="false">IF(OR($C60="",$B$2="",$D$2=0),0,IF(AF$3&lt;0,0,N(INDEX('CURVA PREVISION'!$A$1:$KZ$3000,$C60,11+3*MIN(AF$3,$D$2-1)))))</f>
        <v>86</v>
      </c>
      <c r="AG60" s="131" t="n">
        <f aca="false">IF(OR($C60="",$B$2="",$D$2=0),0,IF(AG$3&lt;0,0,N(INDEX('CURVA PREVISION'!$A$1:$KZ$3000,$C60,11+3*MIN(AG$3,$D$2-1)))))</f>
        <v>86</v>
      </c>
      <c r="AH60" s="131" t="n">
        <f aca="false">IF(OR($C60="",$B$2="",$D$2=0),0,IF(AH$3&lt;0,0,N(INDEX('CURVA PREVISION'!$A$1:$KZ$3000,$C60,11+3*MIN(AH$3,$D$2-1)))))</f>
        <v>86</v>
      </c>
      <c r="AI60" s="131" t="n">
        <f aca="false">IF(OR($C60="",$B$2="",$D$2=0),0,IF(AI$3&lt;0,0,N(INDEX('CURVA PREVISION'!$A$1:$KZ$3000,$C60,11+3*MIN(AI$3,$D$2-1)))))</f>
        <v>86</v>
      </c>
      <c r="AJ60" s="131" t="n">
        <f aca="false">IF(OR($C60="",$B$2="",$D$2=0),0,IF(AJ$3&lt;0,0,N(INDEX('CURVA PREVISION'!$A$1:$KZ$3000,$C60,11+3*MIN(AJ$3,$D$2-1)))))</f>
        <v>86</v>
      </c>
      <c r="AK60" s="131" t="n">
        <f aca="false">IF(OR($C60="",$B$2="",$D$2=0),0,IF(AK$3&lt;0,0,N(INDEX('CURVA PREVISION'!$A$1:$KZ$3000,$C60,11+3*MIN(AK$3,$D$2-1)))))</f>
        <v>86</v>
      </c>
      <c r="AL60" s="131" t="n">
        <f aca="false">IF(OR($C60="",$B$2="",$D$2=0),0,IF(AL$3&lt;0,0,N(INDEX('CURVA PREVISION'!$A$1:$KZ$3000,$C60,11+3*MIN(AL$3,$D$2-1)))))</f>
        <v>86</v>
      </c>
      <c r="AM60" s="131" t="n">
        <f aca="false">IF(OR($C60="",$B$2="",$D$2=0),0,IF(AM$3&lt;0,0,N(INDEX('CURVA PREVISION'!$A$1:$KZ$3000,$C60,11+3*MIN(AM$3,$D$2-1)))))</f>
        <v>86</v>
      </c>
      <c r="AN60" s="131" t="n">
        <f aca="false">IF(OR($C60="",$B$2="",$D$2=0),0,IF(AN$3&lt;0,0,N(INDEX('CURVA PREVISION'!$A$1:$KZ$3000,$C60,11+3*MIN(AN$3,$D$2-1)))))</f>
        <v>86</v>
      </c>
      <c r="AO60" s="131" t="n">
        <f aca="false">IF(OR($C60="",$B$2="",$D$2=0),0,IF(AO$3&lt;0,0,N(INDEX('CURVA PREVISION'!$A$1:$KZ$3000,$C60,11+3*MIN(AO$3,$D$2-1)))))</f>
        <v>86</v>
      </c>
      <c r="AP60" s="131" t="n">
        <f aca="false">IF(OR($C60="",$B$2="",$D$2=0),0,IF(AP$3&lt;0,0,N(INDEX('CURVA PREVISION'!$A$1:$KZ$3000,$C60,11+3*MIN(AP$3,$D$2-1)))))</f>
        <v>86</v>
      </c>
      <c r="AQ60" s="131" t="n">
        <f aca="false">IF(OR($C60="",$B$2="",$D$2=0),0,IF(AQ$3&lt;0,0,N(INDEX('CURVA PREVISION'!$A$1:$KZ$3000,$C60,11+3*MIN(AQ$3,$D$2-1)))))</f>
        <v>86</v>
      </c>
      <c r="AR60" s="131" t="n">
        <f aca="false">IF(OR($C60="",$B$2="",$D$2=0),0,IF(AR$3&lt;0,0,N(INDEX('CURVA PREVISION'!$A$1:$KZ$3000,$C60,11+3*MIN(AR$3,$D$2-1)))))</f>
        <v>86</v>
      </c>
      <c r="AS60" s="131" t="n">
        <f aca="false">IF(OR($C60="",$B$2="",$D$2=0),0,IF(AS$3&lt;0,0,N(INDEX('CURVA PREVISION'!$A$1:$KZ$3000,$C60,11+3*MIN(AS$3,$D$2-1)))))</f>
        <v>86</v>
      </c>
      <c r="AT60" s="131" t="n">
        <f aca="false">IF(OR($C60="",$B$2="",$D$2=0),0,IF(AT$3&lt;0,0,N(INDEX('CURVA PREVISION'!$A$1:$KZ$3000,$C60,11+3*MIN(AT$3,$D$2-1)))))</f>
        <v>86</v>
      </c>
      <c r="AU60" s="131" t="n">
        <f aca="false">IF(OR($C60="",$B$2="",$D$2=0),0,IF(AU$3&lt;0,0,N(INDEX('CURVA PREVISION'!$A$1:$KZ$3000,$C60,11+3*MIN(AU$3,$D$2-1)))))</f>
        <v>86</v>
      </c>
      <c r="AV60" s="131" t="n">
        <f aca="false">IF(OR($C60="",$B$2="",$D$2=0),0,IF(AV$3&lt;0,0,N(INDEX('CURVA PREVISION'!$A$1:$KZ$3000,$C60,11+3*MIN(AV$3,$D$2-1)))))</f>
        <v>86</v>
      </c>
      <c r="AW60" s="131" t="n">
        <f aca="false">IF(OR($C60="",$B$2="",$D$2=0),0,IF(AW$3&lt;0,0,N(INDEX('CURVA PREVISION'!$A$1:$KZ$3000,$C60,11+3*MIN(AW$3,$D$2-1)))))</f>
        <v>86</v>
      </c>
      <c r="AX60" s="131" t="n">
        <f aca="false">IF(OR($C60="",$B$2="",$D$2=0),0,IF(AX$3&lt;0,0,N(INDEX('CURVA PREVISION'!$A$1:$KZ$3000,$C60,11+3*MIN(AX$3,$D$2-1)))))</f>
        <v>86</v>
      </c>
      <c r="AY60" s="131" t="n">
        <f aca="false">IF(OR($C60="",$B$2="",$D$2=0),0,IF(AY$3&lt;0,0,N(INDEX('CURVA PREVISION'!$A$1:$KZ$3000,$C60,11+3*MIN(AY$3,$D$2-1)))))</f>
        <v>86</v>
      </c>
      <c r="AZ60" s="131" t="n">
        <f aca="false">IF(OR($C60="",$B$2="",$D$2=0),0,IF(AZ$3&lt;0,0,N(INDEX('CURVA PREVISION'!$A$1:$KZ$3000,$C60,11+3*MIN(AZ$3,$D$2-1)))))</f>
        <v>86</v>
      </c>
      <c r="BA60" s="131" t="n">
        <f aca="false">IF(OR($C60="",$B$2="",$D$2=0),0,IF(BA$3&lt;0,0,N(INDEX('CURVA PREVISION'!$A$1:$KZ$3000,$C60,11+3*MIN(BA$3,$D$2-1)))))</f>
        <v>86</v>
      </c>
      <c r="BB60" s="131" t="n">
        <f aca="false">IF(OR($C60="",$B$2="",$D$2=0),0,IF(BB$3&lt;0,0,N(INDEX('CURVA PREVISION'!$A$1:$KZ$3000,$C60,11+3*MIN(BB$3,$D$2-1)))))</f>
        <v>86</v>
      </c>
      <c r="BC60" s="131" t="n">
        <f aca="false">IF(OR($C60="",$B$2="",$D$2=0),0,IF(BC$3&lt;0,0,N(INDEX('CURVA PREVISION'!$A$1:$KZ$3000,$C60,11+3*MIN(BC$3,$D$2-1)))))</f>
        <v>86</v>
      </c>
      <c r="BD60" s="131" t="n">
        <f aca="false">IF(OR($C60="",$B$2="",$D$2=0),0,IF(BD$3&lt;0,0,N(INDEX('CURVA PREVISION'!$A$1:$KZ$3000,$C60,11+3*MIN(BD$3,$D$2-1)))))</f>
        <v>86</v>
      </c>
      <c r="BE60" s="131" t="n">
        <f aca="false">IF(OR($C60="",$B$2="",$D$2=0),0,IF(BE$3&lt;0,0,N(INDEX('CURVA PREVISION'!$A$1:$KZ$3000,$C60,11+3*MIN(BE$3,$D$2-1)))))</f>
        <v>86</v>
      </c>
      <c r="BF60" s="131" t="n">
        <f aca="false">IF(OR($C60="",$B$2="",$D$2=0),0,IF(BF$3&lt;0,0,N(INDEX('CURVA PREVISION'!$A$1:$KZ$3000,$C60,11+3*MIN(BF$3,$D$2-1)))))</f>
        <v>86</v>
      </c>
      <c r="BG60" s="131" t="n">
        <f aca="false">IF(OR($C60="",$B$2="",$D$2=0),0,IF(BG$3&lt;0,0,N(INDEX('CURVA PREVISION'!$A$1:$KZ$3000,$C60,11+3*MIN(BG$3,$D$2-1)))))</f>
        <v>86</v>
      </c>
      <c r="BH60" s="131" t="n">
        <f aca="false">IF(OR($C60="",$B$2="",$D$2=0),0,IF(BH$3&lt;0,0,N(INDEX('CURVA PREVISION'!$A$1:$KZ$3000,$C60,11+3*MIN(BH$3,$D$2-1)))))</f>
        <v>86</v>
      </c>
      <c r="BI60" s="131" t="n">
        <f aca="false">IF(OR($C60="",$B$2="",$D$2=0),0,IF(BI$3&lt;0,0,N(INDEX('CURVA PREVISION'!$A$1:$KZ$3000,$C60,11+3*MIN(BI$3,$D$2-1)))))</f>
        <v>86</v>
      </c>
      <c r="BJ60" s="131" t="n">
        <f aca="false">IF(OR($C60="",$B$2="",$D$2=0),0,IF(BJ$3&lt;0,0,N(INDEX('CURVA PREVISION'!$A$1:$KZ$3000,$C60,11+3*MIN(BJ$3,$D$2-1)))))</f>
        <v>86</v>
      </c>
      <c r="BK60" s="131" t="n">
        <f aca="false">IF(OR($C60="",$B$2="",$D$2=0),0,IF(BK$3&lt;0,0,N(INDEX('CURVA PREVISION'!$A$1:$KZ$3000,$C60,11+3*MIN(BK$3,$D$2-1)))))</f>
        <v>86</v>
      </c>
      <c r="BL60" s="131" t="n">
        <f aca="false">IF(OR($C60="",$B$2="",$D$2=0),0,IF(BL$3&lt;0,0,N(INDEX('CURVA PREVISION'!$A$1:$KZ$3000,$C60,11+3*MIN(BL$3,$D$2-1)))))</f>
        <v>86</v>
      </c>
      <c r="BM60" s="131" t="n">
        <f aca="false">IF(OR($C60="",$B$2="",$D$2=0),0,IF(BM$3&lt;0,0,N(INDEX('CURVA PREVISION'!$A$1:$KZ$3000,$C60,11+3*MIN(BM$3,$D$2-1)))))</f>
        <v>86</v>
      </c>
      <c r="BN60" s="131" t="n">
        <f aca="false">IF(OR($C60="",$B$2="",$D$2=0),0,IF(BN$3&lt;0,0,N(INDEX('CURVA PREVISION'!$A$1:$KZ$3000,$C60,11+3*MIN(BN$3,$D$2-1)))))</f>
        <v>86</v>
      </c>
      <c r="BO60" s="131" t="n">
        <f aca="false">IF(OR($C60="",$B$2="",$D$2=0),0,IF(BO$3&lt;0,0,N(INDEX('CURVA PREVISION'!$A$1:$KZ$3000,$C60,11+3*MIN(BO$3,$D$2-1)))))</f>
        <v>86</v>
      </c>
      <c r="BP60" s="131" t="n">
        <f aca="false">IF(OR($C60="",$B$2="",$D$2=0),0,IF(BP$3&lt;0,0,N(INDEX('CURVA PREVISION'!$A$1:$KZ$3000,$C60,11+3*MIN(BP$3,$D$2-1)))))</f>
        <v>86</v>
      </c>
      <c r="BQ60" s="131" t="n">
        <f aca="false">IF(OR($C60="",$B$2="",$D$2=0),0,IF(BQ$3&lt;0,0,N(INDEX('CURVA PREVISION'!$A$1:$KZ$3000,$C60,11+3*MIN(BQ$3,$D$2-1)))))</f>
        <v>86</v>
      </c>
      <c r="BR60" s="131" t="n">
        <f aca="false">IF(OR($C60="",$B$2="",$D$2=0),0,IF(BR$3&lt;0,0,N(INDEX('CURVA PREVISION'!$A$1:$KZ$3000,$C60,11+3*MIN(BR$3,$D$2-1)))))</f>
        <v>86</v>
      </c>
      <c r="BS60" s="131" t="n">
        <f aca="false">IF(OR($C60="",$B$2="",$D$2=0),0,IF(BS$3&lt;0,0,N(INDEX('CURVA PREVISION'!$A$1:$KZ$3000,$C60,11+3*MIN(BS$3,$D$2-1)))))</f>
        <v>86</v>
      </c>
      <c r="BT60" s="131" t="n">
        <f aca="false">IF(OR($C60="",$B$2="",$D$2=0),0,IF(BT$3&lt;0,0,N(INDEX('CURVA PREVISION'!$A$1:$KZ$3000,$C60,11+3*MIN(BT$3,$D$2-1)))))</f>
        <v>86</v>
      </c>
      <c r="BU60" s="131" t="n">
        <f aca="false">IF(OR($C60="",$B$2="",$D$2=0),0,IF(BU$3&lt;0,0,N(INDEX('CURVA PREVISION'!$A$1:$KZ$3000,$C60,11+3*MIN(BU$3,$D$2-1)))))</f>
        <v>86</v>
      </c>
      <c r="BV60" s="131" t="n">
        <f aca="false">IF(OR($C60="",$B$2="",$D$2=0),0,IF(BV$3&lt;0,0,N(INDEX('CURVA PREVISION'!$A$1:$KZ$3000,$C60,11+3*MIN(BV$3,$D$2-1)))))</f>
        <v>86</v>
      </c>
      <c r="BW60" s="131" t="n">
        <f aca="false">IF(OR($C60="",$B$2="",$D$2=0),0,IF(BW$3&lt;0,0,N(INDEX('CURVA PREVISION'!$A$1:$KZ$3000,$C60,11+3*MIN(BW$3,$D$2-1)))))</f>
        <v>86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286</v>
      </c>
      <c r="D61" s="131" t="n">
        <f aca="false">IF(OR($C61="",$B$2="",$D$2=0),0,IF(D$3&lt;0,0,N(INDEX('CURVA PREVISION'!$A$1:$KZ$3000,$C61,11+3*MIN(D$3,$D$2-1)))))</f>
        <v>0</v>
      </c>
      <c r="E61" s="131" t="n">
        <f aca="false">IF(OR($C61="",$B$2="",$D$2=0),0,IF(E$3&lt;0,0,N(INDEX('CURVA PREVISION'!$A$1:$KZ$3000,$C61,11+3*MIN(E$3,$D$2-1)))))</f>
        <v>0</v>
      </c>
      <c r="F61" s="131" t="n">
        <f aca="false">IF(OR($C61="",$B$2="",$D$2=0),0,IF(F$3&lt;0,0,N(INDEX('CURVA PREVISION'!$A$1:$KZ$3000,$C61,11+3*MIN(F$3,$D$2-1)))))</f>
        <v>0</v>
      </c>
      <c r="G61" s="131" t="n">
        <f aca="false">IF(OR($C61="",$B$2="",$D$2=0),0,IF(G$3&lt;0,0,N(INDEX('CURVA PREVISION'!$A$1:$KZ$3000,$C61,11+3*MIN(G$3,$D$2-1)))))</f>
        <v>0</v>
      </c>
      <c r="H61" s="131" t="n">
        <f aca="false">IF(OR($C61="",$B$2="",$D$2=0),0,IF(H$3&lt;0,0,N(INDEX('CURVA PREVISION'!$A$1:$KZ$3000,$C61,11+3*MIN(H$3,$D$2-1)))))</f>
        <v>0</v>
      </c>
      <c r="I61" s="131" t="n">
        <f aca="false">IF(OR($C61="",$B$2="",$D$2=0),0,IF(I$3&lt;0,0,N(INDEX('CURVA PREVISION'!$A$1:$KZ$3000,$C61,11+3*MIN(I$3,$D$2-1)))))</f>
        <v>0</v>
      </c>
      <c r="J61" s="131" t="n">
        <f aca="false">IF(OR($C61="",$B$2="",$D$2=0),0,IF(J$3&lt;0,0,N(INDEX('CURVA PREVISION'!$A$1:$KZ$3000,$C61,11+3*MIN(J$3,$D$2-1)))))</f>
        <v>0</v>
      </c>
      <c r="K61" s="131" t="n">
        <f aca="false">IF(OR($C61="",$B$2="",$D$2=0),0,IF(K$3&lt;0,0,N(INDEX('CURVA PREVISION'!$A$1:$KZ$3000,$C61,11+3*MIN(K$3,$D$2-1)))))</f>
        <v>0</v>
      </c>
      <c r="L61" s="131" t="n">
        <f aca="false">IF(OR($C61="",$B$2="",$D$2=0),0,IF(L$3&lt;0,0,N(INDEX('CURVA PREVISION'!$A$1:$KZ$3000,$C61,11+3*MIN(L$3,$D$2-1)))))</f>
        <v>0</v>
      </c>
      <c r="M61" s="131" t="n">
        <f aca="false">IF(OR($C61="",$B$2="",$D$2=0),0,IF(M$3&lt;0,0,N(INDEX('CURVA PREVISION'!$A$1:$KZ$3000,$C61,11+3*MIN(M$3,$D$2-1)))))</f>
        <v>0</v>
      </c>
      <c r="N61" s="131" t="n">
        <f aca="false">IF(OR($C61="",$B$2="",$D$2=0),0,IF(N$3&lt;0,0,N(INDEX('CURVA PREVISION'!$A$1:$KZ$3000,$C61,11+3*MIN(N$3,$D$2-1)))))</f>
        <v>21.06</v>
      </c>
      <c r="O61" s="131" t="n">
        <f aca="false">IF(OR($C61="",$B$2="",$D$2=0),0,IF(O$3&lt;0,0,N(INDEX('CURVA PREVISION'!$A$1:$KZ$3000,$C61,11+3*MIN(O$3,$D$2-1)))))</f>
        <v>46.99</v>
      </c>
      <c r="P61" s="131" t="n">
        <f aca="false">IF(OR($C61="",$B$2="",$D$2=0),0,IF(P$3&lt;0,0,N(INDEX('CURVA PREVISION'!$A$1:$KZ$3000,$C61,11+3*MIN(P$3,$D$2-1)))))</f>
        <v>62.54</v>
      </c>
      <c r="Q61" s="131" t="n">
        <f aca="false">IF(OR($C61="",$B$2="",$D$2=0),0,IF(Q$3&lt;0,0,N(INDEX('CURVA PREVISION'!$A$1:$KZ$3000,$C61,11+3*MIN(Q$3,$D$2-1)))))</f>
        <v>80.98</v>
      </c>
      <c r="R61" s="131" t="n">
        <f aca="false">IF(OR($C61="",$B$2="",$D$2=0),0,IF(R$3&lt;0,0,N(INDEX('CURVA PREVISION'!$A$1:$KZ$3000,$C61,11+3*MIN(R$3,$D$2-1)))))</f>
        <v>94.31</v>
      </c>
      <c r="S61" s="131" t="n">
        <f aca="false">IF(OR($C61="",$B$2="",$D$2=0),0,IF(S$3&lt;0,0,N(INDEX('CURVA PREVISION'!$A$1:$KZ$3000,$C61,11+3*MIN(S$3,$D$2-1)))))</f>
        <v>99.53</v>
      </c>
      <c r="T61" s="131" t="n">
        <f aca="false">IF(OR($C61="",$B$2="",$D$2=0),0,IF(T$3&lt;0,0,N(INDEX('CURVA PREVISION'!$A$1:$KZ$3000,$C61,11+3*MIN(T$3,$D$2-1)))))</f>
        <v>99.53</v>
      </c>
      <c r="U61" s="131" t="n">
        <f aca="false">IF(OR($C61="",$B$2="",$D$2=0),0,IF(U$3&lt;0,0,N(INDEX('CURVA PREVISION'!$A$1:$KZ$3000,$C61,11+3*MIN(U$3,$D$2-1)))))</f>
        <v>99.53</v>
      </c>
      <c r="V61" s="131" t="n">
        <f aca="false">IF(OR($C61="",$B$2="",$D$2=0),0,IF(V$3&lt;0,0,N(INDEX('CURVA PREVISION'!$A$1:$KZ$3000,$C61,11+3*MIN(V$3,$D$2-1)))))</f>
        <v>99.53</v>
      </c>
      <c r="W61" s="131" t="n">
        <f aca="false">IF(OR($C61="",$B$2="",$D$2=0),0,IF(W$3&lt;0,0,N(INDEX('CURVA PREVISION'!$A$1:$KZ$3000,$C61,11+3*MIN(W$3,$D$2-1)))))</f>
        <v>99.53</v>
      </c>
      <c r="X61" s="131" t="n">
        <f aca="false">IF(OR($C61="",$B$2="",$D$2=0),0,IF(X$3&lt;0,0,N(INDEX('CURVA PREVISION'!$A$1:$KZ$3000,$C61,11+3*MIN(X$3,$D$2-1)))))</f>
        <v>99.53</v>
      </c>
      <c r="Y61" s="131" t="n">
        <f aca="false">IF(OR($C61="",$B$2="",$D$2=0),0,IF(Y$3&lt;0,0,N(INDEX('CURVA PREVISION'!$A$1:$KZ$3000,$C61,11+3*MIN(Y$3,$D$2-1)))))</f>
        <v>99.53</v>
      </c>
      <c r="Z61" s="131" t="n">
        <f aca="false">IF(OR($C61="",$B$2="",$D$2=0),0,IF(Z$3&lt;0,0,N(INDEX('CURVA PREVISION'!$A$1:$KZ$3000,$C61,11+3*MIN(Z$3,$D$2-1)))))</f>
        <v>99.53</v>
      </c>
      <c r="AA61" s="131" t="n">
        <f aca="false">IF(OR($C61="",$B$2="",$D$2=0),0,IF(AA$3&lt;0,0,N(INDEX('CURVA PREVISION'!$A$1:$KZ$3000,$C61,11+3*MIN(AA$3,$D$2-1)))))</f>
        <v>99.53</v>
      </c>
      <c r="AB61" s="131" t="n">
        <f aca="false">IF(OR($C61="",$B$2="",$D$2=0),0,IF(AB$3&lt;0,0,N(INDEX('CURVA PREVISION'!$A$1:$KZ$3000,$C61,11+3*MIN(AB$3,$D$2-1)))))</f>
        <v>99.53</v>
      </c>
      <c r="AC61" s="131" t="n">
        <f aca="false">IF(OR($C61="",$B$2="",$D$2=0),0,IF(AC$3&lt;0,0,N(INDEX('CURVA PREVISION'!$A$1:$KZ$3000,$C61,11+3*MIN(AC$3,$D$2-1)))))</f>
        <v>99.53</v>
      </c>
      <c r="AD61" s="131" t="n">
        <f aca="false">IF(OR($C61="",$B$2="",$D$2=0),0,IF(AD$3&lt;0,0,N(INDEX('CURVA PREVISION'!$A$1:$KZ$3000,$C61,11+3*MIN(AD$3,$D$2-1)))))</f>
        <v>99.53</v>
      </c>
      <c r="AE61" s="131" t="n">
        <f aca="false">IF(OR($C61="",$B$2="",$D$2=0),0,IF(AE$3&lt;0,0,N(INDEX('CURVA PREVISION'!$A$1:$KZ$3000,$C61,11+3*MIN(AE$3,$D$2-1)))))</f>
        <v>99.53</v>
      </c>
      <c r="AF61" s="131" t="n">
        <f aca="false">IF(OR($C61="",$B$2="",$D$2=0),0,IF(AF$3&lt;0,0,N(INDEX('CURVA PREVISION'!$A$1:$KZ$3000,$C61,11+3*MIN(AF$3,$D$2-1)))))</f>
        <v>99.53</v>
      </c>
      <c r="AG61" s="131" t="n">
        <f aca="false">IF(OR($C61="",$B$2="",$D$2=0),0,IF(AG$3&lt;0,0,N(INDEX('CURVA PREVISION'!$A$1:$KZ$3000,$C61,11+3*MIN(AG$3,$D$2-1)))))</f>
        <v>99.53</v>
      </c>
      <c r="AH61" s="131" t="n">
        <f aca="false">IF(OR($C61="",$B$2="",$D$2=0),0,IF(AH$3&lt;0,0,N(INDEX('CURVA PREVISION'!$A$1:$KZ$3000,$C61,11+3*MIN(AH$3,$D$2-1)))))</f>
        <v>99.53</v>
      </c>
      <c r="AI61" s="131" t="n">
        <f aca="false">IF(OR($C61="",$B$2="",$D$2=0),0,IF(AI$3&lt;0,0,N(INDEX('CURVA PREVISION'!$A$1:$KZ$3000,$C61,11+3*MIN(AI$3,$D$2-1)))))</f>
        <v>99.53</v>
      </c>
      <c r="AJ61" s="131" t="n">
        <f aca="false">IF(OR($C61="",$B$2="",$D$2=0),0,IF(AJ$3&lt;0,0,N(INDEX('CURVA PREVISION'!$A$1:$KZ$3000,$C61,11+3*MIN(AJ$3,$D$2-1)))))</f>
        <v>99.53</v>
      </c>
      <c r="AK61" s="131" t="n">
        <f aca="false">IF(OR($C61="",$B$2="",$D$2=0),0,IF(AK$3&lt;0,0,N(INDEX('CURVA PREVISION'!$A$1:$KZ$3000,$C61,11+3*MIN(AK$3,$D$2-1)))))</f>
        <v>99.53</v>
      </c>
      <c r="AL61" s="131" t="n">
        <f aca="false">IF(OR($C61="",$B$2="",$D$2=0),0,IF(AL$3&lt;0,0,N(INDEX('CURVA PREVISION'!$A$1:$KZ$3000,$C61,11+3*MIN(AL$3,$D$2-1)))))</f>
        <v>99.53</v>
      </c>
      <c r="AM61" s="131" t="n">
        <f aca="false">IF(OR($C61="",$B$2="",$D$2=0),0,IF(AM$3&lt;0,0,N(INDEX('CURVA PREVISION'!$A$1:$KZ$3000,$C61,11+3*MIN(AM$3,$D$2-1)))))</f>
        <v>99.53</v>
      </c>
      <c r="AN61" s="131" t="n">
        <f aca="false">IF(OR($C61="",$B$2="",$D$2=0),0,IF(AN$3&lt;0,0,N(INDEX('CURVA PREVISION'!$A$1:$KZ$3000,$C61,11+3*MIN(AN$3,$D$2-1)))))</f>
        <v>99.53</v>
      </c>
      <c r="AO61" s="131" t="n">
        <f aca="false">IF(OR($C61="",$B$2="",$D$2=0),0,IF(AO$3&lt;0,0,N(INDEX('CURVA PREVISION'!$A$1:$KZ$3000,$C61,11+3*MIN(AO$3,$D$2-1)))))</f>
        <v>99.53</v>
      </c>
      <c r="AP61" s="131" t="n">
        <f aca="false">IF(OR($C61="",$B$2="",$D$2=0),0,IF(AP$3&lt;0,0,N(INDEX('CURVA PREVISION'!$A$1:$KZ$3000,$C61,11+3*MIN(AP$3,$D$2-1)))))</f>
        <v>99.53</v>
      </c>
      <c r="AQ61" s="131" t="n">
        <f aca="false">IF(OR($C61="",$B$2="",$D$2=0),0,IF(AQ$3&lt;0,0,N(INDEX('CURVA PREVISION'!$A$1:$KZ$3000,$C61,11+3*MIN(AQ$3,$D$2-1)))))</f>
        <v>99.53</v>
      </c>
      <c r="AR61" s="131" t="n">
        <f aca="false">IF(OR($C61="",$B$2="",$D$2=0),0,IF(AR$3&lt;0,0,N(INDEX('CURVA PREVISION'!$A$1:$KZ$3000,$C61,11+3*MIN(AR$3,$D$2-1)))))</f>
        <v>99.53</v>
      </c>
      <c r="AS61" s="131" t="n">
        <f aca="false">IF(OR($C61="",$B$2="",$D$2=0),0,IF(AS$3&lt;0,0,N(INDEX('CURVA PREVISION'!$A$1:$KZ$3000,$C61,11+3*MIN(AS$3,$D$2-1)))))</f>
        <v>99.53</v>
      </c>
      <c r="AT61" s="131" t="n">
        <f aca="false">IF(OR($C61="",$B$2="",$D$2=0),0,IF(AT$3&lt;0,0,N(INDEX('CURVA PREVISION'!$A$1:$KZ$3000,$C61,11+3*MIN(AT$3,$D$2-1)))))</f>
        <v>99.53</v>
      </c>
      <c r="AU61" s="131" t="n">
        <f aca="false">IF(OR($C61="",$B$2="",$D$2=0),0,IF(AU$3&lt;0,0,N(INDEX('CURVA PREVISION'!$A$1:$KZ$3000,$C61,11+3*MIN(AU$3,$D$2-1)))))</f>
        <v>99.53</v>
      </c>
      <c r="AV61" s="131" t="n">
        <f aca="false">IF(OR($C61="",$B$2="",$D$2=0),0,IF(AV$3&lt;0,0,N(INDEX('CURVA PREVISION'!$A$1:$KZ$3000,$C61,11+3*MIN(AV$3,$D$2-1)))))</f>
        <v>99.53</v>
      </c>
      <c r="AW61" s="131" t="n">
        <f aca="false">IF(OR($C61="",$B$2="",$D$2=0),0,IF(AW$3&lt;0,0,N(INDEX('CURVA PREVISION'!$A$1:$KZ$3000,$C61,11+3*MIN(AW$3,$D$2-1)))))</f>
        <v>99.53</v>
      </c>
      <c r="AX61" s="131" t="n">
        <f aca="false">IF(OR($C61="",$B$2="",$D$2=0),0,IF(AX$3&lt;0,0,N(INDEX('CURVA PREVISION'!$A$1:$KZ$3000,$C61,11+3*MIN(AX$3,$D$2-1)))))</f>
        <v>99.53</v>
      </c>
      <c r="AY61" s="131" t="n">
        <f aca="false">IF(OR($C61="",$B$2="",$D$2=0),0,IF(AY$3&lt;0,0,N(INDEX('CURVA PREVISION'!$A$1:$KZ$3000,$C61,11+3*MIN(AY$3,$D$2-1)))))</f>
        <v>99.53</v>
      </c>
      <c r="AZ61" s="131" t="n">
        <f aca="false">IF(OR($C61="",$B$2="",$D$2=0),0,IF(AZ$3&lt;0,0,N(INDEX('CURVA PREVISION'!$A$1:$KZ$3000,$C61,11+3*MIN(AZ$3,$D$2-1)))))</f>
        <v>99.53</v>
      </c>
      <c r="BA61" s="131" t="n">
        <f aca="false">IF(OR($C61="",$B$2="",$D$2=0),0,IF(BA$3&lt;0,0,N(INDEX('CURVA PREVISION'!$A$1:$KZ$3000,$C61,11+3*MIN(BA$3,$D$2-1)))))</f>
        <v>99.53</v>
      </c>
      <c r="BB61" s="131" t="n">
        <f aca="false">IF(OR($C61="",$B$2="",$D$2=0),0,IF(BB$3&lt;0,0,N(INDEX('CURVA PREVISION'!$A$1:$KZ$3000,$C61,11+3*MIN(BB$3,$D$2-1)))))</f>
        <v>99.53</v>
      </c>
      <c r="BC61" s="131" t="n">
        <f aca="false">IF(OR($C61="",$B$2="",$D$2=0),0,IF(BC$3&lt;0,0,N(INDEX('CURVA PREVISION'!$A$1:$KZ$3000,$C61,11+3*MIN(BC$3,$D$2-1)))))</f>
        <v>99.53</v>
      </c>
      <c r="BD61" s="131" t="n">
        <f aca="false">IF(OR($C61="",$B$2="",$D$2=0),0,IF(BD$3&lt;0,0,N(INDEX('CURVA PREVISION'!$A$1:$KZ$3000,$C61,11+3*MIN(BD$3,$D$2-1)))))</f>
        <v>99.53</v>
      </c>
      <c r="BE61" s="131" t="n">
        <f aca="false">IF(OR($C61="",$B$2="",$D$2=0),0,IF(BE$3&lt;0,0,N(INDEX('CURVA PREVISION'!$A$1:$KZ$3000,$C61,11+3*MIN(BE$3,$D$2-1)))))</f>
        <v>99.53</v>
      </c>
      <c r="BF61" s="131" t="n">
        <f aca="false">IF(OR($C61="",$B$2="",$D$2=0),0,IF(BF$3&lt;0,0,N(INDEX('CURVA PREVISION'!$A$1:$KZ$3000,$C61,11+3*MIN(BF$3,$D$2-1)))))</f>
        <v>99.53</v>
      </c>
      <c r="BG61" s="131" t="n">
        <f aca="false">IF(OR($C61="",$B$2="",$D$2=0),0,IF(BG$3&lt;0,0,N(INDEX('CURVA PREVISION'!$A$1:$KZ$3000,$C61,11+3*MIN(BG$3,$D$2-1)))))</f>
        <v>99.53</v>
      </c>
      <c r="BH61" s="131" t="n">
        <f aca="false">IF(OR($C61="",$B$2="",$D$2=0),0,IF(BH$3&lt;0,0,N(INDEX('CURVA PREVISION'!$A$1:$KZ$3000,$C61,11+3*MIN(BH$3,$D$2-1)))))</f>
        <v>99.53</v>
      </c>
      <c r="BI61" s="131" t="n">
        <f aca="false">IF(OR($C61="",$B$2="",$D$2=0),0,IF(BI$3&lt;0,0,N(INDEX('CURVA PREVISION'!$A$1:$KZ$3000,$C61,11+3*MIN(BI$3,$D$2-1)))))</f>
        <v>99.53</v>
      </c>
      <c r="BJ61" s="131" t="n">
        <f aca="false">IF(OR($C61="",$B$2="",$D$2=0),0,IF(BJ$3&lt;0,0,N(INDEX('CURVA PREVISION'!$A$1:$KZ$3000,$C61,11+3*MIN(BJ$3,$D$2-1)))))</f>
        <v>99.53</v>
      </c>
      <c r="BK61" s="131" t="n">
        <f aca="false">IF(OR($C61="",$B$2="",$D$2=0),0,IF(BK$3&lt;0,0,N(INDEX('CURVA PREVISION'!$A$1:$KZ$3000,$C61,11+3*MIN(BK$3,$D$2-1)))))</f>
        <v>99.53</v>
      </c>
      <c r="BL61" s="131" t="n">
        <f aca="false">IF(OR($C61="",$B$2="",$D$2=0),0,IF(BL$3&lt;0,0,N(INDEX('CURVA PREVISION'!$A$1:$KZ$3000,$C61,11+3*MIN(BL$3,$D$2-1)))))</f>
        <v>99.53</v>
      </c>
      <c r="BM61" s="131" t="n">
        <f aca="false">IF(OR($C61="",$B$2="",$D$2=0),0,IF(BM$3&lt;0,0,N(INDEX('CURVA PREVISION'!$A$1:$KZ$3000,$C61,11+3*MIN(BM$3,$D$2-1)))))</f>
        <v>99.53</v>
      </c>
      <c r="BN61" s="131" t="n">
        <f aca="false">IF(OR($C61="",$B$2="",$D$2=0),0,IF(BN$3&lt;0,0,N(INDEX('CURVA PREVISION'!$A$1:$KZ$3000,$C61,11+3*MIN(BN$3,$D$2-1)))))</f>
        <v>99.53</v>
      </c>
      <c r="BO61" s="131" t="n">
        <f aca="false">IF(OR($C61="",$B$2="",$D$2=0),0,IF(BO$3&lt;0,0,N(INDEX('CURVA PREVISION'!$A$1:$KZ$3000,$C61,11+3*MIN(BO$3,$D$2-1)))))</f>
        <v>99.53</v>
      </c>
      <c r="BP61" s="131" t="n">
        <f aca="false">IF(OR($C61="",$B$2="",$D$2=0),0,IF(BP$3&lt;0,0,N(INDEX('CURVA PREVISION'!$A$1:$KZ$3000,$C61,11+3*MIN(BP$3,$D$2-1)))))</f>
        <v>99.53</v>
      </c>
      <c r="BQ61" s="131" t="n">
        <f aca="false">IF(OR($C61="",$B$2="",$D$2=0),0,IF(BQ$3&lt;0,0,N(INDEX('CURVA PREVISION'!$A$1:$KZ$3000,$C61,11+3*MIN(BQ$3,$D$2-1)))))</f>
        <v>99.53</v>
      </c>
      <c r="BR61" s="131" t="n">
        <f aca="false">IF(OR($C61="",$B$2="",$D$2=0),0,IF(BR$3&lt;0,0,N(INDEX('CURVA PREVISION'!$A$1:$KZ$3000,$C61,11+3*MIN(BR$3,$D$2-1)))))</f>
        <v>99.53</v>
      </c>
      <c r="BS61" s="131" t="n">
        <f aca="false">IF(OR($C61="",$B$2="",$D$2=0),0,IF(BS$3&lt;0,0,N(INDEX('CURVA PREVISION'!$A$1:$KZ$3000,$C61,11+3*MIN(BS$3,$D$2-1)))))</f>
        <v>99.53</v>
      </c>
      <c r="BT61" s="131" t="n">
        <f aca="false">IF(OR($C61="",$B$2="",$D$2=0),0,IF(BT$3&lt;0,0,N(INDEX('CURVA PREVISION'!$A$1:$KZ$3000,$C61,11+3*MIN(BT$3,$D$2-1)))))</f>
        <v>99.53</v>
      </c>
      <c r="BU61" s="131" t="n">
        <f aca="false">IF(OR($C61="",$B$2="",$D$2=0),0,IF(BU$3&lt;0,0,N(INDEX('CURVA PREVISION'!$A$1:$KZ$3000,$C61,11+3*MIN(BU$3,$D$2-1)))))</f>
        <v>99.53</v>
      </c>
      <c r="BV61" s="131" t="n">
        <f aca="false">IF(OR($C61="",$B$2="",$D$2=0),0,IF(BV$3&lt;0,0,N(INDEX('CURVA PREVISION'!$A$1:$KZ$3000,$C61,11+3*MIN(BV$3,$D$2-1)))))</f>
        <v>99.53</v>
      </c>
      <c r="BW61" s="131" t="n">
        <f aca="false">IF(OR($C61="",$B$2="",$D$2=0),0,IF(BW$3&lt;0,0,N(INDEX('CURVA PREVISION'!$A$1:$KZ$3000,$C61,11+3*MIN(BW$3,$D$2-1)))))</f>
        <v>99.53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317</v>
      </c>
      <c r="D62" s="131" t="n">
        <f aca="false">IF(OR($C62="",$B$2="",$D$2=0),0,IF(D$3&lt;0,0,N(INDEX('CURVA PREVISION'!$A$1:$KZ$3000,$C62,11+3*MIN(D$3,$D$2-1)))))</f>
        <v>0</v>
      </c>
      <c r="E62" s="131" t="n">
        <f aca="false">IF(OR($C62="",$B$2="",$D$2=0),0,IF(E$3&lt;0,0,N(INDEX('CURVA PREVISION'!$A$1:$KZ$3000,$C62,11+3*MIN(E$3,$D$2-1)))))</f>
        <v>0</v>
      </c>
      <c r="F62" s="131" t="n">
        <f aca="false">IF(OR($C62="",$B$2="",$D$2=0),0,IF(F$3&lt;0,0,N(INDEX('CURVA PREVISION'!$A$1:$KZ$3000,$C62,11+3*MIN(F$3,$D$2-1)))))</f>
        <v>0</v>
      </c>
      <c r="G62" s="131" t="n">
        <f aca="false">IF(OR($C62="",$B$2="",$D$2=0),0,IF(G$3&lt;0,0,N(INDEX('CURVA PREVISION'!$A$1:$KZ$3000,$C62,11+3*MIN(G$3,$D$2-1)))))</f>
        <v>0</v>
      </c>
      <c r="H62" s="131" t="n">
        <f aca="false">IF(OR($C62="",$B$2="",$D$2=0),0,IF(H$3&lt;0,0,N(INDEX('CURVA PREVISION'!$A$1:$KZ$3000,$C62,11+3*MIN(H$3,$D$2-1)))))</f>
        <v>0</v>
      </c>
      <c r="I62" s="131" t="n">
        <f aca="false">IF(OR($C62="",$B$2="",$D$2=0),0,IF(I$3&lt;0,0,N(INDEX('CURVA PREVISION'!$A$1:$KZ$3000,$C62,11+3*MIN(I$3,$D$2-1)))))</f>
        <v>0</v>
      </c>
      <c r="J62" s="131" t="n">
        <f aca="false">IF(OR($C62="",$B$2="",$D$2=0),0,IF(J$3&lt;0,0,N(INDEX('CURVA PREVISION'!$A$1:$KZ$3000,$C62,11+3*MIN(J$3,$D$2-1)))))</f>
        <v>0</v>
      </c>
      <c r="K62" s="131" t="n">
        <f aca="false">IF(OR($C62="",$B$2="",$D$2=0),0,IF(K$3&lt;0,0,N(INDEX('CURVA PREVISION'!$A$1:$KZ$3000,$C62,11+3*MIN(K$3,$D$2-1)))))</f>
        <v>0</v>
      </c>
      <c r="L62" s="131" t="n">
        <f aca="false">IF(OR($C62="",$B$2="",$D$2=0),0,IF(L$3&lt;0,0,N(INDEX('CURVA PREVISION'!$A$1:$KZ$3000,$C62,11+3*MIN(L$3,$D$2-1)))))</f>
        <v>0</v>
      </c>
      <c r="M62" s="131" t="n">
        <f aca="false">IF(OR($C62="",$B$2="",$D$2=0),0,IF(M$3&lt;0,0,N(INDEX('CURVA PREVISION'!$A$1:$KZ$3000,$C62,11+3*MIN(M$3,$D$2-1)))))</f>
        <v>0</v>
      </c>
      <c r="N62" s="131" t="n">
        <f aca="false">IF(OR($C62="",$B$2="",$D$2=0),0,IF(N$3&lt;0,0,N(INDEX('CURVA PREVISION'!$A$1:$KZ$3000,$C62,11+3*MIN(N$3,$D$2-1)))))</f>
        <v>0</v>
      </c>
      <c r="O62" s="131" t="n">
        <f aca="false">IF(OR($C62="",$B$2="",$D$2=0),0,IF(O$3&lt;0,0,N(INDEX('CURVA PREVISION'!$A$1:$KZ$3000,$C62,11+3*MIN(O$3,$D$2-1)))))</f>
        <v>0</v>
      </c>
      <c r="P62" s="131" t="n">
        <f aca="false">IF(OR($C62="",$B$2="",$D$2=0),0,IF(P$3&lt;0,0,N(INDEX('CURVA PREVISION'!$A$1:$KZ$3000,$C62,11+3*MIN(P$3,$D$2-1)))))</f>
        <v>0</v>
      </c>
      <c r="Q62" s="131" t="n">
        <f aca="false">IF(OR($C62="",$B$2="",$D$2=0),0,IF(Q$3&lt;0,0,N(INDEX('CURVA PREVISION'!$A$1:$KZ$3000,$C62,11+3*MIN(Q$3,$D$2-1)))))</f>
        <v>0</v>
      </c>
      <c r="R62" s="131" t="n">
        <f aca="false">IF(OR($C62="",$B$2="",$D$2=0),0,IF(R$3&lt;0,0,N(INDEX('CURVA PREVISION'!$A$1:$KZ$3000,$C62,11+3*MIN(R$3,$D$2-1)))))</f>
        <v>0</v>
      </c>
      <c r="S62" s="131" t="n">
        <f aca="false">IF(OR($C62="",$B$2="",$D$2=0),0,IF(S$3&lt;0,0,N(INDEX('CURVA PREVISION'!$A$1:$KZ$3000,$C62,11+3*MIN(S$3,$D$2-1)))))</f>
        <v>0</v>
      </c>
      <c r="T62" s="131" t="n">
        <f aca="false">IF(OR($C62="",$B$2="",$D$2=0),0,IF(T$3&lt;0,0,N(INDEX('CURVA PREVISION'!$A$1:$KZ$3000,$C62,11+3*MIN(T$3,$D$2-1)))))</f>
        <v>9.03</v>
      </c>
      <c r="U62" s="131" t="n">
        <f aca="false">IF(OR($C62="",$B$2="",$D$2=0),0,IF(U$3&lt;0,0,N(INDEX('CURVA PREVISION'!$A$1:$KZ$3000,$C62,11+3*MIN(U$3,$D$2-1)))))</f>
        <v>36.07</v>
      </c>
      <c r="V62" s="131" t="n">
        <f aca="false">IF(OR($C62="",$B$2="",$D$2=0),0,IF(V$3&lt;0,0,N(INDEX('CURVA PREVISION'!$A$1:$KZ$3000,$C62,11+3*MIN(V$3,$D$2-1)))))</f>
        <v>66.15</v>
      </c>
      <c r="W62" s="131" t="n">
        <f aca="false">IF(OR($C62="",$B$2="",$D$2=0),0,IF(W$3&lt;0,0,N(INDEX('CURVA PREVISION'!$A$1:$KZ$3000,$C62,11+3*MIN(W$3,$D$2-1)))))</f>
        <v>76.66</v>
      </c>
      <c r="X62" s="131" t="n">
        <f aca="false">IF(OR($C62="",$B$2="",$D$2=0),0,IF(X$3&lt;0,0,N(INDEX('CURVA PREVISION'!$A$1:$KZ$3000,$C62,11+3*MIN(X$3,$D$2-1)))))</f>
        <v>76.66</v>
      </c>
      <c r="Y62" s="131" t="n">
        <f aca="false">IF(OR($C62="",$B$2="",$D$2=0),0,IF(Y$3&lt;0,0,N(INDEX('CURVA PREVISION'!$A$1:$KZ$3000,$C62,11+3*MIN(Y$3,$D$2-1)))))</f>
        <v>76.66</v>
      </c>
      <c r="Z62" s="131" t="n">
        <f aca="false">IF(OR($C62="",$B$2="",$D$2=0),0,IF(Z$3&lt;0,0,N(INDEX('CURVA PREVISION'!$A$1:$KZ$3000,$C62,11+3*MIN(Z$3,$D$2-1)))))</f>
        <v>76.66</v>
      </c>
      <c r="AA62" s="131" t="n">
        <f aca="false">IF(OR($C62="",$B$2="",$D$2=0),0,IF(AA$3&lt;0,0,N(INDEX('CURVA PREVISION'!$A$1:$KZ$3000,$C62,11+3*MIN(AA$3,$D$2-1)))))</f>
        <v>76.66</v>
      </c>
      <c r="AB62" s="131" t="n">
        <f aca="false">IF(OR($C62="",$B$2="",$D$2=0),0,IF(AB$3&lt;0,0,N(INDEX('CURVA PREVISION'!$A$1:$KZ$3000,$C62,11+3*MIN(AB$3,$D$2-1)))))</f>
        <v>76.66</v>
      </c>
      <c r="AC62" s="131" t="n">
        <f aca="false">IF(OR($C62="",$B$2="",$D$2=0),0,IF(AC$3&lt;0,0,N(INDEX('CURVA PREVISION'!$A$1:$KZ$3000,$C62,11+3*MIN(AC$3,$D$2-1)))))</f>
        <v>76.66</v>
      </c>
      <c r="AD62" s="131" t="n">
        <f aca="false">IF(OR($C62="",$B$2="",$D$2=0),0,IF(AD$3&lt;0,0,N(INDEX('CURVA PREVISION'!$A$1:$KZ$3000,$C62,11+3*MIN(AD$3,$D$2-1)))))</f>
        <v>76.66</v>
      </c>
      <c r="AE62" s="131" t="n">
        <f aca="false">IF(OR($C62="",$B$2="",$D$2=0),0,IF(AE$3&lt;0,0,N(INDEX('CURVA PREVISION'!$A$1:$KZ$3000,$C62,11+3*MIN(AE$3,$D$2-1)))))</f>
        <v>76.66</v>
      </c>
      <c r="AF62" s="131" t="n">
        <f aca="false">IF(OR($C62="",$B$2="",$D$2=0),0,IF(AF$3&lt;0,0,N(INDEX('CURVA PREVISION'!$A$1:$KZ$3000,$C62,11+3*MIN(AF$3,$D$2-1)))))</f>
        <v>76.66</v>
      </c>
      <c r="AG62" s="131" t="n">
        <f aca="false">IF(OR($C62="",$B$2="",$D$2=0),0,IF(AG$3&lt;0,0,N(INDEX('CURVA PREVISION'!$A$1:$KZ$3000,$C62,11+3*MIN(AG$3,$D$2-1)))))</f>
        <v>76.66</v>
      </c>
      <c r="AH62" s="131" t="n">
        <f aca="false">IF(OR($C62="",$B$2="",$D$2=0),0,IF(AH$3&lt;0,0,N(INDEX('CURVA PREVISION'!$A$1:$KZ$3000,$C62,11+3*MIN(AH$3,$D$2-1)))))</f>
        <v>76.66</v>
      </c>
      <c r="AI62" s="131" t="n">
        <f aca="false">IF(OR($C62="",$B$2="",$D$2=0),0,IF(AI$3&lt;0,0,N(INDEX('CURVA PREVISION'!$A$1:$KZ$3000,$C62,11+3*MIN(AI$3,$D$2-1)))))</f>
        <v>76.66</v>
      </c>
      <c r="AJ62" s="131" t="n">
        <f aca="false">IF(OR($C62="",$B$2="",$D$2=0),0,IF(AJ$3&lt;0,0,N(INDEX('CURVA PREVISION'!$A$1:$KZ$3000,$C62,11+3*MIN(AJ$3,$D$2-1)))))</f>
        <v>76.66</v>
      </c>
      <c r="AK62" s="131" t="n">
        <f aca="false">IF(OR($C62="",$B$2="",$D$2=0),0,IF(AK$3&lt;0,0,N(INDEX('CURVA PREVISION'!$A$1:$KZ$3000,$C62,11+3*MIN(AK$3,$D$2-1)))))</f>
        <v>76.66</v>
      </c>
      <c r="AL62" s="131" t="n">
        <f aca="false">IF(OR($C62="",$B$2="",$D$2=0),0,IF(AL$3&lt;0,0,N(INDEX('CURVA PREVISION'!$A$1:$KZ$3000,$C62,11+3*MIN(AL$3,$D$2-1)))))</f>
        <v>76.66</v>
      </c>
      <c r="AM62" s="131" t="n">
        <f aca="false">IF(OR($C62="",$B$2="",$D$2=0),0,IF(AM$3&lt;0,0,N(INDEX('CURVA PREVISION'!$A$1:$KZ$3000,$C62,11+3*MIN(AM$3,$D$2-1)))))</f>
        <v>76.66</v>
      </c>
      <c r="AN62" s="131" t="n">
        <f aca="false">IF(OR($C62="",$B$2="",$D$2=0),0,IF(AN$3&lt;0,0,N(INDEX('CURVA PREVISION'!$A$1:$KZ$3000,$C62,11+3*MIN(AN$3,$D$2-1)))))</f>
        <v>76.66</v>
      </c>
      <c r="AO62" s="131" t="n">
        <f aca="false">IF(OR($C62="",$B$2="",$D$2=0),0,IF(AO$3&lt;0,0,N(INDEX('CURVA PREVISION'!$A$1:$KZ$3000,$C62,11+3*MIN(AO$3,$D$2-1)))))</f>
        <v>76.66</v>
      </c>
      <c r="AP62" s="131" t="n">
        <f aca="false">IF(OR($C62="",$B$2="",$D$2=0),0,IF(AP$3&lt;0,0,N(INDEX('CURVA PREVISION'!$A$1:$KZ$3000,$C62,11+3*MIN(AP$3,$D$2-1)))))</f>
        <v>76.66</v>
      </c>
      <c r="AQ62" s="131" t="n">
        <f aca="false">IF(OR($C62="",$B$2="",$D$2=0),0,IF(AQ$3&lt;0,0,N(INDEX('CURVA PREVISION'!$A$1:$KZ$3000,$C62,11+3*MIN(AQ$3,$D$2-1)))))</f>
        <v>76.66</v>
      </c>
      <c r="AR62" s="131" t="n">
        <f aca="false">IF(OR($C62="",$B$2="",$D$2=0),0,IF(AR$3&lt;0,0,N(INDEX('CURVA PREVISION'!$A$1:$KZ$3000,$C62,11+3*MIN(AR$3,$D$2-1)))))</f>
        <v>76.66</v>
      </c>
      <c r="AS62" s="131" t="n">
        <f aca="false">IF(OR($C62="",$B$2="",$D$2=0),0,IF(AS$3&lt;0,0,N(INDEX('CURVA PREVISION'!$A$1:$KZ$3000,$C62,11+3*MIN(AS$3,$D$2-1)))))</f>
        <v>76.66</v>
      </c>
      <c r="AT62" s="131" t="n">
        <f aca="false">IF(OR($C62="",$B$2="",$D$2=0),0,IF(AT$3&lt;0,0,N(INDEX('CURVA PREVISION'!$A$1:$KZ$3000,$C62,11+3*MIN(AT$3,$D$2-1)))))</f>
        <v>76.66</v>
      </c>
      <c r="AU62" s="131" t="n">
        <f aca="false">IF(OR($C62="",$B$2="",$D$2=0),0,IF(AU$3&lt;0,0,N(INDEX('CURVA PREVISION'!$A$1:$KZ$3000,$C62,11+3*MIN(AU$3,$D$2-1)))))</f>
        <v>76.66</v>
      </c>
      <c r="AV62" s="131" t="n">
        <f aca="false">IF(OR($C62="",$B$2="",$D$2=0),0,IF(AV$3&lt;0,0,N(INDEX('CURVA PREVISION'!$A$1:$KZ$3000,$C62,11+3*MIN(AV$3,$D$2-1)))))</f>
        <v>76.66</v>
      </c>
      <c r="AW62" s="131" t="n">
        <f aca="false">IF(OR($C62="",$B$2="",$D$2=0),0,IF(AW$3&lt;0,0,N(INDEX('CURVA PREVISION'!$A$1:$KZ$3000,$C62,11+3*MIN(AW$3,$D$2-1)))))</f>
        <v>76.66</v>
      </c>
      <c r="AX62" s="131" t="n">
        <f aca="false">IF(OR($C62="",$B$2="",$D$2=0),0,IF(AX$3&lt;0,0,N(INDEX('CURVA PREVISION'!$A$1:$KZ$3000,$C62,11+3*MIN(AX$3,$D$2-1)))))</f>
        <v>76.66</v>
      </c>
      <c r="AY62" s="131" t="n">
        <f aca="false">IF(OR($C62="",$B$2="",$D$2=0),0,IF(AY$3&lt;0,0,N(INDEX('CURVA PREVISION'!$A$1:$KZ$3000,$C62,11+3*MIN(AY$3,$D$2-1)))))</f>
        <v>76.66</v>
      </c>
      <c r="AZ62" s="131" t="n">
        <f aca="false">IF(OR($C62="",$B$2="",$D$2=0),0,IF(AZ$3&lt;0,0,N(INDEX('CURVA PREVISION'!$A$1:$KZ$3000,$C62,11+3*MIN(AZ$3,$D$2-1)))))</f>
        <v>76.66</v>
      </c>
      <c r="BA62" s="131" t="n">
        <f aca="false">IF(OR($C62="",$B$2="",$D$2=0),0,IF(BA$3&lt;0,0,N(INDEX('CURVA PREVISION'!$A$1:$KZ$3000,$C62,11+3*MIN(BA$3,$D$2-1)))))</f>
        <v>76.66</v>
      </c>
      <c r="BB62" s="131" t="n">
        <f aca="false">IF(OR($C62="",$B$2="",$D$2=0),0,IF(BB$3&lt;0,0,N(INDEX('CURVA PREVISION'!$A$1:$KZ$3000,$C62,11+3*MIN(BB$3,$D$2-1)))))</f>
        <v>76.66</v>
      </c>
      <c r="BC62" s="131" t="n">
        <f aca="false">IF(OR($C62="",$B$2="",$D$2=0),0,IF(BC$3&lt;0,0,N(INDEX('CURVA PREVISION'!$A$1:$KZ$3000,$C62,11+3*MIN(BC$3,$D$2-1)))))</f>
        <v>76.66</v>
      </c>
      <c r="BD62" s="131" t="n">
        <f aca="false">IF(OR($C62="",$B$2="",$D$2=0),0,IF(BD$3&lt;0,0,N(INDEX('CURVA PREVISION'!$A$1:$KZ$3000,$C62,11+3*MIN(BD$3,$D$2-1)))))</f>
        <v>76.66</v>
      </c>
      <c r="BE62" s="131" t="n">
        <f aca="false">IF(OR($C62="",$B$2="",$D$2=0),0,IF(BE$3&lt;0,0,N(INDEX('CURVA PREVISION'!$A$1:$KZ$3000,$C62,11+3*MIN(BE$3,$D$2-1)))))</f>
        <v>76.66</v>
      </c>
      <c r="BF62" s="131" t="n">
        <f aca="false">IF(OR($C62="",$B$2="",$D$2=0),0,IF(BF$3&lt;0,0,N(INDEX('CURVA PREVISION'!$A$1:$KZ$3000,$C62,11+3*MIN(BF$3,$D$2-1)))))</f>
        <v>76.66</v>
      </c>
      <c r="BG62" s="131" t="n">
        <f aca="false">IF(OR($C62="",$B$2="",$D$2=0),0,IF(BG$3&lt;0,0,N(INDEX('CURVA PREVISION'!$A$1:$KZ$3000,$C62,11+3*MIN(BG$3,$D$2-1)))))</f>
        <v>76.66</v>
      </c>
      <c r="BH62" s="131" t="n">
        <f aca="false">IF(OR($C62="",$B$2="",$D$2=0),0,IF(BH$3&lt;0,0,N(INDEX('CURVA PREVISION'!$A$1:$KZ$3000,$C62,11+3*MIN(BH$3,$D$2-1)))))</f>
        <v>76.66</v>
      </c>
      <c r="BI62" s="131" t="n">
        <f aca="false">IF(OR($C62="",$B$2="",$D$2=0),0,IF(BI$3&lt;0,0,N(INDEX('CURVA PREVISION'!$A$1:$KZ$3000,$C62,11+3*MIN(BI$3,$D$2-1)))))</f>
        <v>76.66</v>
      </c>
      <c r="BJ62" s="131" t="n">
        <f aca="false">IF(OR($C62="",$B$2="",$D$2=0),0,IF(BJ$3&lt;0,0,N(INDEX('CURVA PREVISION'!$A$1:$KZ$3000,$C62,11+3*MIN(BJ$3,$D$2-1)))))</f>
        <v>76.66</v>
      </c>
      <c r="BK62" s="131" t="n">
        <f aca="false">IF(OR($C62="",$B$2="",$D$2=0),0,IF(BK$3&lt;0,0,N(INDEX('CURVA PREVISION'!$A$1:$KZ$3000,$C62,11+3*MIN(BK$3,$D$2-1)))))</f>
        <v>76.66</v>
      </c>
      <c r="BL62" s="131" t="n">
        <f aca="false">IF(OR($C62="",$B$2="",$D$2=0),0,IF(BL$3&lt;0,0,N(INDEX('CURVA PREVISION'!$A$1:$KZ$3000,$C62,11+3*MIN(BL$3,$D$2-1)))))</f>
        <v>76.66</v>
      </c>
      <c r="BM62" s="131" t="n">
        <f aca="false">IF(OR($C62="",$B$2="",$D$2=0),0,IF(BM$3&lt;0,0,N(INDEX('CURVA PREVISION'!$A$1:$KZ$3000,$C62,11+3*MIN(BM$3,$D$2-1)))))</f>
        <v>76.66</v>
      </c>
      <c r="BN62" s="131" t="n">
        <f aca="false">IF(OR($C62="",$B$2="",$D$2=0),0,IF(BN$3&lt;0,0,N(INDEX('CURVA PREVISION'!$A$1:$KZ$3000,$C62,11+3*MIN(BN$3,$D$2-1)))))</f>
        <v>76.66</v>
      </c>
      <c r="BO62" s="131" t="n">
        <f aca="false">IF(OR($C62="",$B$2="",$D$2=0),0,IF(BO$3&lt;0,0,N(INDEX('CURVA PREVISION'!$A$1:$KZ$3000,$C62,11+3*MIN(BO$3,$D$2-1)))))</f>
        <v>76.66</v>
      </c>
      <c r="BP62" s="131" t="n">
        <f aca="false">IF(OR($C62="",$B$2="",$D$2=0),0,IF(BP$3&lt;0,0,N(INDEX('CURVA PREVISION'!$A$1:$KZ$3000,$C62,11+3*MIN(BP$3,$D$2-1)))))</f>
        <v>76.66</v>
      </c>
      <c r="BQ62" s="131" t="n">
        <f aca="false">IF(OR($C62="",$B$2="",$D$2=0),0,IF(BQ$3&lt;0,0,N(INDEX('CURVA PREVISION'!$A$1:$KZ$3000,$C62,11+3*MIN(BQ$3,$D$2-1)))))</f>
        <v>76.66</v>
      </c>
      <c r="BR62" s="131" t="n">
        <f aca="false">IF(OR($C62="",$B$2="",$D$2=0),0,IF(BR$3&lt;0,0,N(INDEX('CURVA PREVISION'!$A$1:$KZ$3000,$C62,11+3*MIN(BR$3,$D$2-1)))))</f>
        <v>76.66</v>
      </c>
      <c r="BS62" s="131" t="n">
        <f aca="false">IF(OR($C62="",$B$2="",$D$2=0),0,IF(BS$3&lt;0,0,N(INDEX('CURVA PREVISION'!$A$1:$KZ$3000,$C62,11+3*MIN(BS$3,$D$2-1)))))</f>
        <v>76.66</v>
      </c>
      <c r="BT62" s="131" t="n">
        <f aca="false">IF(OR($C62="",$B$2="",$D$2=0),0,IF(BT$3&lt;0,0,N(INDEX('CURVA PREVISION'!$A$1:$KZ$3000,$C62,11+3*MIN(BT$3,$D$2-1)))))</f>
        <v>76.66</v>
      </c>
      <c r="BU62" s="131" t="n">
        <f aca="false">IF(OR($C62="",$B$2="",$D$2=0),0,IF(BU$3&lt;0,0,N(INDEX('CURVA PREVISION'!$A$1:$KZ$3000,$C62,11+3*MIN(BU$3,$D$2-1)))))</f>
        <v>76.66</v>
      </c>
      <c r="BV62" s="131" t="n">
        <f aca="false">IF(OR($C62="",$B$2="",$D$2=0),0,IF(BV$3&lt;0,0,N(INDEX('CURVA PREVISION'!$A$1:$KZ$3000,$C62,11+3*MIN(BV$3,$D$2-1)))))</f>
        <v>76.66</v>
      </c>
      <c r="BW62" s="131" t="n">
        <f aca="false">IF(OR($C62="",$B$2="",$D$2=0),0,IF(BW$3&lt;0,0,N(INDEX('CURVA PREVISION'!$A$1:$KZ$3000,$C62,11+3*MIN(BW$3,$D$2-1)))))</f>
        <v>76.66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339</v>
      </c>
      <c r="D63" s="131" t="n">
        <f aca="false">IF(OR($C63="",$B$2="",$D$2=0),0,IF(D$3&lt;0,0,N(INDEX('CURVA PREVISION'!$A$1:$KZ$3000,$C63,11+3*MIN(D$3,$D$2-1)))))</f>
        <v>0</v>
      </c>
      <c r="E63" s="131" t="n">
        <f aca="false">IF(OR($C63="",$B$2="",$D$2=0),0,IF(E$3&lt;0,0,N(INDEX('CURVA PREVISION'!$A$1:$KZ$3000,$C63,11+3*MIN(E$3,$D$2-1)))))</f>
        <v>0</v>
      </c>
      <c r="F63" s="131" t="n">
        <f aca="false">IF(OR($C63="",$B$2="",$D$2=0),0,IF(F$3&lt;0,0,N(INDEX('CURVA PREVISION'!$A$1:$KZ$3000,$C63,11+3*MIN(F$3,$D$2-1)))))</f>
        <v>0</v>
      </c>
      <c r="G63" s="131" t="n">
        <f aca="false">IF(OR($C63="",$B$2="",$D$2=0),0,IF(G$3&lt;0,0,N(INDEX('CURVA PREVISION'!$A$1:$KZ$3000,$C63,11+3*MIN(G$3,$D$2-1)))))</f>
        <v>0</v>
      </c>
      <c r="H63" s="131" t="n">
        <f aca="false">IF(OR($C63="",$B$2="",$D$2=0),0,IF(H$3&lt;0,0,N(INDEX('CURVA PREVISION'!$A$1:$KZ$3000,$C63,11+3*MIN(H$3,$D$2-1)))))</f>
        <v>0</v>
      </c>
      <c r="I63" s="131" t="n">
        <f aca="false">IF(OR($C63="",$B$2="",$D$2=0),0,IF(I$3&lt;0,0,N(INDEX('CURVA PREVISION'!$A$1:$KZ$3000,$C63,11+3*MIN(I$3,$D$2-1)))))</f>
        <v>0</v>
      </c>
      <c r="J63" s="131" t="n">
        <f aca="false">IF(OR($C63="",$B$2="",$D$2=0),0,IF(J$3&lt;0,0,N(INDEX('CURVA PREVISION'!$A$1:$KZ$3000,$C63,11+3*MIN(J$3,$D$2-1)))))</f>
        <v>0</v>
      </c>
      <c r="K63" s="131" t="n">
        <f aca="false">IF(OR($C63="",$B$2="",$D$2=0),0,IF(K$3&lt;0,0,N(INDEX('CURVA PREVISION'!$A$1:$KZ$3000,$C63,11+3*MIN(K$3,$D$2-1)))))</f>
        <v>0</v>
      </c>
      <c r="L63" s="131" t="n">
        <f aca="false">IF(OR($C63="",$B$2="",$D$2=0),0,IF(L$3&lt;0,0,N(INDEX('CURVA PREVISION'!$A$1:$KZ$3000,$C63,11+3*MIN(L$3,$D$2-1)))))</f>
        <v>0</v>
      </c>
      <c r="M63" s="131" t="n">
        <f aca="false">IF(OR($C63="",$B$2="",$D$2=0),0,IF(M$3&lt;0,0,N(INDEX('CURVA PREVISION'!$A$1:$KZ$3000,$C63,11+3*MIN(M$3,$D$2-1)))))</f>
        <v>0</v>
      </c>
      <c r="N63" s="131" t="n">
        <f aca="false">IF(OR($C63="",$B$2="",$D$2=0),0,IF(N$3&lt;0,0,N(INDEX('CURVA PREVISION'!$A$1:$KZ$3000,$C63,11+3*MIN(N$3,$D$2-1)))))</f>
        <v>0</v>
      </c>
      <c r="O63" s="131" t="n">
        <f aca="false">IF(OR($C63="",$B$2="",$D$2=0),0,IF(O$3&lt;0,0,N(INDEX('CURVA PREVISION'!$A$1:$KZ$3000,$C63,11+3*MIN(O$3,$D$2-1)))))</f>
        <v>0</v>
      </c>
      <c r="P63" s="131" t="n">
        <f aca="false">IF(OR($C63="",$B$2="",$D$2=0),0,IF(P$3&lt;0,0,N(INDEX('CURVA PREVISION'!$A$1:$KZ$3000,$C63,11+3*MIN(P$3,$D$2-1)))))</f>
        <v>0</v>
      </c>
      <c r="Q63" s="131" t="n">
        <f aca="false">IF(OR($C63="",$B$2="",$D$2=0),0,IF(Q$3&lt;0,0,N(INDEX('CURVA PREVISION'!$A$1:$KZ$3000,$C63,11+3*MIN(Q$3,$D$2-1)))))</f>
        <v>0</v>
      </c>
      <c r="R63" s="131" t="n">
        <f aca="false">IF(OR($C63="",$B$2="",$D$2=0),0,IF(R$3&lt;0,0,N(INDEX('CURVA PREVISION'!$A$1:$KZ$3000,$C63,11+3*MIN(R$3,$D$2-1)))))</f>
        <v>0</v>
      </c>
      <c r="S63" s="131" t="n">
        <f aca="false">IF(OR($C63="",$B$2="",$D$2=0),0,IF(S$3&lt;0,0,N(INDEX('CURVA PREVISION'!$A$1:$KZ$3000,$C63,11+3*MIN(S$3,$D$2-1)))))</f>
        <v>0</v>
      </c>
      <c r="T63" s="131" t="n">
        <f aca="false">IF(OR($C63="",$B$2="",$D$2=0),0,IF(T$3&lt;0,0,N(INDEX('CURVA PREVISION'!$A$1:$KZ$3000,$C63,11+3*MIN(T$3,$D$2-1)))))</f>
        <v>0</v>
      </c>
      <c r="U63" s="131" t="n">
        <f aca="false">IF(OR($C63="",$B$2="",$D$2=0),0,IF(U$3&lt;0,0,N(INDEX('CURVA PREVISION'!$A$1:$KZ$3000,$C63,11+3*MIN(U$3,$D$2-1)))))</f>
        <v>0</v>
      </c>
      <c r="V63" s="131" t="n">
        <f aca="false">IF(OR($C63="",$B$2="",$D$2=0),0,IF(V$3&lt;0,0,N(INDEX('CURVA PREVISION'!$A$1:$KZ$3000,$C63,11+3*MIN(V$3,$D$2-1)))))</f>
        <v>0.7</v>
      </c>
      <c r="W63" s="131" t="n">
        <f aca="false">IF(OR($C63="",$B$2="",$D$2=0),0,IF(W$3&lt;0,0,N(INDEX('CURVA PREVISION'!$A$1:$KZ$3000,$C63,11+3*MIN(W$3,$D$2-1)))))</f>
        <v>3.16</v>
      </c>
      <c r="X63" s="131" t="n">
        <f aca="false">IF(OR($C63="",$B$2="",$D$2=0),0,IF(X$3&lt;0,0,N(INDEX('CURVA PREVISION'!$A$1:$KZ$3000,$C63,11+3*MIN(X$3,$D$2-1)))))</f>
        <v>8.07</v>
      </c>
      <c r="Y63" s="131" t="n">
        <f aca="false">IF(OR($C63="",$B$2="",$D$2=0),0,IF(Y$3&lt;0,0,N(INDEX('CURVA PREVISION'!$A$1:$KZ$3000,$C63,11+3*MIN(Y$3,$D$2-1)))))</f>
        <v>9.65</v>
      </c>
      <c r="Z63" s="131" t="n">
        <f aca="false">IF(OR($C63="",$B$2="",$D$2=0),0,IF(Z$3&lt;0,0,N(INDEX('CURVA PREVISION'!$A$1:$KZ$3000,$C63,11+3*MIN(Z$3,$D$2-1)))))</f>
        <v>9.65</v>
      </c>
      <c r="AA63" s="131" t="n">
        <f aca="false">IF(OR($C63="",$B$2="",$D$2=0),0,IF(AA$3&lt;0,0,N(INDEX('CURVA PREVISION'!$A$1:$KZ$3000,$C63,11+3*MIN(AA$3,$D$2-1)))))</f>
        <v>9.65</v>
      </c>
      <c r="AB63" s="131" t="n">
        <f aca="false">IF(OR($C63="",$B$2="",$D$2=0),0,IF(AB$3&lt;0,0,N(INDEX('CURVA PREVISION'!$A$1:$KZ$3000,$C63,11+3*MIN(AB$3,$D$2-1)))))</f>
        <v>9.65</v>
      </c>
      <c r="AC63" s="131" t="n">
        <f aca="false">IF(OR($C63="",$B$2="",$D$2=0),0,IF(AC$3&lt;0,0,N(INDEX('CURVA PREVISION'!$A$1:$KZ$3000,$C63,11+3*MIN(AC$3,$D$2-1)))))</f>
        <v>9.65</v>
      </c>
      <c r="AD63" s="131" t="n">
        <f aca="false">IF(OR($C63="",$B$2="",$D$2=0),0,IF(AD$3&lt;0,0,N(INDEX('CURVA PREVISION'!$A$1:$KZ$3000,$C63,11+3*MIN(AD$3,$D$2-1)))))</f>
        <v>9.65</v>
      </c>
      <c r="AE63" s="131" t="n">
        <f aca="false">IF(OR($C63="",$B$2="",$D$2=0),0,IF(AE$3&lt;0,0,N(INDEX('CURVA PREVISION'!$A$1:$KZ$3000,$C63,11+3*MIN(AE$3,$D$2-1)))))</f>
        <v>9.65</v>
      </c>
      <c r="AF63" s="131" t="n">
        <f aca="false">IF(OR($C63="",$B$2="",$D$2=0),0,IF(AF$3&lt;0,0,N(INDEX('CURVA PREVISION'!$A$1:$KZ$3000,$C63,11+3*MIN(AF$3,$D$2-1)))))</f>
        <v>9.65</v>
      </c>
      <c r="AG63" s="131" t="n">
        <f aca="false">IF(OR($C63="",$B$2="",$D$2=0),0,IF(AG$3&lt;0,0,N(INDEX('CURVA PREVISION'!$A$1:$KZ$3000,$C63,11+3*MIN(AG$3,$D$2-1)))))</f>
        <v>9.65</v>
      </c>
      <c r="AH63" s="131" t="n">
        <f aca="false">IF(OR($C63="",$B$2="",$D$2=0),0,IF(AH$3&lt;0,0,N(INDEX('CURVA PREVISION'!$A$1:$KZ$3000,$C63,11+3*MIN(AH$3,$D$2-1)))))</f>
        <v>9.65</v>
      </c>
      <c r="AI63" s="131" t="n">
        <f aca="false">IF(OR($C63="",$B$2="",$D$2=0),0,IF(AI$3&lt;0,0,N(INDEX('CURVA PREVISION'!$A$1:$KZ$3000,$C63,11+3*MIN(AI$3,$D$2-1)))))</f>
        <v>9.65</v>
      </c>
      <c r="AJ63" s="131" t="n">
        <f aca="false">IF(OR($C63="",$B$2="",$D$2=0),0,IF(AJ$3&lt;0,0,N(INDEX('CURVA PREVISION'!$A$1:$KZ$3000,$C63,11+3*MIN(AJ$3,$D$2-1)))))</f>
        <v>9.65</v>
      </c>
      <c r="AK63" s="131" t="n">
        <f aca="false">IF(OR($C63="",$B$2="",$D$2=0),0,IF(AK$3&lt;0,0,N(INDEX('CURVA PREVISION'!$A$1:$KZ$3000,$C63,11+3*MIN(AK$3,$D$2-1)))))</f>
        <v>9.65</v>
      </c>
      <c r="AL63" s="131" t="n">
        <f aca="false">IF(OR($C63="",$B$2="",$D$2=0),0,IF(AL$3&lt;0,0,N(INDEX('CURVA PREVISION'!$A$1:$KZ$3000,$C63,11+3*MIN(AL$3,$D$2-1)))))</f>
        <v>9.65</v>
      </c>
      <c r="AM63" s="131" t="n">
        <f aca="false">IF(OR($C63="",$B$2="",$D$2=0),0,IF(AM$3&lt;0,0,N(INDEX('CURVA PREVISION'!$A$1:$KZ$3000,$C63,11+3*MIN(AM$3,$D$2-1)))))</f>
        <v>9.65</v>
      </c>
      <c r="AN63" s="131" t="n">
        <f aca="false">IF(OR($C63="",$B$2="",$D$2=0),0,IF(AN$3&lt;0,0,N(INDEX('CURVA PREVISION'!$A$1:$KZ$3000,$C63,11+3*MIN(AN$3,$D$2-1)))))</f>
        <v>9.65</v>
      </c>
      <c r="AO63" s="131" t="n">
        <f aca="false">IF(OR($C63="",$B$2="",$D$2=0),0,IF(AO$3&lt;0,0,N(INDEX('CURVA PREVISION'!$A$1:$KZ$3000,$C63,11+3*MIN(AO$3,$D$2-1)))))</f>
        <v>9.65</v>
      </c>
      <c r="AP63" s="131" t="n">
        <f aca="false">IF(OR($C63="",$B$2="",$D$2=0),0,IF(AP$3&lt;0,0,N(INDEX('CURVA PREVISION'!$A$1:$KZ$3000,$C63,11+3*MIN(AP$3,$D$2-1)))))</f>
        <v>9.65</v>
      </c>
      <c r="AQ63" s="131" t="n">
        <f aca="false">IF(OR($C63="",$B$2="",$D$2=0),0,IF(AQ$3&lt;0,0,N(INDEX('CURVA PREVISION'!$A$1:$KZ$3000,$C63,11+3*MIN(AQ$3,$D$2-1)))))</f>
        <v>9.65</v>
      </c>
      <c r="AR63" s="131" t="n">
        <f aca="false">IF(OR($C63="",$B$2="",$D$2=0),0,IF(AR$3&lt;0,0,N(INDEX('CURVA PREVISION'!$A$1:$KZ$3000,$C63,11+3*MIN(AR$3,$D$2-1)))))</f>
        <v>9.65</v>
      </c>
      <c r="AS63" s="131" t="n">
        <f aca="false">IF(OR($C63="",$B$2="",$D$2=0),0,IF(AS$3&lt;0,0,N(INDEX('CURVA PREVISION'!$A$1:$KZ$3000,$C63,11+3*MIN(AS$3,$D$2-1)))))</f>
        <v>9.65</v>
      </c>
      <c r="AT63" s="131" t="n">
        <f aca="false">IF(OR($C63="",$B$2="",$D$2=0),0,IF(AT$3&lt;0,0,N(INDEX('CURVA PREVISION'!$A$1:$KZ$3000,$C63,11+3*MIN(AT$3,$D$2-1)))))</f>
        <v>9.65</v>
      </c>
      <c r="AU63" s="131" t="n">
        <f aca="false">IF(OR($C63="",$B$2="",$D$2=0),0,IF(AU$3&lt;0,0,N(INDEX('CURVA PREVISION'!$A$1:$KZ$3000,$C63,11+3*MIN(AU$3,$D$2-1)))))</f>
        <v>9.65</v>
      </c>
      <c r="AV63" s="131" t="n">
        <f aca="false">IF(OR($C63="",$B$2="",$D$2=0),0,IF(AV$3&lt;0,0,N(INDEX('CURVA PREVISION'!$A$1:$KZ$3000,$C63,11+3*MIN(AV$3,$D$2-1)))))</f>
        <v>9.65</v>
      </c>
      <c r="AW63" s="131" t="n">
        <f aca="false">IF(OR($C63="",$B$2="",$D$2=0),0,IF(AW$3&lt;0,0,N(INDEX('CURVA PREVISION'!$A$1:$KZ$3000,$C63,11+3*MIN(AW$3,$D$2-1)))))</f>
        <v>9.65</v>
      </c>
      <c r="AX63" s="131" t="n">
        <f aca="false">IF(OR($C63="",$B$2="",$D$2=0),0,IF(AX$3&lt;0,0,N(INDEX('CURVA PREVISION'!$A$1:$KZ$3000,$C63,11+3*MIN(AX$3,$D$2-1)))))</f>
        <v>9.65</v>
      </c>
      <c r="AY63" s="131" t="n">
        <f aca="false">IF(OR($C63="",$B$2="",$D$2=0),0,IF(AY$3&lt;0,0,N(INDEX('CURVA PREVISION'!$A$1:$KZ$3000,$C63,11+3*MIN(AY$3,$D$2-1)))))</f>
        <v>9.65</v>
      </c>
      <c r="AZ63" s="131" t="n">
        <f aca="false">IF(OR($C63="",$B$2="",$D$2=0),0,IF(AZ$3&lt;0,0,N(INDEX('CURVA PREVISION'!$A$1:$KZ$3000,$C63,11+3*MIN(AZ$3,$D$2-1)))))</f>
        <v>9.65</v>
      </c>
      <c r="BA63" s="131" t="n">
        <f aca="false">IF(OR($C63="",$B$2="",$D$2=0),0,IF(BA$3&lt;0,0,N(INDEX('CURVA PREVISION'!$A$1:$KZ$3000,$C63,11+3*MIN(BA$3,$D$2-1)))))</f>
        <v>9.65</v>
      </c>
      <c r="BB63" s="131" t="n">
        <f aca="false">IF(OR($C63="",$B$2="",$D$2=0),0,IF(BB$3&lt;0,0,N(INDEX('CURVA PREVISION'!$A$1:$KZ$3000,$C63,11+3*MIN(BB$3,$D$2-1)))))</f>
        <v>9.65</v>
      </c>
      <c r="BC63" s="131" t="n">
        <f aca="false">IF(OR($C63="",$B$2="",$D$2=0),0,IF(BC$3&lt;0,0,N(INDEX('CURVA PREVISION'!$A$1:$KZ$3000,$C63,11+3*MIN(BC$3,$D$2-1)))))</f>
        <v>9.65</v>
      </c>
      <c r="BD63" s="131" t="n">
        <f aca="false">IF(OR($C63="",$B$2="",$D$2=0),0,IF(BD$3&lt;0,0,N(INDEX('CURVA PREVISION'!$A$1:$KZ$3000,$C63,11+3*MIN(BD$3,$D$2-1)))))</f>
        <v>9.65</v>
      </c>
      <c r="BE63" s="131" t="n">
        <f aca="false">IF(OR($C63="",$B$2="",$D$2=0),0,IF(BE$3&lt;0,0,N(INDEX('CURVA PREVISION'!$A$1:$KZ$3000,$C63,11+3*MIN(BE$3,$D$2-1)))))</f>
        <v>9.65</v>
      </c>
      <c r="BF63" s="131" t="n">
        <f aca="false">IF(OR($C63="",$B$2="",$D$2=0),0,IF(BF$3&lt;0,0,N(INDEX('CURVA PREVISION'!$A$1:$KZ$3000,$C63,11+3*MIN(BF$3,$D$2-1)))))</f>
        <v>9.65</v>
      </c>
      <c r="BG63" s="131" t="n">
        <f aca="false">IF(OR($C63="",$B$2="",$D$2=0),0,IF(BG$3&lt;0,0,N(INDEX('CURVA PREVISION'!$A$1:$KZ$3000,$C63,11+3*MIN(BG$3,$D$2-1)))))</f>
        <v>9.65</v>
      </c>
      <c r="BH63" s="131" t="n">
        <f aca="false">IF(OR($C63="",$B$2="",$D$2=0),0,IF(BH$3&lt;0,0,N(INDEX('CURVA PREVISION'!$A$1:$KZ$3000,$C63,11+3*MIN(BH$3,$D$2-1)))))</f>
        <v>9.65</v>
      </c>
      <c r="BI63" s="131" t="n">
        <f aca="false">IF(OR($C63="",$B$2="",$D$2=0),0,IF(BI$3&lt;0,0,N(INDEX('CURVA PREVISION'!$A$1:$KZ$3000,$C63,11+3*MIN(BI$3,$D$2-1)))))</f>
        <v>9.65</v>
      </c>
      <c r="BJ63" s="131" t="n">
        <f aca="false">IF(OR($C63="",$B$2="",$D$2=0),0,IF(BJ$3&lt;0,0,N(INDEX('CURVA PREVISION'!$A$1:$KZ$3000,$C63,11+3*MIN(BJ$3,$D$2-1)))))</f>
        <v>9.65</v>
      </c>
      <c r="BK63" s="131" t="n">
        <f aca="false">IF(OR($C63="",$B$2="",$D$2=0),0,IF(BK$3&lt;0,0,N(INDEX('CURVA PREVISION'!$A$1:$KZ$3000,$C63,11+3*MIN(BK$3,$D$2-1)))))</f>
        <v>9.65</v>
      </c>
      <c r="BL63" s="131" t="n">
        <f aca="false">IF(OR($C63="",$B$2="",$D$2=0),0,IF(BL$3&lt;0,0,N(INDEX('CURVA PREVISION'!$A$1:$KZ$3000,$C63,11+3*MIN(BL$3,$D$2-1)))))</f>
        <v>9.65</v>
      </c>
      <c r="BM63" s="131" t="n">
        <f aca="false">IF(OR($C63="",$B$2="",$D$2=0),0,IF(BM$3&lt;0,0,N(INDEX('CURVA PREVISION'!$A$1:$KZ$3000,$C63,11+3*MIN(BM$3,$D$2-1)))))</f>
        <v>9.65</v>
      </c>
      <c r="BN63" s="131" t="n">
        <f aca="false">IF(OR($C63="",$B$2="",$D$2=0),0,IF(BN$3&lt;0,0,N(INDEX('CURVA PREVISION'!$A$1:$KZ$3000,$C63,11+3*MIN(BN$3,$D$2-1)))))</f>
        <v>9.65</v>
      </c>
      <c r="BO63" s="131" t="n">
        <f aca="false">IF(OR($C63="",$B$2="",$D$2=0),0,IF(BO$3&lt;0,0,N(INDEX('CURVA PREVISION'!$A$1:$KZ$3000,$C63,11+3*MIN(BO$3,$D$2-1)))))</f>
        <v>9.65</v>
      </c>
      <c r="BP63" s="131" t="n">
        <f aca="false">IF(OR($C63="",$B$2="",$D$2=0),0,IF(BP$3&lt;0,0,N(INDEX('CURVA PREVISION'!$A$1:$KZ$3000,$C63,11+3*MIN(BP$3,$D$2-1)))))</f>
        <v>9.65</v>
      </c>
      <c r="BQ63" s="131" t="n">
        <f aca="false">IF(OR($C63="",$B$2="",$D$2=0),0,IF(BQ$3&lt;0,0,N(INDEX('CURVA PREVISION'!$A$1:$KZ$3000,$C63,11+3*MIN(BQ$3,$D$2-1)))))</f>
        <v>9.65</v>
      </c>
      <c r="BR63" s="131" t="n">
        <f aca="false">IF(OR($C63="",$B$2="",$D$2=0),0,IF(BR$3&lt;0,0,N(INDEX('CURVA PREVISION'!$A$1:$KZ$3000,$C63,11+3*MIN(BR$3,$D$2-1)))))</f>
        <v>9.65</v>
      </c>
      <c r="BS63" s="131" t="n">
        <f aca="false">IF(OR($C63="",$B$2="",$D$2=0),0,IF(BS$3&lt;0,0,N(INDEX('CURVA PREVISION'!$A$1:$KZ$3000,$C63,11+3*MIN(BS$3,$D$2-1)))))</f>
        <v>9.65</v>
      </c>
      <c r="BT63" s="131" t="n">
        <f aca="false">IF(OR($C63="",$B$2="",$D$2=0),0,IF(BT$3&lt;0,0,N(INDEX('CURVA PREVISION'!$A$1:$KZ$3000,$C63,11+3*MIN(BT$3,$D$2-1)))))</f>
        <v>9.65</v>
      </c>
      <c r="BU63" s="131" t="n">
        <f aca="false">IF(OR($C63="",$B$2="",$D$2=0),0,IF(BU$3&lt;0,0,N(INDEX('CURVA PREVISION'!$A$1:$KZ$3000,$C63,11+3*MIN(BU$3,$D$2-1)))))</f>
        <v>9.65</v>
      </c>
      <c r="BV63" s="131" t="n">
        <f aca="false">IF(OR($C63="",$B$2="",$D$2=0),0,IF(BV$3&lt;0,0,N(INDEX('CURVA PREVISION'!$A$1:$KZ$3000,$C63,11+3*MIN(BV$3,$D$2-1)))))</f>
        <v>9.65</v>
      </c>
      <c r="BW63" s="131" t="n">
        <f aca="false">IF(OR($C63="",$B$2="",$D$2=0),0,IF(BW$3&lt;0,0,N(INDEX('CURVA PREVISION'!$A$1:$KZ$3000,$C63,11+3*MIN(BW$3,$D$2-1)))))</f>
        <v>9.65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18</v>
      </c>
      <c r="B64" s="47" t="str">
        <f aca="false">B22</f>
        <v>ALVENARIA</v>
      </c>
      <c r="C64" s="64" t="n">
        <f aca="false">IFERROR(MATCH(A64,'CURVA PREVISION'!$B$1:$B$3000,0),"")</f>
        <v>357</v>
      </c>
      <c r="D64" s="131" t="n">
        <f aca="false">IF(OR($C64="",$B$2="",$D$2=0),0,IF(D$3&lt;0,0,N(INDEX('CURVA PREVISION'!$A$1:$KZ$3000,$C64,11+3*MIN(D$3,$D$2-1)))))</f>
        <v>0</v>
      </c>
      <c r="E64" s="131" t="n">
        <f aca="false">IF(OR($C64="",$B$2="",$D$2=0),0,IF(E$3&lt;0,0,N(INDEX('CURVA PREVISION'!$A$1:$KZ$3000,$C64,11+3*MIN(E$3,$D$2-1)))))</f>
        <v>0</v>
      </c>
      <c r="F64" s="131" t="n">
        <f aca="false">IF(OR($C64="",$B$2="",$D$2=0),0,IF(F$3&lt;0,0,N(INDEX('CURVA PREVISION'!$A$1:$KZ$3000,$C64,11+3*MIN(F$3,$D$2-1)))))</f>
        <v>0</v>
      </c>
      <c r="G64" s="131" t="n">
        <f aca="false">IF(OR($C64="",$B$2="",$D$2=0),0,IF(G$3&lt;0,0,N(INDEX('CURVA PREVISION'!$A$1:$KZ$3000,$C64,11+3*MIN(G$3,$D$2-1)))))</f>
        <v>0</v>
      </c>
      <c r="H64" s="131" t="n">
        <f aca="false">IF(OR($C64="",$B$2="",$D$2=0),0,IF(H$3&lt;0,0,N(INDEX('CURVA PREVISION'!$A$1:$KZ$3000,$C64,11+3*MIN(H$3,$D$2-1)))))</f>
        <v>0</v>
      </c>
      <c r="I64" s="131" t="n">
        <f aca="false">IF(OR($C64="",$B$2="",$D$2=0),0,IF(I$3&lt;0,0,N(INDEX('CURVA PREVISION'!$A$1:$KZ$3000,$C64,11+3*MIN(I$3,$D$2-1)))))</f>
        <v>0</v>
      </c>
      <c r="J64" s="131" t="n">
        <f aca="false">IF(OR($C64="",$B$2="",$D$2=0),0,IF(J$3&lt;0,0,N(INDEX('CURVA PREVISION'!$A$1:$KZ$3000,$C64,11+3*MIN(J$3,$D$2-1)))))</f>
        <v>0</v>
      </c>
      <c r="K64" s="131" t="n">
        <f aca="false">IF(OR($C64="",$B$2="",$D$2=0),0,IF(K$3&lt;0,0,N(INDEX('CURVA PREVISION'!$A$1:$KZ$3000,$C64,11+3*MIN(K$3,$D$2-1)))))</f>
        <v>0</v>
      </c>
      <c r="L64" s="131" t="n">
        <f aca="false">IF(OR($C64="",$B$2="",$D$2=0),0,IF(L$3&lt;0,0,N(INDEX('CURVA PREVISION'!$A$1:$KZ$3000,$C64,11+3*MIN(L$3,$D$2-1)))))</f>
        <v>0</v>
      </c>
      <c r="M64" s="131" t="n">
        <f aca="false">IF(OR($C64="",$B$2="",$D$2=0),0,IF(M$3&lt;0,0,N(INDEX('CURVA PREVISION'!$A$1:$KZ$3000,$C64,11+3*MIN(M$3,$D$2-1)))))</f>
        <v>0</v>
      </c>
      <c r="N64" s="131" t="n">
        <f aca="false">IF(OR($C64="",$B$2="",$D$2=0),0,IF(N$3&lt;0,0,N(INDEX('CURVA PREVISION'!$A$1:$KZ$3000,$C64,11+3*MIN(N$3,$D$2-1)))))</f>
        <v>0</v>
      </c>
      <c r="O64" s="131" t="n">
        <f aca="false">IF(OR($C64="",$B$2="",$D$2=0),0,IF(O$3&lt;0,0,N(INDEX('CURVA PREVISION'!$A$1:$KZ$3000,$C64,11+3*MIN(O$3,$D$2-1)))))</f>
        <v>0</v>
      </c>
      <c r="P64" s="131" t="n">
        <f aca="false">IF(OR($C64="",$B$2="",$D$2=0),0,IF(P$3&lt;0,0,N(INDEX('CURVA PREVISION'!$A$1:$KZ$3000,$C64,11+3*MIN(P$3,$D$2-1)))))</f>
        <v>0</v>
      </c>
      <c r="Q64" s="131" t="n">
        <f aca="false">IF(OR($C64="",$B$2="",$D$2=0),0,IF(Q$3&lt;0,0,N(INDEX('CURVA PREVISION'!$A$1:$KZ$3000,$C64,11+3*MIN(Q$3,$D$2-1)))))</f>
        <v>0</v>
      </c>
      <c r="R64" s="131" t="n">
        <f aca="false">IF(OR($C64="",$B$2="",$D$2=0),0,IF(R$3&lt;0,0,N(INDEX('CURVA PREVISION'!$A$1:$KZ$3000,$C64,11+3*MIN(R$3,$D$2-1)))))</f>
        <v>0</v>
      </c>
      <c r="S64" s="131" t="n">
        <f aca="false">IF(OR($C64="",$B$2="",$D$2=0),0,IF(S$3&lt;0,0,N(INDEX('CURVA PREVISION'!$A$1:$KZ$3000,$C64,11+3*MIN(S$3,$D$2-1)))))</f>
        <v>0</v>
      </c>
      <c r="T64" s="131" t="n">
        <f aca="false">IF(OR($C64="",$B$2="",$D$2=0),0,IF(T$3&lt;0,0,N(INDEX('CURVA PREVISION'!$A$1:$KZ$3000,$C64,11+3*MIN(T$3,$D$2-1)))))</f>
        <v>0</v>
      </c>
      <c r="U64" s="131" t="n">
        <f aca="false">IF(OR($C64="",$B$2="",$D$2=0),0,IF(U$3&lt;0,0,N(INDEX('CURVA PREVISION'!$A$1:$KZ$3000,$C64,11+3*MIN(U$3,$D$2-1)))))</f>
        <v>0</v>
      </c>
      <c r="V64" s="131" t="n">
        <f aca="false">IF(OR($C64="",$B$2="",$D$2=0),0,IF(V$3&lt;0,0,N(INDEX('CURVA PREVISION'!$A$1:$KZ$3000,$C64,11+3*MIN(V$3,$D$2-1)))))</f>
        <v>0</v>
      </c>
      <c r="W64" s="131" t="n">
        <f aca="false">IF(OR($C64="",$B$2="",$D$2=0),0,IF(W$3&lt;0,0,N(INDEX('CURVA PREVISION'!$A$1:$KZ$3000,$C64,11+3*MIN(W$3,$D$2-1)))))</f>
        <v>0</v>
      </c>
      <c r="X64" s="131" t="n">
        <f aca="false">IF(OR($C64="",$B$2="",$D$2=0),0,IF(X$3&lt;0,0,N(INDEX('CURVA PREVISION'!$A$1:$KZ$3000,$C64,11+3*MIN(X$3,$D$2-1)))))</f>
        <v>0</v>
      </c>
      <c r="Y64" s="131" t="n">
        <f aca="false">IF(OR($C64="",$B$2="",$D$2=0),0,IF(Y$3&lt;0,0,N(INDEX('CURVA PREVISION'!$A$1:$KZ$3000,$C64,11+3*MIN(Y$3,$D$2-1)))))</f>
        <v>0</v>
      </c>
      <c r="Z64" s="131" t="n">
        <f aca="false">IF(OR($C64="",$B$2="",$D$2=0),0,IF(Z$3&lt;0,0,N(INDEX('CURVA PREVISION'!$A$1:$KZ$3000,$C64,11+3*MIN(Z$3,$D$2-1)))))</f>
        <v>0</v>
      </c>
      <c r="AA64" s="131" t="n">
        <f aca="false">IF(OR($C64="",$B$2="",$D$2=0),0,IF(AA$3&lt;0,0,N(INDEX('CURVA PREVISION'!$A$1:$KZ$3000,$C64,11+3*MIN(AA$3,$D$2-1)))))</f>
        <v>0</v>
      </c>
      <c r="AB64" s="131" t="n">
        <f aca="false">IF(OR($C64="",$B$2="",$D$2=0),0,IF(AB$3&lt;0,0,N(INDEX('CURVA PREVISION'!$A$1:$KZ$3000,$C64,11+3*MIN(AB$3,$D$2-1)))))</f>
        <v>0</v>
      </c>
      <c r="AC64" s="131" t="n">
        <f aca="false">IF(OR($C64="",$B$2="",$D$2=0),0,IF(AC$3&lt;0,0,N(INDEX('CURVA PREVISION'!$A$1:$KZ$3000,$C64,11+3*MIN(AC$3,$D$2-1)))))</f>
        <v>0</v>
      </c>
      <c r="AD64" s="131" t="n">
        <f aca="false">IF(OR($C64="",$B$2="",$D$2=0),0,IF(AD$3&lt;0,0,N(INDEX('CURVA PREVISION'!$A$1:$KZ$3000,$C64,11+3*MIN(AD$3,$D$2-1)))))</f>
        <v>0</v>
      </c>
      <c r="AE64" s="131" t="n">
        <f aca="false">IF(OR($C64="",$B$2="",$D$2=0),0,IF(AE$3&lt;0,0,N(INDEX('CURVA PREVISION'!$A$1:$KZ$3000,$C64,11+3*MIN(AE$3,$D$2-1)))))</f>
        <v>0</v>
      </c>
      <c r="AF64" s="131" t="n">
        <f aca="false">IF(OR($C64="",$B$2="",$D$2=0),0,IF(AF$3&lt;0,0,N(INDEX('CURVA PREVISION'!$A$1:$KZ$3000,$C64,11+3*MIN(AF$3,$D$2-1)))))</f>
        <v>0</v>
      </c>
      <c r="AG64" s="131" t="n">
        <f aca="false">IF(OR($C64="",$B$2="",$D$2=0),0,IF(AG$3&lt;0,0,N(INDEX('CURVA PREVISION'!$A$1:$KZ$3000,$C64,11+3*MIN(AG$3,$D$2-1)))))</f>
        <v>0</v>
      </c>
      <c r="AH64" s="131" t="n">
        <f aca="false">IF(OR($C64="",$B$2="",$D$2=0),0,IF(AH$3&lt;0,0,N(INDEX('CURVA PREVISION'!$A$1:$KZ$3000,$C64,11+3*MIN(AH$3,$D$2-1)))))</f>
        <v>0</v>
      </c>
      <c r="AI64" s="131" t="n">
        <f aca="false">IF(OR($C64="",$B$2="",$D$2=0),0,IF(AI$3&lt;0,0,N(INDEX('CURVA PREVISION'!$A$1:$KZ$3000,$C64,11+3*MIN(AI$3,$D$2-1)))))</f>
        <v>0</v>
      </c>
      <c r="AJ64" s="131" t="n">
        <f aca="false">IF(OR($C64="",$B$2="",$D$2=0),0,IF(AJ$3&lt;0,0,N(INDEX('CURVA PREVISION'!$A$1:$KZ$3000,$C64,11+3*MIN(AJ$3,$D$2-1)))))</f>
        <v>0</v>
      </c>
      <c r="AK64" s="131" t="n">
        <f aca="false">IF(OR($C64="",$B$2="",$D$2=0),0,IF(AK$3&lt;0,0,N(INDEX('CURVA PREVISION'!$A$1:$KZ$3000,$C64,11+3*MIN(AK$3,$D$2-1)))))</f>
        <v>0</v>
      </c>
      <c r="AL64" s="131" t="n">
        <f aca="false">IF(OR($C64="",$B$2="",$D$2=0),0,IF(AL$3&lt;0,0,N(INDEX('CURVA PREVISION'!$A$1:$KZ$3000,$C64,11+3*MIN(AL$3,$D$2-1)))))</f>
        <v>0</v>
      </c>
      <c r="AM64" s="131" t="n">
        <f aca="false">IF(OR($C64="",$B$2="",$D$2=0),0,IF(AM$3&lt;0,0,N(INDEX('CURVA PREVISION'!$A$1:$KZ$3000,$C64,11+3*MIN(AM$3,$D$2-1)))))</f>
        <v>0</v>
      </c>
      <c r="AN64" s="131" t="n">
        <f aca="false">IF(OR($C64="",$B$2="",$D$2=0),0,IF(AN$3&lt;0,0,N(INDEX('CURVA PREVISION'!$A$1:$KZ$3000,$C64,11+3*MIN(AN$3,$D$2-1)))))</f>
        <v>0</v>
      </c>
      <c r="AO64" s="131" t="n">
        <f aca="false">IF(OR($C64="",$B$2="",$D$2=0),0,IF(AO$3&lt;0,0,N(INDEX('CURVA PREVISION'!$A$1:$KZ$3000,$C64,11+3*MIN(AO$3,$D$2-1)))))</f>
        <v>0</v>
      </c>
      <c r="AP64" s="131" t="n">
        <f aca="false">IF(OR($C64="",$B$2="",$D$2=0),0,IF(AP$3&lt;0,0,N(INDEX('CURVA PREVISION'!$A$1:$KZ$3000,$C64,11+3*MIN(AP$3,$D$2-1)))))</f>
        <v>0</v>
      </c>
      <c r="AQ64" s="131" t="n">
        <f aca="false">IF(OR($C64="",$B$2="",$D$2=0),0,IF(AQ$3&lt;0,0,N(INDEX('CURVA PREVISION'!$A$1:$KZ$3000,$C64,11+3*MIN(AQ$3,$D$2-1)))))</f>
        <v>0</v>
      </c>
      <c r="AR64" s="131" t="n">
        <f aca="false">IF(OR($C64="",$B$2="",$D$2=0),0,IF(AR$3&lt;0,0,N(INDEX('CURVA PREVISION'!$A$1:$KZ$3000,$C64,11+3*MIN(AR$3,$D$2-1)))))</f>
        <v>0</v>
      </c>
      <c r="AS64" s="131" t="n">
        <f aca="false">IF(OR($C64="",$B$2="",$D$2=0),0,IF(AS$3&lt;0,0,N(INDEX('CURVA PREVISION'!$A$1:$KZ$3000,$C64,11+3*MIN(AS$3,$D$2-1)))))</f>
        <v>0</v>
      </c>
      <c r="AT64" s="131" t="n">
        <f aca="false">IF(OR($C64="",$B$2="",$D$2=0),0,IF(AT$3&lt;0,0,N(INDEX('CURVA PREVISION'!$A$1:$KZ$3000,$C64,11+3*MIN(AT$3,$D$2-1)))))</f>
        <v>0</v>
      </c>
      <c r="AU64" s="131" t="n">
        <f aca="false">IF(OR($C64="",$B$2="",$D$2=0),0,IF(AU$3&lt;0,0,N(INDEX('CURVA PREVISION'!$A$1:$KZ$3000,$C64,11+3*MIN(AU$3,$D$2-1)))))</f>
        <v>0</v>
      </c>
      <c r="AV64" s="131" t="n">
        <f aca="false">IF(OR($C64="",$B$2="",$D$2=0),0,IF(AV$3&lt;0,0,N(INDEX('CURVA PREVISION'!$A$1:$KZ$3000,$C64,11+3*MIN(AV$3,$D$2-1)))))</f>
        <v>0</v>
      </c>
      <c r="AW64" s="131" t="n">
        <f aca="false">IF(OR($C64="",$B$2="",$D$2=0),0,IF(AW$3&lt;0,0,N(INDEX('CURVA PREVISION'!$A$1:$KZ$3000,$C64,11+3*MIN(AW$3,$D$2-1)))))</f>
        <v>0</v>
      </c>
      <c r="AX64" s="131" t="n">
        <f aca="false">IF(OR($C64="",$B$2="",$D$2=0),0,IF(AX$3&lt;0,0,N(INDEX('CURVA PREVISION'!$A$1:$KZ$3000,$C64,11+3*MIN(AX$3,$D$2-1)))))</f>
        <v>0</v>
      </c>
      <c r="AY64" s="131" t="n">
        <f aca="false">IF(OR($C64="",$B$2="",$D$2=0),0,IF(AY$3&lt;0,0,N(INDEX('CURVA PREVISION'!$A$1:$KZ$3000,$C64,11+3*MIN(AY$3,$D$2-1)))))</f>
        <v>0</v>
      </c>
      <c r="AZ64" s="131" t="n">
        <f aca="false">IF(OR($C64="",$B$2="",$D$2=0),0,IF(AZ$3&lt;0,0,N(INDEX('CURVA PREVISION'!$A$1:$KZ$3000,$C64,11+3*MIN(AZ$3,$D$2-1)))))</f>
        <v>0</v>
      </c>
      <c r="BA64" s="131" t="n">
        <f aca="false">IF(OR($C64="",$B$2="",$D$2=0),0,IF(BA$3&lt;0,0,N(INDEX('CURVA PREVISION'!$A$1:$KZ$3000,$C64,11+3*MIN(BA$3,$D$2-1)))))</f>
        <v>0</v>
      </c>
      <c r="BB64" s="131" t="n">
        <f aca="false">IF(OR($C64="",$B$2="",$D$2=0),0,IF(BB$3&lt;0,0,N(INDEX('CURVA PREVISION'!$A$1:$KZ$3000,$C64,11+3*MIN(BB$3,$D$2-1)))))</f>
        <v>0</v>
      </c>
      <c r="BC64" s="131" t="n">
        <f aca="false">IF(OR($C64="",$B$2="",$D$2=0),0,IF(BC$3&lt;0,0,N(INDEX('CURVA PREVISION'!$A$1:$KZ$3000,$C64,11+3*MIN(BC$3,$D$2-1)))))</f>
        <v>0</v>
      </c>
      <c r="BD64" s="131" t="n">
        <f aca="false">IF(OR($C64="",$B$2="",$D$2=0),0,IF(BD$3&lt;0,0,N(INDEX('CURVA PREVISION'!$A$1:$KZ$3000,$C64,11+3*MIN(BD$3,$D$2-1)))))</f>
        <v>0</v>
      </c>
      <c r="BE64" s="131" t="n">
        <f aca="false">IF(OR($C64="",$B$2="",$D$2=0),0,IF(BE$3&lt;0,0,N(INDEX('CURVA PREVISION'!$A$1:$KZ$3000,$C64,11+3*MIN(BE$3,$D$2-1)))))</f>
        <v>0</v>
      </c>
      <c r="BF64" s="131" t="n">
        <f aca="false">IF(OR($C64="",$B$2="",$D$2=0),0,IF(BF$3&lt;0,0,N(INDEX('CURVA PREVISION'!$A$1:$KZ$3000,$C64,11+3*MIN(BF$3,$D$2-1)))))</f>
        <v>0</v>
      </c>
      <c r="BG64" s="131" t="n">
        <f aca="false">IF(OR($C64="",$B$2="",$D$2=0),0,IF(BG$3&lt;0,0,N(INDEX('CURVA PREVISION'!$A$1:$KZ$3000,$C64,11+3*MIN(BG$3,$D$2-1)))))</f>
        <v>0</v>
      </c>
      <c r="BH64" s="131" t="n">
        <f aca="false">IF(OR($C64="",$B$2="",$D$2=0),0,IF(BH$3&lt;0,0,N(INDEX('CURVA PREVISION'!$A$1:$KZ$3000,$C64,11+3*MIN(BH$3,$D$2-1)))))</f>
        <v>0</v>
      </c>
      <c r="BI64" s="131" t="n">
        <f aca="false">IF(OR($C64="",$B$2="",$D$2=0),0,IF(BI$3&lt;0,0,N(INDEX('CURVA PREVISION'!$A$1:$KZ$3000,$C64,11+3*MIN(BI$3,$D$2-1)))))</f>
        <v>0</v>
      </c>
      <c r="BJ64" s="131" t="n">
        <f aca="false">IF(OR($C64="",$B$2="",$D$2=0),0,IF(BJ$3&lt;0,0,N(INDEX('CURVA PREVISION'!$A$1:$KZ$3000,$C64,11+3*MIN(BJ$3,$D$2-1)))))</f>
        <v>0</v>
      </c>
      <c r="BK64" s="131" t="n">
        <f aca="false">IF(OR($C64="",$B$2="",$D$2=0),0,IF(BK$3&lt;0,0,N(INDEX('CURVA PREVISION'!$A$1:$KZ$3000,$C64,11+3*MIN(BK$3,$D$2-1)))))</f>
        <v>0</v>
      </c>
      <c r="BL64" s="131" t="n">
        <f aca="false">IF(OR($C64="",$B$2="",$D$2=0),0,IF(BL$3&lt;0,0,N(INDEX('CURVA PREVISION'!$A$1:$KZ$3000,$C64,11+3*MIN(BL$3,$D$2-1)))))</f>
        <v>0</v>
      </c>
      <c r="BM64" s="131" t="n">
        <f aca="false">IF(OR($C64="",$B$2="",$D$2=0),0,IF(BM$3&lt;0,0,N(INDEX('CURVA PREVISION'!$A$1:$KZ$3000,$C64,11+3*MIN(BM$3,$D$2-1)))))</f>
        <v>0</v>
      </c>
      <c r="BN64" s="131" t="n">
        <f aca="false">IF(OR($C64="",$B$2="",$D$2=0),0,IF(BN$3&lt;0,0,N(INDEX('CURVA PREVISION'!$A$1:$KZ$3000,$C64,11+3*MIN(BN$3,$D$2-1)))))</f>
        <v>0</v>
      </c>
      <c r="BO64" s="131" t="n">
        <f aca="false">IF(OR($C64="",$B$2="",$D$2=0),0,IF(BO$3&lt;0,0,N(INDEX('CURVA PREVISION'!$A$1:$KZ$3000,$C64,11+3*MIN(BO$3,$D$2-1)))))</f>
        <v>0</v>
      </c>
      <c r="BP64" s="131" t="n">
        <f aca="false">IF(OR($C64="",$B$2="",$D$2=0),0,IF(BP$3&lt;0,0,N(INDEX('CURVA PREVISION'!$A$1:$KZ$3000,$C64,11+3*MIN(BP$3,$D$2-1)))))</f>
        <v>0</v>
      </c>
      <c r="BQ64" s="131" t="n">
        <f aca="false">IF(OR($C64="",$B$2="",$D$2=0),0,IF(BQ$3&lt;0,0,N(INDEX('CURVA PREVISION'!$A$1:$KZ$3000,$C64,11+3*MIN(BQ$3,$D$2-1)))))</f>
        <v>0</v>
      </c>
      <c r="BR64" s="131" t="n">
        <f aca="false">IF(OR($C64="",$B$2="",$D$2=0),0,IF(BR$3&lt;0,0,N(INDEX('CURVA PREVISION'!$A$1:$KZ$3000,$C64,11+3*MIN(BR$3,$D$2-1)))))</f>
        <v>0</v>
      </c>
      <c r="BS64" s="131" t="n">
        <f aca="false">IF(OR($C64="",$B$2="",$D$2=0),0,IF(BS$3&lt;0,0,N(INDEX('CURVA PREVISION'!$A$1:$KZ$3000,$C64,11+3*MIN(BS$3,$D$2-1)))))</f>
        <v>0</v>
      </c>
      <c r="BT64" s="131" t="n">
        <f aca="false">IF(OR($C64="",$B$2="",$D$2=0),0,IF(BT$3&lt;0,0,N(INDEX('CURVA PREVISION'!$A$1:$KZ$3000,$C64,11+3*MIN(BT$3,$D$2-1)))))</f>
        <v>0</v>
      </c>
      <c r="BU64" s="131" t="n">
        <f aca="false">IF(OR($C64="",$B$2="",$D$2=0),0,IF(BU$3&lt;0,0,N(INDEX('CURVA PREVISION'!$A$1:$KZ$3000,$C64,11+3*MIN(BU$3,$D$2-1)))))</f>
        <v>0</v>
      </c>
      <c r="BV64" s="131" t="n">
        <f aca="false">IF(OR($C64="",$B$2="",$D$2=0),0,IF(BV$3&lt;0,0,N(INDEX('CURVA PREVISION'!$A$1:$KZ$3000,$C64,11+3*MIN(BV$3,$D$2-1)))))</f>
        <v>0</v>
      </c>
      <c r="BW64" s="131" t="n">
        <f aca="false">IF(OR($C64="",$B$2="",$D$2=0),0,IF(BW$3&lt;0,0,N(INDEX('CURVA PREVISION'!$A$1:$KZ$3000,$C64,11+3*MIN(BW$3,$D$2-1)))))</f>
        <v>0</v>
      </c>
    </row>
    <row r="65" customFormat="false" ht="15" hidden="false" customHeight="false" outlineLevel="0" collapsed="false">
      <c r="A65" s="57" t="str">
        <f aca="false">IF('VALOR POR PL'!Q29="",'VALOR POR PL'!C29,'VALOR POR PL'!Q29)</f>
        <v>19</v>
      </c>
      <c r="B65" s="47" t="str">
        <f aca="false">B23</f>
        <v>IMPERMEABILIZAÇÃO</v>
      </c>
      <c r="C65" s="64" t="n">
        <f aca="false">IFERROR(MATCH(A65,'CURVA PREVISION'!$B$1:$B$3000,0),"")</f>
        <v>399</v>
      </c>
      <c r="D65" s="131" t="n">
        <f aca="false">IF(OR($C65="",$B$2="",$D$2=0),0,IF(D$3&lt;0,0,N(INDEX('CURVA PREVISION'!$A$1:$KZ$3000,$C65,11+3*MIN(D$3,$D$2-1)))))</f>
        <v>0</v>
      </c>
      <c r="E65" s="131" t="n">
        <f aca="false">IF(OR($C65="",$B$2="",$D$2=0),0,IF(E$3&lt;0,0,N(INDEX('CURVA PREVISION'!$A$1:$KZ$3000,$C65,11+3*MIN(E$3,$D$2-1)))))</f>
        <v>0</v>
      </c>
      <c r="F65" s="131" t="n">
        <f aca="false">IF(OR($C65="",$B$2="",$D$2=0),0,IF(F$3&lt;0,0,N(INDEX('CURVA PREVISION'!$A$1:$KZ$3000,$C65,11+3*MIN(F$3,$D$2-1)))))</f>
        <v>0</v>
      </c>
      <c r="G65" s="131" t="n">
        <f aca="false">IF(OR($C65="",$B$2="",$D$2=0),0,IF(G$3&lt;0,0,N(INDEX('CURVA PREVISION'!$A$1:$KZ$3000,$C65,11+3*MIN(G$3,$D$2-1)))))</f>
        <v>0</v>
      </c>
      <c r="H65" s="131" t="n">
        <f aca="false">IF(OR($C65="",$B$2="",$D$2=0),0,IF(H$3&lt;0,0,N(INDEX('CURVA PREVISION'!$A$1:$KZ$3000,$C65,11+3*MIN(H$3,$D$2-1)))))</f>
        <v>0</v>
      </c>
      <c r="I65" s="131" t="n">
        <f aca="false">IF(OR($C65="",$B$2="",$D$2=0),0,IF(I$3&lt;0,0,N(INDEX('CURVA PREVISION'!$A$1:$KZ$3000,$C65,11+3*MIN(I$3,$D$2-1)))))</f>
        <v>0</v>
      </c>
      <c r="J65" s="131" t="n">
        <f aca="false">IF(OR($C65="",$B$2="",$D$2=0),0,IF(J$3&lt;0,0,N(INDEX('CURVA PREVISION'!$A$1:$KZ$3000,$C65,11+3*MIN(J$3,$D$2-1)))))</f>
        <v>0</v>
      </c>
      <c r="K65" s="131" t="n">
        <f aca="false">IF(OR($C65="",$B$2="",$D$2=0),0,IF(K$3&lt;0,0,N(INDEX('CURVA PREVISION'!$A$1:$KZ$3000,$C65,11+3*MIN(K$3,$D$2-1)))))</f>
        <v>0</v>
      </c>
      <c r="L65" s="131" t="n">
        <f aca="false">IF(OR($C65="",$B$2="",$D$2=0),0,IF(L$3&lt;0,0,N(INDEX('CURVA PREVISION'!$A$1:$KZ$3000,$C65,11+3*MIN(L$3,$D$2-1)))))</f>
        <v>0</v>
      </c>
      <c r="M65" s="131" t="n">
        <f aca="false">IF(OR($C65="",$B$2="",$D$2=0),0,IF(M$3&lt;0,0,N(INDEX('CURVA PREVISION'!$A$1:$KZ$3000,$C65,11+3*MIN(M$3,$D$2-1)))))</f>
        <v>0</v>
      </c>
      <c r="N65" s="131" t="n">
        <f aca="false">IF(OR($C65="",$B$2="",$D$2=0),0,IF(N$3&lt;0,0,N(INDEX('CURVA PREVISION'!$A$1:$KZ$3000,$C65,11+3*MIN(N$3,$D$2-1)))))</f>
        <v>0</v>
      </c>
      <c r="O65" s="131" t="n">
        <f aca="false">IF(OR($C65="",$B$2="",$D$2=0),0,IF(O$3&lt;0,0,N(INDEX('CURVA PREVISION'!$A$1:$KZ$3000,$C65,11+3*MIN(O$3,$D$2-1)))))</f>
        <v>0</v>
      </c>
      <c r="P65" s="131" t="n">
        <f aca="false">IF(OR($C65="",$B$2="",$D$2=0),0,IF(P$3&lt;0,0,N(INDEX('CURVA PREVISION'!$A$1:$KZ$3000,$C65,11+3*MIN(P$3,$D$2-1)))))</f>
        <v>0</v>
      </c>
      <c r="Q65" s="131" t="n">
        <f aca="false">IF(OR($C65="",$B$2="",$D$2=0),0,IF(Q$3&lt;0,0,N(INDEX('CURVA PREVISION'!$A$1:$KZ$3000,$C65,11+3*MIN(Q$3,$D$2-1)))))</f>
        <v>0</v>
      </c>
      <c r="R65" s="131" t="n">
        <f aca="false">IF(OR($C65="",$B$2="",$D$2=0),0,IF(R$3&lt;0,0,N(INDEX('CURVA PREVISION'!$A$1:$KZ$3000,$C65,11+3*MIN(R$3,$D$2-1)))))</f>
        <v>0</v>
      </c>
      <c r="S65" s="131" t="n">
        <f aca="false">IF(OR($C65="",$B$2="",$D$2=0),0,IF(S$3&lt;0,0,N(INDEX('CURVA PREVISION'!$A$1:$KZ$3000,$C65,11+3*MIN(S$3,$D$2-1)))))</f>
        <v>0</v>
      </c>
      <c r="T65" s="131" t="n">
        <f aca="false">IF(OR($C65="",$B$2="",$D$2=0),0,IF(T$3&lt;0,0,N(INDEX('CURVA PREVISION'!$A$1:$KZ$3000,$C65,11+3*MIN(T$3,$D$2-1)))))</f>
        <v>0</v>
      </c>
      <c r="U65" s="131" t="n">
        <f aca="false">IF(OR($C65="",$B$2="",$D$2=0),0,IF(U$3&lt;0,0,N(INDEX('CURVA PREVISION'!$A$1:$KZ$3000,$C65,11+3*MIN(U$3,$D$2-1)))))</f>
        <v>0</v>
      </c>
      <c r="V65" s="131" t="n">
        <f aca="false">IF(OR($C65="",$B$2="",$D$2=0),0,IF(V$3&lt;0,0,N(INDEX('CURVA PREVISION'!$A$1:$KZ$3000,$C65,11+3*MIN(V$3,$D$2-1)))))</f>
        <v>0</v>
      </c>
      <c r="W65" s="131" t="n">
        <f aca="false">IF(OR($C65="",$B$2="",$D$2=0),0,IF(W$3&lt;0,0,N(INDEX('CURVA PREVISION'!$A$1:$KZ$3000,$C65,11+3*MIN(W$3,$D$2-1)))))</f>
        <v>0</v>
      </c>
      <c r="X65" s="131" t="n">
        <f aca="false">IF(OR($C65="",$B$2="",$D$2=0),0,IF(X$3&lt;0,0,N(INDEX('CURVA PREVISION'!$A$1:$KZ$3000,$C65,11+3*MIN(X$3,$D$2-1)))))</f>
        <v>0</v>
      </c>
      <c r="Y65" s="131" t="n">
        <f aca="false">IF(OR($C65="",$B$2="",$D$2=0),0,IF(Y$3&lt;0,0,N(INDEX('CURVA PREVISION'!$A$1:$KZ$3000,$C65,11+3*MIN(Y$3,$D$2-1)))))</f>
        <v>0</v>
      </c>
      <c r="Z65" s="131" t="n">
        <f aca="false">IF(OR($C65="",$B$2="",$D$2=0),0,IF(Z$3&lt;0,0,N(INDEX('CURVA PREVISION'!$A$1:$KZ$3000,$C65,11+3*MIN(Z$3,$D$2-1)))))</f>
        <v>0</v>
      </c>
      <c r="AA65" s="131" t="n">
        <f aca="false">IF(OR($C65="",$B$2="",$D$2=0),0,IF(AA$3&lt;0,0,N(INDEX('CURVA PREVISION'!$A$1:$KZ$3000,$C65,11+3*MIN(AA$3,$D$2-1)))))</f>
        <v>0</v>
      </c>
      <c r="AB65" s="131" t="n">
        <f aca="false">IF(OR($C65="",$B$2="",$D$2=0),0,IF(AB$3&lt;0,0,N(INDEX('CURVA PREVISION'!$A$1:$KZ$3000,$C65,11+3*MIN(AB$3,$D$2-1)))))</f>
        <v>0</v>
      </c>
      <c r="AC65" s="131" t="n">
        <f aca="false">IF(OR($C65="",$B$2="",$D$2=0),0,IF(AC$3&lt;0,0,N(INDEX('CURVA PREVISION'!$A$1:$KZ$3000,$C65,11+3*MIN(AC$3,$D$2-1)))))</f>
        <v>0</v>
      </c>
      <c r="AD65" s="131" t="n">
        <f aca="false">IF(OR($C65="",$B$2="",$D$2=0),0,IF(AD$3&lt;0,0,N(INDEX('CURVA PREVISION'!$A$1:$KZ$3000,$C65,11+3*MIN(AD$3,$D$2-1)))))</f>
        <v>0</v>
      </c>
      <c r="AE65" s="131" t="n">
        <f aca="false">IF(OR($C65="",$B$2="",$D$2=0),0,IF(AE$3&lt;0,0,N(INDEX('CURVA PREVISION'!$A$1:$KZ$3000,$C65,11+3*MIN(AE$3,$D$2-1)))))</f>
        <v>0</v>
      </c>
      <c r="AF65" s="131" t="n">
        <f aca="false">IF(OR($C65="",$B$2="",$D$2=0),0,IF(AF$3&lt;0,0,N(INDEX('CURVA PREVISION'!$A$1:$KZ$3000,$C65,11+3*MIN(AF$3,$D$2-1)))))</f>
        <v>0</v>
      </c>
      <c r="AG65" s="131" t="n">
        <f aca="false">IF(OR($C65="",$B$2="",$D$2=0),0,IF(AG$3&lt;0,0,N(INDEX('CURVA PREVISION'!$A$1:$KZ$3000,$C65,11+3*MIN(AG$3,$D$2-1)))))</f>
        <v>0</v>
      </c>
      <c r="AH65" s="131" t="n">
        <f aca="false">IF(OR($C65="",$B$2="",$D$2=0),0,IF(AH$3&lt;0,0,N(INDEX('CURVA PREVISION'!$A$1:$KZ$3000,$C65,11+3*MIN(AH$3,$D$2-1)))))</f>
        <v>0</v>
      </c>
      <c r="AI65" s="131" t="n">
        <f aca="false">IF(OR($C65="",$B$2="",$D$2=0),0,IF(AI$3&lt;0,0,N(INDEX('CURVA PREVISION'!$A$1:$KZ$3000,$C65,11+3*MIN(AI$3,$D$2-1)))))</f>
        <v>0</v>
      </c>
      <c r="AJ65" s="131" t="n">
        <f aca="false">IF(OR($C65="",$B$2="",$D$2=0),0,IF(AJ$3&lt;0,0,N(INDEX('CURVA PREVISION'!$A$1:$KZ$3000,$C65,11+3*MIN(AJ$3,$D$2-1)))))</f>
        <v>0</v>
      </c>
      <c r="AK65" s="131" t="n">
        <f aca="false">IF(OR($C65="",$B$2="",$D$2=0),0,IF(AK$3&lt;0,0,N(INDEX('CURVA PREVISION'!$A$1:$KZ$3000,$C65,11+3*MIN(AK$3,$D$2-1)))))</f>
        <v>0</v>
      </c>
      <c r="AL65" s="131" t="n">
        <f aca="false">IF(OR($C65="",$B$2="",$D$2=0),0,IF(AL$3&lt;0,0,N(INDEX('CURVA PREVISION'!$A$1:$KZ$3000,$C65,11+3*MIN(AL$3,$D$2-1)))))</f>
        <v>0</v>
      </c>
      <c r="AM65" s="131" t="n">
        <f aca="false">IF(OR($C65="",$B$2="",$D$2=0),0,IF(AM$3&lt;0,0,N(INDEX('CURVA PREVISION'!$A$1:$KZ$3000,$C65,11+3*MIN(AM$3,$D$2-1)))))</f>
        <v>0</v>
      </c>
      <c r="AN65" s="131" t="n">
        <f aca="false">IF(OR($C65="",$B$2="",$D$2=0),0,IF(AN$3&lt;0,0,N(INDEX('CURVA PREVISION'!$A$1:$KZ$3000,$C65,11+3*MIN(AN$3,$D$2-1)))))</f>
        <v>0</v>
      </c>
      <c r="AO65" s="131" t="n">
        <f aca="false">IF(OR($C65="",$B$2="",$D$2=0),0,IF(AO$3&lt;0,0,N(INDEX('CURVA PREVISION'!$A$1:$KZ$3000,$C65,11+3*MIN(AO$3,$D$2-1)))))</f>
        <v>0</v>
      </c>
      <c r="AP65" s="131" t="n">
        <f aca="false">IF(OR($C65="",$B$2="",$D$2=0),0,IF(AP$3&lt;0,0,N(INDEX('CURVA PREVISION'!$A$1:$KZ$3000,$C65,11+3*MIN(AP$3,$D$2-1)))))</f>
        <v>0</v>
      </c>
      <c r="AQ65" s="131" t="n">
        <f aca="false">IF(OR($C65="",$B$2="",$D$2=0),0,IF(AQ$3&lt;0,0,N(INDEX('CURVA PREVISION'!$A$1:$KZ$3000,$C65,11+3*MIN(AQ$3,$D$2-1)))))</f>
        <v>0</v>
      </c>
      <c r="AR65" s="131" t="n">
        <f aca="false">IF(OR($C65="",$B$2="",$D$2=0),0,IF(AR$3&lt;0,0,N(INDEX('CURVA PREVISION'!$A$1:$KZ$3000,$C65,11+3*MIN(AR$3,$D$2-1)))))</f>
        <v>0</v>
      </c>
      <c r="AS65" s="131" t="n">
        <f aca="false">IF(OR($C65="",$B$2="",$D$2=0),0,IF(AS$3&lt;0,0,N(INDEX('CURVA PREVISION'!$A$1:$KZ$3000,$C65,11+3*MIN(AS$3,$D$2-1)))))</f>
        <v>0</v>
      </c>
      <c r="AT65" s="131" t="n">
        <f aca="false">IF(OR($C65="",$B$2="",$D$2=0),0,IF(AT$3&lt;0,0,N(INDEX('CURVA PREVISION'!$A$1:$KZ$3000,$C65,11+3*MIN(AT$3,$D$2-1)))))</f>
        <v>0</v>
      </c>
      <c r="AU65" s="131" t="n">
        <f aca="false">IF(OR($C65="",$B$2="",$D$2=0),0,IF(AU$3&lt;0,0,N(INDEX('CURVA PREVISION'!$A$1:$KZ$3000,$C65,11+3*MIN(AU$3,$D$2-1)))))</f>
        <v>0</v>
      </c>
      <c r="AV65" s="131" t="n">
        <f aca="false">IF(OR($C65="",$B$2="",$D$2=0),0,IF(AV$3&lt;0,0,N(INDEX('CURVA PREVISION'!$A$1:$KZ$3000,$C65,11+3*MIN(AV$3,$D$2-1)))))</f>
        <v>0</v>
      </c>
      <c r="AW65" s="131" t="n">
        <f aca="false">IF(OR($C65="",$B$2="",$D$2=0),0,IF(AW$3&lt;0,0,N(INDEX('CURVA PREVISION'!$A$1:$KZ$3000,$C65,11+3*MIN(AW$3,$D$2-1)))))</f>
        <v>0</v>
      </c>
      <c r="AX65" s="131" t="n">
        <f aca="false">IF(OR($C65="",$B$2="",$D$2=0),0,IF(AX$3&lt;0,0,N(INDEX('CURVA PREVISION'!$A$1:$KZ$3000,$C65,11+3*MIN(AX$3,$D$2-1)))))</f>
        <v>0</v>
      </c>
      <c r="AY65" s="131" t="n">
        <f aca="false">IF(OR($C65="",$B$2="",$D$2=0),0,IF(AY$3&lt;0,0,N(INDEX('CURVA PREVISION'!$A$1:$KZ$3000,$C65,11+3*MIN(AY$3,$D$2-1)))))</f>
        <v>0</v>
      </c>
      <c r="AZ65" s="131" t="n">
        <f aca="false">IF(OR($C65="",$B$2="",$D$2=0),0,IF(AZ$3&lt;0,0,N(INDEX('CURVA PREVISION'!$A$1:$KZ$3000,$C65,11+3*MIN(AZ$3,$D$2-1)))))</f>
        <v>0</v>
      </c>
      <c r="BA65" s="131" t="n">
        <f aca="false">IF(OR($C65="",$B$2="",$D$2=0),0,IF(BA$3&lt;0,0,N(INDEX('CURVA PREVISION'!$A$1:$KZ$3000,$C65,11+3*MIN(BA$3,$D$2-1)))))</f>
        <v>0</v>
      </c>
      <c r="BB65" s="131" t="n">
        <f aca="false">IF(OR($C65="",$B$2="",$D$2=0),0,IF(BB$3&lt;0,0,N(INDEX('CURVA PREVISION'!$A$1:$KZ$3000,$C65,11+3*MIN(BB$3,$D$2-1)))))</f>
        <v>0</v>
      </c>
      <c r="BC65" s="131" t="n">
        <f aca="false">IF(OR($C65="",$B$2="",$D$2=0),0,IF(BC$3&lt;0,0,N(INDEX('CURVA PREVISION'!$A$1:$KZ$3000,$C65,11+3*MIN(BC$3,$D$2-1)))))</f>
        <v>0</v>
      </c>
      <c r="BD65" s="131" t="n">
        <f aca="false">IF(OR($C65="",$B$2="",$D$2=0),0,IF(BD$3&lt;0,0,N(INDEX('CURVA PREVISION'!$A$1:$KZ$3000,$C65,11+3*MIN(BD$3,$D$2-1)))))</f>
        <v>0</v>
      </c>
      <c r="BE65" s="131" t="n">
        <f aca="false">IF(OR($C65="",$B$2="",$D$2=0),0,IF(BE$3&lt;0,0,N(INDEX('CURVA PREVISION'!$A$1:$KZ$3000,$C65,11+3*MIN(BE$3,$D$2-1)))))</f>
        <v>0</v>
      </c>
      <c r="BF65" s="131" t="n">
        <f aca="false">IF(OR($C65="",$B$2="",$D$2=0),0,IF(BF$3&lt;0,0,N(INDEX('CURVA PREVISION'!$A$1:$KZ$3000,$C65,11+3*MIN(BF$3,$D$2-1)))))</f>
        <v>0</v>
      </c>
      <c r="BG65" s="131" t="n">
        <f aca="false">IF(OR($C65="",$B$2="",$D$2=0),0,IF(BG$3&lt;0,0,N(INDEX('CURVA PREVISION'!$A$1:$KZ$3000,$C65,11+3*MIN(BG$3,$D$2-1)))))</f>
        <v>0</v>
      </c>
      <c r="BH65" s="131" t="n">
        <f aca="false">IF(OR($C65="",$B$2="",$D$2=0),0,IF(BH$3&lt;0,0,N(INDEX('CURVA PREVISION'!$A$1:$KZ$3000,$C65,11+3*MIN(BH$3,$D$2-1)))))</f>
        <v>0</v>
      </c>
      <c r="BI65" s="131" t="n">
        <f aca="false">IF(OR($C65="",$B$2="",$D$2=0),0,IF(BI$3&lt;0,0,N(INDEX('CURVA PREVISION'!$A$1:$KZ$3000,$C65,11+3*MIN(BI$3,$D$2-1)))))</f>
        <v>0</v>
      </c>
      <c r="BJ65" s="131" t="n">
        <f aca="false">IF(OR($C65="",$B$2="",$D$2=0),0,IF(BJ$3&lt;0,0,N(INDEX('CURVA PREVISION'!$A$1:$KZ$3000,$C65,11+3*MIN(BJ$3,$D$2-1)))))</f>
        <v>0</v>
      </c>
      <c r="BK65" s="131" t="n">
        <f aca="false">IF(OR($C65="",$B$2="",$D$2=0),0,IF(BK$3&lt;0,0,N(INDEX('CURVA PREVISION'!$A$1:$KZ$3000,$C65,11+3*MIN(BK$3,$D$2-1)))))</f>
        <v>0</v>
      </c>
      <c r="BL65" s="131" t="n">
        <f aca="false">IF(OR($C65="",$B$2="",$D$2=0),0,IF(BL$3&lt;0,0,N(INDEX('CURVA PREVISION'!$A$1:$KZ$3000,$C65,11+3*MIN(BL$3,$D$2-1)))))</f>
        <v>0</v>
      </c>
      <c r="BM65" s="131" t="n">
        <f aca="false">IF(OR($C65="",$B$2="",$D$2=0),0,IF(BM$3&lt;0,0,N(INDEX('CURVA PREVISION'!$A$1:$KZ$3000,$C65,11+3*MIN(BM$3,$D$2-1)))))</f>
        <v>0</v>
      </c>
      <c r="BN65" s="131" t="n">
        <f aca="false">IF(OR($C65="",$B$2="",$D$2=0),0,IF(BN$3&lt;0,0,N(INDEX('CURVA PREVISION'!$A$1:$KZ$3000,$C65,11+3*MIN(BN$3,$D$2-1)))))</f>
        <v>0</v>
      </c>
      <c r="BO65" s="131" t="n">
        <f aca="false">IF(OR($C65="",$B$2="",$D$2=0),0,IF(BO$3&lt;0,0,N(INDEX('CURVA PREVISION'!$A$1:$KZ$3000,$C65,11+3*MIN(BO$3,$D$2-1)))))</f>
        <v>0</v>
      </c>
      <c r="BP65" s="131" t="n">
        <f aca="false">IF(OR($C65="",$B$2="",$D$2=0),0,IF(BP$3&lt;0,0,N(INDEX('CURVA PREVISION'!$A$1:$KZ$3000,$C65,11+3*MIN(BP$3,$D$2-1)))))</f>
        <v>0</v>
      </c>
      <c r="BQ65" s="131" t="n">
        <f aca="false">IF(OR($C65="",$B$2="",$D$2=0),0,IF(BQ$3&lt;0,0,N(INDEX('CURVA PREVISION'!$A$1:$KZ$3000,$C65,11+3*MIN(BQ$3,$D$2-1)))))</f>
        <v>0</v>
      </c>
      <c r="BR65" s="131" t="n">
        <f aca="false">IF(OR($C65="",$B$2="",$D$2=0),0,IF(BR$3&lt;0,0,N(INDEX('CURVA PREVISION'!$A$1:$KZ$3000,$C65,11+3*MIN(BR$3,$D$2-1)))))</f>
        <v>0</v>
      </c>
      <c r="BS65" s="131" t="n">
        <f aca="false">IF(OR($C65="",$B$2="",$D$2=0),0,IF(BS$3&lt;0,0,N(INDEX('CURVA PREVISION'!$A$1:$KZ$3000,$C65,11+3*MIN(BS$3,$D$2-1)))))</f>
        <v>0</v>
      </c>
      <c r="BT65" s="131" t="n">
        <f aca="false">IF(OR($C65="",$B$2="",$D$2=0),0,IF(BT$3&lt;0,0,N(INDEX('CURVA PREVISION'!$A$1:$KZ$3000,$C65,11+3*MIN(BT$3,$D$2-1)))))</f>
        <v>0</v>
      </c>
      <c r="BU65" s="131" t="n">
        <f aca="false">IF(OR($C65="",$B$2="",$D$2=0),0,IF(BU$3&lt;0,0,N(INDEX('CURVA PREVISION'!$A$1:$KZ$3000,$C65,11+3*MIN(BU$3,$D$2-1)))))</f>
        <v>0</v>
      </c>
      <c r="BV65" s="131" t="n">
        <f aca="false">IF(OR($C65="",$B$2="",$D$2=0),0,IF(BV$3&lt;0,0,N(INDEX('CURVA PREVISION'!$A$1:$KZ$3000,$C65,11+3*MIN(BV$3,$D$2-1)))))</f>
        <v>0</v>
      </c>
      <c r="BW65" s="131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20</v>
      </c>
      <c r="B66" s="47" t="str">
        <f aca="false">B24</f>
        <v>INSTALAÇÕES ELÉTRICAS</v>
      </c>
      <c r="C66" s="64" t="n">
        <f aca="false">IFERROR(MATCH(A66,'CURVA PREVISION'!$B$1:$B$3000,0),"")</f>
        <v>478</v>
      </c>
      <c r="D66" s="131" t="n">
        <f aca="false">IF(OR($C66="",$B$2="",$D$2=0),0,IF(D$3&lt;0,0,N(INDEX('CURVA PREVISION'!$A$1:$KZ$3000,$C66,11+3*MIN(D$3,$D$2-1)))))</f>
        <v>0</v>
      </c>
      <c r="E66" s="131" t="n">
        <f aca="false">IF(OR($C66="",$B$2="",$D$2=0),0,IF(E$3&lt;0,0,N(INDEX('CURVA PREVISION'!$A$1:$KZ$3000,$C66,11+3*MIN(E$3,$D$2-1)))))</f>
        <v>0</v>
      </c>
      <c r="F66" s="131" t="n">
        <f aca="false">IF(OR($C66="",$B$2="",$D$2=0),0,IF(F$3&lt;0,0,N(INDEX('CURVA PREVISION'!$A$1:$KZ$3000,$C66,11+3*MIN(F$3,$D$2-1)))))</f>
        <v>0</v>
      </c>
      <c r="G66" s="131" t="n">
        <f aca="false">IF(OR($C66="",$B$2="",$D$2=0),0,IF(G$3&lt;0,0,N(INDEX('CURVA PREVISION'!$A$1:$KZ$3000,$C66,11+3*MIN(G$3,$D$2-1)))))</f>
        <v>0</v>
      </c>
      <c r="H66" s="131" t="n">
        <f aca="false">IF(OR($C66="",$B$2="",$D$2=0),0,IF(H$3&lt;0,0,N(INDEX('CURVA PREVISION'!$A$1:$KZ$3000,$C66,11+3*MIN(H$3,$D$2-1)))))</f>
        <v>0</v>
      </c>
      <c r="I66" s="131" t="n">
        <f aca="false">IF(OR($C66="",$B$2="",$D$2=0),0,IF(I$3&lt;0,0,N(INDEX('CURVA PREVISION'!$A$1:$KZ$3000,$C66,11+3*MIN(I$3,$D$2-1)))))</f>
        <v>0</v>
      </c>
      <c r="J66" s="131" t="n">
        <f aca="false">IF(OR($C66="",$B$2="",$D$2=0),0,IF(J$3&lt;0,0,N(INDEX('CURVA PREVISION'!$A$1:$KZ$3000,$C66,11+3*MIN(J$3,$D$2-1)))))</f>
        <v>0</v>
      </c>
      <c r="K66" s="131" t="n">
        <f aca="false">IF(OR($C66="",$B$2="",$D$2=0),0,IF(K$3&lt;0,0,N(INDEX('CURVA PREVISION'!$A$1:$KZ$3000,$C66,11+3*MIN(K$3,$D$2-1)))))</f>
        <v>0</v>
      </c>
      <c r="L66" s="131" t="n">
        <f aca="false">IF(OR($C66="",$B$2="",$D$2=0),0,IF(L$3&lt;0,0,N(INDEX('CURVA PREVISION'!$A$1:$KZ$3000,$C66,11+3*MIN(L$3,$D$2-1)))))</f>
        <v>0</v>
      </c>
      <c r="M66" s="131" t="n">
        <f aca="false">IF(OR($C66="",$B$2="",$D$2=0),0,IF(M$3&lt;0,0,N(INDEX('CURVA PREVISION'!$A$1:$KZ$3000,$C66,11+3*MIN(M$3,$D$2-1)))))</f>
        <v>0</v>
      </c>
      <c r="N66" s="131" t="n">
        <f aca="false">IF(OR($C66="",$B$2="",$D$2=0),0,IF(N$3&lt;0,0,N(INDEX('CURVA PREVISION'!$A$1:$KZ$3000,$C66,11+3*MIN(N$3,$D$2-1)))))</f>
        <v>0</v>
      </c>
      <c r="O66" s="131" t="n">
        <f aca="false">IF(OR($C66="",$B$2="",$D$2=0),0,IF(O$3&lt;0,0,N(INDEX('CURVA PREVISION'!$A$1:$KZ$3000,$C66,11+3*MIN(O$3,$D$2-1)))))</f>
        <v>0</v>
      </c>
      <c r="P66" s="131" t="n">
        <f aca="false">IF(OR($C66="",$B$2="",$D$2=0),0,IF(P$3&lt;0,0,N(INDEX('CURVA PREVISION'!$A$1:$KZ$3000,$C66,11+3*MIN(P$3,$D$2-1)))))</f>
        <v>0</v>
      </c>
      <c r="Q66" s="131" t="n">
        <f aca="false">IF(OR($C66="",$B$2="",$D$2=0),0,IF(Q$3&lt;0,0,N(INDEX('CURVA PREVISION'!$A$1:$KZ$3000,$C66,11+3*MIN(Q$3,$D$2-1)))))</f>
        <v>0</v>
      </c>
      <c r="R66" s="131" t="n">
        <f aca="false">IF(OR($C66="",$B$2="",$D$2=0),0,IF(R$3&lt;0,0,N(INDEX('CURVA PREVISION'!$A$1:$KZ$3000,$C66,11+3*MIN(R$3,$D$2-1)))))</f>
        <v>0</v>
      </c>
      <c r="S66" s="131" t="n">
        <f aca="false">IF(OR($C66="",$B$2="",$D$2=0),0,IF(S$3&lt;0,0,N(INDEX('CURVA PREVISION'!$A$1:$KZ$3000,$C66,11+3*MIN(S$3,$D$2-1)))))</f>
        <v>0</v>
      </c>
      <c r="T66" s="131" t="n">
        <f aca="false">IF(OR($C66="",$B$2="",$D$2=0),0,IF(T$3&lt;0,0,N(INDEX('CURVA PREVISION'!$A$1:$KZ$3000,$C66,11+3*MIN(T$3,$D$2-1)))))</f>
        <v>0</v>
      </c>
      <c r="U66" s="131" t="n">
        <f aca="false">IF(OR($C66="",$B$2="",$D$2=0),0,IF(U$3&lt;0,0,N(INDEX('CURVA PREVISION'!$A$1:$KZ$3000,$C66,11+3*MIN(U$3,$D$2-1)))))</f>
        <v>0</v>
      </c>
      <c r="V66" s="131" t="n">
        <f aca="false">IF(OR($C66="",$B$2="",$D$2=0),0,IF(V$3&lt;0,0,N(INDEX('CURVA PREVISION'!$A$1:$KZ$3000,$C66,11+3*MIN(V$3,$D$2-1)))))</f>
        <v>0</v>
      </c>
      <c r="W66" s="131" t="n">
        <f aca="false">IF(OR($C66="",$B$2="",$D$2=0),0,IF(W$3&lt;0,0,N(INDEX('CURVA PREVISION'!$A$1:$KZ$3000,$C66,11+3*MIN(W$3,$D$2-1)))))</f>
        <v>0</v>
      </c>
      <c r="X66" s="131" t="n">
        <f aca="false">IF(OR($C66="",$B$2="",$D$2=0),0,IF(X$3&lt;0,0,N(INDEX('CURVA PREVISION'!$A$1:$KZ$3000,$C66,11+3*MIN(X$3,$D$2-1)))))</f>
        <v>0</v>
      </c>
      <c r="Y66" s="131" t="n">
        <f aca="false">IF(OR($C66="",$B$2="",$D$2=0),0,IF(Y$3&lt;0,0,N(INDEX('CURVA PREVISION'!$A$1:$KZ$3000,$C66,11+3*MIN(Y$3,$D$2-1)))))</f>
        <v>0</v>
      </c>
      <c r="Z66" s="131" t="n">
        <f aca="false">IF(OR($C66="",$B$2="",$D$2=0),0,IF(Z$3&lt;0,0,N(INDEX('CURVA PREVISION'!$A$1:$KZ$3000,$C66,11+3*MIN(Z$3,$D$2-1)))))</f>
        <v>0</v>
      </c>
      <c r="AA66" s="131" t="n">
        <f aca="false">IF(OR($C66="",$B$2="",$D$2=0),0,IF(AA$3&lt;0,0,N(INDEX('CURVA PREVISION'!$A$1:$KZ$3000,$C66,11+3*MIN(AA$3,$D$2-1)))))</f>
        <v>0</v>
      </c>
      <c r="AB66" s="131" t="n">
        <f aca="false">IF(OR($C66="",$B$2="",$D$2=0),0,IF(AB$3&lt;0,0,N(INDEX('CURVA PREVISION'!$A$1:$KZ$3000,$C66,11+3*MIN(AB$3,$D$2-1)))))</f>
        <v>0</v>
      </c>
      <c r="AC66" s="131" t="n">
        <f aca="false">IF(OR($C66="",$B$2="",$D$2=0),0,IF(AC$3&lt;0,0,N(INDEX('CURVA PREVISION'!$A$1:$KZ$3000,$C66,11+3*MIN(AC$3,$D$2-1)))))</f>
        <v>0</v>
      </c>
      <c r="AD66" s="131" t="n">
        <f aca="false">IF(OR($C66="",$B$2="",$D$2=0),0,IF(AD$3&lt;0,0,N(INDEX('CURVA PREVISION'!$A$1:$KZ$3000,$C66,11+3*MIN(AD$3,$D$2-1)))))</f>
        <v>0</v>
      </c>
      <c r="AE66" s="131" t="n">
        <f aca="false">IF(OR($C66="",$B$2="",$D$2=0),0,IF(AE$3&lt;0,0,N(INDEX('CURVA PREVISION'!$A$1:$KZ$3000,$C66,11+3*MIN(AE$3,$D$2-1)))))</f>
        <v>0</v>
      </c>
      <c r="AF66" s="131" t="n">
        <f aca="false">IF(OR($C66="",$B$2="",$D$2=0),0,IF(AF$3&lt;0,0,N(INDEX('CURVA PREVISION'!$A$1:$KZ$3000,$C66,11+3*MIN(AF$3,$D$2-1)))))</f>
        <v>0</v>
      </c>
      <c r="AG66" s="131" t="n">
        <f aca="false">IF(OR($C66="",$B$2="",$D$2=0),0,IF(AG$3&lt;0,0,N(INDEX('CURVA PREVISION'!$A$1:$KZ$3000,$C66,11+3*MIN(AG$3,$D$2-1)))))</f>
        <v>0</v>
      </c>
      <c r="AH66" s="131" t="n">
        <f aca="false">IF(OR($C66="",$B$2="",$D$2=0),0,IF(AH$3&lt;0,0,N(INDEX('CURVA PREVISION'!$A$1:$KZ$3000,$C66,11+3*MIN(AH$3,$D$2-1)))))</f>
        <v>0</v>
      </c>
      <c r="AI66" s="131" t="n">
        <f aca="false">IF(OR($C66="",$B$2="",$D$2=0),0,IF(AI$3&lt;0,0,N(INDEX('CURVA PREVISION'!$A$1:$KZ$3000,$C66,11+3*MIN(AI$3,$D$2-1)))))</f>
        <v>0</v>
      </c>
      <c r="AJ66" s="131" t="n">
        <f aca="false">IF(OR($C66="",$B$2="",$D$2=0),0,IF(AJ$3&lt;0,0,N(INDEX('CURVA PREVISION'!$A$1:$KZ$3000,$C66,11+3*MIN(AJ$3,$D$2-1)))))</f>
        <v>0</v>
      </c>
      <c r="AK66" s="131" t="n">
        <f aca="false">IF(OR($C66="",$B$2="",$D$2=0),0,IF(AK$3&lt;0,0,N(INDEX('CURVA PREVISION'!$A$1:$KZ$3000,$C66,11+3*MIN(AK$3,$D$2-1)))))</f>
        <v>0</v>
      </c>
      <c r="AL66" s="131" t="n">
        <f aca="false">IF(OR($C66="",$B$2="",$D$2=0),0,IF(AL$3&lt;0,0,N(INDEX('CURVA PREVISION'!$A$1:$KZ$3000,$C66,11+3*MIN(AL$3,$D$2-1)))))</f>
        <v>0</v>
      </c>
      <c r="AM66" s="131" t="n">
        <f aca="false">IF(OR($C66="",$B$2="",$D$2=0),0,IF(AM$3&lt;0,0,N(INDEX('CURVA PREVISION'!$A$1:$KZ$3000,$C66,11+3*MIN(AM$3,$D$2-1)))))</f>
        <v>0</v>
      </c>
      <c r="AN66" s="131" t="n">
        <f aca="false">IF(OR($C66="",$B$2="",$D$2=0),0,IF(AN$3&lt;0,0,N(INDEX('CURVA PREVISION'!$A$1:$KZ$3000,$C66,11+3*MIN(AN$3,$D$2-1)))))</f>
        <v>0</v>
      </c>
      <c r="AO66" s="131" t="n">
        <f aca="false">IF(OR($C66="",$B$2="",$D$2=0),0,IF(AO$3&lt;0,0,N(INDEX('CURVA PREVISION'!$A$1:$KZ$3000,$C66,11+3*MIN(AO$3,$D$2-1)))))</f>
        <v>0</v>
      </c>
      <c r="AP66" s="131" t="n">
        <f aca="false">IF(OR($C66="",$B$2="",$D$2=0),0,IF(AP$3&lt;0,0,N(INDEX('CURVA PREVISION'!$A$1:$KZ$3000,$C66,11+3*MIN(AP$3,$D$2-1)))))</f>
        <v>0</v>
      </c>
      <c r="AQ66" s="131" t="n">
        <f aca="false">IF(OR($C66="",$B$2="",$D$2=0),0,IF(AQ$3&lt;0,0,N(INDEX('CURVA PREVISION'!$A$1:$KZ$3000,$C66,11+3*MIN(AQ$3,$D$2-1)))))</f>
        <v>0</v>
      </c>
      <c r="AR66" s="131" t="n">
        <f aca="false">IF(OR($C66="",$B$2="",$D$2=0),0,IF(AR$3&lt;0,0,N(INDEX('CURVA PREVISION'!$A$1:$KZ$3000,$C66,11+3*MIN(AR$3,$D$2-1)))))</f>
        <v>0</v>
      </c>
      <c r="AS66" s="131" t="n">
        <f aca="false">IF(OR($C66="",$B$2="",$D$2=0),0,IF(AS$3&lt;0,0,N(INDEX('CURVA PREVISION'!$A$1:$KZ$3000,$C66,11+3*MIN(AS$3,$D$2-1)))))</f>
        <v>0</v>
      </c>
      <c r="AT66" s="131" t="n">
        <f aca="false">IF(OR($C66="",$B$2="",$D$2=0),0,IF(AT$3&lt;0,0,N(INDEX('CURVA PREVISION'!$A$1:$KZ$3000,$C66,11+3*MIN(AT$3,$D$2-1)))))</f>
        <v>0</v>
      </c>
      <c r="AU66" s="131" t="n">
        <f aca="false">IF(OR($C66="",$B$2="",$D$2=0),0,IF(AU$3&lt;0,0,N(INDEX('CURVA PREVISION'!$A$1:$KZ$3000,$C66,11+3*MIN(AU$3,$D$2-1)))))</f>
        <v>0</v>
      </c>
      <c r="AV66" s="131" t="n">
        <f aca="false">IF(OR($C66="",$B$2="",$D$2=0),0,IF(AV$3&lt;0,0,N(INDEX('CURVA PREVISION'!$A$1:$KZ$3000,$C66,11+3*MIN(AV$3,$D$2-1)))))</f>
        <v>0</v>
      </c>
      <c r="AW66" s="131" t="n">
        <f aca="false">IF(OR($C66="",$B$2="",$D$2=0),0,IF(AW$3&lt;0,0,N(INDEX('CURVA PREVISION'!$A$1:$KZ$3000,$C66,11+3*MIN(AW$3,$D$2-1)))))</f>
        <v>0</v>
      </c>
      <c r="AX66" s="131" t="n">
        <f aca="false">IF(OR($C66="",$B$2="",$D$2=0),0,IF(AX$3&lt;0,0,N(INDEX('CURVA PREVISION'!$A$1:$KZ$3000,$C66,11+3*MIN(AX$3,$D$2-1)))))</f>
        <v>0</v>
      </c>
      <c r="AY66" s="131" t="n">
        <f aca="false">IF(OR($C66="",$B$2="",$D$2=0),0,IF(AY$3&lt;0,0,N(INDEX('CURVA PREVISION'!$A$1:$KZ$3000,$C66,11+3*MIN(AY$3,$D$2-1)))))</f>
        <v>0</v>
      </c>
      <c r="AZ66" s="131" t="n">
        <f aca="false">IF(OR($C66="",$B$2="",$D$2=0),0,IF(AZ$3&lt;0,0,N(INDEX('CURVA PREVISION'!$A$1:$KZ$3000,$C66,11+3*MIN(AZ$3,$D$2-1)))))</f>
        <v>0</v>
      </c>
      <c r="BA66" s="131" t="n">
        <f aca="false">IF(OR($C66="",$B$2="",$D$2=0),0,IF(BA$3&lt;0,0,N(INDEX('CURVA PREVISION'!$A$1:$KZ$3000,$C66,11+3*MIN(BA$3,$D$2-1)))))</f>
        <v>0</v>
      </c>
      <c r="BB66" s="131" t="n">
        <f aca="false">IF(OR($C66="",$B$2="",$D$2=0),0,IF(BB$3&lt;0,0,N(INDEX('CURVA PREVISION'!$A$1:$KZ$3000,$C66,11+3*MIN(BB$3,$D$2-1)))))</f>
        <v>0</v>
      </c>
      <c r="BC66" s="131" t="n">
        <f aca="false">IF(OR($C66="",$B$2="",$D$2=0),0,IF(BC$3&lt;0,0,N(INDEX('CURVA PREVISION'!$A$1:$KZ$3000,$C66,11+3*MIN(BC$3,$D$2-1)))))</f>
        <v>0</v>
      </c>
      <c r="BD66" s="131" t="n">
        <f aca="false">IF(OR($C66="",$B$2="",$D$2=0),0,IF(BD$3&lt;0,0,N(INDEX('CURVA PREVISION'!$A$1:$KZ$3000,$C66,11+3*MIN(BD$3,$D$2-1)))))</f>
        <v>0</v>
      </c>
      <c r="BE66" s="131" t="n">
        <f aca="false">IF(OR($C66="",$B$2="",$D$2=0),0,IF(BE$3&lt;0,0,N(INDEX('CURVA PREVISION'!$A$1:$KZ$3000,$C66,11+3*MIN(BE$3,$D$2-1)))))</f>
        <v>0</v>
      </c>
      <c r="BF66" s="131" t="n">
        <f aca="false">IF(OR($C66="",$B$2="",$D$2=0),0,IF(BF$3&lt;0,0,N(INDEX('CURVA PREVISION'!$A$1:$KZ$3000,$C66,11+3*MIN(BF$3,$D$2-1)))))</f>
        <v>0</v>
      </c>
      <c r="BG66" s="131" t="n">
        <f aca="false">IF(OR($C66="",$B$2="",$D$2=0),0,IF(BG$3&lt;0,0,N(INDEX('CURVA PREVISION'!$A$1:$KZ$3000,$C66,11+3*MIN(BG$3,$D$2-1)))))</f>
        <v>0</v>
      </c>
      <c r="BH66" s="131" t="n">
        <f aca="false">IF(OR($C66="",$B$2="",$D$2=0),0,IF(BH$3&lt;0,0,N(INDEX('CURVA PREVISION'!$A$1:$KZ$3000,$C66,11+3*MIN(BH$3,$D$2-1)))))</f>
        <v>0</v>
      </c>
      <c r="BI66" s="131" t="n">
        <f aca="false">IF(OR($C66="",$B$2="",$D$2=0),0,IF(BI$3&lt;0,0,N(INDEX('CURVA PREVISION'!$A$1:$KZ$3000,$C66,11+3*MIN(BI$3,$D$2-1)))))</f>
        <v>0</v>
      </c>
      <c r="BJ66" s="131" t="n">
        <f aca="false">IF(OR($C66="",$B$2="",$D$2=0),0,IF(BJ$3&lt;0,0,N(INDEX('CURVA PREVISION'!$A$1:$KZ$3000,$C66,11+3*MIN(BJ$3,$D$2-1)))))</f>
        <v>0</v>
      </c>
      <c r="BK66" s="131" t="n">
        <f aca="false">IF(OR($C66="",$B$2="",$D$2=0),0,IF(BK$3&lt;0,0,N(INDEX('CURVA PREVISION'!$A$1:$KZ$3000,$C66,11+3*MIN(BK$3,$D$2-1)))))</f>
        <v>0</v>
      </c>
      <c r="BL66" s="131" t="n">
        <f aca="false">IF(OR($C66="",$B$2="",$D$2=0),0,IF(BL$3&lt;0,0,N(INDEX('CURVA PREVISION'!$A$1:$KZ$3000,$C66,11+3*MIN(BL$3,$D$2-1)))))</f>
        <v>0</v>
      </c>
      <c r="BM66" s="131" t="n">
        <f aca="false">IF(OR($C66="",$B$2="",$D$2=0),0,IF(BM$3&lt;0,0,N(INDEX('CURVA PREVISION'!$A$1:$KZ$3000,$C66,11+3*MIN(BM$3,$D$2-1)))))</f>
        <v>0</v>
      </c>
      <c r="BN66" s="131" t="n">
        <f aca="false">IF(OR($C66="",$B$2="",$D$2=0),0,IF(BN$3&lt;0,0,N(INDEX('CURVA PREVISION'!$A$1:$KZ$3000,$C66,11+3*MIN(BN$3,$D$2-1)))))</f>
        <v>0</v>
      </c>
      <c r="BO66" s="131" t="n">
        <f aca="false">IF(OR($C66="",$B$2="",$D$2=0),0,IF(BO$3&lt;0,0,N(INDEX('CURVA PREVISION'!$A$1:$KZ$3000,$C66,11+3*MIN(BO$3,$D$2-1)))))</f>
        <v>0</v>
      </c>
      <c r="BP66" s="131" t="n">
        <f aca="false">IF(OR($C66="",$B$2="",$D$2=0),0,IF(BP$3&lt;0,0,N(INDEX('CURVA PREVISION'!$A$1:$KZ$3000,$C66,11+3*MIN(BP$3,$D$2-1)))))</f>
        <v>0</v>
      </c>
      <c r="BQ66" s="131" t="n">
        <f aca="false">IF(OR($C66="",$B$2="",$D$2=0),0,IF(BQ$3&lt;0,0,N(INDEX('CURVA PREVISION'!$A$1:$KZ$3000,$C66,11+3*MIN(BQ$3,$D$2-1)))))</f>
        <v>0</v>
      </c>
      <c r="BR66" s="131" t="n">
        <f aca="false">IF(OR($C66="",$B$2="",$D$2=0),0,IF(BR$3&lt;0,0,N(INDEX('CURVA PREVISION'!$A$1:$KZ$3000,$C66,11+3*MIN(BR$3,$D$2-1)))))</f>
        <v>0</v>
      </c>
      <c r="BS66" s="131" t="n">
        <f aca="false">IF(OR($C66="",$B$2="",$D$2=0),0,IF(BS$3&lt;0,0,N(INDEX('CURVA PREVISION'!$A$1:$KZ$3000,$C66,11+3*MIN(BS$3,$D$2-1)))))</f>
        <v>0</v>
      </c>
      <c r="BT66" s="131" t="n">
        <f aca="false">IF(OR($C66="",$B$2="",$D$2=0),0,IF(BT$3&lt;0,0,N(INDEX('CURVA PREVISION'!$A$1:$KZ$3000,$C66,11+3*MIN(BT$3,$D$2-1)))))</f>
        <v>0</v>
      </c>
      <c r="BU66" s="131" t="n">
        <f aca="false">IF(OR($C66="",$B$2="",$D$2=0),0,IF(BU$3&lt;0,0,N(INDEX('CURVA PREVISION'!$A$1:$KZ$3000,$C66,11+3*MIN(BU$3,$D$2-1)))))</f>
        <v>0</v>
      </c>
      <c r="BV66" s="131" t="n">
        <f aca="false">IF(OR($C66="",$B$2="",$D$2=0),0,IF(BV$3&lt;0,0,N(INDEX('CURVA PREVISION'!$A$1:$KZ$3000,$C66,11+3*MIN(BV$3,$D$2-1)))))</f>
        <v>0</v>
      </c>
      <c r="BW66" s="131" t="n">
        <f aca="false">IF(OR($C66="",$B$2="",$D$2=0),0,IF(BW$3&lt;0,0,N(INDEX('CURVA PREVISION'!$A$1:$KZ$3000,$C66,11+3*MIN(BW$3,$D$2-1)))))</f>
        <v>0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21</v>
      </c>
      <c r="B67" s="47" t="str">
        <f aca="false">B25</f>
        <v>INSTALAÇÕES HIDROSANITÁRIAS</v>
      </c>
      <c r="C67" s="64" t="n">
        <f aca="false">IFERROR(MATCH(A67,'CURVA PREVISION'!$B$1:$B$3000,0),"")</f>
        <v>500</v>
      </c>
      <c r="D67" s="131" t="n">
        <f aca="false">IF(OR($C67="",$B$2="",$D$2=0),0,IF(D$3&lt;0,0,N(INDEX('CURVA PREVISION'!$A$1:$KZ$3000,$C67,11+3*MIN(D$3,$D$2-1)))))</f>
        <v>0</v>
      </c>
      <c r="E67" s="131" t="n">
        <f aca="false">IF(OR($C67="",$B$2="",$D$2=0),0,IF(E$3&lt;0,0,N(INDEX('CURVA PREVISION'!$A$1:$KZ$3000,$C67,11+3*MIN(E$3,$D$2-1)))))</f>
        <v>0</v>
      </c>
      <c r="F67" s="131" t="n">
        <f aca="false">IF(OR($C67="",$B$2="",$D$2=0),0,IF(F$3&lt;0,0,N(INDEX('CURVA PREVISION'!$A$1:$KZ$3000,$C67,11+3*MIN(F$3,$D$2-1)))))</f>
        <v>0</v>
      </c>
      <c r="G67" s="131" t="n">
        <f aca="false">IF(OR($C67="",$B$2="",$D$2=0),0,IF(G$3&lt;0,0,N(INDEX('CURVA PREVISION'!$A$1:$KZ$3000,$C67,11+3*MIN(G$3,$D$2-1)))))</f>
        <v>0</v>
      </c>
      <c r="H67" s="131" t="n">
        <f aca="false">IF(OR($C67="",$B$2="",$D$2=0),0,IF(H$3&lt;0,0,N(INDEX('CURVA PREVISION'!$A$1:$KZ$3000,$C67,11+3*MIN(H$3,$D$2-1)))))</f>
        <v>0</v>
      </c>
      <c r="I67" s="131" t="n">
        <f aca="false">IF(OR($C67="",$B$2="",$D$2=0),0,IF(I$3&lt;0,0,N(INDEX('CURVA PREVISION'!$A$1:$KZ$3000,$C67,11+3*MIN(I$3,$D$2-1)))))</f>
        <v>0</v>
      </c>
      <c r="J67" s="131" t="n">
        <f aca="false">IF(OR($C67="",$B$2="",$D$2=0),0,IF(J$3&lt;0,0,N(INDEX('CURVA PREVISION'!$A$1:$KZ$3000,$C67,11+3*MIN(J$3,$D$2-1)))))</f>
        <v>0</v>
      </c>
      <c r="K67" s="131" t="n">
        <f aca="false">IF(OR($C67="",$B$2="",$D$2=0),0,IF(K$3&lt;0,0,N(INDEX('CURVA PREVISION'!$A$1:$KZ$3000,$C67,11+3*MIN(K$3,$D$2-1)))))</f>
        <v>0</v>
      </c>
      <c r="L67" s="131" t="n">
        <f aca="false">IF(OR($C67="",$B$2="",$D$2=0),0,IF(L$3&lt;0,0,N(INDEX('CURVA PREVISION'!$A$1:$KZ$3000,$C67,11+3*MIN(L$3,$D$2-1)))))</f>
        <v>0</v>
      </c>
      <c r="M67" s="131" t="n">
        <f aca="false">IF(OR($C67="",$B$2="",$D$2=0),0,IF(M$3&lt;0,0,N(INDEX('CURVA PREVISION'!$A$1:$KZ$3000,$C67,11+3*MIN(M$3,$D$2-1)))))</f>
        <v>0</v>
      </c>
      <c r="N67" s="131" t="n">
        <f aca="false">IF(OR($C67="",$B$2="",$D$2=0),0,IF(N$3&lt;0,0,N(INDEX('CURVA PREVISION'!$A$1:$KZ$3000,$C67,11+3*MIN(N$3,$D$2-1)))))</f>
        <v>0</v>
      </c>
      <c r="O67" s="131" t="n">
        <f aca="false">IF(OR($C67="",$B$2="",$D$2=0),0,IF(O$3&lt;0,0,N(INDEX('CURVA PREVISION'!$A$1:$KZ$3000,$C67,11+3*MIN(O$3,$D$2-1)))))</f>
        <v>0</v>
      </c>
      <c r="P67" s="131" t="n">
        <f aca="false">IF(OR($C67="",$B$2="",$D$2=0),0,IF(P$3&lt;0,0,N(INDEX('CURVA PREVISION'!$A$1:$KZ$3000,$C67,11+3*MIN(P$3,$D$2-1)))))</f>
        <v>0</v>
      </c>
      <c r="Q67" s="131" t="n">
        <f aca="false">IF(OR($C67="",$B$2="",$D$2=0),0,IF(Q$3&lt;0,0,N(INDEX('CURVA PREVISION'!$A$1:$KZ$3000,$C67,11+3*MIN(Q$3,$D$2-1)))))</f>
        <v>0</v>
      </c>
      <c r="R67" s="131" t="n">
        <f aca="false">IF(OR($C67="",$B$2="",$D$2=0),0,IF(R$3&lt;0,0,N(INDEX('CURVA PREVISION'!$A$1:$KZ$3000,$C67,11+3*MIN(R$3,$D$2-1)))))</f>
        <v>0</v>
      </c>
      <c r="S67" s="131" t="n">
        <f aca="false">IF(OR($C67="",$B$2="",$D$2=0),0,IF(S$3&lt;0,0,N(INDEX('CURVA PREVISION'!$A$1:$KZ$3000,$C67,11+3*MIN(S$3,$D$2-1)))))</f>
        <v>0</v>
      </c>
      <c r="T67" s="131" t="n">
        <f aca="false">IF(OR($C67="",$B$2="",$D$2=0),0,IF(T$3&lt;0,0,N(INDEX('CURVA PREVISION'!$A$1:$KZ$3000,$C67,11+3*MIN(T$3,$D$2-1)))))</f>
        <v>0</v>
      </c>
      <c r="U67" s="131" t="n">
        <f aca="false">IF(OR($C67="",$B$2="",$D$2=0),0,IF(U$3&lt;0,0,N(INDEX('CURVA PREVISION'!$A$1:$KZ$3000,$C67,11+3*MIN(U$3,$D$2-1)))))</f>
        <v>0</v>
      </c>
      <c r="V67" s="131" t="n">
        <f aca="false">IF(OR($C67="",$B$2="",$D$2=0),0,IF(V$3&lt;0,0,N(INDEX('CURVA PREVISION'!$A$1:$KZ$3000,$C67,11+3*MIN(V$3,$D$2-1)))))</f>
        <v>0</v>
      </c>
      <c r="W67" s="131" t="n">
        <f aca="false">IF(OR($C67="",$B$2="",$D$2=0),0,IF(W$3&lt;0,0,N(INDEX('CURVA PREVISION'!$A$1:$KZ$3000,$C67,11+3*MIN(W$3,$D$2-1)))))</f>
        <v>0</v>
      </c>
      <c r="X67" s="131" t="n">
        <f aca="false">IF(OR($C67="",$B$2="",$D$2=0),0,IF(X$3&lt;0,0,N(INDEX('CURVA PREVISION'!$A$1:$KZ$3000,$C67,11+3*MIN(X$3,$D$2-1)))))</f>
        <v>0</v>
      </c>
      <c r="Y67" s="131" t="n">
        <f aca="false">IF(OR($C67="",$B$2="",$D$2=0),0,IF(Y$3&lt;0,0,N(INDEX('CURVA PREVISION'!$A$1:$KZ$3000,$C67,11+3*MIN(Y$3,$D$2-1)))))</f>
        <v>0</v>
      </c>
      <c r="Z67" s="131" t="n">
        <f aca="false">IF(OR($C67="",$B$2="",$D$2=0),0,IF(Z$3&lt;0,0,N(INDEX('CURVA PREVISION'!$A$1:$KZ$3000,$C67,11+3*MIN(Z$3,$D$2-1)))))</f>
        <v>0</v>
      </c>
      <c r="AA67" s="131" t="n">
        <f aca="false">IF(OR($C67="",$B$2="",$D$2=0),0,IF(AA$3&lt;0,0,N(INDEX('CURVA PREVISION'!$A$1:$KZ$3000,$C67,11+3*MIN(AA$3,$D$2-1)))))</f>
        <v>0</v>
      </c>
      <c r="AB67" s="131" t="n">
        <f aca="false">IF(OR($C67="",$B$2="",$D$2=0),0,IF(AB$3&lt;0,0,N(INDEX('CURVA PREVISION'!$A$1:$KZ$3000,$C67,11+3*MIN(AB$3,$D$2-1)))))</f>
        <v>0</v>
      </c>
      <c r="AC67" s="131" t="n">
        <f aca="false">IF(OR($C67="",$B$2="",$D$2=0),0,IF(AC$3&lt;0,0,N(INDEX('CURVA PREVISION'!$A$1:$KZ$3000,$C67,11+3*MIN(AC$3,$D$2-1)))))</f>
        <v>0</v>
      </c>
      <c r="AD67" s="131" t="n">
        <f aca="false">IF(OR($C67="",$B$2="",$D$2=0),0,IF(AD$3&lt;0,0,N(INDEX('CURVA PREVISION'!$A$1:$KZ$3000,$C67,11+3*MIN(AD$3,$D$2-1)))))</f>
        <v>0</v>
      </c>
      <c r="AE67" s="131" t="n">
        <f aca="false">IF(OR($C67="",$B$2="",$D$2=0),0,IF(AE$3&lt;0,0,N(INDEX('CURVA PREVISION'!$A$1:$KZ$3000,$C67,11+3*MIN(AE$3,$D$2-1)))))</f>
        <v>0</v>
      </c>
      <c r="AF67" s="131" t="n">
        <f aca="false">IF(OR($C67="",$B$2="",$D$2=0),0,IF(AF$3&lt;0,0,N(INDEX('CURVA PREVISION'!$A$1:$KZ$3000,$C67,11+3*MIN(AF$3,$D$2-1)))))</f>
        <v>0</v>
      </c>
      <c r="AG67" s="131" t="n">
        <f aca="false">IF(OR($C67="",$B$2="",$D$2=0),0,IF(AG$3&lt;0,0,N(INDEX('CURVA PREVISION'!$A$1:$KZ$3000,$C67,11+3*MIN(AG$3,$D$2-1)))))</f>
        <v>0</v>
      </c>
      <c r="AH67" s="131" t="n">
        <f aca="false">IF(OR($C67="",$B$2="",$D$2=0),0,IF(AH$3&lt;0,0,N(INDEX('CURVA PREVISION'!$A$1:$KZ$3000,$C67,11+3*MIN(AH$3,$D$2-1)))))</f>
        <v>0</v>
      </c>
      <c r="AI67" s="131" t="n">
        <f aca="false">IF(OR($C67="",$B$2="",$D$2=0),0,IF(AI$3&lt;0,0,N(INDEX('CURVA PREVISION'!$A$1:$KZ$3000,$C67,11+3*MIN(AI$3,$D$2-1)))))</f>
        <v>0</v>
      </c>
      <c r="AJ67" s="131" t="n">
        <f aca="false">IF(OR($C67="",$B$2="",$D$2=0),0,IF(AJ$3&lt;0,0,N(INDEX('CURVA PREVISION'!$A$1:$KZ$3000,$C67,11+3*MIN(AJ$3,$D$2-1)))))</f>
        <v>0</v>
      </c>
      <c r="AK67" s="131" t="n">
        <f aca="false">IF(OR($C67="",$B$2="",$D$2=0),0,IF(AK$3&lt;0,0,N(INDEX('CURVA PREVISION'!$A$1:$KZ$3000,$C67,11+3*MIN(AK$3,$D$2-1)))))</f>
        <v>0</v>
      </c>
      <c r="AL67" s="131" t="n">
        <f aca="false">IF(OR($C67="",$B$2="",$D$2=0),0,IF(AL$3&lt;0,0,N(INDEX('CURVA PREVISION'!$A$1:$KZ$3000,$C67,11+3*MIN(AL$3,$D$2-1)))))</f>
        <v>0</v>
      </c>
      <c r="AM67" s="131" t="n">
        <f aca="false">IF(OR($C67="",$B$2="",$D$2=0),0,IF(AM$3&lt;0,0,N(INDEX('CURVA PREVISION'!$A$1:$KZ$3000,$C67,11+3*MIN(AM$3,$D$2-1)))))</f>
        <v>0</v>
      </c>
      <c r="AN67" s="131" t="n">
        <f aca="false">IF(OR($C67="",$B$2="",$D$2=0),0,IF(AN$3&lt;0,0,N(INDEX('CURVA PREVISION'!$A$1:$KZ$3000,$C67,11+3*MIN(AN$3,$D$2-1)))))</f>
        <v>0</v>
      </c>
      <c r="AO67" s="131" t="n">
        <f aca="false">IF(OR($C67="",$B$2="",$D$2=0),0,IF(AO$3&lt;0,0,N(INDEX('CURVA PREVISION'!$A$1:$KZ$3000,$C67,11+3*MIN(AO$3,$D$2-1)))))</f>
        <v>0</v>
      </c>
      <c r="AP67" s="131" t="n">
        <f aca="false">IF(OR($C67="",$B$2="",$D$2=0),0,IF(AP$3&lt;0,0,N(INDEX('CURVA PREVISION'!$A$1:$KZ$3000,$C67,11+3*MIN(AP$3,$D$2-1)))))</f>
        <v>0</v>
      </c>
      <c r="AQ67" s="131" t="n">
        <f aca="false">IF(OR($C67="",$B$2="",$D$2=0),0,IF(AQ$3&lt;0,0,N(INDEX('CURVA PREVISION'!$A$1:$KZ$3000,$C67,11+3*MIN(AQ$3,$D$2-1)))))</f>
        <v>0</v>
      </c>
      <c r="AR67" s="131" t="n">
        <f aca="false">IF(OR($C67="",$B$2="",$D$2=0),0,IF(AR$3&lt;0,0,N(INDEX('CURVA PREVISION'!$A$1:$KZ$3000,$C67,11+3*MIN(AR$3,$D$2-1)))))</f>
        <v>0</v>
      </c>
      <c r="AS67" s="131" t="n">
        <f aca="false">IF(OR($C67="",$B$2="",$D$2=0),0,IF(AS$3&lt;0,0,N(INDEX('CURVA PREVISION'!$A$1:$KZ$3000,$C67,11+3*MIN(AS$3,$D$2-1)))))</f>
        <v>0</v>
      </c>
      <c r="AT67" s="131" t="n">
        <f aca="false">IF(OR($C67="",$B$2="",$D$2=0),0,IF(AT$3&lt;0,0,N(INDEX('CURVA PREVISION'!$A$1:$KZ$3000,$C67,11+3*MIN(AT$3,$D$2-1)))))</f>
        <v>0</v>
      </c>
      <c r="AU67" s="131" t="n">
        <f aca="false">IF(OR($C67="",$B$2="",$D$2=0),0,IF(AU$3&lt;0,0,N(INDEX('CURVA PREVISION'!$A$1:$KZ$3000,$C67,11+3*MIN(AU$3,$D$2-1)))))</f>
        <v>0</v>
      </c>
      <c r="AV67" s="131" t="n">
        <f aca="false">IF(OR($C67="",$B$2="",$D$2=0),0,IF(AV$3&lt;0,0,N(INDEX('CURVA PREVISION'!$A$1:$KZ$3000,$C67,11+3*MIN(AV$3,$D$2-1)))))</f>
        <v>0</v>
      </c>
      <c r="AW67" s="131" t="n">
        <f aca="false">IF(OR($C67="",$B$2="",$D$2=0),0,IF(AW$3&lt;0,0,N(INDEX('CURVA PREVISION'!$A$1:$KZ$3000,$C67,11+3*MIN(AW$3,$D$2-1)))))</f>
        <v>0</v>
      </c>
      <c r="AX67" s="131" t="n">
        <f aca="false">IF(OR($C67="",$B$2="",$D$2=0),0,IF(AX$3&lt;0,0,N(INDEX('CURVA PREVISION'!$A$1:$KZ$3000,$C67,11+3*MIN(AX$3,$D$2-1)))))</f>
        <v>0</v>
      </c>
      <c r="AY67" s="131" t="n">
        <f aca="false">IF(OR($C67="",$B$2="",$D$2=0),0,IF(AY$3&lt;0,0,N(INDEX('CURVA PREVISION'!$A$1:$KZ$3000,$C67,11+3*MIN(AY$3,$D$2-1)))))</f>
        <v>0</v>
      </c>
      <c r="AZ67" s="131" t="n">
        <f aca="false">IF(OR($C67="",$B$2="",$D$2=0),0,IF(AZ$3&lt;0,0,N(INDEX('CURVA PREVISION'!$A$1:$KZ$3000,$C67,11+3*MIN(AZ$3,$D$2-1)))))</f>
        <v>0</v>
      </c>
      <c r="BA67" s="131" t="n">
        <f aca="false">IF(OR($C67="",$B$2="",$D$2=0),0,IF(BA$3&lt;0,0,N(INDEX('CURVA PREVISION'!$A$1:$KZ$3000,$C67,11+3*MIN(BA$3,$D$2-1)))))</f>
        <v>0</v>
      </c>
      <c r="BB67" s="131" t="n">
        <f aca="false">IF(OR($C67="",$B$2="",$D$2=0),0,IF(BB$3&lt;0,0,N(INDEX('CURVA PREVISION'!$A$1:$KZ$3000,$C67,11+3*MIN(BB$3,$D$2-1)))))</f>
        <v>0</v>
      </c>
      <c r="BC67" s="131" t="n">
        <f aca="false">IF(OR($C67="",$B$2="",$D$2=0),0,IF(BC$3&lt;0,0,N(INDEX('CURVA PREVISION'!$A$1:$KZ$3000,$C67,11+3*MIN(BC$3,$D$2-1)))))</f>
        <v>0</v>
      </c>
      <c r="BD67" s="131" t="n">
        <f aca="false">IF(OR($C67="",$B$2="",$D$2=0),0,IF(BD$3&lt;0,0,N(INDEX('CURVA PREVISION'!$A$1:$KZ$3000,$C67,11+3*MIN(BD$3,$D$2-1)))))</f>
        <v>0</v>
      </c>
      <c r="BE67" s="131" t="n">
        <f aca="false">IF(OR($C67="",$B$2="",$D$2=0),0,IF(BE$3&lt;0,0,N(INDEX('CURVA PREVISION'!$A$1:$KZ$3000,$C67,11+3*MIN(BE$3,$D$2-1)))))</f>
        <v>0</v>
      </c>
      <c r="BF67" s="131" t="n">
        <f aca="false">IF(OR($C67="",$B$2="",$D$2=0),0,IF(BF$3&lt;0,0,N(INDEX('CURVA PREVISION'!$A$1:$KZ$3000,$C67,11+3*MIN(BF$3,$D$2-1)))))</f>
        <v>0</v>
      </c>
      <c r="BG67" s="131" t="n">
        <f aca="false">IF(OR($C67="",$B$2="",$D$2=0),0,IF(BG$3&lt;0,0,N(INDEX('CURVA PREVISION'!$A$1:$KZ$3000,$C67,11+3*MIN(BG$3,$D$2-1)))))</f>
        <v>0</v>
      </c>
      <c r="BH67" s="131" t="n">
        <f aca="false">IF(OR($C67="",$B$2="",$D$2=0),0,IF(BH$3&lt;0,0,N(INDEX('CURVA PREVISION'!$A$1:$KZ$3000,$C67,11+3*MIN(BH$3,$D$2-1)))))</f>
        <v>0</v>
      </c>
      <c r="BI67" s="131" t="n">
        <f aca="false">IF(OR($C67="",$B$2="",$D$2=0),0,IF(BI$3&lt;0,0,N(INDEX('CURVA PREVISION'!$A$1:$KZ$3000,$C67,11+3*MIN(BI$3,$D$2-1)))))</f>
        <v>0</v>
      </c>
      <c r="BJ67" s="131" t="n">
        <f aca="false">IF(OR($C67="",$B$2="",$D$2=0),0,IF(BJ$3&lt;0,0,N(INDEX('CURVA PREVISION'!$A$1:$KZ$3000,$C67,11+3*MIN(BJ$3,$D$2-1)))))</f>
        <v>0</v>
      </c>
      <c r="BK67" s="131" t="n">
        <f aca="false">IF(OR($C67="",$B$2="",$D$2=0),0,IF(BK$3&lt;0,0,N(INDEX('CURVA PREVISION'!$A$1:$KZ$3000,$C67,11+3*MIN(BK$3,$D$2-1)))))</f>
        <v>0</v>
      </c>
      <c r="BL67" s="131" t="n">
        <f aca="false">IF(OR($C67="",$B$2="",$D$2=0),0,IF(BL$3&lt;0,0,N(INDEX('CURVA PREVISION'!$A$1:$KZ$3000,$C67,11+3*MIN(BL$3,$D$2-1)))))</f>
        <v>0</v>
      </c>
      <c r="BM67" s="131" t="n">
        <f aca="false">IF(OR($C67="",$B$2="",$D$2=0),0,IF(BM$3&lt;0,0,N(INDEX('CURVA PREVISION'!$A$1:$KZ$3000,$C67,11+3*MIN(BM$3,$D$2-1)))))</f>
        <v>0</v>
      </c>
      <c r="BN67" s="131" t="n">
        <f aca="false">IF(OR($C67="",$B$2="",$D$2=0),0,IF(BN$3&lt;0,0,N(INDEX('CURVA PREVISION'!$A$1:$KZ$3000,$C67,11+3*MIN(BN$3,$D$2-1)))))</f>
        <v>0</v>
      </c>
      <c r="BO67" s="131" t="n">
        <f aca="false">IF(OR($C67="",$B$2="",$D$2=0),0,IF(BO$3&lt;0,0,N(INDEX('CURVA PREVISION'!$A$1:$KZ$3000,$C67,11+3*MIN(BO$3,$D$2-1)))))</f>
        <v>0</v>
      </c>
      <c r="BP67" s="131" t="n">
        <f aca="false">IF(OR($C67="",$B$2="",$D$2=0),0,IF(BP$3&lt;0,0,N(INDEX('CURVA PREVISION'!$A$1:$KZ$3000,$C67,11+3*MIN(BP$3,$D$2-1)))))</f>
        <v>0</v>
      </c>
      <c r="BQ67" s="131" t="n">
        <f aca="false">IF(OR($C67="",$B$2="",$D$2=0),0,IF(BQ$3&lt;0,0,N(INDEX('CURVA PREVISION'!$A$1:$KZ$3000,$C67,11+3*MIN(BQ$3,$D$2-1)))))</f>
        <v>0</v>
      </c>
      <c r="BR67" s="131" t="n">
        <f aca="false">IF(OR($C67="",$B$2="",$D$2=0),0,IF(BR$3&lt;0,0,N(INDEX('CURVA PREVISION'!$A$1:$KZ$3000,$C67,11+3*MIN(BR$3,$D$2-1)))))</f>
        <v>0</v>
      </c>
      <c r="BS67" s="131" t="n">
        <f aca="false">IF(OR($C67="",$B$2="",$D$2=0),0,IF(BS$3&lt;0,0,N(INDEX('CURVA PREVISION'!$A$1:$KZ$3000,$C67,11+3*MIN(BS$3,$D$2-1)))))</f>
        <v>0</v>
      </c>
      <c r="BT67" s="131" t="n">
        <f aca="false">IF(OR($C67="",$B$2="",$D$2=0),0,IF(BT$3&lt;0,0,N(INDEX('CURVA PREVISION'!$A$1:$KZ$3000,$C67,11+3*MIN(BT$3,$D$2-1)))))</f>
        <v>0</v>
      </c>
      <c r="BU67" s="131" t="n">
        <f aca="false">IF(OR($C67="",$B$2="",$D$2=0),0,IF(BU$3&lt;0,0,N(INDEX('CURVA PREVISION'!$A$1:$KZ$3000,$C67,11+3*MIN(BU$3,$D$2-1)))))</f>
        <v>0</v>
      </c>
      <c r="BV67" s="131" t="n">
        <f aca="false">IF(OR($C67="",$B$2="",$D$2=0),0,IF(BV$3&lt;0,0,N(INDEX('CURVA PREVISION'!$A$1:$KZ$3000,$C67,11+3*MIN(BV$3,$D$2-1)))))</f>
        <v>0</v>
      </c>
      <c r="BW67" s="131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22</v>
      </c>
      <c r="B68" s="47" t="str">
        <f aca="false">B26</f>
        <v>INSTALAÇÕES COMBATE INCÊNDIO</v>
      </c>
      <c r="C68" s="64" t="n">
        <f aca="false">IFERROR(MATCH(A68,'CURVA PREVISION'!$B$1:$B$3000,0),"")</f>
        <v>531</v>
      </c>
      <c r="D68" s="131" t="n">
        <f aca="false">IF(OR($C68="",$B$2="",$D$2=0),0,IF(D$3&lt;0,0,N(INDEX('CURVA PREVISION'!$A$1:$KZ$3000,$C68,11+3*MIN(D$3,$D$2-1)))))</f>
        <v>0</v>
      </c>
      <c r="E68" s="131" t="n">
        <f aca="false">IF(OR($C68="",$B$2="",$D$2=0),0,IF(E$3&lt;0,0,N(INDEX('CURVA PREVISION'!$A$1:$KZ$3000,$C68,11+3*MIN(E$3,$D$2-1)))))</f>
        <v>0</v>
      </c>
      <c r="F68" s="131" t="n">
        <f aca="false">IF(OR($C68="",$B$2="",$D$2=0),0,IF(F$3&lt;0,0,N(INDEX('CURVA PREVISION'!$A$1:$KZ$3000,$C68,11+3*MIN(F$3,$D$2-1)))))</f>
        <v>0</v>
      </c>
      <c r="G68" s="131" t="n">
        <f aca="false">IF(OR($C68="",$B$2="",$D$2=0),0,IF(G$3&lt;0,0,N(INDEX('CURVA PREVISION'!$A$1:$KZ$3000,$C68,11+3*MIN(G$3,$D$2-1)))))</f>
        <v>0</v>
      </c>
      <c r="H68" s="131" t="n">
        <f aca="false">IF(OR($C68="",$B$2="",$D$2=0),0,IF(H$3&lt;0,0,N(INDEX('CURVA PREVISION'!$A$1:$KZ$3000,$C68,11+3*MIN(H$3,$D$2-1)))))</f>
        <v>0</v>
      </c>
      <c r="I68" s="131" t="n">
        <f aca="false">IF(OR($C68="",$B$2="",$D$2=0),0,IF(I$3&lt;0,0,N(INDEX('CURVA PREVISION'!$A$1:$KZ$3000,$C68,11+3*MIN(I$3,$D$2-1)))))</f>
        <v>0</v>
      </c>
      <c r="J68" s="131" t="n">
        <f aca="false">IF(OR($C68="",$B$2="",$D$2=0),0,IF(J$3&lt;0,0,N(INDEX('CURVA PREVISION'!$A$1:$KZ$3000,$C68,11+3*MIN(J$3,$D$2-1)))))</f>
        <v>0</v>
      </c>
      <c r="K68" s="131" t="n">
        <f aca="false">IF(OR($C68="",$B$2="",$D$2=0),0,IF(K$3&lt;0,0,N(INDEX('CURVA PREVISION'!$A$1:$KZ$3000,$C68,11+3*MIN(K$3,$D$2-1)))))</f>
        <v>0</v>
      </c>
      <c r="L68" s="131" t="n">
        <f aca="false">IF(OR($C68="",$B$2="",$D$2=0),0,IF(L$3&lt;0,0,N(INDEX('CURVA PREVISION'!$A$1:$KZ$3000,$C68,11+3*MIN(L$3,$D$2-1)))))</f>
        <v>0</v>
      </c>
      <c r="M68" s="131" t="n">
        <f aca="false">IF(OR($C68="",$B$2="",$D$2=0),0,IF(M$3&lt;0,0,N(INDEX('CURVA PREVISION'!$A$1:$KZ$3000,$C68,11+3*MIN(M$3,$D$2-1)))))</f>
        <v>0</v>
      </c>
      <c r="N68" s="131" t="n">
        <f aca="false">IF(OR($C68="",$B$2="",$D$2=0),0,IF(N$3&lt;0,0,N(INDEX('CURVA PREVISION'!$A$1:$KZ$3000,$C68,11+3*MIN(N$3,$D$2-1)))))</f>
        <v>0</v>
      </c>
      <c r="O68" s="131" t="n">
        <f aca="false">IF(OR($C68="",$B$2="",$D$2=0),0,IF(O$3&lt;0,0,N(INDEX('CURVA PREVISION'!$A$1:$KZ$3000,$C68,11+3*MIN(O$3,$D$2-1)))))</f>
        <v>0</v>
      </c>
      <c r="P68" s="131" t="n">
        <f aca="false">IF(OR($C68="",$B$2="",$D$2=0),0,IF(P$3&lt;0,0,N(INDEX('CURVA PREVISION'!$A$1:$KZ$3000,$C68,11+3*MIN(P$3,$D$2-1)))))</f>
        <v>0</v>
      </c>
      <c r="Q68" s="131" t="n">
        <f aca="false">IF(OR($C68="",$B$2="",$D$2=0),0,IF(Q$3&lt;0,0,N(INDEX('CURVA PREVISION'!$A$1:$KZ$3000,$C68,11+3*MIN(Q$3,$D$2-1)))))</f>
        <v>0</v>
      </c>
      <c r="R68" s="131" t="n">
        <f aca="false">IF(OR($C68="",$B$2="",$D$2=0),0,IF(R$3&lt;0,0,N(INDEX('CURVA PREVISION'!$A$1:$KZ$3000,$C68,11+3*MIN(R$3,$D$2-1)))))</f>
        <v>0</v>
      </c>
      <c r="S68" s="131" t="n">
        <f aca="false">IF(OR($C68="",$B$2="",$D$2=0),0,IF(S$3&lt;0,0,N(INDEX('CURVA PREVISION'!$A$1:$KZ$3000,$C68,11+3*MIN(S$3,$D$2-1)))))</f>
        <v>0</v>
      </c>
      <c r="T68" s="131" t="n">
        <f aca="false">IF(OR($C68="",$B$2="",$D$2=0),0,IF(T$3&lt;0,0,N(INDEX('CURVA PREVISION'!$A$1:$KZ$3000,$C68,11+3*MIN(T$3,$D$2-1)))))</f>
        <v>0</v>
      </c>
      <c r="U68" s="131" t="n">
        <f aca="false">IF(OR($C68="",$B$2="",$D$2=0),0,IF(U$3&lt;0,0,N(INDEX('CURVA PREVISION'!$A$1:$KZ$3000,$C68,11+3*MIN(U$3,$D$2-1)))))</f>
        <v>0</v>
      </c>
      <c r="V68" s="131" t="n">
        <f aca="false">IF(OR($C68="",$B$2="",$D$2=0),0,IF(V$3&lt;0,0,N(INDEX('CURVA PREVISION'!$A$1:$KZ$3000,$C68,11+3*MIN(V$3,$D$2-1)))))</f>
        <v>0</v>
      </c>
      <c r="W68" s="131" t="n">
        <f aca="false">IF(OR($C68="",$B$2="",$D$2=0),0,IF(W$3&lt;0,0,N(INDEX('CURVA PREVISION'!$A$1:$KZ$3000,$C68,11+3*MIN(W$3,$D$2-1)))))</f>
        <v>0</v>
      </c>
      <c r="X68" s="131" t="n">
        <f aca="false">IF(OR($C68="",$B$2="",$D$2=0),0,IF(X$3&lt;0,0,N(INDEX('CURVA PREVISION'!$A$1:$KZ$3000,$C68,11+3*MIN(X$3,$D$2-1)))))</f>
        <v>0</v>
      </c>
      <c r="Y68" s="131" t="n">
        <f aca="false">IF(OR($C68="",$B$2="",$D$2=0),0,IF(Y$3&lt;0,0,N(INDEX('CURVA PREVISION'!$A$1:$KZ$3000,$C68,11+3*MIN(Y$3,$D$2-1)))))</f>
        <v>0</v>
      </c>
      <c r="Z68" s="131" t="n">
        <f aca="false">IF(OR($C68="",$B$2="",$D$2=0),0,IF(Z$3&lt;0,0,N(INDEX('CURVA PREVISION'!$A$1:$KZ$3000,$C68,11+3*MIN(Z$3,$D$2-1)))))</f>
        <v>0</v>
      </c>
      <c r="AA68" s="131" t="n">
        <f aca="false">IF(OR($C68="",$B$2="",$D$2=0),0,IF(AA$3&lt;0,0,N(INDEX('CURVA PREVISION'!$A$1:$KZ$3000,$C68,11+3*MIN(AA$3,$D$2-1)))))</f>
        <v>0</v>
      </c>
      <c r="AB68" s="131" t="n">
        <f aca="false">IF(OR($C68="",$B$2="",$D$2=0),0,IF(AB$3&lt;0,0,N(INDEX('CURVA PREVISION'!$A$1:$KZ$3000,$C68,11+3*MIN(AB$3,$D$2-1)))))</f>
        <v>0</v>
      </c>
      <c r="AC68" s="131" t="n">
        <f aca="false">IF(OR($C68="",$B$2="",$D$2=0),0,IF(AC$3&lt;0,0,N(INDEX('CURVA PREVISION'!$A$1:$KZ$3000,$C68,11+3*MIN(AC$3,$D$2-1)))))</f>
        <v>0</v>
      </c>
      <c r="AD68" s="131" t="n">
        <f aca="false">IF(OR($C68="",$B$2="",$D$2=0),0,IF(AD$3&lt;0,0,N(INDEX('CURVA PREVISION'!$A$1:$KZ$3000,$C68,11+3*MIN(AD$3,$D$2-1)))))</f>
        <v>0</v>
      </c>
      <c r="AE68" s="131" t="n">
        <f aca="false">IF(OR($C68="",$B$2="",$D$2=0),0,IF(AE$3&lt;0,0,N(INDEX('CURVA PREVISION'!$A$1:$KZ$3000,$C68,11+3*MIN(AE$3,$D$2-1)))))</f>
        <v>0</v>
      </c>
      <c r="AF68" s="131" t="n">
        <f aca="false">IF(OR($C68="",$B$2="",$D$2=0),0,IF(AF$3&lt;0,0,N(INDEX('CURVA PREVISION'!$A$1:$KZ$3000,$C68,11+3*MIN(AF$3,$D$2-1)))))</f>
        <v>0</v>
      </c>
      <c r="AG68" s="131" t="n">
        <f aca="false">IF(OR($C68="",$B$2="",$D$2=0),0,IF(AG$3&lt;0,0,N(INDEX('CURVA PREVISION'!$A$1:$KZ$3000,$C68,11+3*MIN(AG$3,$D$2-1)))))</f>
        <v>0</v>
      </c>
      <c r="AH68" s="131" t="n">
        <f aca="false">IF(OR($C68="",$B$2="",$D$2=0),0,IF(AH$3&lt;0,0,N(INDEX('CURVA PREVISION'!$A$1:$KZ$3000,$C68,11+3*MIN(AH$3,$D$2-1)))))</f>
        <v>0</v>
      </c>
      <c r="AI68" s="131" t="n">
        <f aca="false">IF(OR($C68="",$B$2="",$D$2=0),0,IF(AI$3&lt;0,0,N(INDEX('CURVA PREVISION'!$A$1:$KZ$3000,$C68,11+3*MIN(AI$3,$D$2-1)))))</f>
        <v>0</v>
      </c>
      <c r="AJ68" s="131" t="n">
        <f aca="false">IF(OR($C68="",$B$2="",$D$2=0),0,IF(AJ$3&lt;0,0,N(INDEX('CURVA PREVISION'!$A$1:$KZ$3000,$C68,11+3*MIN(AJ$3,$D$2-1)))))</f>
        <v>0</v>
      </c>
      <c r="AK68" s="131" t="n">
        <f aca="false">IF(OR($C68="",$B$2="",$D$2=0),0,IF(AK$3&lt;0,0,N(INDEX('CURVA PREVISION'!$A$1:$KZ$3000,$C68,11+3*MIN(AK$3,$D$2-1)))))</f>
        <v>0</v>
      </c>
      <c r="AL68" s="131" t="n">
        <f aca="false">IF(OR($C68="",$B$2="",$D$2=0),0,IF(AL$3&lt;0,0,N(INDEX('CURVA PREVISION'!$A$1:$KZ$3000,$C68,11+3*MIN(AL$3,$D$2-1)))))</f>
        <v>0</v>
      </c>
      <c r="AM68" s="131" t="n">
        <f aca="false">IF(OR($C68="",$B$2="",$D$2=0),0,IF(AM$3&lt;0,0,N(INDEX('CURVA PREVISION'!$A$1:$KZ$3000,$C68,11+3*MIN(AM$3,$D$2-1)))))</f>
        <v>0</v>
      </c>
      <c r="AN68" s="131" t="n">
        <f aca="false">IF(OR($C68="",$B$2="",$D$2=0),0,IF(AN$3&lt;0,0,N(INDEX('CURVA PREVISION'!$A$1:$KZ$3000,$C68,11+3*MIN(AN$3,$D$2-1)))))</f>
        <v>0</v>
      </c>
      <c r="AO68" s="131" t="n">
        <f aca="false">IF(OR($C68="",$B$2="",$D$2=0),0,IF(AO$3&lt;0,0,N(INDEX('CURVA PREVISION'!$A$1:$KZ$3000,$C68,11+3*MIN(AO$3,$D$2-1)))))</f>
        <v>0</v>
      </c>
      <c r="AP68" s="131" t="n">
        <f aca="false">IF(OR($C68="",$B$2="",$D$2=0),0,IF(AP$3&lt;0,0,N(INDEX('CURVA PREVISION'!$A$1:$KZ$3000,$C68,11+3*MIN(AP$3,$D$2-1)))))</f>
        <v>0</v>
      </c>
      <c r="AQ68" s="131" t="n">
        <f aca="false">IF(OR($C68="",$B$2="",$D$2=0),0,IF(AQ$3&lt;0,0,N(INDEX('CURVA PREVISION'!$A$1:$KZ$3000,$C68,11+3*MIN(AQ$3,$D$2-1)))))</f>
        <v>0</v>
      </c>
      <c r="AR68" s="131" t="n">
        <f aca="false">IF(OR($C68="",$B$2="",$D$2=0),0,IF(AR$3&lt;0,0,N(INDEX('CURVA PREVISION'!$A$1:$KZ$3000,$C68,11+3*MIN(AR$3,$D$2-1)))))</f>
        <v>0</v>
      </c>
      <c r="AS68" s="131" t="n">
        <f aca="false">IF(OR($C68="",$B$2="",$D$2=0),0,IF(AS$3&lt;0,0,N(INDEX('CURVA PREVISION'!$A$1:$KZ$3000,$C68,11+3*MIN(AS$3,$D$2-1)))))</f>
        <v>0</v>
      </c>
      <c r="AT68" s="131" t="n">
        <f aca="false">IF(OR($C68="",$B$2="",$D$2=0),0,IF(AT$3&lt;0,0,N(INDEX('CURVA PREVISION'!$A$1:$KZ$3000,$C68,11+3*MIN(AT$3,$D$2-1)))))</f>
        <v>0</v>
      </c>
      <c r="AU68" s="131" t="n">
        <f aca="false">IF(OR($C68="",$B$2="",$D$2=0),0,IF(AU$3&lt;0,0,N(INDEX('CURVA PREVISION'!$A$1:$KZ$3000,$C68,11+3*MIN(AU$3,$D$2-1)))))</f>
        <v>0</v>
      </c>
      <c r="AV68" s="131" t="n">
        <f aca="false">IF(OR($C68="",$B$2="",$D$2=0),0,IF(AV$3&lt;0,0,N(INDEX('CURVA PREVISION'!$A$1:$KZ$3000,$C68,11+3*MIN(AV$3,$D$2-1)))))</f>
        <v>0</v>
      </c>
      <c r="AW68" s="131" t="n">
        <f aca="false">IF(OR($C68="",$B$2="",$D$2=0),0,IF(AW$3&lt;0,0,N(INDEX('CURVA PREVISION'!$A$1:$KZ$3000,$C68,11+3*MIN(AW$3,$D$2-1)))))</f>
        <v>0</v>
      </c>
      <c r="AX68" s="131" t="n">
        <f aca="false">IF(OR($C68="",$B$2="",$D$2=0),0,IF(AX$3&lt;0,0,N(INDEX('CURVA PREVISION'!$A$1:$KZ$3000,$C68,11+3*MIN(AX$3,$D$2-1)))))</f>
        <v>0</v>
      </c>
      <c r="AY68" s="131" t="n">
        <f aca="false">IF(OR($C68="",$B$2="",$D$2=0),0,IF(AY$3&lt;0,0,N(INDEX('CURVA PREVISION'!$A$1:$KZ$3000,$C68,11+3*MIN(AY$3,$D$2-1)))))</f>
        <v>0</v>
      </c>
      <c r="AZ68" s="131" t="n">
        <f aca="false">IF(OR($C68="",$B$2="",$D$2=0),0,IF(AZ$3&lt;0,0,N(INDEX('CURVA PREVISION'!$A$1:$KZ$3000,$C68,11+3*MIN(AZ$3,$D$2-1)))))</f>
        <v>0</v>
      </c>
      <c r="BA68" s="131" t="n">
        <f aca="false">IF(OR($C68="",$B$2="",$D$2=0),0,IF(BA$3&lt;0,0,N(INDEX('CURVA PREVISION'!$A$1:$KZ$3000,$C68,11+3*MIN(BA$3,$D$2-1)))))</f>
        <v>0</v>
      </c>
      <c r="BB68" s="131" t="n">
        <f aca="false">IF(OR($C68="",$B$2="",$D$2=0),0,IF(BB$3&lt;0,0,N(INDEX('CURVA PREVISION'!$A$1:$KZ$3000,$C68,11+3*MIN(BB$3,$D$2-1)))))</f>
        <v>0</v>
      </c>
      <c r="BC68" s="131" t="n">
        <f aca="false">IF(OR($C68="",$B$2="",$D$2=0),0,IF(BC$3&lt;0,0,N(INDEX('CURVA PREVISION'!$A$1:$KZ$3000,$C68,11+3*MIN(BC$3,$D$2-1)))))</f>
        <v>0</v>
      </c>
      <c r="BD68" s="131" t="n">
        <f aca="false">IF(OR($C68="",$B$2="",$D$2=0),0,IF(BD$3&lt;0,0,N(INDEX('CURVA PREVISION'!$A$1:$KZ$3000,$C68,11+3*MIN(BD$3,$D$2-1)))))</f>
        <v>0</v>
      </c>
      <c r="BE68" s="131" t="n">
        <f aca="false">IF(OR($C68="",$B$2="",$D$2=0),0,IF(BE$3&lt;0,0,N(INDEX('CURVA PREVISION'!$A$1:$KZ$3000,$C68,11+3*MIN(BE$3,$D$2-1)))))</f>
        <v>0</v>
      </c>
      <c r="BF68" s="131" t="n">
        <f aca="false">IF(OR($C68="",$B$2="",$D$2=0),0,IF(BF$3&lt;0,0,N(INDEX('CURVA PREVISION'!$A$1:$KZ$3000,$C68,11+3*MIN(BF$3,$D$2-1)))))</f>
        <v>0</v>
      </c>
      <c r="BG68" s="131" t="n">
        <f aca="false">IF(OR($C68="",$B$2="",$D$2=0),0,IF(BG$3&lt;0,0,N(INDEX('CURVA PREVISION'!$A$1:$KZ$3000,$C68,11+3*MIN(BG$3,$D$2-1)))))</f>
        <v>0</v>
      </c>
      <c r="BH68" s="131" t="n">
        <f aca="false">IF(OR($C68="",$B$2="",$D$2=0),0,IF(BH$3&lt;0,0,N(INDEX('CURVA PREVISION'!$A$1:$KZ$3000,$C68,11+3*MIN(BH$3,$D$2-1)))))</f>
        <v>0</v>
      </c>
      <c r="BI68" s="131" t="n">
        <f aca="false">IF(OR($C68="",$B$2="",$D$2=0),0,IF(BI$3&lt;0,0,N(INDEX('CURVA PREVISION'!$A$1:$KZ$3000,$C68,11+3*MIN(BI$3,$D$2-1)))))</f>
        <v>0</v>
      </c>
      <c r="BJ68" s="131" t="n">
        <f aca="false">IF(OR($C68="",$B$2="",$D$2=0),0,IF(BJ$3&lt;0,0,N(INDEX('CURVA PREVISION'!$A$1:$KZ$3000,$C68,11+3*MIN(BJ$3,$D$2-1)))))</f>
        <v>0</v>
      </c>
      <c r="BK68" s="131" t="n">
        <f aca="false">IF(OR($C68="",$B$2="",$D$2=0),0,IF(BK$3&lt;0,0,N(INDEX('CURVA PREVISION'!$A$1:$KZ$3000,$C68,11+3*MIN(BK$3,$D$2-1)))))</f>
        <v>0</v>
      </c>
      <c r="BL68" s="131" t="n">
        <f aca="false">IF(OR($C68="",$B$2="",$D$2=0),0,IF(BL$3&lt;0,0,N(INDEX('CURVA PREVISION'!$A$1:$KZ$3000,$C68,11+3*MIN(BL$3,$D$2-1)))))</f>
        <v>0</v>
      </c>
      <c r="BM68" s="131" t="n">
        <f aca="false">IF(OR($C68="",$B$2="",$D$2=0),0,IF(BM$3&lt;0,0,N(INDEX('CURVA PREVISION'!$A$1:$KZ$3000,$C68,11+3*MIN(BM$3,$D$2-1)))))</f>
        <v>0</v>
      </c>
      <c r="BN68" s="131" t="n">
        <f aca="false">IF(OR($C68="",$B$2="",$D$2=0),0,IF(BN$3&lt;0,0,N(INDEX('CURVA PREVISION'!$A$1:$KZ$3000,$C68,11+3*MIN(BN$3,$D$2-1)))))</f>
        <v>0</v>
      </c>
      <c r="BO68" s="131" t="n">
        <f aca="false">IF(OR($C68="",$B$2="",$D$2=0),0,IF(BO$3&lt;0,0,N(INDEX('CURVA PREVISION'!$A$1:$KZ$3000,$C68,11+3*MIN(BO$3,$D$2-1)))))</f>
        <v>0</v>
      </c>
      <c r="BP68" s="131" t="n">
        <f aca="false">IF(OR($C68="",$B$2="",$D$2=0),0,IF(BP$3&lt;0,0,N(INDEX('CURVA PREVISION'!$A$1:$KZ$3000,$C68,11+3*MIN(BP$3,$D$2-1)))))</f>
        <v>0</v>
      </c>
      <c r="BQ68" s="131" t="n">
        <f aca="false">IF(OR($C68="",$B$2="",$D$2=0),0,IF(BQ$3&lt;0,0,N(INDEX('CURVA PREVISION'!$A$1:$KZ$3000,$C68,11+3*MIN(BQ$3,$D$2-1)))))</f>
        <v>0</v>
      </c>
      <c r="BR68" s="131" t="n">
        <f aca="false">IF(OR($C68="",$B$2="",$D$2=0),0,IF(BR$3&lt;0,0,N(INDEX('CURVA PREVISION'!$A$1:$KZ$3000,$C68,11+3*MIN(BR$3,$D$2-1)))))</f>
        <v>0</v>
      </c>
      <c r="BS68" s="131" t="n">
        <f aca="false">IF(OR($C68="",$B$2="",$D$2=0),0,IF(BS$3&lt;0,0,N(INDEX('CURVA PREVISION'!$A$1:$KZ$3000,$C68,11+3*MIN(BS$3,$D$2-1)))))</f>
        <v>0</v>
      </c>
      <c r="BT68" s="131" t="n">
        <f aca="false">IF(OR($C68="",$B$2="",$D$2=0),0,IF(BT$3&lt;0,0,N(INDEX('CURVA PREVISION'!$A$1:$KZ$3000,$C68,11+3*MIN(BT$3,$D$2-1)))))</f>
        <v>0</v>
      </c>
      <c r="BU68" s="131" t="n">
        <f aca="false">IF(OR($C68="",$B$2="",$D$2=0),0,IF(BU$3&lt;0,0,N(INDEX('CURVA PREVISION'!$A$1:$KZ$3000,$C68,11+3*MIN(BU$3,$D$2-1)))))</f>
        <v>0</v>
      </c>
      <c r="BV68" s="131" t="n">
        <f aca="false">IF(OR($C68="",$B$2="",$D$2=0),0,IF(BV$3&lt;0,0,N(INDEX('CURVA PREVISION'!$A$1:$KZ$3000,$C68,11+3*MIN(BV$3,$D$2-1)))))</f>
        <v>0</v>
      </c>
      <c r="BW68" s="131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23</v>
      </c>
      <c r="B69" s="47" t="str">
        <f aca="false">B27</f>
        <v>INSTALAÇÕES ESPECIAIS</v>
      </c>
      <c r="C69" s="64" t="n">
        <f aca="false">IFERROR(MATCH(A69,'CURVA PREVISION'!$B$1:$B$3000,0),"")</f>
        <v>537</v>
      </c>
      <c r="D69" s="131" t="n">
        <f aca="false">IF(OR($C69="",$B$2="",$D$2=0),0,IF(D$3&lt;0,0,N(INDEX('CURVA PREVISION'!$A$1:$KZ$3000,$C69,11+3*MIN(D$3,$D$2-1)))))</f>
        <v>0</v>
      </c>
      <c r="E69" s="131" t="n">
        <f aca="false">IF(OR($C69="",$B$2="",$D$2=0),0,IF(E$3&lt;0,0,N(INDEX('CURVA PREVISION'!$A$1:$KZ$3000,$C69,11+3*MIN(E$3,$D$2-1)))))</f>
        <v>0</v>
      </c>
      <c r="F69" s="131" t="n">
        <f aca="false">IF(OR($C69="",$B$2="",$D$2=0),0,IF(F$3&lt;0,0,N(INDEX('CURVA PREVISION'!$A$1:$KZ$3000,$C69,11+3*MIN(F$3,$D$2-1)))))</f>
        <v>0</v>
      </c>
      <c r="G69" s="131" t="n">
        <f aca="false">IF(OR($C69="",$B$2="",$D$2=0),0,IF(G$3&lt;0,0,N(INDEX('CURVA PREVISION'!$A$1:$KZ$3000,$C69,11+3*MIN(G$3,$D$2-1)))))</f>
        <v>0</v>
      </c>
      <c r="H69" s="131" t="n">
        <f aca="false">IF(OR($C69="",$B$2="",$D$2=0),0,IF(H$3&lt;0,0,N(INDEX('CURVA PREVISION'!$A$1:$KZ$3000,$C69,11+3*MIN(H$3,$D$2-1)))))</f>
        <v>0</v>
      </c>
      <c r="I69" s="131" t="n">
        <f aca="false">IF(OR($C69="",$B$2="",$D$2=0),0,IF(I$3&lt;0,0,N(INDEX('CURVA PREVISION'!$A$1:$KZ$3000,$C69,11+3*MIN(I$3,$D$2-1)))))</f>
        <v>0</v>
      </c>
      <c r="J69" s="131" t="n">
        <f aca="false">IF(OR($C69="",$B$2="",$D$2=0),0,IF(J$3&lt;0,0,N(INDEX('CURVA PREVISION'!$A$1:$KZ$3000,$C69,11+3*MIN(J$3,$D$2-1)))))</f>
        <v>0</v>
      </c>
      <c r="K69" s="131" t="n">
        <f aca="false">IF(OR($C69="",$B$2="",$D$2=0),0,IF(K$3&lt;0,0,N(INDEX('CURVA PREVISION'!$A$1:$KZ$3000,$C69,11+3*MIN(K$3,$D$2-1)))))</f>
        <v>0</v>
      </c>
      <c r="L69" s="131" t="n">
        <f aca="false">IF(OR($C69="",$B$2="",$D$2=0),0,IF(L$3&lt;0,0,N(INDEX('CURVA PREVISION'!$A$1:$KZ$3000,$C69,11+3*MIN(L$3,$D$2-1)))))</f>
        <v>0</v>
      </c>
      <c r="M69" s="131" t="n">
        <f aca="false">IF(OR($C69="",$B$2="",$D$2=0),0,IF(M$3&lt;0,0,N(INDEX('CURVA PREVISION'!$A$1:$KZ$3000,$C69,11+3*MIN(M$3,$D$2-1)))))</f>
        <v>0</v>
      </c>
      <c r="N69" s="131" t="n">
        <f aca="false">IF(OR($C69="",$B$2="",$D$2=0),0,IF(N$3&lt;0,0,N(INDEX('CURVA PREVISION'!$A$1:$KZ$3000,$C69,11+3*MIN(N$3,$D$2-1)))))</f>
        <v>0</v>
      </c>
      <c r="O69" s="131" t="n">
        <f aca="false">IF(OR($C69="",$B$2="",$D$2=0),0,IF(O$3&lt;0,0,N(INDEX('CURVA PREVISION'!$A$1:$KZ$3000,$C69,11+3*MIN(O$3,$D$2-1)))))</f>
        <v>0</v>
      </c>
      <c r="P69" s="131" t="n">
        <f aca="false">IF(OR($C69="",$B$2="",$D$2=0),0,IF(P$3&lt;0,0,N(INDEX('CURVA PREVISION'!$A$1:$KZ$3000,$C69,11+3*MIN(P$3,$D$2-1)))))</f>
        <v>0</v>
      </c>
      <c r="Q69" s="131" t="n">
        <f aca="false">IF(OR($C69="",$B$2="",$D$2=0),0,IF(Q$3&lt;0,0,N(INDEX('CURVA PREVISION'!$A$1:$KZ$3000,$C69,11+3*MIN(Q$3,$D$2-1)))))</f>
        <v>0</v>
      </c>
      <c r="R69" s="131" t="n">
        <f aca="false">IF(OR($C69="",$B$2="",$D$2=0),0,IF(R$3&lt;0,0,N(INDEX('CURVA PREVISION'!$A$1:$KZ$3000,$C69,11+3*MIN(R$3,$D$2-1)))))</f>
        <v>0</v>
      </c>
      <c r="S69" s="131" t="n">
        <f aca="false">IF(OR($C69="",$B$2="",$D$2=0),0,IF(S$3&lt;0,0,N(INDEX('CURVA PREVISION'!$A$1:$KZ$3000,$C69,11+3*MIN(S$3,$D$2-1)))))</f>
        <v>0</v>
      </c>
      <c r="T69" s="131" t="n">
        <f aca="false">IF(OR($C69="",$B$2="",$D$2=0),0,IF(T$3&lt;0,0,N(INDEX('CURVA PREVISION'!$A$1:$KZ$3000,$C69,11+3*MIN(T$3,$D$2-1)))))</f>
        <v>0</v>
      </c>
      <c r="U69" s="131" t="n">
        <f aca="false">IF(OR($C69="",$B$2="",$D$2=0),0,IF(U$3&lt;0,0,N(INDEX('CURVA PREVISION'!$A$1:$KZ$3000,$C69,11+3*MIN(U$3,$D$2-1)))))</f>
        <v>0</v>
      </c>
      <c r="V69" s="131" t="n">
        <f aca="false">IF(OR($C69="",$B$2="",$D$2=0),0,IF(V$3&lt;0,0,N(INDEX('CURVA PREVISION'!$A$1:$KZ$3000,$C69,11+3*MIN(V$3,$D$2-1)))))</f>
        <v>0</v>
      </c>
      <c r="W69" s="131" t="n">
        <f aca="false">IF(OR($C69="",$B$2="",$D$2=0),0,IF(W$3&lt;0,0,N(INDEX('CURVA PREVISION'!$A$1:$KZ$3000,$C69,11+3*MIN(W$3,$D$2-1)))))</f>
        <v>0</v>
      </c>
      <c r="X69" s="131" t="n">
        <f aca="false">IF(OR($C69="",$B$2="",$D$2=0),0,IF(X$3&lt;0,0,N(INDEX('CURVA PREVISION'!$A$1:$KZ$3000,$C69,11+3*MIN(X$3,$D$2-1)))))</f>
        <v>0</v>
      </c>
      <c r="Y69" s="131" t="n">
        <f aca="false">IF(OR($C69="",$B$2="",$D$2=0),0,IF(Y$3&lt;0,0,N(INDEX('CURVA PREVISION'!$A$1:$KZ$3000,$C69,11+3*MIN(Y$3,$D$2-1)))))</f>
        <v>0</v>
      </c>
      <c r="Z69" s="131" t="n">
        <f aca="false">IF(OR($C69="",$B$2="",$D$2=0),0,IF(Z$3&lt;0,0,N(INDEX('CURVA PREVISION'!$A$1:$KZ$3000,$C69,11+3*MIN(Z$3,$D$2-1)))))</f>
        <v>0</v>
      </c>
      <c r="AA69" s="131" t="n">
        <f aca="false">IF(OR($C69="",$B$2="",$D$2=0),0,IF(AA$3&lt;0,0,N(INDEX('CURVA PREVISION'!$A$1:$KZ$3000,$C69,11+3*MIN(AA$3,$D$2-1)))))</f>
        <v>0</v>
      </c>
      <c r="AB69" s="131" t="n">
        <f aca="false">IF(OR($C69="",$B$2="",$D$2=0),0,IF(AB$3&lt;0,0,N(INDEX('CURVA PREVISION'!$A$1:$KZ$3000,$C69,11+3*MIN(AB$3,$D$2-1)))))</f>
        <v>0</v>
      </c>
      <c r="AC69" s="131" t="n">
        <f aca="false">IF(OR($C69="",$B$2="",$D$2=0),0,IF(AC$3&lt;0,0,N(INDEX('CURVA PREVISION'!$A$1:$KZ$3000,$C69,11+3*MIN(AC$3,$D$2-1)))))</f>
        <v>0</v>
      </c>
      <c r="AD69" s="131" t="n">
        <f aca="false">IF(OR($C69="",$B$2="",$D$2=0),0,IF(AD$3&lt;0,0,N(INDEX('CURVA PREVISION'!$A$1:$KZ$3000,$C69,11+3*MIN(AD$3,$D$2-1)))))</f>
        <v>0</v>
      </c>
      <c r="AE69" s="131" t="n">
        <f aca="false">IF(OR($C69="",$B$2="",$D$2=0),0,IF(AE$3&lt;0,0,N(INDEX('CURVA PREVISION'!$A$1:$KZ$3000,$C69,11+3*MIN(AE$3,$D$2-1)))))</f>
        <v>0</v>
      </c>
      <c r="AF69" s="131" t="n">
        <f aca="false">IF(OR($C69="",$B$2="",$D$2=0),0,IF(AF$3&lt;0,0,N(INDEX('CURVA PREVISION'!$A$1:$KZ$3000,$C69,11+3*MIN(AF$3,$D$2-1)))))</f>
        <v>0</v>
      </c>
      <c r="AG69" s="131" t="n">
        <f aca="false">IF(OR($C69="",$B$2="",$D$2=0),0,IF(AG$3&lt;0,0,N(INDEX('CURVA PREVISION'!$A$1:$KZ$3000,$C69,11+3*MIN(AG$3,$D$2-1)))))</f>
        <v>0</v>
      </c>
      <c r="AH69" s="131" t="n">
        <f aca="false">IF(OR($C69="",$B$2="",$D$2=0),0,IF(AH$3&lt;0,0,N(INDEX('CURVA PREVISION'!$A$1:$KZ$3000,$C69,11+3*MIN(AH$3,$D$2-1)))))</f>
        <v>0</v>
      </c>
      <c r="AI69" s="131" t="n">
        <f aca="false">IF(OR($C69="",$B$2="",$D$2=0),0,IF(AI$3&lt;0,0,N(INDEX('CURVA PREVISION'!$A$1:$KZ$3000,$C69,11+3*MIN(AI$3,$D$2-1)))))</f>
        <v>0</v>
      </c>
      <c r="AJ69" s="131" t="n">
        <f aca="false">IF(OR($C69="",$B$2="",$D$2=0),0,IF(AJ$3&lt;0,0,N(INDEX('CURVA PREVISION'!$A$1:$KZ$3000,$C69,11+3*MIN(AJ$3,$D$2-1)))))</f>
        <v>0</v>
      </c>
      <c r="AK69" s="131" t="n">
        <f aca="false">IF(OR($C69="",$B$2="",$D$2=0),0,IF(AK$3&lt;0,0,N(INDEX('CURVA PREVISION'!$A$1:$KZ$3000,$C69,11+3*MIN(AK$3,$D$2-1)))))</f>
        <v>0</v>
      </c>
      <c r="AL69" s="131" t="n">
        <f aca="false">IF(OR($C69="",$B$2="",$D$2=0),0,IF(AL$3&lt;0,0,N(INDEX('CURVA PREVISION'!$A$1:$KZ$3000,$C69,11+3*MIN(AL$3,$D$2-1)))))</f>
        <v>0</v>
      </c>
      <c r="AM69" s="131" t="n">
        <f aca="false">IF(OR($C69="",$B$2="",$D$2=0),0,IF(AM$3&lt;0,0,N(INDEX('CURVA PREVISION'!$A$1:$KZ$3000,$C69,11+3*MIN(AM$3,$D$2-1)))))</f>
        <v>0</v>
      </c>
      <c r="AN69" s="131" t="n">
        <f aca="false">IF(OR($C69="",$B$2="",$D$2=0),0,IF(AN$3&lt;0,0,N(INDEX('CURVA PREVISION'!$A$1:$KZ$3000,$C69,11+3*MIN(AN$3,$D$2-1)))))</f>
        <v>0</v>
      </c>
      <c r="AO69" s="131" t="n">
        <f aca="false">IF(OR($C69="",$B$2="",$D$2=0),0,IF(AO$3&lt;0,0,N(INDEX('CURVA PREVISION'!$A$1:$KZ$3000,$C69,11+3*MIN(AO$3,$D$2-1)))))</f>
        <v>0</v>
      </c>
      <c r="AP69" s="131" t="n">
        <f aca="false">IF(OR($C69="",$B$2="",$D$2=0),0,IF(AP$3&lt;0,0,N(INDEX('CURVA PREVISION'!$A$1:$KZ$3000,$C69,11+3*MIN(AP$3,$D$2-1)))))</f>
        <v>0</v>
      </c>
      <c r="AQ69" s="131" t="n">
        <f aca="false">IF(OR($C69="",$B$2="",$D$2=0),0,IF(AQ$3&lt;0,0,N(INDEX('CURVA PREVISION'!$A$1:$KZ$3000,$C69,11+3*MIN(AQ$3,$D$2-1)))))</f>
        <v>0</v>
      </c>
      <c r="AR69" s="131" t="n">
        <f aca="false">IF(OR($C69="",$B$2="",$D$2=0),0,IF(AR$3&lt;0,0,N(INDEX('CURVA PREVISION'!$A$1:$KZ$3000,$C69,11+3*MIN(AR$3,$D$2-1)))))</f>
        <v>0</v>
      </c>
      <c r="AS69" s="131" t="n">
        <f aca="false">IF(OR($C69="",$B$2="",$D$2=0),0,IF(AS$3&lt;0,0,N(INDEX('CURVA PREVISION'!$A$1:$KZ$3000,$C69,11+3*MIN(AS$3,$D$2-1)))))</f>
        <v>0</v>
      </c>
      <c r="AT69" s="131" t="n">
        <f aca="false">IF(OR($C69="",$B$2="",$D$2=0),0,IF(AT$3&lt;0,0,N(INDEX('CURVA PREVISION'!$A$1:$KZ$3000,$C69,11+3*MIN(AT$3,$D$2-1)))))</f>
        <v>0</v>
      </c>
      <c r="AU69" s="131" t="n">
        <f aca="false">IF(OR($C69="",$B$2="",$D$2=0),0,IF(AU$3&lt;0,0,N(INDEX('CURVA PREVISION'!$A$1:$KZ$3000,$C69,11+3*MIN(AU$3,$D$2-1)))))</f>
        <v>0</v>
      </c>
      <c r="AV69" s="131" t="n">
        <f aca="false">IF(OR($C69="",$B$2="",$D$2=0),0,IF(AV$3&lt;0,0,N(INDEX('CURVA PREVISION'!$A$1:$KZ$3000,$C69,11+3*MIN(AV$3,$D$2-1)))))</f>
        <v>0</v>
      </c>
      <c r="AW69" s="131" t="n">
        <f aca="false">IF(OR($C69="",$B$2="",$D$2=0),0,IF(AW$3&lt;0,0,N(INDEX('CURVA PREVISION'!$A$1:$KZ$3000,$C69,11+3*MIN(AW$3,$D$2-1)))))</f>
        <v>0</v>
      </c>
      <c r="AX69" s="131" t="n">
        <f aca="false">IF(OR($C69="",$B$2="",$D$2=0),0,IF(AX$3&lt;0,0,N(INDEX('CURVA PREVISION'!$A$1:$KZ$3000,$C69,11+3*MIN(AX$3,$D$2-1)))))</f>
        <v>0</v>
      </c>
      <c r="AY69" s="131" t="n">
        <f aca="false">IF(OR($C69="",$B$2="",$D$2=0),0,IF(AY$3&lt;0,0,N(INDEX('CURVA PREVISION'!$A$1:$KZ$3000,$C69,11+3*MIN(AY$3,$D$2-1)))))</f>
        <v>0</v>
      </c>
      <c r="AZ69" s="131" t="n">
        <f aca="false">IF(OR($C69="",$B$2="",$D$2=0),0,IF(AZ$3&lt;0,0,N(INDEX('CURVA PREVISION'!$A$1:$KZ$3000,$C69,11+3*MIN(AZ$3,$D$2-1)))))</f>
        <v>0</v>
      </c>
      <c r="BA69" s="131" t="n">
        <f aca="false">IF(OR($C69="",$B$2="",$D$2=0),0,IF(BA$3&lt;0,0,N(INDEX('CURVA PREVISION'!$A$1:$KZ$3000,$C69,11+3*MIN(BA$3,$D$2-1)))))</f>
        <v>0</v>
      </c>
      <c r="BB69" s="131" t="n">
        <f aca="false">IF(OR($C69="",$B$2="",$D$2=0),0,IF(BB$3&lt;0,0,N(INDEX('CURVA PREVISION'!$A$1:$KZ$3000,$C69,11+3*MIN(BB$3,$D$2-1)))))</f>
        <v>0</v>
      </c>
      <c r="BC69" s="131" t="n">
        <f aca="false">IF(OR($C69="",$B$2="",$D$2=0),0,IF(BC$3&lt;0,0,N(INDEX('CURVA PREVISION'!$A$1:$KZ$3000,$C69,11+3*MIN(BC$3,$D$2-1)))))</f>
        <v>0</v>
      </c>
      <c r="BD69" s="131" t="n">
        <f aca="false">IF(OR($C69="",$B$2="",$D$2=0),0,IF(BD$3&lt;0,0,N(INDEX('CURVA PREVISION'!$A$1:$KZ$3000,$C69,11+3*MIN(BD$3,$D$2-1)))))</f>
        <v>0</v>
      </c>
      <c r="BE69" s="131" t="n">
        <f aca="false">IF(OR($C69="",$B$2="",$D$2=0),0,IF(BE$3&lt;0,0,N(INDEX('CURVA PREVISION'!$A$1:$KZ$3000,$C69,11+3*MIN(BE$3,$D$2-1)))))</f>
        <v>0</v>
      </c>
      <c r="BF69" s="131" t="n">
        <f aca="false">IF(OR($C69="",$B$2="",$D$2=0),0,IF(BF$3&lt;0,0,N(INDEX('CURVA PREVISION'!$A$1:$KZ$3000,$C69,11+3*MIN(BF$3,$D$2-1)))))</f>
        <v>0</v>
      </c>
      <c r="BG69" s="131" t="n">
        <f aca="false">IF(OR($C69="",$B$2="",$D$2=0),0,IF(BG$3&lt;0,0,N(INDEX('CURVA PREVISION'!$A$1:$KZ$3000,$C69,11+3*MIN(BG$3,$D$2-1)))))</f>
        <v>0</v>
      </c>
      <c r="BH69" s="131" t="n">
        <f aca="false">IF(OR($C69="",$B$2="",$D$2=0),0,IF(BH$3&lt;0,0,N(INDEX('CURVA PREVISION'!$A$1:$KZ$3000,$C69,11+3*MIN(BH$3,$D$2-1)))))</f>
        <v>0</v>
      </c>
      <c r="BI69" s="131" t="n">
        <f aca="false">IF(OR($C69="",$B$2="",$D$2=0),0,IF(BI$3&lt;0,0,N(INDEX('CURVA PREVISION'!$A$1:$KZ$3000,$C69,11+3*MIN(BI$3,$D$2-1)))))</f>
        <v>0</v>
      </c>
      <c r="BJ69" s="131" t="n">
        <f aca="false">IF(OR($C69="",$B$2="",$D$2=0),0,IF(BJ$3&lt;0,0,N(INDEX('CURVA PREVISION'!$A$1:$KZ$3000,$C69,11+3*MIN(BJ$3,$D$2-1)))))</f>
        <v>0</v>
      </c>
      <c r="BK69" s="131" t="n">
        <f aca="false">IF(OR($C69="",$B$2="",$D$2=0),0,IF(BK$3&lt;0,0,N(INDEX('CURVA PREVISION'!$A$1:$KZ$3000,$C69,11+3*MIN(BK$3,$D$2-1)))))</f>
        <v>0</v>
      </c>
      <c r="BL69" s="131" t="n">
        <f aca="false">IF(OR($C69="",$B$2="",$D$2=0),0,IF(BL$3&lt;0,0,N(INDEX('CURVA PREVISION'!$A$1:$KZ$3000,$C69,11+3*MIN(BL$3,$D$2-1)))))</f>
        <v>0</v>
      </c>
      <c r="BM69" s="131" t="n">
        <f aca="false">IF(OR($C69="",$B$2="",$D$2=0),0,IF(BM$3&lt;0,0,N(INDEX('CURVA PREVISION'!$A$1:$KZ$3000,$C69,11+3*MIN(BM$3,$D$2-1)))))</f>
        <v>0</v>
      </c>
      <c r="BN69" s="131" t="n">
        <f aca="false">IF(OR($C69="",$B$2="",$D$2=0),0,IF(BN$3&lt;0,0,N(INDEX('CURVA PREVISION'!$A$1:$KZ$3000,$C69,11+3*MIN(BN$3,$D$2-1)))))</f>
        <v>0</v>
      </c>
      <c r="BO69" s="131" t="n">
        <f aca="false">IF(OR($C69="",$B$2="",$D$2=0),0,IF(BO$3&lt;0,0,N(INDEX('CURVA PREVISION'!$A$1:$KZ$3000,$C69,11+3*MIN(BO$3,$D$2-1)))))</f>
        <v>0</v>
      </c>
      <c r="BP69" s="131" t="n">
        <f aca="false">IF(OR($C69="",$B$2="",$D$2=0),0,IF(BP$3&lt;0,0,N(INDEX('CURVA PREVISION'!$A$1:$KZ$3000,$C69,11+3*MIN(BP$3,$D$2-1)))))</f>
        <v>0</v>
      </c>
      <c r="BQ69" s="131" t="n">
        <f aca="false">IF(OR($C69="",$B$2="",$D$2=0),0,IF(BQ$3&lt;0,0,N(INDEX('CURVA PREVISION'!$A$1:$KZ$3000,$C69,11+3*MIN(BQ$3,$D$2-1)))))</f>
        <v>0</v>
      </c>
      <c r="BR69" s="131" t="n">
        <f aca="false">IF(OR($C69="",$B$2="",$D$2=0),0,IF(BR$3&lt;0,0,N(INDEX('CURVA PREVISION'!$A$1:$KZ$3000,$C69,11+3*MIN(BR$3,$D$2-1)))))</f>
        <v>0</v>
      </c>
      <c r="BS69" s="131" t="n">
        <f aca="false">IF(OR($C69="",$B$2="",$D$2=0),0,IF(BS$3&lt;0,0,N(INDEX('CURVA PREVISION'!$A$1:$KZ$3000,$C69,11+3*MIN(BS$3,$D$2-1)))))</f>
        <v>0</v>
      </c>
      <c r="BT69" s="131" t="n">
        <f aca="false">IF(OR($C69="",$B$2="",$D$2=0),0,IF(BT$3&lt;0,0,N(INDEX('CURVA PREVISION'!$A$1:$KZ$3000,$C69,11+3*MIN(BT$3,$D$2-1)))))</f>
        <v>0</v>
      </c>
      <c r="BU69" s="131" t="n">
        <f aca="false">IF(OR($C69="",$B$2="",$D$2=0),0,IF(BU$3&lt;0,0,N(INDEX('CURVA PREVISION'!$A$1:$KZ$3000,$C69,11+3*MIN(BU$3,$D$2-1)))))</f>
        <v>0</v>
      </c>
      <c r="BV69" s="131" t="n">
        <f aca="false">IF(OR($C69="",$B$2="",$D$2=0),0,IF(BV$3&lt;0,0,N(INDEX('CURVA PREVISION'!$A$1:$KZ$3000,$C69,11+3*MIN(BV$3,$D$2-1)))))</f>
        <v>0</v>
      </c>
      <c r="BW69" s="131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24</v>
      </c>
      <c r="B70" s="47" t="str">
        <f aca="false">B28</f>
        <v>ELEVADORES</v>
      </c>
      <c r="C70" s="64" t="n">
        <f aca="false">IFERROR(MATCH(A70,'CURVA PREVISION'!$B$1:$B$3000,0),"")</f>
        <v>563</v>
      </c>
      <c r="D70" s="131" t="n">
        <f aca="false">IF(OR($C70="",$B$2="",$D$2=0),0,IF(D$3&lt;0,0,N(INDEX('CURVA PREVISION'!$A$1:$KZ$3000,$C70,11+3*MIN(D$3,$D$2-1)))))</f>
        <v>0</v>
      </c>
      <c r="E70" s="131" t="n">
        <f aca="false">IF(OR($C70="",$B$2="",$D$2=0),0,IF(E$3&lt;0,0,N(INDEX('CURVA PREVISION'!$A$1:$KZ$3000,$C70,11+3*MIN(E$3,$D$2-1)))))</f>
        <v>0</v>
      </c>
      <c r="F70" s="131" t="n">
        <f aca="false">IF(OR($C70="",$B$2="",$D$2=0),0,IF(F$3&lt;0,0,N(INDEX('CURVA PREVISION'!$A$1:$KZ$3000,$C70,11+3*MIN(F$3,$D$2-1)))))</f>
        <v>0</v>
      </c>
      <c r="G70" s="131" t="n">
        <f aca="false">IF(OR($C70="",$B$2="",$D$2=0),0,IF(G$3&lt;0,0,N(INDEX('CURVA PREVISION'!$A$1:$KZ$3000,$C70,11+3*MIN(G$3,$D$2-1)))))</f>
        <v>0</v>
      </c>
      <c r="H70" s="131" t="n">
        <f aca="false">IF(OR($C70="",$B$2="",$D$2=0),0,IF(H$3&lt;0,0,N(INDEX('CURVA PREVISION'!$A$1:$KZ$3000,$C70,11+3*MIN(H$3,$D$2-1)))))</f>
        <v>0</v>
      </c>
      <c r="I70" s="131" t="n">
        <f aca="false">IF(OR($C70="",$B$2="",$D$2=0),0,IF(I$3&lt;0,0,N(INDEX('CURVA PREVISION'!$A$1:$KZ$3000,$C70,11+3*MIN(I$3,$D$2-1)))))</f>
        <v>0</v>
      </c>
      <c r="J70" s="131" t="n">
        <f aca="false">IF(OR($C70="",$B$2="",$D$2=0),0,IF(J$3&lt;0,0,N(INDEX('CURVA PREVISION'!$A$1:$KZ$3000,$C70,11+3*MIN(J$3,$D$2-1)))))</f>
        <v>0</v>
      </c>
      <c r="K70" s="131" t="n">
        <f aca="false">IF(OR($C70="",$B$2="",$D$2=0),0,IF(K$3&lt;0,0,N(INDEX('CURVA PREVISION'!$A$1:$KZ$3000,$C70,11+3*MIN(K$3,$D$2-1)))))</f>
        <v>0</v>
      </c>
      <c r="L70" s="131" t="n">
        <f aca="false">IF(OR($C70="",$B$2="",$D$2=0),0,IF(L$3&lt;0,0,N(INDEX('CURVA PREVISION'!$A$1:$KZ$3000,$C70,11+3*MIN(L$3,$D$2-1)))))</f>
        <v>0</v>
      </c>
      <c r="M70" s="131" t="n">
        <f aca="false">IF(OR($C70="",$B$2="",$D$2=0),0,IF(M$3&lt;0,0,N(INDEX('CURVA PREVISION'!$A$1:$KZ$3000,$C70,11+3*MIN(M$3,$D$2-1)))))</f>
        <v>0</v>
      </c>
      <c r="N70" s="131" t="n">
        <f aca="false">IF(OR($C70="",$B$2="",$D$2=0),0,IF(N$3&lt;0,0,N(INDEX('CURVA PREVISION'!$A$1:$KZ$3000,$C70,11+3*MIN(N$3,$D$2-1)))))</f>
        <v>0</v>
      </c>
      <c r="O70" s="131" t="n">
        <f aca="false">IF(OR($C70="",$B$2="",$D$2=0),0,IF(O$3&lt;0,0,N(INDEX('CURVA PREVISION'!$A$1:$KZ$3000,$C70,11+3*MIN(O$3,$D$2-1)))))</f>
        <v>0</v>
      </c>
      <c r="P70" s="131" t="n">
        <f aca="false">IF(OR($C70="",$B$2="",$D$2=0),0,IF(P$3&lt;0,0,N(INDEX('CURVA PREVISION'!$A$1:$KZ$3000,$C70,11+3*MIN(P$3,$D$2-1)))))</f>
        <v>0</v>
      </c>
      <c r="Q70" s="131" t="n">
        <f aca="false">IF(OR($C70="",$B$2="",$D$2=0),0,IF(Q$3&lt;0,0,N(INDEX('CURVA PREVISION'!$A$1:$KZ$3000,$C70,11+3*MIN(Q$3,$D$2-1)))))</f>
        <v>0</v>
      </c>
      <c r="R70" s="131" t="n">
        <f aca="false">IF(OR($C70="",$B$2="",$D$2=0),0,IF(R$3&lt;0,0,N(INDEX('CURVA PREVISION'!$A$1:$KZ$3000,$C70,11+3*MIN(R$3,$D$2-1)))))</f>
        <v>0</v>
      </c>
      <c r="S70" s="131" t="n">
        <f aca="false">IF(OR($C70="",$B$2="",$D$2=0),0,IF(S$3&lt;0,0,N(INDEX('CURVA PREVISION'!$A$1:$KZ$3000,$C70,11+3*MIN(S$3,$D$2-1)))))</f>
        <v>0</v>
      </c>
      <c r="T70" s="131" t="n">
        <f aca="false">IF(OR($C70="",$B$2="",$D$2=0),0,IF(T$3&lt;0,0,N(INDEX('CURVA PREVISION'!$A$1:$KZ$3000,$C70,11+3*MIN(T$3,$D$2-1)))))</f>
        <v>0</v>
      </c>
      <c r="U70" s="131" t="n">
        <f aca="false">IF(OR($C70="",$B$2="",$D$2=0),0,IF(U$3&lt;0,0,N(INDEX('CURVA PREVISION'!$A$1:$KZ$3000,$C70,11+3*MIN(U$3,$D$2-1)))))</f>
        <v>0</v>
      </c>
      <c r="V70" s="131" t="n">
        <f aca="false">IF(OR($C70="",$B$2="",$D$2=0),0,IF(V$3&lt;0,0,N(INDEX('CURVA PREVISION'!$A$1:$KZ$3000,$C70,11+3*MIN(V$3,$D$2-1)))))</f>
        <v>0</v>
      </c>
      <c r="W70" s="131" t="n">
        <f aca="false">IF(OR($C70="",$B$2="",$D$2=0),0,IF(W$3&lt;0,0,N(INDEX('CURVA PREVISION'!$A$1:$KZ$3000,$C70,11+3*MIN(W$3,$D$2-1)))))</f>
        <v>0</v>
      </c>
      <c r="X70" s="131" t="n">
        <f aca="false">IF(OR($C70="",$B$2="",$D$2=0),0,IF(X$3&lt;0,0,N(INDEX('CURVA PREVISION'!$A$1:$KZ$3000,$C70,11+3*MIN(X$3,$D$2-1)))))</f>
        <v>0</v>
      </c>
      <c r="Y70" s="131" t="n">
        <f aca="false">IF(OR($C70="",$B$2="",$D$2=0),0,IF(Y$3&lt;0,0,N(INDEX('CURVA PREVISION'!$A$1:$KZ$3000,$C70,11+3*MIN(Y$3,$D$2-1)))))</f>
        <v>0</v>
      </c>
      <c r="Z70" s="131" t="n">
        <f aca="false">IF(OR($C70="",$B$2="",$D$2=0),0,IF(Z$3&lt;0,0,N(INDEX('CURVA PREVISION'!$A$1:$KZ$3000,$C70,11+3*MIN(Z$3,$D$2-1)))))</f>
        <v>0</v>
      </c>
      <c r="AA70" s="131" t="n">
        <f aca="false">IF(OR($C70="",$B$2="",$D$2=0),0,IF(AA$3&lt;0,0,N(INDEX('CURVA PREVISION'!$A$1:$KZ$3000,$C70,11+3*MIN(AA$3,$D$2-1)))))</f>
        <v>0</v>
      </c>
      <c r="AB70" s="131" t="n">
        <f aca="false">IF(OR($C70="",$B$2="",$D$2=0),0,IF(AB$3&lt;0,0,N(INDEX('CURVA PREVISION'!$A$1:$KZ$3000,$C70,11+3*MIN(AB$3,$D$2-1)))))</f>
        <v>0</v>
      </c>
      <c r="AC70" s="131" t="n">
        <f aca="false">IF(OR($C70="",$B$2="",$D$2=0),0,IF(AC$3&lt;0,0,N(INDEX('CURVA PREVISION'!$A$1:$KZ$3000,$C70,11+3*MIN(AC$3,$D$2-1)))))</f>
        <v>0</v>
      </c>
      <c r="AD70" s="131" t="n">
        <f aca="false">IF(OR($C70="",$B$2="",$D$2=0),0,IF(AD$3&lt;0,0,N(INDEX('CURVA PREVISION'!$A$1:$KZ$3000,$C70,11+3*MIN(AD$3,$D$2-1)))))</f>
        <v>0</v>
      </c>
      <c r="AE70" s="131" t="n">
        <f aca="false">IF(OR($C70="",$B$2="",$D$2=0),0,IF(AE$3&lt;0,0,N(INDEX('CURVA PREVISION'!$A$1:$KZ$3000,$C70,11+3*MIN(AE$3,$D$2-1)))))</f>
        <v>0</v>
      </c>
      <c r="AF70" s="131" t="n">
        <f aca="false">IF(OR($C70="",$B$2="",$D$2=0),0,IF(AF$3&lt;0,0,N(INDEX('CURVA PREVISION'!$A$1:$KZ$3000,$C70,11+3*MIN(AF$3,$D$2-1)))))</f>
        <v>0</v>
      </c>
      <c r="AG70" s="131" t="n">
        <f aca="false">IF(OR($C70="",$B$2="",$D$2=0),0,IF(AG$3&lt;0,0,N(INDEX('CURVA PREVISION'!$A$1:$KZ$3000,$C70,11+3*MIN(AG$3,$D$2-1)))))</f>
        <v>0</v>
      </c>
      <c r="AH70" s="131" t="n">
        <f aca="false">IF(OR($C70="",$B$2="",$D$2=0),0,IF(AH$3&lt;0,0,N(INDEX('CURVA PREVISION'!$A$1:$KZ$3000,$C70,11+3*MIN(AH$3,$D$2-1)))))</f>
        <v>0</v>
      </c>
      <c r="AI70" s="131" t="n">
        <f aca="false">IF(OR($C70="",$B$2="",$D$2=0),0,IF(AI$3&lt;0,0,N(INDEX('CURVA PREVISION'!$A$1:$KZ$3000,$C70,11+3*MIN(AI$3,$D$2-1)))))</f>
        <v>0</v>
      </c>
      <c r="AJ70" s="131" t="n">
        <f aca="false">IF(OR($C70="",$B$2="",$D$2=0),0,IF(AJ$3&lt;0,0,N(INDEX('CURVA PREVISION'!$A$1:$KZ$3000,$C70,11+3*MIN(AJ$3,$D$2-1)))))</f>
        <v>0</v>
      </c>
      <c r="AK70" s="131" t="n">
        <f aca="false">IF(OR($C70="",$B$2="",$D$2=0),0,IF(AK$3&lt;0,0,N(INDEX('CURVA PREVISION'!$A$1:$KZ$3000,$C70,11+3*MIN(AK$3,$D$2-1)))))</f>
        <v>0</v>
      </c>
      <c r="AL70" s="131" t="n">
        <f aca="false">IF(OR($C70="",$B$2="",$D$2=0),0,IF(AL$3&lt;0,0,N(INDEX('CURVA PREVISION'!$A$1:$KZ$3000,$C70,11+3*MIN(AL$3,$D$2-1)))))</f>
        <v>0</v>
      </c>
      <c r="AM70" s="131" t="n">
        <f aca="false">IF(OR($C70="",$B$2="",$D$2=0),0,IF(AM$3&lt;0,0,N(INDEX('CURVA PREVISION'!$A$1:$KZ$3000,$C70,11+3*MIN(AM$3,$D$2-1)))))</f>
        <v>0</v>
      </c>
      <c r="AN70" s="131" t="n">
        <f aca="false">IF(OR($C70="",$B$2="",$D$2=0),0,IF(AN$3&lt;0,0,N(INDEX('CURVA PREVISION'!$A$1:$KZ$3000,$C70,11+3*MIN(AN$3,$D$2-1)))))</f>
        <v>0</v>
      </c>
      <c r="AO70" s="131" t="n">
        <f aca="false">IF(OR($C70="",$B$2="",$D$2=0),0,IF(AO$3&lt;0,0,N(INDEX('CURVA PREVISION'!$A$1:$KZ$3000,$C70,11+3*MIN(AO$3,$D$2-1)))))</f>
        <v>0</v>
      </c>
      <c r="AP70" s="131" t="n">
        <f aca="false">IF(OR($C70="",$B$2="",$D$2=0),0,IF(AP$3&lt;0,0,N(INDEX('CURVA PREVISION'!$A$1:$KZ$3000,$C70,11+3*MIN(AP$3,$D$2-1)))))</f>
        <v>0</v>
      </c>
      <c r="AQ70" s="131" t="n">
        <f aca="false">IF(OR($C70="",$B$2="",$D$2=0),0,IF(AQ$3&lt;0,0,N(INDEX('CURVA PREVISION'!$A$1:$KZ$3000,$C70,11+3*MIN(AQ$3,$D$2-1)))))</f>
        <v>0</v>
      </c>
      <c r="AR70" s="131" t="n">
        <f aca="false">IF(OR($C70="",$B$2="",$D$2=0),0,IF(AR$3&lt;0,0,N(INDEX('CURVA PREVISION'!$A$1:$KZ$3000,$C70,11+3*MIN(AR$3,$D$2-1)))))</f>
        <v>0</v>
      </c>
      <c r="AS70" s="131" t="n">
        <f aca="false">IF(OR($C70="",$B$2="",$D$2=0),0,IF(AS$3&lt;0,0,N(INDEX('CURVA PREVISION'!$A$1:$KZ$3000,$C70,11+3*MIN(AS$3,$D$2-1)))))</f>
        <v>0</v>
      </c>
      <c r="AT70" s="131" t="n">
        <f aca="false">IF(OR($C70="",$B$2="",$D$2=0),0,IF(AT$3&lt;0,0,N(INDEX('CURVA PREVISION'!$A$1:$KZ$3000,$C70,11+3*MIN(AT$3,$D$2-1)))))</f>
        <v>0</v>
      </c>
      <c r="AU70" s="131" t="n">
        <f aca="false">IF(OR($C70="",$B$2="",$D$2=0),0,IF(AU$3&lt;0,0,N(INDEX('CURVA PREVISION'!$A$1:$KZ$3000,$C70,11+3*MIN(AU$3,$D$2-1)))))</f>
        <v>0</v>
      </c>
      <c r="AV70" s="131" t="n">
        <f aca="false">IF(OR($C70="",$B$2="",$D$2=0),0,IF(AV$3&lt;0,0,N(INDEX('CURVA PREVISION'!$A$1:$KZ$3000,$C70,11+3*MIN(AV$3,$D$2-1)))))</f>
        <v>0</v>
      </c>
      <c r="AW70" s="131" t="n">
        <f aca="false">IF(OR($C70="",$B$2="",$D$2=0),0,IF(AW$3&lt;0,0,N(INDEX('CURVA PREVISION'!$A$1:$KZ$3000,$C70,11+3*MIN(AW$3,$D$2-1)))))</f>
        <v>0</v>
      </c>
      <c r="AX70" s="131" t="n">
        <f aca="false">IF(OR($C70="",$B$2="",$D$2=0),0,IF(AX$3&lt;0,0,N(INDEX('CURVA PREVISION'!$A$1:$KZ$3000,$C70,11+3*MIN(AX$3,$D$2-1)))))</f>
        <v>0</v>
      </c>
      <c r="AY70" s="131" t="n">
        <f aca="false">IF(OR($C70="",$B$2="",$D$2=0),0,IF(AY$3&lt;0,0,N(INDEX('CURVA PREVISION'!$A$1:$KZ$3000,$C70,11+3*MIN(AY$3,$D$2-1)))))</f>
        <v>0</v>
      </c>
      <c r="AZ70" s="131" t="n">
        <f aca="false">IF(OR($C70="",$B$2="",$D$2=0),0,IF(AZ$3&lt;0,0,N(INDEX('CURVA PREVISION'!$A$1:$KZ$3000,$C70,11+3*MIN(AZ$3,$D$2-1)))))</f>
        <v>0</v>
      </c>
      <c r="BA70" s="131" t="n">
        <f aca="false">IF(OR($C70="",$B$2="",$D$2=0),0,IF(BA$3&lt;0,0,N(INDEX('CURVA PREVISION'!$A$1:$KZ$3000,$C70,11+3*MIN(BA$3,$D$2-1)))))</f>
        <v>0</v>
      </c>
      <c r="BB70" s="131" t="n">
        <f aca="false">IF(OR($C70="",$B$2="",$D$2=0),0,IF(BB$3&lt;0,0,N(INDEX('CURVA PREVISION'!$A$1:$KZ$3000,$C70,11+3*MIN(BB$3,$D$2-1)))))</f>
        <v>0</v>
      </c>
      <c r="BC70" s="131" t="n">
        <f aca="false">IF(OR($C70="",$B$2="",$D$2=0),0,IF(BC$3&lt;0,0,N(INDEX('CURVA PREVISION'!$A$1:$KZ$3000,$C70,11+3*MIN(BC$3,$D$2-1)))))</f>
        <v>0</v>
      </c>
      <c r="BD70" s="131" t="n">
        <f aca="false">IF(OR($C70="",$B$2="",$D$2=0),0,IF(BD$3&lt;0,0,N(INDEX('CURVA PREVISION'!$A$1:$KZ$3000,$C70,11+3*MIN(BD$3,$D$2-1)))))</f>
        <v>0</v>
      </c>
      <c r="BE70" s="131" t="n">
        <f aca="false">IF(OR($C70="",$B$2="",$D$2=0),0,IF(BE$3&lt;0,0,N(INDEX('CURVA PREVISION'!$A$1:$KZ$3000,$C70,11+3*MIN(BE$3,$D$2-1)))))</f>
        <v>0</v>
      </c>
      <c r="BF70" s="131" t="n">
        <f aca="false">IF(OR($C70="",$B$2="",$D$2=0),0,IF(BF$3&lt;0,0,N(INDEX('CURVA PREVISION'!$A$1:$KZ$3000,$C70,11+3*MIN(BF$3,$D$2-1)))))</f>
        <v>0</v>
      </c>
      <c r="BG70" s="131" t="n">
        <f aca="false">IF(OR($C70="",$B$2="",$D$2=0),0,IF(BG$3&lt;0,0,N(INDEX('CURVA PREVISION'!$A$1:$KZ$3000,$C70,11+3*MIN(BG$3,$D$2-1)))))</f>
        <v>0</v>
      </c>
      <c r="BH70" s="131" t="n">
        <f aca="false">IF(OR($C70="",$B$2="",$D$2=0),0,IF(BH$3&lt;0,0,N(INDEX('CURVA PREVISION'!$A$1:$KZ$3000,$C70,11+3*MIN(BH$3,$D$2-1)))))</f>
        <v>0</v>
      </c>
      <c r="BI70" s="131" t="n">
        <f aca="false">IF(OR($C70="",$B$2="",$D$2=0),0,IF(BI$3&lt;0,0,N(INDEX('CURVA PREVISION'!$A$1:$KZ$3000,$C70,11+3*MIN(BI$3,$D$2-1)))))</f>
        <v>0</v>
      </c>
      <c r="BJ70" s="131" t="n">
        <f aca="false">IF(OR($C70="",$B$2="",$D$2=0),0,IF(BJ$3&lt;0,0,N(INDEX('CURVA PREVISION'!$A$1:$KZ$3000,$C70,11+3*MIN(BJ$3,$D$2-1)))))</f>
        <v>0</v>
      </c>
      <c r="BK70" s="131" t="n">
        <f aca="false">IF(OR($C70="",$B$2="",$D$2=0),0,IF(BK$3&lt;0,0,N(INDEX('CURVA PREVISION'!$A$1:$KZ$3000,$C70,11+3*MIN(BK$3,$D$2-1)))))</f>
        <v>0</v>
      </c>
      <c r="BL70" s="131" t="n">
        <f aca="false">IF(OR($C70="",$B$2="",$D$2=0),0,IF(BL$3&lt;0,0,N(INDEX('CURVA PREVISION'!$A$1:$KZ$3000,$C70,11+3*MIN(BL$3,$D$2-1)))))</f>
        <v>0</v>
      </c>
      <c r="BM70" s="131" t="n">
        <f aca="false">IF(OR($C70="",$B$2="",$D$2=0),0,IF(BM$3&lt;0,0,N(INDEX('CURVA PREVISION'!$A$1:$KZ$3000,$C70,11+3*MIN(BM$3,$D$2-1)))))</f>
        <v>0</v>
      </c>
      <c r="BN70" s="131" t="n">
        <f aca="false">IF(OR($C70="",$B$2="",$D$2=0),0,IF(BN$3&lt;0,0,N(INDEX('CURVA PREVISION'!$A$1:$KZ$3000,$C70,11+3*MIN(BN$3,$D$2-1)))))</f>
        <v>0</v>
      </c>
      <c r="BO70" s="131" t="n">
        <f aca="false">IF(OR($C70="",$B$2="",$D$2=0),0,IF(BO$3&lt;0,0,N(INDEX('CURVA PREVISION'!$A$1:$KZ$3000,$C70,11+3*MIN(BO$3,$D$2-1)))))</f>
        <v>0</v>
      </c>
      <c r="BP70" s="131" t="n">
        <f aca="false">IF(OR($C70="",$B$2="",$D$2=0),0,IF(BP$3&lt;0,0,N(INDEX('CURVA PREVISION'!$A$1:$KZ$3000,$C70,11+3*MIN(BP$3,$D$2-1)))))</f>
        <v>0</v>
      </c>
      <c r="BQ70" s="131" t="n">
        <f aca="false">IF(OR($C70="",$B$2="",$D$2=0),0,IF(BQ$3&lt;0,0,N(INDEX('CURVA PREVISION'!$A$1:$KZ$3000,$C70,11+3*MIN(BQ$3,$D$2-1)))))</f>
        <v>0</v>
      </c>
      <c r="BR70" s="131" t="n">
        <f aca="false">IF(OR($C70="",$B$2="",$D$2=0),0,IF(BR$3&lt;0,0,N(INDEX('CURVA PREVISION'!$A$1:$KZ$3000,$C70,11+3*MIN(BR$3,$D$2-1)))))</f>
        <v>0</v>
      </c>
      <c r="BS70" s="131" t="n">
        <f aca="false">IF(OR($C70="",$B$2="",$D$2=0),0,IF(BS$3&lt;0,0,N(INDEX('CURVA PREVISION'!$A$1:$KZ$3000,$C70,11+3*MIN(BS$3,$D$2-1)))))</f>
        <v>0</v>
      </c>
      <c r="BT70" s="131" t="n">
        <f aca="false">IF(OR($C70="",$B$2="",$D$2=0),0,IF(BT$3&lt;0,0,N(INDEX('CURVA PREVISION'!$A$1:$KZ$3000,$C70,11+3*MIN(BT$3,$D$2-1)))))</f>
        <v>0</v>
      </c>
      <c r="BU70" s="131" t="n">
        <f aca="false">IF(OR($C70="",$B$2="",$D$2=0),0,IF(BU$3&lt;0,0,N(INDEX('CURVA PREVISION'!$A$1:$KZ$3000,$C70,11+3*MIN(BU$3,$D$2-1)))))</f>
        <v>0</v>
      </c>
      <c r="BV70" s="131" t="n">
        <f aca="false">IF(OR($C70="",$B$2="",$D$2=0),0,IF(BV$3&lt;0,0,N(INDEX('CURVA PREVISION'!$A$1:$KZ$3000,$C70,11+3*MIN(BV$3,$D$2-1)))))</f>
        <v>0</v>
      </c>
      <c r="BW70" s="131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25</v>
      </c>
      <c r="B71" s="47" t="str">
        <f aca="false">B29</f>
        <v>ESQUADRIAS</v>
      </c>
      <c r="C71" s="64" t="n">
        <f aca="false">IFERROR(MATCH(A71,'CURVA PREVISION'!$B$1:$B$3000,0),"")</f>
        <v>571</v>
      </c>
      <c r="D71" s="131" t="n">
        <f aca="false">IF(OR($C71="",$B$2="",$D$2=0),0,IF(D$3&lt;0,0,N(INDEX('CURVA PREVISION'!$A$1:$KZ$3000,$C71,11+3*MIN(D$3,$D$2-1)))))</f>
        <v>0</v>
      </c>
      <c r="E71" s="131" t="n">
        <f aca="false">IF(OR($C71="",$B$2="",$D$2=0),0,IF(E$3&lt;0,0,N(INDEX('CURVA PREVISION'!$A$1:$KZ$3000,$C71,11+3*MIN(E$3,$D$2-1)))))</f>
        <v>0</v>
      </c>
      <c r="F71" s="131" t="n">
        <f aca="false">IF(OR($C71="",$B$2="",$D$2=0),0,IF(F$3&lt;0,0,N(INDEX('CURVA PREVISION'!$A$1:$KZ$3000,$C71,11+3*MIN(F$3,$D$2-1)))))</f>
        <v>0</v>
      </c>
      <c r="G71" s="131" t="n">
        <f aca="false">IF(OR($C71="",$B$2="",$D$2=0),0,IF(G$3&lt;0,0,N(INDEX('CURVA PREVISION'!$A$1:$KZ$3000,$C71,11+3*MIN(G$3,$D$2-1)))))</f>
        <v>0</v>
      </c>
      <c r="H71" s="131" t="n">
        <f aca="false">IF(OR($C71="",$B$2="",$D$2=0),0,IF(H$3&lt;0,0,N(INDEX('CURVA PREVISION'!$A$1:$KZ$3000,$C71,11+3*MIN(H$3,$D$2-1)))))</f>
        <v>0</v>
      </c>
      <c r="I71" s="131" t="n">
        <f aca="false">IF(OR($C71="",$B$2="",$D$2=0),0,IF(I$3&lt;0,0,N(INDEX('CURVA PREVISION'!$A$1:$KZ$3000,$C71,11+3*MIN(I$3,$D$2-1)))))</f>
        <v>0</v>
      </c>
      <c r="J71" s="131" t="n">
        <f aca="false">IF(OR($C71="",$B$2="",$D$2=0),0,IF(J$3&lt;0,0,N(INDEX('CURVA PREVISION'!$A$1:$KZ$3000,$C71,11+3*MIN(J$3,$D$2-1)))))</f>
        <v>0</v>
      </c>
      <c r="K71" s="131" t="n">
        <f aca="false">IF(OR($C71="",$B$2="",$D$2=0),0,IF(K$3&lt;0,0,N(INDEX('CURVA PREVISION'!$A$1:$KZ$3000,$C71,11+3*MIN(K$3,$D$2-1)))))</f>
        <v>0</v>
      </c>
      <c r="L71" s="131" t="n">
        <f aca="false">IF(OR($C71="",$B$2="",$D$2=0),0,IF(L$3&lt;0,0,N(INDEX('CURVA PREVISION'!$A$1:$KZ$3000,$C71,11+3*MIN(L$3,$D$2-1)))))</f>
        <v>0</v>
      </c>
      <c r="M71" s="131" t="n">
        <f aca="false">IF(OR($C71="",$B$2="",$D$2=0),0,IF(M$3&lt;0,0,N(INDEX('CURVA PREVISION'!$A$1:$KZ$3000,$C71,11+3*MIN(M$3,$D$2-1)))))</f>
        <v>0</v>
      </c>
      <c r="N71" s="131" t="n">
        <f aca="false">IF(OR($C71="",$B$2="",$D$2=0),0,IF(N$3&lt;0,0,N(INDEX('CURVA PREVISION'!$A$1:$KZ$3000,$C71,11+3*MIN(N$3,$D$2-1)))))</f>
        <v>0</v>
      </c>
      <c r="O71" s="131" t="n">
        <f aca="false">IF(OR($C71="",$B$2="",$D$2=0),0,IF(O$3&lt;0,0,N(INDEX('CURVA PREVISION'!$A$1:$KZ$3000,$C71,11+3*MIN(O$3,$D$2-1)))))</f>
        <v>0</v>
      </c>
      <c r="P71" s="131" t="n">
        <f aca="false">IF(OR($C71="",$B$2="",$D$2=0),0,IF(P$3&lt;0,0,N(INDEX('CURVA PREVISION'!$A$1:$KZ$3000,$C71,11+3*MIN(P$3,$D$2-1)))))</f>
        <v>0</v>
      </c>
      <c r="Q71" s="131" t="n">
        <f aca="false">IF(OR($C71="",$B$2="",$D$2=0),0,IF(Q$3&lt;0,0,N(INDEX('CURVA PREVISION'!$A$1:$KZ$3000,$C71,11+3*MIN(Q$3,$D$2-1)))))</f>
        <v>0</v>
      </c>
      <c r="R71" s="131" t="n">
        <f aca="false">IF(OR($C71="",$B$2="",$D$2=0),0,IF(R$3&lt;0,0,N(INDEX('CURVA PREVISION'!$A$1:$KZ$3000,$C71,11+3*MIN(R$3,$D$2-1)))))</f>
        <v>0</v>
      </c>
      <c r="S71" s="131" t="n">
        <f aca="false">IF(OR($C71="",$B$2="",$D$2=0),0,IF(S$3&lt;0,0,N(INDEX('CURVA PREVISION'!$A$1:$KZ$3000,$C71,11+3*MIN(S$3,$D$2-1)))))</f>
        <v>0</v>
      </c>
      <c r="T71" s="131" t="n">
        <f aca="false">IF(OR($C71="",$B$2="",$D$2=0),0,IF(T$3&lt;0,0,N(INDEX('CURVA PREVISION'!$A$1:$KZ$3000,$C71,11+3*MIN(T$3,$D$2-1)))))</f>
        <v>0</v>
      </c>
      <c r="U71" s="131" t="n">
        <f aca="false">IF(OR($C71="",$B$2="",$D$2=0),0,IF(U$3&lt;0,0,N(INDEX('CURVA PREVISION'!$A$1:$KZ$3000,$C71,11+3*MIN(U$3,$D$2-1)))))</f>
        <v>0</v>
      </c>
      <c r="V71" s="131" t="n">
        <f aca="false">IF(OR($C71="",$B$2="",$D$2=0),0,IF(V$3&lt;0,0,N(INDEX('CURVA PREVISION'!$A$1:$KZ$3000,$C71,11+3*MIN(V$3,$D$2-1)))))</f>
        <v>0</v>
      </c>
      <c r="W71" s="131" t="n">
        <f aca="false">IF(OR($C71="",$B$2="",$D$2=0),0,IF(W$3&lt;0,0,N(INDEX('CURVA PREVISION'!$A$1:$KZ$3000,$C71,11+3*MIN(W$3,$D$2-1)))))</f>
        <v>0</v>
      </c>
      <c r="X71" s="131" t="n">
        <f aca="false">IF(OR($C71="",$B$2="",$D$2=0),0,IF(X$3&lt;0,0,N(INDEX('CURVA PREVISION'!$A$1:$KZ$3000,$C71,11+3*MIN(X$3,$D$2-1)))))</f>
        <v>0</v>
      </c>
      <c r="Y71" s="131" t="n">
        <f aca="false">IF(OR($C71="",$B$2="",$D$2=0),0,IF(Y$3&lt;0,0,N(INDEX('CURVA PREVISION'!$A$1:$KZ$3000,$C71,11+3*MIN(Y$3,$D$2-1)))))</f>
        <v>0</v>
      </c>
      <c r="Z71" s="131" t="n">
        <f aca="false">IF(OR($C71="",$B$2="",$D$2=0),0,IF(Z$3&lt;0,0,N(INDEX('CURVA PREVISION'!$A$1:$KZ$3000,$C71,11+3*MIN(Z$3,$D$2-1)))))</f>
        <v>0</v>
      </c>
      <c r="AA71" s="131" t="n">
        <f aca="false">IF(OR($C71="",$B$2="",$D$2=0),0,IF(AA$3&lt;0,0,N(INDEX('CURVA PREVISION'!$A$1:$KZ$3000,$C71,11+3*MIN(AA$3,$D$2-1)))))</f>
        <v>0</v>
      </c>
      <c r="AB71" s="131" t="n">
        <f aca="false">IF(OR($C71="",$B$2="",$D$2=0),0,IF(AB$3&lt;0,0,N(INDEX('CURVA PREVISION'!$A$1:$KZ$3000,$C71,11+3*MIN(AB$3,$D$2-1)))))</f>
        <v>0</v>
      </c>
      <c r="AC71" s="131" t="n">
        <f aca="false">IF(OR($C71="",$B$2="",$D$2=0),0,IF(AC$3&lt;0,0,N(INDEX('CURVA PREVISION'!$A$1:$KZ$3000,$C71,11+3*MIN(AC$3,$D$2-1)))))</f>
        <v>0</v>
      </c>
      <c r="AD71" s="131" t="n">
        <f aca="false">IF(OR($C71="",$B$2="",$D$2=0),0,IF(AD$3&lt;0,0,N(INDEX('CURVA PREVISION'!$A$1:$KZ$3000,$C71,11+3*MIN(AD$3,$D$2-1)))))</f>
        <v>0</v>
      </c>
      <c r="AE71" s="131" t="n">
        <f aca="false">IF(OR($C71="",$B$2="",$D$2=0),0,IF(AE$3&lt;0,0,N(INDEX('CURVA PREVISION'!$A$1:$KZ$3000,$C71,11+3*MIN(AE$3,$D$2-1)))))</f>
        <v>0</v>
      </c>
      <c r="AF71" s="131" t="n">
        <f aca="false">IF(OR($C71="",$B$2="",$D$2=0),0,IF(AF$3&lt;0,0,N(INDEX('CURVA PREVISION'!$A$1:$KZ$3000,$C71,11+3*MIN(AF$3,$D$2-1)))))</f>
        <v>0</v>
      </c>
      <c r="AG71" s="131" t="n">
        <f aca="false">IF(OR($C71="",$B$2="",$D$2=0),0,IF(AG$3&lt;0,0,N(INDEX('CURVA PREVISION'!$A$1:$KZ$3000,$C71,11+3*MIN(AG$3,$D$2-1)))))</f>
        <v>0</v>
      </c>
      <c r="AH71" s="131" t="n">
        <f aca="false">IF(OR($C71="",$B$2="",$D$2=0),0,IF(AH$3&lt;0,0,N(INDEX('CURVA PREVISION'!$A$1:$KZ$3000,$C71,11+3*MIN(AH$3,$D$2-1)))))</f>
        <v>0</v>
      </c>
      <c r="AI71" s="131" t="n">
        <f aca="false">IF(OR($C71="",$B$2="",$D$2=0),0,IF(AI$3&lt;0,0,N(INDEX('CURVA PREVISION'!$A$1:$KZ$3000,$C71,11+3*MIN(AI$3,$D$2-1)))))</f>
        <v>0</v>
      </c>
      <c r="AJ71" s="131" t="n">
        <f aca="false">IF(OR($C71="",$B$2="",$D$2=0),0,IF(AJ$3&lt;0,0,N(INDEX('CURVA PREVISION'!$A$1:$KZ$3000,$C71,11+3*MIN(AJ$3,$D$2-1)))))</f>
        <v>0</v>
      </c>
      <c r="AK71" s="131" t="n">
        <f aca="false">IF(OR($C71="",$B$2="",$D$2=0),0,IF(AK$3&lt;0,0,N(INDEX('CURVA PREVISION'!$A$1:$KZ$3000,$C71,11+3*MIN(AK$3,$D$2-1)))))</f>
        <v>0</v>
      </c>
      <c r="AL71" s="131" t="n">
        <f aca="false">IF(OR($C71="",$B$2="",$D$2=0),0,IF(AL$3&lt;0,0,N(INDEX('CURVA PREVISION'!$A$1:$KZ$3000,$C71,11+3*MIN(AL$3,$D$2-1)))))</f>
        <v>0</v>
      </c>
      <c r="AM71" s="131" t="n">
        <f aca="false">IF(OR($C71="",$B$2="",$D$2=0),0,IF(AM$3&lt;0,0,N(INDEX('CURVA PREVISION'!$A$1:$KZ$3000,$C71,11+3*MIN(AM$3,$D$2-1)))))</f>
        <v>0</v>
      </c>
      <c r="AN71" s="131" t="n">
        <f aca="false">IF(OR($C71="",$B$2="",$D$2=0),0,IF(AN$3&lt;0,0,N(INDEX('CURVA PREVISION'!$A$1:$KZ$3000,$C71,11+3*MIN(AN$3,$D$2-1)))))</f>
        <v>0</v>
      </c>
      <c r="AO71" s="131" t="n">
        <f aca="false">IF(OR($C71="",$B$2="",$D$2=0),0,IF(AO$3&lt;0,0,N(INDEX('CURVA PREVISION'!$A$1:$KZ$3000,$C71,11+3*MIN(AO$3,$D$2-1)))))</f>
        <v>0</v>
      </c>
      <c r="AP71" s="131" t="n">
        <f aca="false">IF(OR($C71="",$B$2="",$D$2=0),0,IF(AP$3&lt;0,0,N(INDEX('CURVA PREVISION'!$A$1:$KZ$3000,$C71,11+3*MIN(AP$3,$D$2-1)))))</f>
        <v>0</v>
      </c>
      <c r="AQ71" s="131" t="n">
        <f aca="false">IF(OR($C71="",$B$2="",$D$2=0),0,IF(AQ$3&lt;0,0,N(INDEX('CURVA PREVISION'!$A$1:$KZ$3000,$C71,11+3*MIN(AQ$3,$D$2-1)))))</f>
        <v>0</v>
      </c>
      <c r="AR71" s="131" t="n">
        <f aca="false">IF(OR($C71="",$B$2="",$D$2=0),0,IF(AR$3&lt;0,0,N(INDEX('CURVA PREVISION'!$A$1:$KZ$3000,$C71,11+3*MIN(AR$3,$D$2-1)))))</f>
        <v>0</v>
      </c>
      <c r="AS71" s="131" t="n">
        <f aca="false">IF(OR($C71="",$B$2="",$D$2=0),0,IF(AS$3&lt;0,0,N(INDEX('CURVA PREVISION'!$A$1:$KZ$3000,$C71,11+3*MIN(AS$3,$D$2-1)))))</f>
        <v>0</v>
      </c>
      <c r="AT71" s="131" t="n">
        <f aca="false">IF(OR($C71="",$B$2="",$D$2=0),0,IF(AT$3&lt;0,0,N(INDEX('CURVA PREVISION'!$A$1:$KZ$3000,$C71,11+3*MIN(AT$3,$D$2-1)))))</f>
        <v>0</v>
      </c>
      <c r="AU71" s="131" t="n">
        <f aca="false">IF(OR($C71="",$B$2="",$D$2=0),0,IF(AU$3&lt;0,0,N(INDEX('CURVA PREVISION'!$A$1:$KZ$3000,$C71,11+3*MIN(AU$3,$D$2-1)))))</f>
        <v>0</v>
      </c>
      <c r="AV71" s="131" t="n">
        <f aca="false">IF(OR($C71="",$B$2="",$D$2=0),0,IF(AV$3&lt;0,0,N(INDEX('CURVA PREVISION'!$A$1:$KZ$3000,$C71,11+3*MIN(AV$3,$D$2-1)))))</f>
        <v>0</v>
      </c>
      <c r="AW71" s="131" t="n">
        <f aca="false">IF(OR($C71="",$B$2="",$D$2=0),0,IF(AW$3&lt;0,0,N(INDEX('CURVA PREVISION'!$A$1:$KZ$3000,$C71,11+3*MIN(AW$3,$D$2-1)))))</f>
        <v>0</v>
      </c>
      <c r="AX71" s="131" t="n">
        <f aca="false">IF(OR($C71="",$B$2="",$D$2=0),0,IF(AX$3&lt;0,0,N(INDEX('CURVA PREVISION'!$A$1:$KZ$3000,$C71,11+3*MIN(AX$3,$D$2-1)))))</f>
        <v>0</v>
      </c>
      <c r="AY71" s="131" t="n">
        <f aca="false">IF(OR($C71="",$B$2="",$D$2=0),0,IF(AY$3&lt;0,0,N(INDEX('CURVA PREVISION'!$A$1:$KZ$3000,$C71,11+3*MIN(AY$3,$D$2-1)))))</f>
        <v>0</v>
      </c>
      <c r="AZ71" s="131" t="n">
        <f aca="false">IF(OR($C71="",$B$2="",$D$2=0),0,IF(AZ$3&lt;0,0,N(INDEX('CURVA PREVISION'!$A$1:$KZ$3000,$C71,11+3*MIN(AZ$3,$D$2-1)))))</f>
        <v>0</v>
      </c>
      <c r="BA71" s="131" t="n">
        <f aca="false">IF(OR($C71="",$B$2="",$D$2=0),0,IF(BA$3&lt;0,0,N(INDEX('CURVA PREVISION'!$A$1:$KZ$3000,$C71,11+3*MIN(BA$3,$D$2-1)))))</f>
        <v>0</v>
      </c>
      <c r="BB71" s="131" t="n">
        <f aca="false">IF(OR($C71="",$B$2="",$D$2=0),0,IF(BB$3&lt;0,0,N(INDEX('CURVA PREVISION'!$A$1:$KZ$3000,$C71,11+3*MIN(BB$3,$D$2-1)))))</f>
        <v>0</v>
      </c>
      <c r="BC71" s="131" t="n">
        <f aca="false">IF(OR($C71="",$B$2="",$D$2=0),0,IF(BC$3&lt;0,0,N(INDEX('CURVA PREVISION'!$A$1:$KZ$3000,$C71,11+3*MIN(BC$3,$D$2-1)))))</f>
        <v>0</v>
      </c>
      <c r="BD71" s="131" t="n">
        <f aca="false">IF(OR($C71="",$B$2="",$D$2=0),0,IF(BD$3&lt;0,0,N(INDEX('CURVA PREVISION'!$A$1:$KZ$3000,$C71,11+3*MIN(BD$3,$D$2-1)))))</f>
        <v>0</v>
      </c>
      <c r="BE71" s="131" t="n">
        <f aca="false">IF(OR($C71="",$B$2="",$D$2=0),0,IF(BE$3&lt;0,0,N(INDEX('CURVA PREVISION'!$A$1:$KZ$3000,$C71,11+3*MIN(BE$3,$D$2-1)))))</f>
        <v>0</v>
      </c>
      <c r="BF71" s="131" t="n">
        <f aca="false">IF(OR($C71="",$B$2="",$D$2=0),0,IF(BF$3&lt;0,0,N(INDEX('CURVA PREVISION'!$A$1:$KZ$3000,$C71,11+3*MIN(BF$3,$D$2-1)))))</f>
        <v>0</v>
      </c>
      <c r="BG71" s="131" t="n">
        <f aca="false">IF(OR($C71="",$B$2="",$D$2=0),0,IF(BG$3&lt;0,0,N(INDEX('CURVA PREVISION'!$A$1:$KZ$3000,$C71,11+3*MIN(BG$3,$D$2-1)))))</f>
        <v>0</v>
      </c>
      <c r="BH71" s="131" t="n">
        <f aca="false">IF(OR($C71="",$B$2="",$D$2=0),0,IF(BH$3&lt;0,0,N(INDEX('CURVA PREVISION'!$A$1:$KZ$3000,$C71,11+3*MIN(BH$3,$D$2-1)))))</f>
        <v>0</v>
      </c>
      <c r="BI71" s="131" t="n">
        <f aca="false">IF(OR($C71="",$B$2="",$D$2=0),0,IF(BI$3&lt;0,0,N(INDEX('CURVA PREVISION'!$A$1:$KZ$3000,$C71,11+3*MIN(BI$3,$D$2-1)))))</f>
        <v>0</v>
      </c>
      <c r="BJ71" s="131" t="n">
        <f aca="false">IF(OR($C71="",$B$2="",$D$2=0),0,IF(BJ$3&lt;0,0,N(INDEX('CURVA PREVISION'!$A$1:$KZ$3000,$C71,11+3*MIN(BJ$3,$D$2-1)))))</f>
        <v>0</v>
      </c>
      <c r="BK71" s="131" t="n">
        <f aca="false">IF(OR($C71="",$B$2="",$D$2=0),0,IF(BK$3&lt;0,0,N(INDEX('CURVA PREVISION'!$A$1:$KZ$3000,$C71,11+3*MIN(BK$3,$D$2-1)))))</f>
        <v>0</v>
      </c>
      <c r="BL71" s="131" t="n">
        <f aca="false">IF(OR($C71="",$B$2="",$D$2=0),0,IF(BL$3&lt;0,0,N(INDEX('CURVA PREVISION'!$A$1:$KZ$3000,$C71,11+3*MIN(BL$3,$D$2-1)))))</f>
        <v>0</v>
      </c>
      <c r="BM71" s="131" t="n">
        <f aca="false">IF(OR($C71="",$B$2="",$D$2=0),0,IF(BM$3&lt;0,0,N(INDEX('CURVA PREVISION'!$A$1:$KZ$3000,$C71,11+3*MIN(BM$3,$D$2-1)))))</f>
        <v>0</v>
      </c>
      <c r="BN71" s="131" t="n">
        <f aca="false">IF(OR($C71="",$B$2="",$D$2=0),0,IF(BN$3&lt;0,0,N(INDEX('CURVA PREVISION'!$A$1:$KZ$3000,$C71,11+3*MIN(BN$3,$D$2-1)))))</f>
        <v>0</v>
      </c>
      <c r="BO71" s="131" t="n">
        <f aca="false">IF(OR($C71="",$B$2="",$D$2=0),0,IF(BO$3&lt;0,0,N(INDEX('CURVA PREVISION'!$A$1:$KZ$3000,$C71,11+3*MIN(BO$3,$D$2-1)))))</f>
        <v>0</v>
      </c>
      <c r="BP71" s="131" t="n">
        <f aca="false">IF(OR($C71="",$B$2="",$D$2=0),0,IF(BP$3&lt;0,0,N(INDEX('CURVA PREVISION'!$A$1:$KZ$3000,$C71,11+3*MIN(BP$3,$D$2-1)))))</f>
        <v>0</v>
      </c>
      <c r="BQ71" s="131" t="n">
        <f aca="false">IF(OR($C71="",$B$2="",$D$2=0),0,IF(BQ$3&lt;0,0,N(INDEX('CURVA PREVISION'!$A$1:$KZ$3000,$C71,11+3*MIN(BQ$3,$D$2-1)))))</f>
        <v>0</v>
      </c>
      <c r="BR71" s="131" t="n">
        <f aca="false">IF(OR($C71="",$B$2="",$D$2=0),0,IF(BR$3&lt;0,0,N(INDEX('CURVA PREVISION'!$A$1:$KZ$3000,$C71,11+3*MIN(BR$3,$D$2-1)))))</f>
        <v>0</v>
      </c>
      <c r="BS71" s="131" t="n">
        <f aca="false">IF(OR($C71="",$B$2="",$D$2=0),0,IF(BS$3&lt;0,0,N(INDEX('CURVA PREVISION'!$A$1:$KZ$3000,$C71,11+3*MIN(BS$3,$D$2-1)))))</f>
        <v>0</v>
      </c>
      <c r="BT71" s="131" t="n">
        <f aca="false">IF(OR($C71="",$B$2="",$D$2=0),0,IF(BT$3&lt;0,0,N(INDEX('CURVA PREVISION'!$A$1:$KZ$3000,$C71,11+3*MIN(BT$3,$D$2-1)))))</f>
        <v>0</v>
      </c>
      <c r="BU71" s="131" t="n">
        <f aca="false">IF(OR($C71="",$B$2="",$D$2=0),0,IF(BU$3&lt;0,0,N(INDEX('CURVA PREVISION'!$A$1:$KZ$3000,$C71,11+3*MIN(BU$3,$D$2-1)))))</f>
        <v>0</v>
      </c>
      <c r="BV71" s="131" t="n">
        <f aca="false">IF(OR($C71="",$B$2="",$D$2=0),0,IF(BV$3&lt;0,0,N(INDEX('CURVA PREVISION'!$A$1:$KZ$3000,$C71,11+3*MIN(BV$3,$D$2-1)))))</f>
        <v>0</v>
      </c>
      <c r="BW71" s="131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26</v>
      </c>
      <c r="B72" s="47" t="str">
        <f aca="false">B30</f>
        <v>SERRALHERIA</v>
      </c>
      <c r="C72" s="64" t="n">
        <f aca="false">IFERROR(MATCH(A72,'CURVA PREVISION'!$B$1:$B$3000,0),"")</f>
        <v>579</v>
      </c>
      <c r="D72" s="131" t="n">
        <f aca="false">IF(OR($C72="",$B$2="",$D$2=0),0,IF(D$3&lt;0,0,N(INDEX('CURVA PREVISION'!$A$1:$KZ$3000,$C72,11+3*MIN(D$3,$D$2-1)))))</f>
        <v>0</v>
      </c>
      <c r="E72" s="131" t="n">
        <f aca="false">IF(OR($C72="",$B$2="",$D$2=0),0,IF(E$3&lt;0,0,N(INDEX('CURVA PREVISION'!$A$1:$KZ$3000,$C72,11+3*MIN(E$3,$D$2-1)))))</f>
        <v>0</v>
      </c>
      <c r="F72" s="131" t="n">
        <f aca="false">IF(OR($C72="",$B$2="",$D$2=0),0,IF(F$3&lt;0,0,N(INDEX('CURVA PREVISION'!$A$1:$KZ$3000,$C72,11+3*MIN(F$3,$D$2-1)))))</f>
        <v>0</v>
      </c>
      <c r="G72" s="131" t="n">
        <f aca="false">IF(OR($C72="",$B$2="",$D$2=0),0,IF(G$3&lt;0,0,N(INDEX('CURVA PREVISION'!$A$1:$KZ$3000,$C72,11+3*MIN(G$3,$D$2-1)))))</f>
        <v>0</v>
      </c>
      <c r="H72" s="131" t="n">
        <f aca="false">IF(OR($C72="",$B$2="",$D$2=0),0,IF(H$3&lt;0,0,N(INDEX('CURVA PREVISION'!$A$1:$KZ$3000,$C72,11+3*MIN(H$3,$D$2-1)))))</f>
        <v>0</v>
      </c>
      <c r="I72" s="131" t="n">
        <f aca="false">IF(OR($C72="",$B$2="",$D$2=0),0,IF(I$3&lt;0,0,N(INDEX('CURVA PREVISION'!$A$1:$KZ$3000,$C72,11+3*MIN(I$3,$D$2-1)))))</f>
        <v>0</v>
      </c>
      <c r="J72" s="131" t="n">
        <f aca="false">IF(OR($C72="",$B$2="",$D$2=0),0,IF(J$3&lt;0,0,N(INDEX('CURVA PREVISION'!$A$1:$KZ$3000,$C72,11+3*MIN(J$3,$D$2-1)))))</f>
        <v>0</v>
      </c>
      <c r="K72" s="131" t="n">
        <f aca="false">IF(OR($C72="",$B$2="",$D$2=0),0,IF(K$3&lt;0,0,N(INDEX('CURVA PREVISION'!$A$1:$KZ$3000,$C72,11+3*MIN(K$3,$D$2-1)))))</f>
        <v>0</v>
      </c>
      <c r="L72" s="131" t="n">
        <f aca="false">IF(OR($C72="",$B$2="",$D$2=0),0,IF(L$3&lt;0,0,N(INDEX('CURVA PREVISION'!$A$1:$KZ$3000,$C72,11+3*MIN(L$3,$D$2-1)))))</f>
        <v>0</v>
      </c>
      <c r="M72" s="131" t="n">
        <f aca="false">IF(OR($C72="",$B$2="",$D$2=0),0,IF(M$3&lt;0,0,N(INDEX('CURVA PREVISION'!$A$1:$KZ$3000,$C72,11+3*MIN(M$3,$D$2-1)))))</f>
        <v>0</v>
      </c>
      <c r="N72" s="131" t="n">
        <f aca="false">IF(OR($C72="",$B$2="",$D$2=0),0,IF(N$3&lt;0,0,N(INDEX('CURVA PREVISION'!$A$1:$KZ$3000,$C72,11+3*MIN(N$3,$D$2-1)))))</f>
        <v>0</v>
      </c>
      <c r="O72" s="131" t="n">
        <f aca="false">IF(OR($C72="",$B$2="",$D$2=0),0,IF(O$3&lt;0,0,N(INDEX('CURVA PREVISION'!$A$1:$KZ$3000,$C72,11+3*MIN(O$3,$D$2-1)))))</f>
        <v>0</v>
      </c>
      <c r="P72" s="131" t="n">
        <f aca="false">IF(OR($C72="",$B$2="",$D$2=0),0,IF(P$3&lt;0,0,N(INDEX('CURVA PREVISION'!$A$1:$KZ$3000,$C72,11+3*MIN(P$3,$D$2-1)))))</f>
        <v>0</v>
      </c>
      <c r="Q72" s="131" t="n">
        <f aca="false">IF(OR($C72="",$B$2="",$D$2=0),0,IF(Q$3&lt;0,0,N(INDEX('CURVA PREVISION'!$A$1:$KZ$3000,$C72,11+3*MIN(Q$3,$D$2-1)))))</f>
        <v>0</v>
      </c>
      <c r="R72" s="131" t="n">
        <f aca="false">IF(OR($C72="",$B$2="",$D$2=0),0,IF(R$3&lt;0,0,N(INDEX('CURVA PREVISION'!$A$1:$KZ$3000,$C72,11+3*MIN(R$3,$D$2-1)))))</f>
        <v>0</v>
      </c>
      <c r="S72" s="131" t="n">
        <f aca="false">IF(OR($C72="",$B$2="",$D$2=0),0,IF(S$3&lt;0,0,N(INDEX('CURVA PREVISION'!$A$1:$KZ$3000,$C72,11+3*MIN(S$3,$D$2-1)))))</f>
        <v>0</v>
      </c>
      <c r="T72" s="131" t="n">
        <f aca="false">IF(OR($C72="",$B$2="",$D$2=0),0,IF(T$3&lt;0,0,N(INDEX('CURVA PREVISION'!$A$1:$KZ$3000,$C72,11+3*MIN(T$3,$D$2-1)))))</f>
        <v>0</v>
      </c>
      <c r="U72" s="131" t="n">
        <f aca="false">IF(OR($C72="",$B$2="",$D$2=0),0,IF(U$3&lt;0,0,N(INDEX('CURVA PREVISION'!$A$1:$KZ$3000,$C72,11+3*MIN(U$3,$D$2-1)))))</f>
        <v>0</v>
      </c>
      <c r="V72" s="131" t="n">
        <f aca="false">IF(OR($C72="",$B$2="",$D$2=0),0,IF(V$3&lt;0,0,N(INDEX('CURVA PREVISION'!$A$1:$KZ$3000,$C72,11+3*MIN(V$3,$D$2-1)))))</f>
        <v>0</v>
      </c>
      <c r="W72" s="131" t="n">
        <f aca="false">IF(OR($C72="",$B$2="",$D$2=0),0,IF(W$3&lt;0,0,N(INDEX('CURVA PREVISION'!$A$1:$KZ$3000,$C72,11+3*MIN(W$3,$D$2-1)))))</f>
        <v>0</v>
      </c>
      <c r="X72" s="131" t="n">
        <f aca="false">IF(OR($C72="",$B$2="",$D$2=0),0,IF(X$3&lt;0,0,N(INDEX('CURVA PREVISION'!$A$1:$KZ$3000,$C72,11+3*MIN(X$3,$D$2-1)))))</f>
        <v>0</v>
      </c>
      <c r="Y72" s="131" t="n">
        <f aca="false">IF(OR($C72="",$B$2="",$D$2=0),0,IF(Y$3&lt;0,0,N(INDEX('CURVA PREVISION'!$A$1:$KZ$3000,$C72,11+3*MIN(Y$3,$D$2-1)))))</f>
        <v>0</v>
      </c>
      <c r="Z72" s="131" t="n">
        <f aca="false">IF(OR($C72="",$B$2="",$D$2=0),0,IF(Z$3&lt;0,0,N(INDEX('CURVA PREVISION'!$A$1:$KZ$3000,$C72,11+3*MIN(Z$3,$D$2-1)))))</f>
        <v>0</v>
      </c>
      <c r="AA72" s="131" t="n">
        <f aca="false">IF(OR($C72="",$B$2="",$D$2=0),0,IF(AA$3&lt;0,0,N(INDEX('CURVA PREVISION'!$A$1:$KZ$3000,$C72,11+3*MIN(AA$3,$D$2-1)))))</f>
        <v>0</v>
      </c>
      <c r="AB72" s="131" t="n">
        <f aca="false">IF(OR($C72="",$B$2="",$D$2=0),0,IF(AB$3&lt;0,0,N(INDEX('CURVA PREVISION'!$A$1:$KZ$3000,$C72,11+3*MIN(AB$3,$D$2-1)))))</f>
        <v>0</v>
      </c>
      <c r="AC72" s="131" t="n">
        <f aca="false">IF(OR($C72="",$B$2="",$D$2=0),0,IF(AC$3&lt;0,0,N(INDEX('CURVA PREVISION'!$A$1:$KZ$3000,$C72,11+3*MIN(AC$3,$D$2-1)))))</f>
        <v>0</v>
      </c>
      <c r="AD72" s="131" t="n">
        <f aca="false">IF(OR($C72="",$B$2="",$D$2=0),0,IF(AD$3&lt;0,0,N(INDEX('CURVA PREVISION'!$A$1:$KZ$3000,$C72,11+3*MIN(AD$3,$D$2-1)))))</f>
        <v>0</v>
      </c>
      <c r="AE72" s="131" t="n">
        <f aca="false">IF(OR($C72="",$B$2="",$D$2=0),0,IF(AE$3&lt;0,0,N(INDEX('CURVA PREVISION'!$A$1:$KZ$3000,$C72,11+3*MIN(AE$3,$D$2-1)))))</f>
        <v>0</v>
      </c>
      <c r="AF72" s="131" t="n">
        <f aca="false">IF(OR($C72="",$B$2="",$D$2=0),0,IF(AF$3&lt;0,0,N(INDEX('CURVA PREVISION'!$A$1:$KZ$3000,$C72,11+3*MIN(AF$3,$D$2-1)))))</f>
        <v>0</v>
      </c>
      <c r="AG72" s="131" t="n">
        <f aca="false">IF(OR($C72="",$B$2="",$D$2=0),0,IF(AG$3&lt;0,0,N(INDEX('CURVA PREVISION'!$A$1:$KZ$3000,$C72,11+3*MIN(AG$3,$D$2-1)))))</f>
        <v>0</v>
      </c>
      <c r="AH72" s="131" t="n">
        <f aca="false">IF(OR($C72="",$B$2="",$D$2=0),0,IF(AH$3&lt;0,0,N(INDEX('CURVA PREVISION'!$A$1:$KZ$3000,$C72,11+3*MIN(AH$3,$D$2-1)))))</f>
        <v>0</v>
      </c>
      <c r="AI72" s="131" t="n">
        <f aca="false">IF(OR($C72="",$B$2="",$D$2=0),0,IF(AI$3&lt;0,0,N(INDEX('CURVA PREVISION'!$A$1:$KZ$3000,$C72,11+3*MIN(AI$3,$D$2-1)))))</f>
        <v>0</v>
      </c>
      <c r="AJ72" s="131" t="n">
        <f aca="false">IF(OR($C72="",$B$2="",$D$2=0),0,IF(AJ$3&lt;0,0,N(INDEX('CURVA PREVISION'!$A$1:$KZ$3000,$C72,11+3*MIN(AJ$3,$D$2-1)))))</f>
        <v>0</v>
      </c>
      <c r="AK72" s="131" t="n">
        <f aca="false">IF(OR($C72="",$B$2="",$D$2=0),0,IF(AK$3&lt;0,0,N(INDEX('CURVA PREVISION'!$A$1:$KZ$3000,$C72,11+3*MIN(AK$3,$D$2-1)))))</f>
        <v>0</v>
      </c>
      <c r="AL72" s="131" t="n">
        <f aca="false">IF(OR($C72="",$B$2="",$D$2=0),0,IF(AL$3&lt;0,0,N(INDEX('CURVA PREVISION'!$A$1:$KZ$3000,$C72,11+3*MIN(AL$3,$D$2-1)))))</f>
        <v>0</v>
      </c>
      <c r="AM72" s="131" t="n">
        <f aca="false">IF(OR($C72="",$B$2="",$D$2=0),0,IF(AM$3&lt;0,0,N(INDEX('CURVA PREVISION'!$A$1:$KZ$3000,$C72,11+3*MIN(AM$3,$D$2-1)))))</f>
        <v>0</v>
      </c>
      <c r="AN72" s="131" t="n">
        <f aca="false">IF(OR($C72="",$B$2="",$D$2=0),0,IF(AN$3&lt;0,0,N(INDEX('CURVA PREVISION'!$A$1:$KZ$3000,$C72,11+3*MIN(AN$3,$D$2-1)))))</f>
        <v>0</v>
      </c>
      <c r="AO72" s="131" t="n">
        <f aca="false">IF(OR($C72="",$B$2="",$D$2=0),0,IF(AO$3&lt;0,0,N(INDEX('CURVA PREVISION'!$A$1:$KZ$3000,$C72,11+3*MIN(AO$3,$D$2-1)))))</f>
        <v>0</v>
      </c>
      <c r="AP72" s="131" t="n">
        <f aca="false">IF(OR($C72="",$B$2="",$D$2=0),0,IF(AP$3&lt;0,0,N(INDEX('CURVA PREVISION'!$A$1:$KZ$3000,$C72,11+3*MIN(AP$3,$D$2-1)))))</f>
        <v>0</v>
      </c>
      <c r="AQ72" s="131" t="n">
        <f aca="false">IF(OR($C72="",$B$2="",$D$2=0),0,IF(AQ$3&lt;0,0,N(INDEX('CURVA PREVISION'!$A$1:$KZ$3000,$C72,11+3*MIN(AQ$3,$D$2-1)))))</f>
        <v>0</v>
      </c>
      <c r="AR72" s="131" t="n">
        <f aca="false">IF(OR($C72="",$B$2="",$D$2=0),0,IF(AR$3&lt;0,0,N(INDEX('CURVA PREVISION'!$A$1:$KZ$3000,$C72,11+3*MIN(AR$3,$D$2-1)))))</f>
        <v>0</v>
      </c>
      <c r="AS72" s="131" t="n">
        <f aca="false">IF(OR($C72="",$B$2="",$D$2=0),0,IF(AS$3&lt;0,0,N(INDEX('CURVA PREVISION'!$A$1:$KZ$3000,$C72,11+3*MIN(AS$3,$D$2-1)))))</f>
        <v>0</v>
      </c>
      <c r="AT72" s="131" t="n">
        <f aca="false">IF(OR($C72="",$B$2="",$D$2=0),0,IF(AT$3&lt;0,0,N(INDEX('CURVA PREVISION'!$A$1:$KZ$3000,$C72,11+3*MIN(AT$3,$D$2-1)))))</f>
        <v>0</v>
      </c>
      <c r="AU72" s="131" t="n">
        <f aca="false">IF(OR($C72="",$B$2="",$D$2=0),0,IF(AU$3&lt;0,0,N(INDEX('CURVA PREVISION'!$A$1:$KZ$3000,$C72,11+3*MIN(AU$3,$D$2-1)))))</f>
        <v>0</v>
      </c>
      <c r="AV72" s="131" t="n">
        <f aca="false">IF(OR($C72="",$B$2="",$D$2=0),0,IF(AV$3&lt;0,0,N(INDEX('CURVA PREVISION'!$A$1:$KZ$3000,$C72,11+3*MIN(AV$3,$D$2-1)))))</f>
        <v>0</v>
      </c>
      <c r="AW72" s="131" t="n">
        <f aca="false">IF(OR($C72="",$B$2="",$D$2=0),0,IF(AW$3&lt;0,0,N(INDEX('CURVA PREVISION'!$A$1:$KZ$3000,$C72,11+3*MIN(AW$3,$D$2-1)))))</f>
        <v>0</v>
      </c>
      <c r="AX72" s="131" t="n">
        <f aca="false">IF(OR($C72="",$B$2="",$D$2=0),0,IF(AX$3&lt;0,0,N(INDEX('CURVA PREVISION'!$A$1:$KZ$3000,$C72,11+3*MIN(AX$3,$D$2-1)))))</f>
        <v>0</v>
      </c>
      <c r="AY72" s="131" t="n">
        <f aca="false">IF(OR($C72="",$B$2="",$D$2=0),0,IF(AY$3&lt;0,0,N(INDEX('CURVA PREVISION'!$A$1:$KZ$3000,$C72,11+3*MIN(AY$3,$D$2-1)))))</f>
        <v>0</v>
      </c>
      <c r="AZ72" s="131" t="n">
        <f aca="false">IF(OR($C72="",$B$2="",$D$2=0),0,IF(AZ$3&lt;0,0,N(INDEX('CURVA PREVISION'!$A$1:$KZ$3000,$C72,11+3*MIN(AZ$3,$D$2-1)))))</f>
        <v>0</v>
      </c>
      <c r="BA72" s="131" t="n">
        <f aca="false">IF(OR($C72="",$B$2="",$D$2=0),0,IF(BA$3&lt;0,0,N(INDEX('CURVA PREVISION'!$A$1:$KZ$3000,$C72,11+3*MIN(BA$3,$D$2-1)))))</f>
        <v>0</v>
      </c>
      <c r="BB72" s="131" t="n">
        <f aca="false">IF(OR($C72="",$B$2="",$D$2=0),0,IF(BB$3&lt;0,0,N(INDEX('CURVA PREVISION'!$A$1:$KZ$3000,$C72,11+3*MIN(BB$3,$D$2-1)))))</f>
        <v>0</v>
      </c>
      <c r="BC72" s="131" t="n">
        <f aca="false">IF(OR($C72="",$B$2="",$D$2=0),0,IF(BC$3&lt;0,0,N(INDEX('CURVA PREVISION'!$A$1:$KZ$3000,$C72,11+3*MIN(BC$3,$D$2-1)))))</f>
        <v>0</v>
      </c>
      <c r="BD72" s="131" t="n">
        <f aca="false">IF(OR($C72="",$B$2="",$D$2=0),0,IF(BD$3&lt;0,0,N(INDEX('CURVA PREVISION'!$A$1:$KZ$3000,$C72,11+3*MIN(BD$3,$D$2-1)))))</f>
        <v>0</v>
      </c>
      <c r="BE72" s="131" t="n">
        <f aca="false">IF(OR($C72="",$B$2="",$D$2=0),0,IF(BE$3&lt;0,0,N(INDEX('CURVA PREVISION'!$A$1:$KZ$3000,$C72,11+3*MIN(BE$3,$D$2-1)))))</f>
        <v>0</v>
      </c>
      <c r="BF72" s="131" t="n">
        <f aca="false">IF(OR($C72="",$B$2="",$D$2=0),0,IF(BF$3&lt;0,0,N(INDEX('CURVA PREVISION'!$A$1:$KZ$3000,$C72,11+3*MIN(BF$3,$D$2-1)))))</f>
        <v>0</v>
      </c>
      <c r="BG72" s="131" t="n">
        <f aca="false">IF(OR($C72="",$B$2="",$D$2=0),0,IF(BG$3&lt;0,0,N(INDEX('CURVA PREVISION'!$A$1:$KZ$3000,$C72,11+3*MIN(BG$3,$D$2-1)))))</f>
        <v>0</v>
      </c>
      <c r="BH72" s="131" t="n">
        <f aca="false">IF(OR($C72="",$B$2="",$D$2=0),0,IF(BH$3&lt;0,0,N(INDEX('CURVA PREVISION'!$A$1:$KZ$3000,$C72,11+3*MIN(BH$3,$D$2-1)))))</f>
        <v>0</v>
      </c>
      <c r="BI72" s="131" t="n">
        <f aca="false">IF(OR($C72="",$B$2="",$D$2=0),0,IF(BI$3&lt;0,0,N(INDEX('CURVA PREVISION'!$A$1:$KZ$3000,$C72,11+3*MIN(BI$3,$D$2-1)))))</f>
        <v>0</v>
      </c>
      <c r="BJ72" s="131" t="n">
        <f aca="false">IF(OR($C72="",$B$2="",$D$2=0),0,IF(BJ$3&lt;0,0,N(INDEX('CURVA PREVISION'!$A$1:$KZ$3000,$C72,11+3*MIN(BJ$3,$D$2-1)))))</f>
        <v>0</v>
      </c>
      <c r="BK72" s="131" t="n">
        <f aca="false">IF(OR($C72="",$B$2="",$D$2=0),0,IF(BK$3&lt;0,0,N(INDEX('CURVA PREVISION'!$A$1:$KZ$3000,$C72,11+3*MIN(BK$3,$D$2-1)))))</f>
        <v>0</v>
      </c>
      <c r="BL72" s="131" t="n">
        <f aca="false">IF(OR($C72="",$B$2="",$D$2=0),0,IF(BL$3&lt;0,0,N(INDEX('CURVA PREVISION'!$A$1:$KZ$3000,$C72,11+3*MIN(BL$3,$D$2-1)))))</f>
        <v>0</v>
      </c>
      <c r="BM72" s="131" t="n">
        <f aca="false">IF(OR($C72="",$B$2="",$D$2=0),0,IF(BM$3&lt;0,0,N(INDEX('CURVA PREVISION'!$A$1:$KZ$3000,$C72,11+3*MIN(BM$3,$D$2-1)))))</f>
        <v>0</v>
      </c>
      <c r="BN72" s="131" t="n">
        <f aca="false">IF(OR($C72="",$B$2="",$D$2=0),0,IF(BN$3&lt;0,0,N(INDEX('CURVA PREVISION'!$A$1:$KZ$3000,$C72,11+3*MIN(BN$3,$D$2-1)))))</f>
        <v>0</v>
      </c>
      <c r="BO72" s="131" t="n">
        <f aca="false">IF(OR($C72="",$B$2="",$D$2=0),0,IF(BO$3&lt;0,0,N(INDEX('CURVA PREVISION'!$A$1:$KZ$3000,$C72,11+3*MIN(BO$3,$D$2-1)))))</f>
        <v>0</v>
      </c>
      <c r="BP72" s="131" t="n">
        <f aca="false">IF(OR($C72="",$B$2="",$D$2=0),0,IF(BP$3&lt;0,0,N(INDEX('CURVA PREVISION'!$A$1:$KZ$3000,$C72,11+3*MIN(BP$3,$D$2-1)))))</f>
        <v>0</v>
      </c>
      <c r="BQ72" s="131" t="n">
        <f aca="false">IF(OR($C72="",$B$2="",$D$2=0),0,IF(BQ$3&lt;0,0,N(INDEX('CURVA PREVISION'!$A$1:$KZ$3000,$C72,11+3*MIN(BQ$3,$D$2-1)))))</f>
        <v>0</v>
      </c>
      <c r="BR72" s="131" t="n">
        <f aca="false">IF(OR($C72="",$B$2="",$D$2=0),0,IF(BR$3&lt;0,0,N(INDEX('CURVA PREVISION'!$A$1:$KZ$3000,$C72,11+3*MIN(BR$3,$D$2-1)))))</f>
        <v>0</v>
      </c>
      <c r="BS72" s="131" t="n">
        <f aca="false">IF(OR($C72="",$B$2="",$D$2=0),0,IF(BS$3&lt;0,0,N(INDEX('CURVA PREVISION'!$A$1:$KZ$3000,$C72,11+3*MIN(BS$3,$D$2-1)))))</f>
        <v>0</v>
      </c>
      <c r="BT72" s="131" t="n">
        <f aca="false">IF(OR($C72="",$B$2="",$D$2=0),0,IF(BT$3&lt;0,0,N(INDEX('CURVA PREVISION'!$A$1:$KZ$3000,$C72,11+3*MIN(BT$3,$D$2-1)))))</f>
        <v>0</v>
      </c>
      <c r="BU72" s="131" t="n">
        <f aca="false">IF(OR($C72="",$B$2="",$D$2=0),0,IF(BU$3&lt;0,0,N(INDEX('CURVA PREVISION'!$A$1:$KZ$3000,$C72,11+3*MIN(BU$3,$D$2-1)))))</f>
        <v>0</v>
      </c>
      <c r="BV72" s="131" t="n">
        <f aca="false">IF(OR($C72="",$B$2="",$D$2=0),0,IF(BV$3&lt;0,0,N(INDEX('CURVA PREVISION'!$A$1:$KZ$3000,$C72,11+3*MIN(BV$3,$D$2-1)))))</f>
        <v>0</v>
      </c>
      <c r="BW72" s="131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27</v>
      </c>
      <c r="B73" s="47" t="str">
        <f aca="false">B31</f>
        <v>MARCENARIA</v>
      </c>
      <c r="C73" s="64" t="n">
        <f aca="false">IFERROR(MATCH(A73,'CURVA PREVISION'!$B$1:$B$3000,0),"")</f>
        <v>603</v>
      </c>
      <c r="D73" s="131" t="n">
        <f aca="false">IF(OR($C73="",$B$2="",$D$2=0),0,IF(D$3&lt;0,0,N(INDEX('CURVA PREVISION'!$A$1:$KZ$3000,$C73,11+3*MIN(D$3,$D$2-1)))))</f>
        <v>0</v>
      </c>
      <c r="E73" s="131" t="n">
        <f aca="false">IF(OR($C73="",$B$2="",$D$2=0),0,IF(E$3&lt;0,0,N(INDEX('CURVA PREVISION'!$A$1:$KZ$3000,$C73,11+3*MIN(E$3,$D$2-1)))))</f>
        <v>0</v>
      </c>
      <c r="F73" s="131" t="n">
        <f aca="false">IF(OR($C73="",$B$2="",$D$2=0),0,IF(F$3&lt;0,0,N(INDEX('CURVA PREVISION'!$A$1:$KZ$3000,$C73,11+3*MIN(F$3,$D$2-1)))))</f>
        <v>0</v>
      </c>
      <c r="G73" s="131" t="n">
        <f aca="false">IF(OR($C73="",$B$2="",$D$2=0),0,IF(G$3&lt;0,0,N(INDEX('CURVA PREVISION'!$A$1:$KZ$3000,$C73,11+3*MIN(G$3,$D$2-1)))))</f>
        <v>0</v>
      </c>
      <c r="H73" s="131" t="n">
        <f aca="false">IF(OR($C73="",$B$2="",$D$2=0),0,IF(H$3&lt;0,0,N(INDEX('CURVA PREVISION'!$A$1:$KZ$3000,$C73,11+3*MIN(H$3,$D$2-1)))))</f>
        <v>0</v>
      </c>
      <c r="I73" s="131" t="n">
        <f aca="false">IF(OR($C73="",$B$2="",$D$2=0),0,IF(I$3&lt;0,0,N(INDEX('CURVA PREVISION'!$A$1:$KZ$3000,$C73,11+3*MIN(I$3,$D$2-1)))))</f>
        <v>0</v>
      </c>
      <c r="J73" s="131" t="n">
        <f aca="false">IF(OR($C73="",$B$2="",$D$2=0),0,IF(J$3&lt;0,0,N(INDEX('CURVA PREVISION'!$A$1:$KZ$3000,$C73,11+3*MIN(J$3,$D$2-1)))))</f>
        <v>0</v>
      </c>
      <c r="K73" s="131" t="n">
        <f aca="false">IF(OR($C73="",$B$2="",$D$2=0),0,IF(K$3&lt;0,0,N(INDEX('CURVA PREVISION'!$A$1:$KZ$3000,$C73,11+3*MIN(K$3,$D$2-1)))))</f>
        <v>0</v>
      </c>
      <c r="L73" s="131" t="n">
        <f aca="false">IF(OR($C73="",$B$2="",$D$2=0),0,IF(L$3&lt;0,0,N(INDEX('CURVA PREVISION'!$A$1:$KZ$3000,$C73,11+3*MIN(L$3,$D$2-1)))))</f>
        <v>0</v>
      </c>
      <c r="M73" s="131" t="n">
        <f aca="false">IF(OR($C73="",$B$2="",$D$2=0),0,IF(M$3&lt;0,0,N(INDEX('CURVA PREVISION'!$A$1:$KZ$3000,$C73,11+3*MIN(M$3,$D$2-1)))))</f>
        <v>0</v>
      </c>
      <c r="N73" s="131" t="n">
        <f aca="false">IF(OR($C73="",$B$2="",$D$2=0),0,IF(N$3&lt;0,0,N(INDEX('CURVA PREVISION'!$A$1:$KZ$3000,$C73,11+3*MIN(N$3,$D$2-1)))))</f>
        <v>0</v>
      </c>
      <c r="O73" s="131" t="n">
        <f aca="false">IF(OR($C73="",$B$2="",$D$2=0),0,IF(O$3&lt;0,0,N(INDEX('CURVA PREVISION'!$A$1:$KZ$3000,$C73,11+3*MIN(O$3,$D$2-1)))))</f>
        <v>0</v>
      </c>
      <c r="P73" s="131" t="n">
        <f aca="false">IF(OR($C73="",$B$2="",$D$2=0),0,IF(P$3&lt;0,0,N(INDEX('CURVA PREVISION'!$A$1:$KZ$3000,$C73,11+3*MIN(P$3,$D$2-1)))))</f>
        <v>0</v>
      </c>
      <c r="Q73" s="131" t="n">
        <f aca="false">IF(OR($C73="",$B$2="",$D$2=0),0,IF(Q$3&lt;0,0,N(INDEX('CURVA PREVISION'!$A$1:$KZ$3000,$C73,11+3*MIN(Q$3,$D$2-1)))))</f>
        <v>0</v>
      </c>
      <c r="R73" s="131" t="n">
        <f aca="false">IF(OR($C73="",$B$2="",$D$2=0),0,IF(R$3&lt;0,0,N(INDEX('CURVA PREVISION'!$A$1:$KZ$3000,$C73,11+3*MIN(R$3,$D$2-1)))))</f>
        <v>0</v>
      </c>
      <c r="S73" s="131" t="n">
        <f aca="false">IF(OR($C73="",$B$2="",$D$2=0),0,IF(S$3&lt;0,0,N(INDEX('CURVA PREVISION'!$A$1:$KZ$3000,$C73,11+3*MIN(S$3,$D$2-1)))))</f>
        <v>0</v>
      </c>
      <c r="T73" s="131" t="n">
        <f aca="false">IF(OR($C73="",$B$2="",$D$2=0),0,IF(T$3&lt;0,0,N(INDEX('CURVA PREVISION'!$A$1:$KZ$3000,$C73,11+3*MIN(T$3,$D$2-1)))))</f>
        <v>0</v>
      </c>
      <c r="U73" s="131" t="n">
        <f aca="false">IF(OR($C73="",$B$2="",$D$2=0),0,IF(U$3&lt;0,0,N(INDEX('CURVA PREVISION'!$A$1:$KZ$3000,$C73,11+3*MIN(U$3,$D$2-1)))))</f>
        <v>0</v>
      </c>
      <c r="V73" s="131" t="n">
        <f aca="false">IF(OR($C73="",$B$2="",$D$2=0),0,IF(V$3&lt;0,0,N(INDEX('CURVA PREVISION'!$A$1:$KZ$3000,$C73,11+3*MIN(V$3,$D$2-1)))))</f>
        <v>0</v>
      </c>
      <c r="W73" s="131" t="n">
        <f aca="false">IF(OR($C73="",$B$2="",$D$2=0),0,IF(W$3&lt;0,0,N(INDEX('CURVA PREVISION'!$A$1:$KZ$3000,$C73,11+3*MIN(W$3,$D$2-1)))))</f>
        <v>0</v>
      </c>
      <c r="X73" s="131" t="n">
        <f aca="false">IF(OR($C73="",$B$2="",$D$2=0),0,IF(X$3&lt;0,0,N(INDEX('CURVA PREVISION'!$A$1:$KZ$3000,$C73,11+3*MIN(X$3,$D$2-1)))))</f>
        <v>0</v>
      </c>
      <c r="Y73" s="131" t="n">
        <f aca="false">IF(OR($C73="",$B$2="",$D$2=0),0,IF(Y$3&lt;0,0,N(INDEX('CURVA PREVISION'!$A$1:$KZ$3000,$C73,11+3*MIN(Y$3,$D$2-1)))))</f>
        <v>0</v>
      </c>
      <c r="Z73" s="131" t="n">
        <f aca="false">IF(OR($C73="",$B$2="",$D$2=0),0,IF(Z$3&lt;0,0,N(INDEX('CURVA PREVISION'!$A$1:$KZ$3000,$C73,11+3*MIN(Z$3,$D$2-1)))))</f>
        <v>0</v>
      </c>
      <c r="AA73" s="131" t="n">
        <f aca="false">IF(OR($C73="",$B$2="",$D$2=0),0,IF(AA$3&lt;0,0,N(INDEX('CURVA PREVISION'!$A$1:$KZ$3000,$C73,11+3*MIN(AA$3,$D$2-1)))))</f>
        <v>0</v>
      </c>
      <c r="AB73" s="131" t="n">
        <f aca="false">IF(OR($C73="",$B$2="",$D$2=0),0,IF(AB$3&lt;0,0,N(INDEX('CURVA PREVISION'!$A$1:$KZ$3000,$C73,11+3*MIN(AB$3,$D$2-1)))))</f>
        <v>0</v>
      </c>
      <c r="AC73" s="131" t="n">
        <f aca="false">IF(OR($C73="",$B$2="",$D$2=0),0,IF(AC$3&lt;0,0,N(INDEX('CURVA PREVISION'!$A$1:$KZ$3000,$C73,11+3*MIN(AC$3,$D$2-1)))))</f>
        <v>0</v>
      </c>
      <c r="AD73" s="131" t="n">
        <f aca="false">IF(OR($C73="",$B$2="",$D$2=0),0,IF(AD$3&lt;0,0,N(INDEX('CURVA PREVISION'!$A$1:$KZ$3000,$C73,11+3*MIN(AD$3,$D$2-1)))))</f>
        <v>0</v>
      </c>
      <c r="AE73" s="131" t="n">
        <f aca="false">IF(OR($C73="",$B$2="",$D$2=0),0,IF(AE$3&lt;0,0,N(INDEX('CURVA PREVISION'!$A$1:$KZ$3000,$C73,11+3*MIN(AE$3,$D$2-1)))))</f>
        <v>0</v>
      </c>
      <c r="AF73" s="131" t="n">
        <f aca="false">IF(OR($C73="",$B$2="",$D$2=0),0,IF(AF$3&lt;0,0,N(INDEX('CURVA PREVISION'!$A$1:$KZ$3000,$C73,11+3*MIN(AF$3,$D$2-1)))))</f>
        <v>0</v>
      </c>
      <c r="AG73" s="131" t="n">
        <f aca="false">IF(OR($C73="",$B$2="",$D$2=0),0,IF(AG$3&lt;0,0,N(INDEX('CURVA PREVISION'!$A$1:$KZ$3000,$C73,11+3*MIN(AG$3,$D$2-1)))))</f>
        <v>0</v>
      </c>
      <c r="AH73" s="131" t="n">
        <f aca="false">IF(OR($C73="",$B$2="",$D$2=0),0,IF(AH$3&lt;0,0,N(INDEX('CURVA PREVISION'!$A$1:$KZ$3000,$C73,11+3*MIN(AH$3,$D$2-1)))))</f>
        <v>0</v>
      </c>
      <c r="AI73" s="131" t="n">
        <f aca="false">IF(OR($C73="",$B$2="",$D$2=0),0,IF(AI$3&lt;0,0,N(INDEX('CURVA PREVISION'!$A$1:$KZ$3000,$C73,11+3*MIN(AI$3,$D$2-1)))))</f>
        <v>0</v>
      </c>
      <c r="AJ73" s="131" t="n">
        <f aca="false">IF(OR($C73="",$B$2="",$D$2=0),0,IF(AJ$3&lt;0,0,N(INDEX('CURVA PREVISION'!$A$1:$KZ$3000,$C73,11+3*MIN(AJ$3,$D$2-1)))))</f>
        <v>0</v>
      </c>
      <c r="AK73" s="131" t="n">
        <f aca="false">IF(OR($C73="",$B$2="",$D$2=0),0,IF(AK$3&lt;0,0,N(INDEX('CURVA PREVISION'!$A$1:$KZ$3000,$C73,11+3*MIN(AK$3,$D$2-1)))))</f>
        <v>0</v>
      </c>
      <c r="AL73" s="131" t="n">
        <f aca="false">IF(OR($C73="",$B$2="",$D$2=0),0,IF(AL$3&lt;0,0,N(INDEX('CURVA PREVISION'!$A$1:$KZ$3000,$C73,11+3*MIN(AL$3,$D$2-1)))))</f>
        <v>0</v>
      </c>
      <c r="AM73" s="131" t="n">
        <f aca="false">IF(OR($C73="",$B$2="",$D$2=0),0,IF(AM$3&lt;0,0,N(INDEX('CURVA PREVISION'!$A$1:$KZ$3000,$C73,11+3*MIN(AM$3,$D$2-1)))))</f>
        <v>0</v>
      </c>
      <c r="AN73" s="131" t="n">
        <f aca="false">IF(OR($C73="",$B$2="",$D$2=0),0,IF(AN$3&lt;0,0,N(INDEX('CURVA PREVISION'!$A$1:$KZ$3000,$C73,11+3*MIN(AN$3,$D$2-1)))))</f>
        <v>0</v>
      </c>
      <c r="AO73" s="131" t="n">
        <f aca="false">IF(OR($C73="",$B$2="",$D$2=0),0,IF(AO$3&lt;0,0,N(INDEX('CURVA PREVISION'!$A$1:$KZ$3000,$C73,11+3*MIN(AO$3,$D$2-1)))))</f>
        <v>0</v>
      </c>
      <c r="AP73" s="131" t="n">
        <f aca="false">IF(OR($C73="",$B$2="",$D$2=0),0,IF(AP$3&lt;0,0,N(INDEX('CURVA PREVISION'!$A$1:$KZ$3000,$C73,11+3*MIN(AP$3,$D$2-1)))))</f>
        <v>0</v>
      </c>
      <c r="AQ73" s="131" t="n">
        <f aca="false">IF(OR($C73="",$B$2="",$D$2=0),0,IF(AQ$3&lt;0,0,N(INDEX('CURVA PREVISION'!$A$1:$KZ$3000,$C73,11+3*MIN(AQ$3,$D$2-1)))))</f>
        <v>0</v>
      </c>
      <c r="AR73" s="131" t="n">
        <f aca="false">IF(OR($C73="",$B$2="",$D$2=0),0,IF(AR$3&lt;0,0,N(INDEX('CURVA PREVISION'!$A$1:$KZ$3000,$C73,11+3*MIN(AR$3,$D$2-1)))))</f>
        <v>0</v>
      </c>
      <c r="AS73" s="131" t="n">
        <f aca="false">IF(OR($C73="",$B$2="",$D$2=0),0,IF(AS$3&lt;0,0,N(INDEX('CURVA PREVISION'!$A$1:$KZ$3000,$C73,11+3*MIN(AS$3,$D$2-1)))))</f>
        <v>0</v>
      </c>
      <c r="AT73" s="131" t="n">
        <f aca="false">IF(OR($C73="",$B$2="",$D$2=0),0,IF(AT$3&lt;0,0,N(INDEX('CURVA PREVISION'!$A$1:$KZ$3000,$C73,11+3*MIN(AT$3,$D$2-1)))))</f>
        <v>0</v>
      </c>
      <c r="AU73" s="131" t="n">
        <f aca="false">IF(OR($C73="",$B$2="",$D$2=0),0,IF(AU$3&lt;0,0,N(INDEX('CURVA PREVISION'!$A$1:$KZ$3000,$C73,11+3*MIN(AU$3,$D$2-1)))))</f>
        <v>0</v>
      </c>
      <c r="AV73" s="131" t="n">
        <f aca="false">IF(OR($C73="",$B$2="",$D$2=0),0,IF(AV$3&lt;0,0,N(INDEX('CURVA PREVISION'!$A$1:$KZ$3000,$C73,11+3*MIN(AV$3,$D$2-1)))))</f>
        <v>0</v>
      </c>
      <c r="AW73" s="131" t="n">
        <f aca="false">IF(OR($C73="",$B$2="",$D$2=0),0,IF(AW$3&lt;0,0,N(INDEX('CURVA PREVISION'!$A$1:$KZ$3000,$C73,11+3*MIN(AW$3,$D$2-1)))))</f>
        <v>0</v>
      </c>
      <c r="AX73" s="131" t="n">
        <f aca="false">IF(OR($C73="",$B$2="",$D$2=0),0,IF(AX$3&lt;0,0,N(INDEX('CURVA PREVISION'!$A$1:$KZ$3000,$C73,11+3*MIN(AX$3,$D$2-1)))))</f>
        <v>0</v>
      </c>
      <c r="AY73" s="131" t="n">
        <f aca="false">IF(OR($C73="",$B$2="",$D$2=0),0,IF(AY$3&lt;0,0,N(INDEX('CURVA PREVISION'!$A$1:$KZ$3000,$C73,11+3*MIN(AY$3,$D$2-1)))))</f>
        <v>0</v>
      </c>
      <c r="AZ73" s="131" t="n">
        <f aca="false">IF(OR($C73="",$B$2="",$D$2=0),0,IF(AZ$3&lt;0,0,N(INDEX('CURVA PREVISION'!$A$1:$KZ$3000,$C73,11+3*MIN(AZ$3,$D$2-1)))))</f>
        <v>0</v>
      </c>
      <c r="BA73" s="131" t="n">
        <f aca="false">IF(OR($C73="",$B$2="",$D$2=0),0,IF(BA$3&lt;0,0,N(INDEX('CURVA PREVISION'!$A$1:$KZ$3000,$C73,11+3*MIN(BA$3,$D$2-1)))))</f>
        <v>0</v>
      </c>
      <c r="BB73" s="131" t="n">
        <f aca="false">IF(OR($C73="",$B$2="",$D$2=0),0,IF(BB$3&lt;0,0,N(INDEX('CURVA PREVISION'!$A$1:$KZ$3000,$C73,11+3*MIN(BB$3,$D$2-1)))))</f>
        <v>0</v>
      </c>
      <c r="BC73" s="131" t="n">
        <f aca="false">IF(OR($C73="",$B$2="",$D$2=0),0,IF(BC$3&lt;0,0,N(INDEX('CURVA PREVISION'!$A$1:$KZ$3000,$C73,11+3*MIN(BC$3,$D$2-1)))))</f>
        <v>0</v>
      </c>
      <c r="BD73" s="131" t="n">
        <f aca="false">IF(OR($C73="",$B$2="",$D$2=0),0,IF(BD$3&lt;0,0,N(INDEX('CURVA PREVISION'!$A$1:$KZ$3000,$C73,11+3*MIN(BD$3,$D$2-1)))))</f>
        <v>0</v>
      </c>
      <c r="BE73" s="131" t="n">
        <f aca="false">IF(OR($C73="",$B$2="",$D$2=0),0,IF(BE$3&lt;0,0,N(INDEX('CURVA PREVISION'!$A$1:$KZ$3000,$C73,11+3*MIN(BE$3,$D$2-1)))))</f>
        <v>0</v>
      </c>
      <c r="BF73" s="131" t="n">
        <f aca="false">IF(OR($C73="",$B$2="",$D$2=0),0,IF(BF$3&lt;0,0,N(INDEX('CURVA PREVISION'!$A$1:$KZ$3000,$C73,11+3*MIN(BF$3,$D$2-1)))))</f>
        <v>0</v>
      </c>
      <c r="BG73" s="131" t="n">
        <f aca="false">IF(OR($C73="",$B$2="",$D$2=0),0,IF(BG$3&lt;0,0,N(INDEX('CURVA PREVISION'!$A$1:$KZ$3000,$C73,11+3*MIN(BG$3,$D$2-1)))))</f>
        <v>0</v>
      </c>
      <c r="BH73" s="131" t="n">
        <f aca="false">IF(OR($C73="",$B$2="",$D$2=0),0,IF(BH$3&lt;0,0,N(INDEX('CURVA PREVISION'!$A$1:$KZ$3000,$C73,11+3*MIN(BH$3,$D$2-1)))))</f>
        <v>0</v>
      </c>
      <c r="BI73" s="131" t="n">
        <f aca="false">IF(OR($C73="",$B$2="",$D$2=0),0,IF(BI$3&lt;0,0,N(INDEX('CURVA PREVISION'!$A$1:$KZ$3000,$C73,11+3*MIN(BI$3,$D$2-1)))))</f>
        <v>0</v>
      </c>
      <c r="BJ73" s="131" t="n">
        <f aca="false">IF(OR($C73="",$B$2="",$D$2=0),0,IF(BJ$3&lt;0,0,N(INDEX('CURVA PREVISION'!$A$1:$KZ$3000,$C73,11+3*MIN(BJ$3,$D$2-1)))))</f>
        <v>0</v>
      </c>
      <c r="BK73" s="131" t="n">
        <f aca="false">IF(OR($C73="",$B$2="",$D$2=0),0,IF(BK$3&lt;0,0,N(INDEX('CURVA PREVISION'!$A$1:$KZ$3000,$C73,11+3*MIN(BK$3,$D$2-1)))))</f>
        <v>0</v>
      </c>
      <c r="BL73" s="131" t="n">
        <f aca="false">IF(OR($C73="",$B$2="",$D$2=0),0,IF(BL$3&lt;0,0,N(INDEX('CURVA PREVISION'!$A$1:$KZ$3000,$C73,11+3*MIN(BL$3,$D$2-1)))))</f>
        <v>0</v>
      </c>
      <c r="BM73" s="131" t="n">
        <f aca="false">IF(OR($C73="",$B$2="",$D$2=0),0,IF(BM$3&lt;0,0,N(INDEX('CURVA PREVISION'!$A$1:$KZ$3000,$C73,11+3*MIN(BM$3,$D$2-1)))))</f>
        <v>0</v>
      </c>
      <c r="BN73" s="131" t="n">
        <f aca="false">IF(OR($C73="",$B$2="",$D$2=0),0,IF(BN$3&lt;0,0,N(INDEX('CURVA PREVISION'!$A$1:$KZ$3000,$C73,11+3*MIN(BN$3,$D$2-1)))))</f>
        <v>0</v>
      </c>
      <c r="BO73" s="131" t="n">
        <f aca="false">IF(OR($C73="",$B$2="",$D$2=0),0,IF(BO$3&lt;0,0,N(INDEX('CURVA PREVISION'!$A$1:$KZ$3000,$C73,11+3*MIN(BO$3,$D$2-1)))))</f>
        <v>0</v>
      </c>
      <c r="BP73" s="131" t="n">
        <f aca="false">IF(OR($C73="",$B$2="",$D$2=0),0,IF(BP$3&lt;0,0,N(INDEX('CURVA PREVISION'!$A$1:$KZ$3000,$C73,11+3*MIN(BP$3,$D$2-1)))))</f>
        <v>0</v>
      </c>
      <c r="BQ73" s="131" t="n">
        <f aca="false">IF(OR($C73="",$B$2="",$D$2=0),0,IF(BQ$3&lt;0,0,N(INDEX('CURVA PREVISION'!$A$1:$KZ$3000,$C73,11+3*MIN(BQ$3,$D$2-1)))))</f>
        <v>0</v>
      </c>
      <c r="BR73" s="131" t="n">
        <f aca="false">IF(OR($C73="",$B$2="",$D$2=0),0,IF(BR$3&lt;0,0,N(INDEX('CURVA PREVISION'!$A$1:$KZ$3000,$C73,11+3*MIN(BR$3,$D$2-1)))))</f>
        <v>0</v>
      </c>
      <c r="BS73" s="131" t="n">
        <f aca="false">IF(OR($C73="",$B$2="",$D$2=0),0,IF(BS$3&lt;0,0,N(INDEX('CURVA PREVISION'!$A$1:$KZ$3000,$C73,11+3*MIN(BS$3,$D$2-1)))))</f>
        <v>0</v>
      </c>
      <c r="BT73" s="131" t="n">
        <f aca="false">IF(OR($C73="",$B$2="",$D$2=0),0,IF(BT$3&lt;0,0,N(INDEX('CURVA PREVISION'!$A$1:$KZ$3000,$C73,11+3*MIN(BT$3,$D$2-1)))))</f>
        <v>0</v>
      </c>
      <c r="BU73" s="131" t="n">
        <f aca="false">IF(OR($C73="",$B$2="",$D$2=0),0,IF(BU$3&lt;0,0,N(INDEX('CURVA PREVISION'!$A$1:$KZ$3000,$C73,11+3*MIN(BU$3,$D$2-1)))))</f>
        <v>0</v>
      </c>
      <c r="BV73" s="131" t="n">
        <f aca="false">IF(OR($C73="",$B$2="",$D$2=0),0,IF(BV$3&lt;0,0,N(INDEX('CURVA PREVISION'!$A$1:$KZ$3000,$C73,11+3*MIN(BV$3,$D$2-1)))))</f>
        <v>0</v>
      </c>
      <c r="BW73" s="131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28</v>
      </c>
      <c r="B74" s="47" t="str">
        <f aca="false">B32</f>
        <v>REVESTIMENTOS DE MASSA EM PISOS</v>
      </c>
      <c r="C74" s="64" t="n">
        <f aca="false">IFERROR(MATCH(A74,'CURVA PREVISION'!$B$1:$B$3000,0),"")</f>
        <v>624</v>
      </c>
      <c r="D74" s="131" t="n">
        <f aca="false">IF(OR($C74="",$B$2="",$D$2=0),0,IF(D$3&lt;0,0,N(INDEX('CURVA PREVISION'!$A$1:$KZ$3000,$C74,11+3*MIN(D$3,$D$2-1)))))</f>
        <v>0</v>
      </c>
      <c r="E74" s="131" t="n">
        <f aca="false">IF(OR($C74="",$B$2="",$D$2=0),0,IF(E$3&lt;0,0,N(INDEX('CURVA PREVISION'!$A$1:$KZ$3000,$C74,11+3*MIN(E$3,$D$2-1)))))</f>
        <v>0</v>
      </c>
      <c r="F74" s="131" t="n">
        <f aca="false">IF(OR($C74="",$B$2="",$D$2=0),0,IF(F$3&lt;0,0,N(INDEX('CURVA PREVISION'!$A$1:$KZ$3000,$C74,11+3*MIN(F$3,$D$2-1)))))</f>
        <v>0</v>
      </c>
      <c r="G74" s="131" t="n">
        <f aca="false">IF(OR($C74="",$B$2="",$D$2=0),0,IF(G$3&lt;0,0,N(INDEX('CURVA PREVISION'!$A$1:$KZ$3000,$C74,11+3*MIN(G$3,$D$2-1)))))</f>
        <v>0</v>
      </c>
      <c r="H74" s="131" t="n">
        <f aca="false">IF(OR($C74="",$B$2="",$D$2=0),0,IF(H$3&lt;0,0,N(INDEX('CURVA PREVISION'!$A$1:$KZ$3000,$C74,11+3*MIN(H$3,$D$2-1)))))</f>
        <v>0</v>
      </c>
      <c r="I74" s="131" t="n">
        <f aca="false">IF(OR($C74="",$B$2="",$D$2=0),0,IF(I$3&lt;0,0,N(INDEX('CURVA PREVISION'!$A$1:$KZ$3000,$C74,11+3*MIN(I$3,$D$2-1)))))</f>
        <v>0</v>
      </c>
      <c r="J74" s="131" t="n">
        <f aca="false">IF(OR($C74="",$B$2="",$D$2=0),0,IF(J$3&lt;0,0,N(INDEX('CURVA PREVISION'!$A$1:$KZ$3000,$C74,11+3*MIN(J$3,$D$2-1)))))</f>
        <v>0</v>
      </c>
      <c r="K74" s="131" t="n">
        <f aca="false">IF(OR($C74="",$B$2="",$D$2=0),0,IF(K$3&lt;0,0,N(INDEX('CURVA PREVISION'!$A$1:$KZ$3000,$C74,11+3*MIN(K$3,$D$2-1)))))</f>
        <v>0</v>
      </c>
      <c r="L74" s="131" t="n">
        <f aca="false">IF(OR($C74="",$B$2="",$D$2=0),0,IF(L$3&lt;0,0,N(INDEX('CURVA PREVISION'!$A$1:$KZ$3000,$C74,11+3*MIN(L$3,$D$2-1)))))</f>
        <v>0</v>
      </c>
      <c r="M74" s="131" t="n">
        <f aca="false">IF(OR($C74="",$B$2="",$D$2=0),0,IF(M$3&lt;0,0,N(INDEX('CURVA PREVISION'!$A$1:$KZ$3000,$C74,11+3*MIN(M$3,$D$2-1)))))</f>
        <v>0</v>
      </c>
      <c r="N74" s="131" t="n">
        <f aca="false">IF(OR($C74="",$B$2="",$D$2=0),0,IF(N$3&lt;0,0,N(INDEX('CURVA PREVISION'!$A$1:$KZ$3000,$C74,11+3*MIN(N$3,$D$2-1)))))</f>
        <v>0</v>
      </c>
      <c r="O74" s="131" t="n">
        <f aca="false">IF(OR($C74="",$B$2="",$D$2=0),0,IF(O$3&lt;0,0,N(INDEX('CURVA PREVISION'!$A$1:$KZ$3000,$C74,11+3*MIN(O$3,$D$2-1)))))</f>
        <v>0</v>
      </c>
      <c r="P74" s="131" t="n">
        <f aca="false">IF(OR($C74="",$B$2="",$D$2=0),0,IF(P$3&lt;0,0,N(INDEX('CURVA PREVISION'!$A$1:$KZ$3000,$C74,11+3*MIN(P$3,$D$2-1)))))</f>
        <v>0</v>
      </c>
      <c r="Q74" s="131" t="n">
        <f aca="false">IF(OR($C74="",$B$2="",$D$2=0),0,IF(Q$3&lt;0,0,N(INDEX('CURVA PREVISION'!$A$1:$KZ$3000,$C74,11+3*MIN(Q$3,$D$2-1)))))</f>
        <v>0</v>
      </c>
      <c r="R74" s="131" t="n">
        <f aca="false">IF(OR($C74="",$B$2="",$D$2=0),0,IF(R$3&lt;0,0,N(INDEX('CURVA PREVISION'!$A$1:$KZ$3000,$C74,11+3*MIN(R$3,$D$2-1)))))</f>
        <v>0</v>
      </c>
      <c r="S74" s="131" t="n">
        <f aca="false">IF(OR($C74="",$B$2="",$D$2=0),0,IF(S$3&lt;0,0,N(INDEX('CURVA PREVISION'!$A$1:$KZ$3000,$C74,11+3*MIN(S$3,$D$2-1)))))</f>
        <v>0</v>
      </c>
      <c r="T74" s="131" t="n">
        <f aca="false">IF(OR($C74="",$B$2="",$D$2=0),0,IF(T$3&lt;0,0,N(INDEX('CURVA PREVISION'!$A$1:$KZ$3000,$C74,11+3*MIN(T$3,$D$2-1)))))</f>
        <v>0</v>
      </c>
      <c r="U74" s="131" t="n">
        <f aca="false">IF(OR($C74="",$B$2="",$D$2=0),0,IF(U$3&lt;0,0,N(INDEX('CURVA PREVISION'!$A$1:$KZ$3000,$C74,11+3*MIN(U$3,$D$2-1)))))</f>
        <v>0</v>
      </c>
      <c r="V74" s="131" t="n">
        <f aca="false">IF(OR($C74="",$B$2="",$D$2=0),0,IF(V$3&lt;0,0,N(INDEX('CURVA PREVISION'!$A$1:$KZ$3000,$C74,11+3*MIN(V$3,$D$2-1)))))</f>
        <v>0</v>
      </c>
      <c r="W74" s="131" t="n">
        <f aca="false">IF(OR($C74="",$B$2="",$D$2=0),0,IF(W$3&lt;0,0,N(INDEX('CURVA PREVISION'!$A$1:$KZ$3000,$C74,11+3*MIN(W$3,$D$2-1)))))</f>
        <v>0</v>
      </c>
      <c r="X74" s="131" t="n">
        <f aca="false">IF(OR($C74="",$B$2="",$D$2=0),0,IF(X$3&lt;0,0,N(INDEX('CURVA PREVISION'!$A$1:$KZ$3000,$C74,11+3*MIN(X$3,$D$2-1)))))</f>
        <v>0</v>
      </c>
      <c r="Y74" s="131" t="n">
        <f aca="false">IF(OR($C74="",$B$2="",$D$2=0),0,IF(Y$3&lt;0,0,N(INDEX('CURVA PREVISION'!$A$1:$KZ$3000,$C74,11+3*MIN(Y$3,$D$2-1)))))</f>
        <v>0</v>
      </c>
      <c r="Z74" s="131" t="n">
        <f aca="false">IF(OR($C74="",$B$2="",$D$2=0),0,IF(Z$3&lt;0,0,N(INDEX('CURVA PREVISION'!$A$1:$KZ$3000,$C74,11+3*MIN(Z$3,$D$2-1)))))</f>
        <v>0</v>
      </c>
      <c r="AA74" s="131" t="n">
        <f aca="false">IF(OR($C74="",$B$2="",$D$2=0),0,IF(AA$3&lt;0,0,N(INDEX('CURVA PREVISION'!$A$1:$KZ$3000,$C74,11+3*MIN(AA$3,$D$2-1)))))</f>
        <v>0</v>
      </c>
      <c r="AB74" s="131" t="n">
        <f aca="false">IF(OR($C74="",$B$2="",$D$2=0),0,IF(AB$3&lt;0,0,N(INDEX('CURVA PREVISION'!$A$1:$KZ$3000,$C74,11+3*MIN(AB$3,$D$2-1)))))</f>
        <v>0</v>
      </c>
      <c r="AC74" s="131" t="n">
        <f aca="false">IF(OR($C74="",$B$2="",$D$2=0),0,IF(AC$3&lt;0,0,N(INDEX('CURVA PREVISION'!$A$1:$KZ$3000,$C74,11+3*MIN(AC$3,$D$2-1)))))</f>
        <v>0</v>
      </c>
      <c r="AD74" s="131" t="n">
        <f aca="false">IF(OR($C74="",$B$2="",$D$2=0),0,IF(AD$3&lt;0,0,N(INDEX('CURVA PREVISION'!$A$1:$KZ$3000,$C74,11+3*MIN(AD$3,$D$2-1)))))</f>
        <v>0</v>
      </c>
      <c r="AE74" s="131" t="n">
        <f aca="false">IF(OR($C74="",$B$2="",$D$2=0),0,IF(AE$3&lt;0,0,N(INDEX('CURVA PREVISION'!$A$1:$KZ$3000,$C74,11+3*MIN(AE$3,$D$2-1)))))</f>
        <v>0</v>
      </c>
      <c r="AF74" s="131" t="n">
        <f aca="false">IF(OR($C74="",$B$2="",$D$2=0),0,IF(AF$3&lt;0,0,N(INDEX('CURVA PREVISION'!$A$1:$KZ$3000,$C74,11+3*MIN(AF$3,$D$2-1)))))</f>
        <v>0</v>
      </c>
      <c r="AG74" s="131" t="n">
        <f aca="false">IF(OR($C74="",$B$2="",$D$2=0),0,IF(AG$3&lt;0,0,N(INDEX('CURVA PREVISION'!$A$1:$KZ$3000,$C74,11+3*MIN(AG$3,$D$2-1)))))</f>
        <v>0</v>
      </c>
      <c r="AH74" s="131" t="n">
        <f aca="false">IF(OR($C74="",$B$2="",$D$2=0),0,IF(AH$3&lt;0,0,N(INDEX('CURVA PREVISION'!$A$1:$KZ$3000,$C74,11+3*MIN(AH$3,$D$2-1)))))</f>
        <v>0</v>
      </c>
      <c r="AI74" s="131" t="n">
        <f aca="false">IF(OR($C74="",$B$2="",$D$2=0),0,IF(AI$3&lt;0,0,N(INDEX('CURVA PREVISION'!$A$1:$KZ$3000,$C74,11+3*MIN(AI$3,$D$2-1)))))</f>
        <v>0</v>
      </c>
      <c r="AJ74" s="131" t="n">
        <f aca="false">IF(OR($C74="",$B$2="",$D$2=0),0,IF(AJ$3&lt;0,0,N(INDEX('CURVA PREVISION'!$A$1:$KZ$3000,$C74,11+3*MIN(AJ$3,$D$2-1)))))</f>
        <v>0</v>
      </c>
      <c r="AK74" s="131" t="n">
        <f aca="false">IF(OR($C74="",$B$2="",$D$2=0),0,IF(AK$3&lt;0,0,N(INDEX('CURVA PREVISION'!$A$1:$KZ$3000,$C74,11+3*MIN(AK$3,$D$2-1)))))</f>
        <v>0</v>
      </c>
      <c r="AL74" s="131" t="n">
        <f aca="false">IF(OR($C74="",$B$2="",$D$2=0),0,IF(AL$3&lt;0,0,N(INDEX('CURVA PREVISION'!$A$1:$KZ$3000,$C74,11+3*MIN(AL$3,$D$2-1)))))</f>
        <v>0</v>
      </c>
      <c r="AM74" s="131" t="n">
        <f aca="false">IF(OR($C74="",$B$2="",$D$2=0),0,IF(AM$3&lt;0,0,N(INDEX('CURVA PREVISION'!$A$1:$KZ$3000,$C74,11+3*MIN(AM$3,$D$2-1)))))</f>
        <v>0</v>
      </c>
      <c r="AN74" s="131" t="n">
        <f aca="false">IF(OR($C74="",$B$2="",$D$2=0),0,IF(AN$3&lt;0,0,N(INDEX('CURVA PREVISION'!$A$1:$KZ$3000,$C74,11+3*MIN(AN$3,$D$2-1)))))</f>
        <v>0</v>
      </c>
      <c r="AO74" s="131" t="n">
        <f aca="false">IF(OR($C74="",$B$2="",$D$2=0),0,IF(AO$3&lt;0,0,N(INDEX('CURVA PREVISION'!$A$1:$KZ$3000,$C74,11+3*MIN(AO$3,$D$2-1)))))</f>
        <v>0</v>
      </c>
      <c r="AP74" s="131" t="n">
        <f aca="false">IF(OR($C74="",$B$2="",$D$2=0),0,IF(AP$3&lt;0,0,N(INDEX('CURVA PREVISION'!$A$1:$KZ$3000,$C74,11+3*MIN(AP$3,$D$2-1)))))</f>
        <v>0</v>
      </c>
      <c r="AQ74" s="131" t="n">
        <f aca="false">IF(OR($C74="",$B$2="",$D$2=0),0,IF(AQ$3&lt;0,0,N(INDEX('CURVA PREVISION'!$A$1:$KZ$3000,$C74,11+3*MIN(AQ$3,$D$2-1)))))</f>
        <v>0</v>
      </c>
      <c r="AR74" s="131" t="n">
        <f aca="false">IF(OR($C74="",$B$2="",$D$2=0),0,IF(AR$3&lt;0,0,N(INDEX('CURVA PREVISION'!$A$1:$KZ$3000,$C74,11+3*MIN(AR$3,$D$2-1)))))</f>
        <v>0</v>
      </c>
      <c r="AS74" s="131" t="n">
        <f aca="false">IF(OR($C74="",$B$2="",$D$2=0),0,IF(AS$3&lt;0,0,N(INDEX('CURVA PREVISION'!$A$1:$KZ$3000,$C74,11+3*MIN(AS$3,$D$2-1)))))</f>
        <v>0</v>
      </c>
      <c r="AT74" s="131" t="n">
        <f aca="false">IF(OR($C74="",$B$2="",$D$2=0),0,IF(AT$3&lt;0,0,N(INDEX('CURVA PREVISION'!$A$1:$KZ$3000,$C74,11+3*MIN(AT$3,$D$2-1)))))</f>
        <v>0</v>
      </c>
      <c r="AU74" s="131" t="n">
        <f aca="false">IF(OR($C74="",$B$2="",$D$2=0),0,IF(AU$3&lt;0,0,N(INDEX('CURVA PREVISION'!$A$1:$KZ$3000,$C74,11+3*MIN(AU$3,$D$2-1)))))</f>
        <v>0</v>
      </c>
      <c r="AV74" s="131" t="n">
        <f aca="false">IF(OR($C74="",$B$2="",$D$2=0),0,IF(AV$3&lt;0,0,N(INDEX('CURVA PREVISION'!$A$1:$KZ$3000,$C74,11+3*MIN(AV$3,$D$2-1)))))</f>
        <v>0</v>
      </c>
      <c r="AW74" s="131" t="n">
        <f aca="false">IF(OR($C74="",$B$2="",$D$2=0),0,IF(AW$3&lt;0,0,N(INDEX('CURVA PREVISION'!$A$1:$KZ$3000,$C74,11+3*MIN(AW$3,$D$2-1)))))</f>
        <v>0</v>
      </c>
      <c r="AX74" s="131" t="n">
        <f aca="false">IF(OR($C74="",$B$2="",$D$2=0),0,IF(AX$3&lt;0,0,N(INDEX('CURVA PREVISION'!$A$1:$KZ$3000,$C74,11+3*MIN(AX$3,$D$2-1)))))</f>
        <v>0</v>
      </c>
      <c r="AY74" s="131" t="n">
        <f aca="false">IF(OR($C74="",$B$2="",$D$2=0),0,IF(AY$3&lt;0,0,N(INDEX('CURVA PREVISION'!$A$1:$KZ$3000,$C74,11+3*MIN(AY$3,$D$2-1)))))</f>
        <v>0</v>
      </c>
      <c r="AZ74" s="131" t="n">
        <f aca="false">IF(OR($C74="",$B$2="",$D$2=0),0,IF(AZ$3&lt;0,0,N(INDEX('CURVA PREVISION'!$A$1:$KZ$3000,$C74,11+3*MIN(AZ$3,$D$2-1)))))</f>
        <v>0</v>
      </c>
      <c r="BA74" s="131" t="n">
        <f aca="false">IF(OR($C74="",$B$2="",$D$2=0),0,IF(BA$3&lt;0,0,N(INDEX('CURVA PREVISION'!$A$1:$KZ$3000,$C74,11+3*MIN(BA$3,$D$2-1)))))</f>
        <v>0</v>
      </c>
      <c r="BB74" s="131" t="n">
        <f aca="false">IF(OR($C74="",$B$2="",$D$2=0),0,IF(BB$3&lt;0,0,N(INDEX('CURVA PREVISION'!$A$1:$KZ$3000,$C74,11+3*MIN(BB$3,$D$2-1)))))</f>
        <v>0</v>
      </c>
      <c r="BC74" s="131" t="n">
        <f aca="false">IF(OR($C74="",$B$2="",$D$2=0),0,IF(BC$3&lt;0,0,N(INDEX('CURVA PREVISION'!$A$1:$KZ$3000,$C74,11+3*MIN(BC$3,$D$2-1)))))</f>
        <v>0</v>
      </c>
      <c r="BD74" s="131" t="n">
        <f aca="false">IF(OR($C74="",$B$2="",$D$2=0),0,IF(BD$3&lt;0,0,N(INDEX('CURVA PREVISION'!$A$1:$KZ$3000,$C74,11+3*MIN(BD$3,$D$2-1)))))</f>
        <v>0</v>
      </c>
      <c r="BE74" s="131" t="n">
        <f aca="false">IF(OR($C74="",$B$2="",$D$2=0),0,IF(BE$3&lt;0,0,N(INDEX('CURVA PREVISION'!$A$1:$KZ$3000,$C74,11+3*MIN(BE$3,$D$2-1)))))</f>
        <v>0</v>
      </c>
      <c r="BF74" s="131" t="n">
        <f aca="false">IF(OR($C74="",$B$2="",$D$2=0),0,IF(BF$3&lt;0,0,N(INDEX('CURVA PREVISION'!$A$1:$KZ$3000,$C74,11+3*MIN(BF$3,$D$2-1)))))</f>
        <v>0</v>
      </c>
      <c r="BG74" s="131" t="n">
        <f aca="false">IF(OR($C74="",$B$2="",$D$2=0),0,IF(BG$3&lt;0,0,N(INDEX('CURVA PREVISION'!$A$1:$KZ$3000,$C74,11+3*MIN(BG$3,$D$2-1)))))</f>
        <v>0</v>
      </c>
      <c r="BH74" s="131" t="n">
        <f aca="false">IF(OR($C74="",$B$2="",$D$2=0),0,IF(BH$3&lt;0,0,N(INDEX('CURVA PREVISION'!$A$1:$KZ$3000,$C74,11+3*MIN(BH$3,$D$2-1)))))</f>
        <v>0</v>
      </c>
      <c r="BI74" s="131" t="n">
        <f aca="false">IF(OR($C74="",$B$2="",$D$2=0),0,IF(BI$3&lt;0,0,N(INDEX('CURVA PREVISION'!$A$1:$KZ$3000,$C74,11+3*MIN(BI$3,$D$2-1)))))</f>
        <v>0</v>
      </c>
      <c r="BJ74" s="131" t="n">
        <f aca="false">IF(OR($C74="",$B$2="",$D$2=0),0,IF(BJ$3&lt;0,0,N(INDEX('CURVA PREVISION'!$A$1:$KZ$3000,$C74,11+3*MIN(BJ$3,$D$2-1)))))</f>
        <v>0</v>
      </c>
      <c r="BK74" s="131" t="n">
        <f aca="false">IF(OR($C74="",$B$2="",$D$2=0),0,IF(BK$3&lt;0,0,N(INDEX('CURVA PREVISION'!$A$1:$KZ$3000,$C74,11+3*MIN(BK$3,$D$2-1)))))</f>
        <v>0</v>
      </c>
      <c r="BL74" s="131" t="n">
        <f aca="false">IF(OR($C74="",$B$2="",$D$2=0),0,IF(BL$3&lt;0,0,N(INDEX('CURVA PREVISION'!$A$1:$KZ$3000,$C74,11+3*MIN(BL$3,$D$2-1)))))</f>
        <v>0</v>
      </c>
      <c r="BM74" s="131" t="n">
        <f aca="false">IF(OR($C74="",$B$2="",$D$2=0),0,IF(BM$3&lt;0,0,N(INDEX('CURVA PREVISION'!$A$1:$KZ$3000,$C74,11+3*MIN(BM$3,$D$2-1)))))</f>
        <v>0</v>
      </c>
      <c r="BN74" s="131" t="n">
        <f aca="false">IF(OR($C74="",$B$2="",$D$2=0),0,IF(BN$3&lt;0,0,N(INDEX('CURVA PREVISION'!$A$1:$KZ$3000,$C74,11+3*MIN(BN$3,$D$2-1)))))</f>
        <v>0</v>
      </c>
      <c r="BO74" s="131" t="n">
        <f aca="false">IF(OR($C74="",$B$2="",$D$2=0),0,IF(BO$3&lt;0,0,N(INDEX('CURVA PREVISION'!$A$1:$KZ$3000,$C74,11+3*MIN(BO$3,$D$2-1)))))</f>
        <v>0</v>
      </c>
      <c r="BP74" s="131" t="n">
        <f aca="false">IF(OR($C74="",$B$2="",$D$2=0),0,IF(BP$3&lt;0,0,N(INDEX('CURVA PREVISION'!$A$1:$KZ$3000,$C74,11+3*MIN(BP$3,$D$2-1)))))</f>
        <v>0</v>
      </c>
      <c r="BQ74" s="131" t="n">
        <f aca="false">IF(OR($C74="",$B$2="",$D$2=0),0,IF(BQ$3&lt;0,0,N(INDEX('CURVA PREVISION'!$A$1:$KZ$3000,$C74,11+3*MIN(BQ$3,$D$2-1)))))</f>
        <v>0</v>
      </c>
      <c r="BR74" s="131" t="n">
        <f aca="false">IF(OR($C74="",$B$2="",$D$2=0),0,IF(BR$3&lt;0,0,N(INDEX('CURVA PREVISION'!$A$1:$KZ$3000,$C74,11+3*MIN(BR$3,$D$2-1)))))</f>
        <v>0</v>
      </c>
      <c r="BS74" s="131" t="n">
        <f aca="false">IF(OR($C74="",$B$2="",$D$2=0),0,IF(BS$3&lt;0,0,N(INDEX('CURVA PREVISION'!$A$1:$KZ$3000,$C74,11+3*MIN(BS$3,$D$2-1)))))</f>
        <v>0</v>
      </c>
      <c r="BT74" s="131" t="n">
        <f aca="false">IF(OR($C74="",$B$2="",$D$2=0),0,IF(BT$3&lt;0,0,N(INDEX('CURVA PREVISION'!$A$1:$KZ$3000,$C74,11+3*MIN(BT$3,$D$2-1)))))</f>
        <v>0</v>
      </c>
      <c r="BU74" s="131" t="n">
        <f aca="false">IF(OR($C74="",$B$2="",$D$2=0),0,IF(BU$3&lt;0,0,N(INDEX('CURVA PREVISION'!$A$1:$KZ$3000,$C74,11+3*MIN(BU$3,$D$2-1)))))</f>
        <v>0</v>
      </c>
      <c r="BV74" s="131" t="n">
        <f aca="false">IF(OR($C74="",$B$2="",$D$2=0),0,IF(BV$3&lt;0,0,N(INDEX('CURVA PREVISION'!$A$1:$KZ$3000,$C74,11+3*MIN(BV$3,$D$2-1)))))</f>
        <v>0</v>
      </c>
      <c r="BW74" s="131" t="n">
        <f aca="false">IF(OR($C74="",$B$2="",$D$2=0),0,IF(BW$3&lt;0,0,N(INDEX('CURVA PREVISION'!$A$1:$KZ$3000,$C74,11+3*MIN(BW$3,$D$2-1)))))</f>
        <v>0</v>
      </c>
    </row>
    <row r="75" customFormat="false" ht="15" hidden="false" customHeight="false" outlineLevel="0" collapsed="false">
      <c r="A75" s="57" t="str">
        <f aca="false">IF('VALOR POR PL'!Q39="",'VALOR POR PL'!C39,'VALOR POR PL'!Q39)</f>
        <v>29</v>
      </c>
      <c r="B75" s="47" t="str">
        <f aca="false">B33</f>
        <v>REVESTIMENTOS DE MASSA EM PAREDES</v>
      </c>
      <c r="C75" s="64" t="n">
        <f aca="false">IFERROR(MATCH(A75,'CURVA PREVISION'!$B$1:$B$3000,0),"")</f>
        <v>633</v>
      </c>
      <c r="D75" s="131" t="n">
        <f aca="false">IF(OR($C75="",$B$2="",$D$2=0),0,IF(D$3&lt;0,0,N(INDEX('CURVA PREVISION'!$A$1:$KZ$3000,$C75,11+3*MIN(D$3,$D$2-1)))))</f>
        <v>0</v>
      </c>
      <c r="E75" s="131" t="n">
        <f aca="false">IF(OR($C75="",$B$2="",$D$2=0),0,IF(E$3&lt;0,0,N(INDEX('CURVA PREVISION'!$A$1:$KZ$3000,$C75,11+3*MIN(E$3,$D$2-1)))))</f>
        <v>0</v>
      </c>
      <c r="F75" s="131" t="n">
        <f aca="false">IF(OR($C75="",$B$2="",$D$2=0),0,IF(F$3&lt;0,0,N(INDEX('CURVA PREVISION'!$A$1:$KZ$3000,$C75,11+3*MIN(F$3,$D$2-1)))))</f>
        <v>0</v>
      </c>
      <c r="G75" s="131" t="n">
        <f aca="false">IF(OR($C75="",$B$2="",$D$2=0),0,IF(G$3&lt;0,0,N(INDEX('CURVA PREVISION'!$A$1:$KZ$3000,$C75,11+3*MIN(G$3,$D$2-1)))))</f>
        <v>0</v>
      </c>
      <c r="H75" s="131" t="n">
        <f aca="false">IF(OR($C75="",$B$2="",$D$2=0),0,IF(H$3&lt;0,0,N(INDEX('CURVA PREVISION'!$A$1:$KZ$3000,$C75,11+3*MIN(H$3,$D$2-1)))))</f>
        <v>0</v>
      </c>
      <c r="I75" s="131" t="n">
        <f aca="false">IF(OR($C75="",$B$2="",$D$2=0),0,IF(I$3&lt;0,0,N(INDEX('CURVA PREVISION'!$A$1:$KZ$3000,$C75,11+3*MIN(I$3,$D$2-1)))))</f>
        <v>0</v>
      </c>
      <c r="J75" s="131" t="n">
        <f aca="false">IF(OR($C75="",$B$2="",$D$2=0),0,IF(J$3&lt;0,0,N(INDEX('CURVA PREVISION'!$A$1:$KZ$3000,$C75,11+3*MIN(J$3,$D$2-1)))))</f>
        <v>0</v>
      </c>
      <c r="K75" s="131" t="n">
        <f aca="false">IF(OR($C75="",$B$2="",$D$2=0),0,IF(K$3&lt;0,0,N(INDEX('CURVA PREVISION'!$A$1:$KZ$3000,$C75,11+3*MIN(K$3,$D$2-1)))))</f>
        <v>0</v>
      </c>
      <c r="L75" s="131" t="n">
        <f aca="false">IF(OR($C75="",$B$2="",$D$2=0),0,IF(L$3&lt;0,0,N(INDEX('CURVA PREVISION'!$A$1:$KZ$3000,$C75,11+3*MIN(L$3,$D$2-1)))))</f>
        <v>0</v>
      </c>
      <c r="M75" s="131" t="n">
        <f aca="false">IF(OR($C75="",$B$2="",$D$2=0),0,IF(M$3&lt;0,0,N(INDEX('CURVA PREVISION'!$A$1:$KZ$3000,$C75,11+3*MIN(M$3,$D$2-1)))))</f>
        <v>0</v>
      </c>
      <c r="N75" s="131" t="n">
        <f aca="false">IF(OR($C75="",$B$2="",$D$2=0),0,IF(N$3&lt;0,0,N(INDEX('CURVA PREVISION'!$A$1:$KZ$3000,$C75,11+3*MIN(N$3,$D$2-1)))))</f>
        <v>0</v>
      </c>
      <c r="O75" s="131" t="n">
        <f aca="false">IF(OR($C75="",$B$2="",$D$2=0),0,IF(O$3&lt;0,0,N(INDEX('CURVA PREVISION'!$A$1:$KZ$3000,$C75,11+3*MIN(O$3,$D$2-1)))))</f>
        <v>0</v>
      </c>
      <c r="P75" s="131" t="n">
        <f aca="false">IF(OR($C75="",$B$2="",$D$2=0),0,IF(P$3&lt;0,0,N(INDEX('CURVA PREVISION'!$A$1:$KZ$3000,$C75,11+3*MIN(P$3,$D$2-1)))))</f>
        <v>0</v>
      </c>
      <c r="Q75" s="131" t="n">
        <f aca="false">IF(OR($C75="",$B$2="",$D$2=0),0,IF(Q$3&lt;0,0,N(INDEX('CURVA PREVISION'!$A$1:$KZ$3000,$C75,11+3*MIN(Q$3,$D$2-1)))))</f>
        <v>0</v>
      </c>
      <c r="R75" s="131" t="n">
        <f aca="false">IF(OR($C75="",$B$2="",$D$2=0),0,IF(R$3&lt;0,0,N(INDEX('CURVA PREVISION'!$A$1:$KZ$3000,$C75,11+3*MIN(R$3,$D$2-1)))))</f>
        <v>0</v>
      </c>
      <c r="S75" s="131" t="n">
        <f aca="false">IF(OR($C75="",$B$2="",$D$2=0),0,IF(S$3&lt;0,0,N(INDEX('CURVA PREVISION'!$A$1:$KZ$3000,$C75,11+3*MIN(S$3,$D$2-1)))))</f>
        <v>0</v>
      </c>
      <c r="T75" s="131" t="n">
        <f aca="false">IF(OR($C75="",$B$2="",$D$2=0),0,IF(T$3&lt;0,0,N(INDEX('CURVA PREVISION'!$A$1:$KZ$3000,$C75,11+3*MIN(T$3,$D$2-1)))))</f>
        <v>0</v>
      </c>
      <c r="U75" s="131" t="n">
        <f aca="false">IF(OR($C75="",$B$2="",$D$2=0),0,IF(U$3&lt;0,0,N(INDEX('CURVA PREVISION'!$A$1:$KZ$3000,$C75,11+3*MIN(U$3,$D$2-1)))))</f>
        <v>0</v>
      </c>
      <c r="V75" s="131" t="n">
        <f aca="false">IF(OR($C75="",$B$2="",$D$2=0),0,IF(V$3&lt;0,0,N(INDEX('CURVA PREVISION'!$A$1:$KZ$3000,$C75,11+3*MIN(V$3,$D$2-1)))))</f>
        <v>0</v>
      </c>
      <c r="W75" s="131" t="n">
        <f aca="false">IF(OR($C75="",$B$2="",$D$2=0),0,IF(W$3&lt;0,0,N(INDEX('CURVA PREVISION'!$A$1:$KZ$3000,$C75,11+3*MIN(W$3,$D$2-1)))))</f>
        <v>0</v>
      </c>
      <c r="X75" s="131" t="n">
        <f aca="false">IF(OR($C75="",$B$2="",$D$2=0),0,IF(X$3&lt;0,0,N(INDEX('CURVA PREVISION'!$A$1:$KZ$3000,$C75,11+3*MIN(X$3,$D$2-1)))))</f>
        <v>0</v>
      </c>
      <c r="Y75" s="131" t="n">
        <f aca="false">IF(OR($C75="",$B$2="",$D$2=0),0,IF(Y$3&lt;0,0,N(INDEX('CURVA PREVISION'!$A$1:$KZ$3000,$C75,11+3*MIN(Y$3,$D$2-1)))))</f>
        <v>0</v>
      </c>
      <c r="Z75" s="131" t="n">
        <f aca="false">IF(OR($C75="",$B$2="",$D$2=0),0,IF(Z$3&lt;0,0,N(INDEX('CURVA PREVISION'!$A$1:$KZ$3000,$C75,11+3*MIN(Z$3,$D$2-1)))))</f>
        <v>0</v>
      </c>
      <c r="AA75" s="131" t="n">
        <f aca="false">IF(OR($C75="",$B$2="",$D$2=0),0,IF(AA$3&lt;0,0,N(INDEX('CURVA PREVISION'!$A$1:$KZ$3000,$C75,11+3*MIN(AA$3,$D$2-1)))))</f>
        <v>0</v>
      </c>
      <c r="AB75" s="131" t="n">
        <f aca="false">IF(OR($C75="",$B$2="",$D$2=0),0,IF(AB$3&lt;0,0,N(INDEX('CURVA PREVISION'!$A$1:$KZ$3000,$C75,11+3*MIN(AB$3,$D$2-1)))))</f>
        <v>0</v>
      </c>
      <c r="AC75" s="131" t="n">
        <f aca="false">IF(OR($C75="",$B$2="",$D$2=0),0,IF(AC$3&lt;0,0,N(INDEX('CURVA PREVISION'!$A$1:$KZ$3000,$C75,11+3*MIN(AC$3,$D$2-1)))))</f>
        <v>0</v>
      </c>
      <c r="AD75" s="131" t="n">
        <f aca="false">IF(OR($C75="",$B$2="",$D$2=0),0,IF(AD$3&lt;0,0,N(INDEX('CURVA PREVISION'!$A$1:$KZ$3000,$C75,11+3*MIN(AD$3,$D$2-1)))))</f>
        <v>0</v>
      </c>
      <c r="AE75" s="131" t="n">
        <f aca="false">IF(OR($C75="",$B$2="",$D$2=0),0,IF(AE$3&lt;0,0,N(INDEX('CURVA PREVISION'!$A$1:$KZ$3000,$C75,11+3*MIN(AE$3,$D$2-1)))))</f>
        <v>0</v>
      </c>
      <c r="AF75" s="131" t="n">
        <f aca="false">IF(OR($C75="",$B$2="",$D$2=0),0,IF(AF$3&lt;0,0,N(INDEX('CURVA PREVISION'!$A$1:$KZ$3000,$C75,11+3*MIN(AF$3,$D$2-1)))))</f>
        <v>0</v>
      </c>
      <c r="AG75" s="131" t="n">
        <f aca="false">IF(OR($C75="",$B$2="",$D$2=0),0,IF(AG$3&lt;0,0,N(INDEX('CURVA PREVISION'!$A$1:$KZ$3000,$C75,11+3*MIN(AG$3,$D$2-1)))))</f>
        <v>0</v>
      </c>
      <c r="AH75" s="131" t="n">
        <f aca="false">IF(OR($C75="",$B$2="",$D$2=0),0,IF(AH$3&lt;0,0,N(INDEX('CURVA PREVISION'!$A$1:$KZ$3000,$C75,11+3*MIN(AH$3,$D$2-1)))))</f>
        <v>0</v>
      </c>
      <c r="AI75" s="131" t="n">
        <f aca="false">IF(OR($C75="",$B$2="",$D$2=0),0,IF(AI$3&lt;0,0,N(INDEX('CURVA PREVISION'!$A$1:$KZ$3000,$C75,11+3*MIN(AI$3,$D$2-1)))))</f>
        <v>0</v>
      </c>
      <c r="AJ75" s="131" t="n">
        <f aca="false">IF(OR($C75="",$B$2="",$D$2=0),0,IF(AJ$3&lt;0,0,N(INDEX('CURVA PREVISION'!$A$1:$KZ$3000,$C75,11+3*MIN(AJ$3,$D$2-1)))))</f>
        <v>0</v>
      </c>
      <c r="AK75" s="131" t="n">
        <f aca="false">IF(OR($C75="",$B$2="",$D$2=0),0,IF(AK$3&lt;0,0,N(INDEX('CURVA PREVISION'!$A$1:$KZ$3000,$C75,11+3*MIN(AK$3,$D$2-1)))))</f>
        <v>0</v>
      </c>
      <c r="AL75" s="131" t="n">
        <f aca="false">IF(OR($C75="",$B$2="",$D$2=0),0,IF(AL$3&lt;0,0,N(INDEX('CURVA PREVISION'!$A$1:$KZ$3000,$C75,11+3*MIN(AL$3,$D$2-1)))))</f>
        <v>0</v>
      </c>
      <c r="AM75" s="131" t="n">
        <f aca="false">IF(OR($C75="",$B$2="",$D$2=0),0,IF(AM$3&lt;0,0,N(INDEX('CURVA PREVISION'!$A$1:$KZ$3000,$C75,11+3*MIN(AM$3,$D$2-1)))))</f>
        <v>0</v>
      </c>
      <c r="AN75" s="131" t="n">
        <f aca="false">IF(OR($C75="",$B$2="",$D$2=0),0,IF(AN$3&lt;0,0,N(INDEX('CURVA PREVISION'!$A$1:$KZ$3000,$C75,11+3*MIN(AN$3,$D$2-1)))))</f>
        <v>0</v>
      </c>
      <c r="AO75" s="131" t="n">
        <f aca="false">IF(OR($C75="",$B$2="",$D$2=0),0,IF(AO$3&lt;0,0,N(INDEX('CURVA PREVISION'!$A$1:$KZ$3000,$C75,11+3*MIN(AO$3,$D$2-1)))))</f>
        <v>0</v>
      </c>
      <c r="AP75" s="131" t="n">
        <f aca="false">IF(OR($C75="",$B$2="",$D$2=0),0,IF(AP$3&lt;0,0,N(INDEX('CURVA PREVISION'!$A$1:$KZ$3000,$C75,11+3*MIN(AP$3,$D$2-1)))))</f>
        <v>0</v>
      </c>
      <c r="AQ75" s="131" t="n">
        <f aca="false">IF(OR($C75="",$B$2="",$D$2=0),0,IF(AQ$3&lt;0,0,N(INDEX('CURVA PREVISION'!$A$1:$KZ$3000,$C75,11+3*MIN(AQ$3,$D$2-1)))))</f>
        <v>0</v>
      </c>
      <c r="AR75" s="131" t="n">
        <f aca="false">IF(OR($C75="",$B$2="",$D$2=0),0,IF(AR$3&lt;0,0,N(INDEX('CURVA PREVISION'!$A$1:$KZ$3000,$C75,11+3*MIN(AR$3,$D$2-1)))))</f>
        <v>0</v>
      </c>
      <c r="AS75" s="131" t="n">
        <f aca="false">IF(OR($C75="",$B$2="",$D$2=0),0,IF(AS$3&lt;0,0,N(INDEX('CURVA PREVISION'!$A$1:$KZ$3000,$C75,11+3*MIN(AS$3,$D$2-1)))))</f>
        <v>0</v>
      </c>
      <c r="AT75" s="131" t="n">
        <f aca="false">IF(OR($C75="",$B$2="",$D$2=0),0,IF(AT$3&lt;0,0,N(INDEX('CURVA PREVISION'!$A$1:$KZ$3000,$C75,11+3*MIN(AT$3,$D$2-1)))))</f>
        <v>0</v>
      </c>
      <c r="AU75" s="131" t="n">
        <f aca="false">IF(OR($C75="",$B$2="",$D$2=0),0,IF(AU$3&lt;0,0,N(INDEX('CURVA PREVISION'!$A$1:$KZ$3000,$C75,11+3*MIN(AU$3,$D$2-1)))))</f>
        <v>0</v>
      </c>
      <c r="AV75" s="131" t="n">
        <f aca="false">IF(OR($C75="",$B$2="",$D$2=0),0,IF(AV$3&lt;0,0,N(INDEX('CURVA PREVISION'!$A$1:$KZ$3000,$C75,11+3*MIN(AV$3,$D$2-1)))))</f>
        <v>0</v>
      </c>
      <c r="AW75" s="131" t="n">
        <f aca="false">IF(OR($C75="",$B$2="",$D$2=0),0,IF(AW$3&lt;0,0,N(INDEX('CURVA PREVISION'!$A$1:$KZ$3000,$C75,11+3*MIN(AW$3,$D$2-1)))))</f>
        <v>0</v>
      </c>
      <c r="AX75" s="131" t="n">
        <f aca="false">IF(OR($C75="",$B$2="",$D$2=0),0,IF(AX$3&lt;0,0,N(INDEX('CURVA PREVISION'!$A$1:$KZ$3000,$C75,11+3*MIN(AX$3,$D$2-1)))))</f>
        <v>0</v>
      </c>
      <c r="AY75" s="131" t="n">
        <f aca="false">IF(OR($C75="",$B$2="",$D$2=0),0,IF(AY$3&lt;0,0,N(INDEX('CURVA PREVISION'!$A$1:$KZ$3000,$C75,11+3*MIN(AY$3,$D$2-1)))))</f>
        <v>0</v>
      </c>
      <c r="AZ75" s="131" t="n">
        <f aca="false">IF(OR($C75="",$B$2="",$D$2=0),0,IF(AZ$3&lt;0,0,N(INDEX('CURVA PREVISION'!$A$1:$KZ$3000,$C75,11+3*MIN(AZ$3,$D$2-1)))))</f>
        <v>0</v>
      </c>
      <c r="BA75" s="131" t="n">
        <f aca="false">IF(OR($C75="",$B$2="",$D$2=0),0,IF(BA$3&lt;0,0,N(INDEX('CURVA PREVISION'!$A$1:$KZ$3000,$C75,11+3*MIN(BA$3,$D$2-1)))))</f>
        <v>0</v>
      </c>
      <c r="BB75" s="131" t="n">
        <f aca="false">IF(OR($C75="",$B$2="",$D$2=0),0,IF(BB$3&lt;0,0,N(INDEX('CURVA PREVISION'!$A$1:$KZ$3000,$C75,11+3*MIN(BB$3,$D$2-1)))))</f>
        <v>0</v>
      </c>
      <c r="BC75" s="131" t="n">
        <f aca="false">IF(OR($C75="",$B$2="",$D$2=0),0,IF(BC$3&lt;0,0,N(INDEX('CURVA PREVISION'!$A$1:$KZ$3000,$C75,11+3*MIN(BC$3,$D$2-1)))))</f>
        <v>0</v>
      </c>
      <c r="BD75" s="131" t="n">
        <f aca="false">IF(OR($C75="",$B$2="",$D$2=0),0,IF(BD$3&lt;0,0,N(INDEX('CURVA PREVISION'!$A$1:$KZ$3000,$C75,11+3*MIN(BD$3,$D$2-1)))))</f>
        <v>0</v>
      </c>
      <c r="BE75" s="131" t="n">
        <f aca="false">IF(OR($C75="",$B$2="",$D$2=0),0,IF(BE$3&lt;0,0,N(INDEX('CURVA PREVISION'!$A$1:$KZ$3000,$C75,11+3*MIN(BE$3,$D$2-1)))))</f>
        <v>0</v>
      </c>
      <c r="BF75" s="131" t="n">
        <f aca="false">IF(OR($C75="",$B$2="",$D$2=0),0,IF(BF$3&lt;0,0,N(INDEX('CURVA PREVISION'!$A$1:$KZ$3000,$C75,11+3*MIN(BF$3,$D$2-1)))))</f>
        <v>0</v>
      </c>
      <c r="BG75" s="131" t="n">
        <f aca="false">IF(OR($C75="",$B$2="",$D$2=0),0,IF(BG$3&lt;0,0,N(INDEX('CURVA PREVISION'!$A$1:$KZ$3000,$C75,11+3*MIN(BG$3,$D$2-1)))))</f>
        <v>0</v>
      </c>
      <c r="BH75" s="131" t="n">
        <f aca="false">IF(OR($C75="",$B$2="",$D$2=0),0,IF(BH$3&lt;0,0,N(INDEX('CURVA PREVISION'!$A$1:$KZ$3000,$C75,11+3*MIN(BH$3,$D$2-1)))))</f>
        <v>0</v>
      </c>
      <c r="BI75" s="131" t="n">
        <f aca="false">IF(OR($C75="",$B$2="",$D$2=0),0,IF(BI$3&lt;0,0,N(INDEX('CURVA PREVISION'!$A$1:$KZ$3000,$C75,11+3*MIN(BI$3,$D$2-1)))))</f>
        <v>0</v>
      </c>
      <c r="BJ75" s="131" t="n">
        <f aca="false">IF(OR($C75="",$B$2="",$D$2=0),0,IF(BJ$3&lt;0,0,N(INDEX('CURVA PREVISION'!$A$1:$KZ$3000,$C75,11+3*MIN(BJ$3,$D$2-1)))))</f>
        <v>0</v>
      </c>
      <c r="BK75" s="131" t="n">
        <f aca="false">IF(OR($C75="",$B$2="",$D$2=0),0,IF(BK$3&lt;0,0,N(INDEX('CURVA PREVISION'!$A$1:$KZ$3000,$C75,11+3*MIN(BK$3,$D$2-1)))))</f>
        <v>0</v>
      </c>
      <c r="BL75" s="131" t="n">
        <f aca="false">IF(OR($C75="",$B$2="",$D$2=0),0,IF(BL$3&lt;0,0,N(INDEX('CURVA PREVISION'!$A$1:$KZ$3000,$C75,11+3*MIN(BL$3,$D$2-1)))))</f>
        <v>0</v>
      </c>
      <c r="BM75" s="131" t="n">
        <f aca="false">IF(OR($C75="",$B$2="",$D$2=0),0,IF(BM$3&lt;0,0,N(INDEX('CURVA PREVISION'!$A$1:$KZ$3000,$C75,11+3*MIN(BM$3,$D$2-1)))))</f>
        <v>0</v>
      </c>
      <c r="BN75" s="131" t="n">
        <f aca="false">IF(OR($C75="",$B$2="",$D$2=0),0,IF(BN$3&lt;0,0,N(INDEX('CURVA PREVISION'!$A$1:$KZ$3000,$C75,11+3*MIN(BN$3,$D$2-1)))))</f>
        <v>0</v>
      </c>
      <c r="BO75" s="131" t="n">
        <f aca="false">IF(OR($C75="",$B$2="",$D$2=0),0,IF(BO$3&lt;0,0,N(INDEX('CURVA PREVISION'!$A$1:$KZ$3000,$C75,11+3*MIN(BO$3,$D$2-1)))))</f>
        <v>0</v>
      </c>
      <c r="BP75" s="131" t="n">
        <f aca="false">IF(OR($C75="",$B$2="",$D$2=0),0,IF(BP$3&lt;0,0,N(INDEX('CURVA PREVISION'!$A$1:$KZ$3000,$C75,11+3*MIN(BP$3,$D$2-1)))))</f>
        <v>0</v>
      </c>
      <c r="BQ75" s="131" t="n">
        <f aca="false">IF(OR($C75="",$B$2="",$D$2=0),0,IF(BQ$3&lt;0,0,N(INDEX('CURVA PREVISION'!$A$1:$KZ$3000,$C75,11+3*MIN(BQ$3,$D$2-1)))))</f>
        <v>0</v>
      </c>
      <c r="BR75" s="131" t="n">
        <f aca="false">IF(OR($C75="",$B$2="",$D$2=0),0,IF(BR$3&lt;0,0,N(INDEX('CURVA PREVISION'!$A$1:$KZ$3000,$C75,11+3*MIN(BR$3,$D$2-1)))))</f>
        <v>0</v>
      </c>
      <c r="BS75" s="131" t="n">
        <f aca="false">IF(OR($C75="",$B$2="",$D$2=0),0,IF(BS$3&lt;0,0,N(INDEX('CURVA PREVISION'!$A$1:$KZ$3000,$C75,11+3*MIN(BS$3,$D$2-1)))))</f>
        <v>0</v>
      </c>
      <c r="BT75" s="131" t="n">
        <f aca="false">IF(OR($C75="",$B$2="",$D$2=0),0,IF(BT$3&lt;0,0,N(INDEX('CURVA PREVISION'!$A$1:$KZ$3000,$C75,11+3*MIN(BT$3,$D$2-1)))))</f>
        <v>0</v>
      </c>
      <c r="BU75" s="131" t="n">
        <f aca="false">IF(OR($C75="",$B$2="",$D$2=0),0,IF(BU$3&lt;0,0,N(INDEX('CURVA PREVISION'!$A$1:$KZ$3000,$C75,11+3*MIN(BU$3,$D$2-1)))))</f>
        <v>0</v>
      </c>
      <c r="BV75" s="131" t="n">
        <f aca="false">IF(OR($C75="",$B$2="",$D$2=0),0,IF(BV$3&lt;0,0,N(INDEX('CURVA PREVISION'!$A$1:$KZ$3000,$C75,11+3*MIN(BV$3,$D$2-1)))))</f>
        <v>0</v>
      </c>
      <c r="BW75" s="131" t="n">
        <f aca="false">IF(OR($C75="",$B$2="",$D$2=0),0,IF(BW$3&lt;0,0,N(INDEX('CURVA PREVISION'!$A$1:$KZ$3000,$C75,11+3*MIN(BW$3,$D$2-1)))))</f>
        <v>0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30</v>
      </c>
      <c r="B76" s="47" t="str">
        <f aca="false">B34</f>
        <v>REVESTIMENTOS DE ACABAMENTO</v>
      </c>
      <c r="C76" s="64" t="n">
        <f aca="false">IFERROR(MATCH(A76,'CURVA PREVISION'!$B$1:$B$3000,0),"")</f>
        <v>640</v>
      </c>
      <c r="D76" s="131" t="n">
        <f aca="false">IF(OR($C76="",$B$2="",$D$2=0),0,IF(D$3&lt;0,0,N(INDEX('CURVA PREVISION'!$A$1:$KZ$3000,$C76,11+3*MIN(D$3,$D$2-1)))))</f>
        <v>0</v>
      </c>
      <c r="E76" s="131" t="n">
        <f aca="false">IF(OR($C76="",$B$2="",$D$2=0),0,IF(E$3&lt;0,0,N(INDEX('CURVA PREVISION'!$A$1:$KZ$3000,$C76,11+3*MIN(E$3,$D$2-1)))))</f>
        <v>0</v>
      </c>
      <c r="F76" s="131" t="n">
        <f aca="false">IF(OR($C76="",$B$2="",$D$2=0),0,IF(F$3&lt;0,0,N(INDEX('CURVA PREVISION'!$A$1:$KZ$3000,$C76,11+3*MIN(F$3,$D$2-1)))))</f>
        <v>0</v>
      </c>
      <c r="G76" s="131" t="n">
        <f aca="false">IF(OR($C76="",$B$2="",$D$2=0),0,IF(G$3&lt;0,0,N(INDEX('CURVA PREVISION'!$A$1:$KZ$3000,$C76,11+3*MIN(G$3,$D$2-1)))))</f>
        <v>0</v>
      </c>
      <c r="H76" s="131" t="n">
        <f aca="false">IF(OR($C76="",$B$2="",$D$2=0),0,IF(H$3&lt;0,0,N(INDEX('CURVA PREVISION'!$A$1:$KZ$3000,$C76,11+3*MIN(H$3,$D$2-1)))))</f>
        <v>0</v>
      </c>
      <c r="I76" s="131" t="n">
        <f aca="false">IF(OR($C76="",$B$2="",$D$2=0),0,IF(I$3&lt;0,0,N(INDEX('CURVA PREVISION'!$A$1:$KZ$3000,$C76,11+3*MIN(I$3,$D$2-1)))))</f>
        <v>0</v>
      </c>
      <c r="J76" s="131" t="n">
        <f aca="false">IF(OR($C76="",$B$2="",$D$2=0),0,IF(J$3&lt;0,0,N(INDEX('CURVA PREVISION'!$A$1:$KZ$3000,$C76,11+3*MIN(J$3,$D$2-1)))))</f>
        <v>0</v>
      </c>
      <c r="K76" s="131" t="n">
        <f aca="false">IF(OR($C76="",$B$2="",$D$2=0),0,IF(K$3&lt;0,0,N(INDEX('CURVA PREVISION'!$A$1:$KZ$3000,$C76,11+3*MIN(K$3,$D$2-1)))))</f>
        <v>0</v>
      </c>
      <c r="L76" s="131" t="n">
        <f aca="false">IF(OR($C76="",$B$2="",$D$2=0),0,IF(L$3&lt;0,0,N(INDEX('CURVA PREVISION'!$A$1:$KZ$3000,$C76,11+3*MIN(L$3,$D$2-1)))))</f>
        <v>0</v>
      </c>
      <c r="M76" s="131" t="n">
        <f aca="false">IF(OR($C76="",$B$2="",$D$2=0),0,IF(M$3&lt;0,0,N(INDEX('CURVA PREVISION'!$A$1:$KZ$3000,$C76,11+3*MIN(M$3,$D$2-1)))))</f>
        <v>0</v>
      </c>
      <c r="N76" s="131" t="n">
        <f aca="false">IF(OR($C76="",$B$2="",$D$2=0),0,IF(N$3&lt;0,0,N(INDEX('CURVA PREVISION'!$A$1:$KZ$3000,$C76,11+3*MIN(N$3,$D$2-1)))))</f>
        <v>0</v>
      </c>
      <c r="O76" s="131" t="n">
        <f aca="false">IF(OR($C76="",$B$2="",$D$2=0),0,IF(O$3&lt;0,0,N(INDEX('CURVA PREVISION'!$A$1:$KZ$3000,$C76,11+3*MIN(O$3,$D$2-1)))))</f>
        <v>0</v>
      </c>
      <c r="P76" s="131" t="n">
        <f aca="false">IF(OR($C76="",$B$2="",$D$2=0),0,IF(P$3&lt;0,0,N(INDEX('CURVA PREVISION'!$A$1:$KZ$3000,$C76,11+3*MIN(P$3,$D$2-1)))))</f>
        <v>0</v>
      </c>
      <c r="Q76" s="131" t="n">
        <f aca="false">IF(OR($C76="",$B$2="",$D$2=0),0,IF(Q$3&lt;0,0,N(INDEX('CURVA PREVISION'!$A$1:$KZ$3000,$C76,11+3*MIN(Q$3,$D$2-1)))))</f>
        <v>0</v>
      </c>
      <c r="R76" s="131" t="n">
        <f aca="false">IF(OR($C76="",$B$2="",$D$2=0),0,IF(R$3&lt;0,0,N(INDEX('CURVA PREVISION'!$A$1:$KZ$3000,$C76,11+3*MIN(R$3,$D$2-1)))))</f>
        <v>0</v>
      </c>
      <c r="S76" s="131" t="n">
        <f aca="false">IF(OR($C76="",$B$2="",$D$2=0),0,IF(S$3&lt;0,0,N(INDEX('CURVA PREVISION'!$A$1:$KZ$3000,$C76,11+3*MIN(S$3,$D$2-1)))))</f>
        <v>0</v>
      </c>
      <c r="T76" s="131" t="n">
        <f aca="false">IF(OR($C76="",$B$2="",$D$2=0),0,IF(T$3&lt;0,0,N(INDEX('CURVA PREVISION'!$A$1:$KZ$3000,$C76,11+3*MIN(T$3,$D$2-1)))))</f>
        <v>0</v>
      </c>
      <c r="U76" s="131" t="n">
        <f aca="false">IF(OR($C76="",$B$2="",$D$2=0),0,IF(U$3&lt;0,0,N(INDEX('CURVA PREVISION'!$A$1:$KZ$3000,$C76,11+3*MIN(U$3,$D$2-1)))))</f>
        <v>0</v>
      </c>
      <c r="V76" s="131" t="n">
        <f aca="false">IF(OR($C76="",$B$2="",$D$2=0),0,IF(V$3&lt;0,0,N(INDEX('CURVA PREVISION'!$A$1:$KZ$3000,$C76,11+3*MIN(V$3,$D$2-1)))))</f>
        <v>0</v>
      </c>
      <c r="W76" s="131" t="n">
        <f aca="false">IF(OR($C76="",$B$2="",$D$2=0),0,IF(W$3&lt;0,0,N(INDEX('CURVA PREVISION'!$A$1:$KZ$3000,$C76,11+3*MIN(W$3,$D$2-1)))))</f>
        <v>0</v>
      </c>
      <c r="X76" s="131" t="n">
        <f aca="false">IF(OR($C76="",$B$2="",$D$2=0),0,IF(X$3&lt;0,0,N(INDEX('CURVA PREVISION'!$A$1:$KZ$3000,$C76,11+3*MIN(X$3,$D$2-1)))))</f>
        <v>0</v>
      </c>
      <c r="Y76" s="131" t="n">
        <f aca="false">IF(OR($C76="",$B$2="",$D$2=0),0,IF(Y$3&lt;0,0,N(INDEX('CURVA PREVISION'!$A$1:$KZ$3000,$C76,11+3*MIN(Y$3,$D$2-1)))))</f>
        <v>0</v>
      </c>
      <c r="Z76" s="131" t="n">
        <f aca="false">IF(OR($C76="",$B$2="",$D$2=0),0,IF(Z$3&lt;0,0,N(INDEX('CURVA PREVISION'!$A$1:$KZ$3000,$C76,11+3*MIN(Z$3,$D$2-1)))))</f>
        <v>0</v>
      </c>
      <c r="AA76" s="131" t="n">
        <f aca="false">IF(OR($C76="",$B$2="",$D$2=0),0,IF(AA$3&lt;0,0,N(INDEX('CURVA PREVISION'!$A$1:$KZ$3000,$C76,11+3*MIN(AA$3,$D$2-1)))))</f>
        <v>0</v>
      </c>
      <c r="AB76" s="131" t="n">
        <f aca="false">IF(OR($C76="",$B$2="",$D$2=0),0,IF(AB$3&lt;0,0,N(INDEX('CURVA PREVISION'!$A$1:$KZ$3000,$C76,11+3*MIN(AB$3,$D$2-1)))))</f>
        <v>0</v>
      </c>
      <c r="AC76" s="131" t="n">
        <f aca="false">IF(OR($C76="",$B$2="",$D$2=0),0,IF(AC$3&lt;0,0,N(INDEX('CURVA PREVISION'!$A$1:$KZ$3000,$C76,11+3*MIN(AC$3,$D$2-1)))))</f>
        <v>0</v>
      </c>
      <c r="AD76" s="131" t="n">
        <f aca="false">IF(OR($C76="",$B$2="",$D$2=0),0,IF(AD$3&lt;0,0,N(INDEX('CURVA PREVISION'!$A$1:$KZ$3000,$C76,11+3*MIN(AD$3,$D$2-1)))))</f>
        <v>0</v>
      </c>
      <c r="AE76" s="131" t="n">
        <f aca="false">IF(OR($C76="",$B$2="",$D$2=0),0,IF(AE$3&lt;0,0,N(INDEX('CURVA PREVISION'!$A$1:$KZ$3000,$C76,11+3*MIN(AE$3,$D$2-1)))))</f>
        <v>0</v>
      </c>
      <c r="AF76" s="131" t="n">
        <f aca="false">IF(OR($C76="",$B$2="",$D$2=0),0,IF(AF$3&lt;0,0,N(INDEX('CURVA PREVISION'!$A$1:$KZ$3000,$C76,11+3*MIN(AF$3,$D$2-1)))))</f>
        <v>0</v>
      </c>
      <c r="AG76" s="131" t="n">
        <f aca="false">IF(OR($C76="",$B$2="",$D$2=0),0,IF(AG$3&lt;0,0,N(INDEX('CURVA PREVISION'!$A$1:$KZ$3000,$C76,11+3*MIN(AG$3,$D$2-1)))))</f>
        <v>0</v>
      </c>
      <c r="AH76" s="131" t="n">
        <f aca="false">IF(OR($C76="",$B$2="",$D$2=0),0,IF(AH$3&lt;0,0,N(INDEX('CURVA PREVISION'!$A$1:$KZ$3000,$C76,11+3*MIN(AH$3,$D$2-1)))))</f>
        <v>0</v>
      </c>
      <c r="AI76" s="131" t="n">
        <f aca="false">IF(OR($C76="",$B$2="",$D$2=0),0,IF(AI$3&lt;0,0,N(INDEX('CURVA PREVISION'!$A$1:$KZ$3000,$C76,11+3*MIN(AI$3,$D$2-1)))))</f>
        <v>0</v>
      </c>
      <c r="AJ76" s="131" t="n">
        <f aca="false">IF(OR($C76="",$B$2="",$D$2=0),0,IF(AJ$3&lt;0,0,N(INDEX('CURVA PREVISION'!$A$1:$KZ$3000,$C76,11+3*MIN(AJ$3,$D$2-1)))))</f>
        <v>0</v>
      </c>
      <c r="AK76" s="131" t="n">
        <f aca="false">IF(OR($C76="",$B$2="",$D$2=0),0,IF(AK$3&lt;0,0,N(INDEX('CURVA PREVISION'!$A$1:$KZ$3000,$C76,11+3*MIN(AK$3,$D$2-1)))))</f>
        <v>0</v>
      </c>
      <c r="AL76" s="131" t="n">
        <f aca="false">IF(OR($C76="",$B$2="",$D$2=0),0,IF(AL$3&lt;0,0,N(INDEX('CURVA PREVISION'!$A$1:$KZ$3000,$C76,11+3*MIN(AL$3,$D$2-1)))))</f>
        <v>0</v>
      </c>
      <c r="AM76" s="131" t="n">
        <f aca="false">IF(OR($C76="",$B$2="",$D$2=0),0,IF(AM$3&lt;0,0,N(INDEX('CURVA PREVISION'!$A$1:$KZ$3000,$C76,11+3*MIN(AM$3,$D$2-1)))))</f>
        <v>0</v>
      </c>
      <c r="AN76" s="131" t="n">
        <f aca="false">IF(OR($C76="",$B$2="",$D$2=0),0,IF(AN$3&lt;0,0,N(INDEX('CURVA PREVISION'!$A$1:$KZ$3000,$C76,11+3*MIN(AN$3,$D$2-1)))))</f>
        <v>0</v>
      </c>
      <c r="AO76" s="131" t="n">
        <f aca="false">IF(OR($C76="",$B$2="",$D$2=0),0,IF(AO$3&lt;0,0,N(INDEX('CURVA PREVISION'!$A$1:$KZ$3000,$C76,11+3*MIN(AO$3,$D$2-1)))))</f>
        <v>0</v>
      </c>
      <c r="AP76" s="131" t="n">
        <f aca="false">IF(OR($C76="",$B$2="",$D$2=0),0,IF(AP$3&lt;0,0,N(INDEX('CURVA PREVISION'!$A$1:$KZ$3000,$C76,11+3*MIN(AP$3,$D$2-1)))))</f>
        <v>0</v>
      </c>
      <c r="AQ76" s="131" t="n">
        <f aca="false">IF(OR($C76="",$B$2="",$D$2=0),0,IF(AQ$3&lt;0,0,N(INDEX('CURVA PREVISION'!$A$1:$KZ$3000,$C76,11+3*MIN(AQ$3,$D$2-1)))))</f>
        <v>0</v>
      </c>
      <c r="AR76" s="131" t="n">
        <f aca="false">IF(OR($C76="",$B$2="",$D$2=0),0,IF(AR$3&lt;0,0,N(INDEX('CURVA PREVISION'!$A$1:$KZ$3000,$C76,11+3*MIN(AR$3,$D$2-1)))))</f>
        <v>0</v>
      </c>
      <c r="AS76" s="131" t="n">
        <f aca="false">IF(OR($C76="",$B$2="",$D$2=0),0,IF(AS$3&lt;0,0,N(INDEX('CURVA PREVISION'!$A$1:$KZ$3000,$C76,11+3*MIN(AS$3,$D$2-1)))))</f>
        <v>0</v>
      </c>
      <c r="AT76" s="131" t="n">
        <f aca="false">IF(OR($C76="",$B$2="",$D$2=0),0,IF(AT$3&lt;0,0,N(INDEX('CURVA PREVISION'!$A$1:$KZ$3000,$C76,11+3*MIN(AT$3,$D$2-1)))))</f>
        <v>0</v>
      </c>
      <c r="AU76" s="131" t="n">
        <f aca="false">IF(OR($C76="",$B$2="",$D$2=0),0,IF(AU$3&lt;0,0,N(INDEX('CURVA PREVISION'!$A$1:$KZ$3000,$C76,11+3*MIN(AU$3,$D$2-1)))))</f>
        <v>0</v>
      </c>
      <c r="AV76" s="131" t="n">
        <f aca="false">IF(OR($C76="",$B$2="",$D$2=0),0,IF(AV$3&lt;0,0,N(INDEX('CURVA PREVISION'!$A$1:$KZ$3000,$C76,11+3*MIN(AV$3,$D$2-1)))))</f>
        <v>0</v>
      </c>
      <c r="AW76" s="131" t="n">
        <f aca="false">IF(OR($C76="",$B$2="",$D$2=0),0,IF(AW$3&lt;0,0,N(INDEX('CURVA PREVISION'!$A$1:$KZ$3000,$C76,11+3*MIN(AW$3,$D$2-1)))))</f>
        <v>0</v>
      </c>
      <c r="AX76" s="131" t="n">
        <f aca="false">IF(OR($C76="",$B$2="",$D$2=0),0,IF(AX$3&lt;0,0,N(INDEX('CURVA PREVISION'!$A$1:$KZ$3000,$C76,11+3*MIN(AX$3,$D$2-1)))))</f>
        <v>0</v>
      </c>
      <c r="AY76" s="131" t="n">
        <f aca="false">IF(OR($C76="",$B$2="",$D$2=0),0,IF(AY$3&lt;0,0,N(INDEX('CURVA PREVISION'!$A$1:$KZ$3000,$C76,11+3*MIN(AY$3,$D$2-1)))))</f>
        <v>0</v>
      </c>
      <c r="AZ76" s="131" t="n">
        <f aca="false">IF(OR($C76="",$B$2="",$D$2=0),0,IF(AZ$3&lt;0,0,N(INDEX('CURVA PREVISION'!$A$1:$KZ$3000,$C76,11+3*MIN(AZ$3,$D$2-1)))))</f>
        <v>0</v>
      </c>
      <c r="BA76" s="131" t="n">
        <f aca="false">IF(OR($C76="",$B$2="",$D$2=0),0,IF(BA$3&lt;0,0,N(INDEX('CURVA PREVISION'!$A$1:$KZ$3000,$C76,11+3*MIN(BA$3,$D$2-1)))))</f>
        <v>0</v>
      </c>
      <c r="BB76" s="131" t="n">
        <f aca="false">IF(OR($C76="",$B$2="",$D$2=0),0,IF(BB$3&lt;0,0,N(INDEX('CURVA PREVISION'!$A$1:$KZ$3000,$C76,11+3*MIN(BB$3,$D$2-1)))))</f>
        <v>0</v>
      </c>
      <c r="BC76" s="131" t="n">
        <f aca="false">IF(OR($C76="",$B$2="",$D$2=0),0,IF(BC$3&lt;0,0,N(INDEX('CURVA PREVISION'!$A$1:$KZ$3000,$C76,11+3*MIN(BC$3,$D$2-1)))))</f>
        <v>0</v>
      </c>
      <c r="BD76" s="131" t="n">
        <f aca="false">IF(OR($C76="",$B$2="",$D$2=0),0,IF(BD$3&lt;0,0,N(INDEX('CURVA PREVISION'!$A$1:$KZ$3000,$C76,11+3*MIN(BD$3,$D$2-1)))))</f>
        <v>0</v>
      </c>
      <c r="BE76" s="131" t="n">
        <f aca="false">IF(OR($C76="",$B$2="",$D$2=0),0,IF(BE$3&lt;0,0,N(INDEX('CURVA PREVISION'!$A$1:$KZ$3000,$C76,11+3*MIN(BE$3,$D$2-1)))))</f>
        <v>0</v>
      </c>
      <c r="BF76" s="131" t="n">
        <f aca="false">IF(OR($C76="",$B$2="",$D$2=0),0,IF(BF$3&lt;0,0,N(INDEX('CURVA PREVISION'!$A$1:$KZ$3000,$C76,11+3*MIN(BF$3,$D$2-1)))))</f>
        <v>0</v>
      </c>
      <c r="BG76" s="131" t="n">
        <f aca="false">IF(OR($C76="",$B$2="",$D$2=0),0,IF(BG$3&lt;0,0,N(INDEX('CURVA PREVISION'!$A$1:$KZ$3000,$C76,11+3*MIN(BG$3,$D$2-1)))))</f>
        <v>0</v>
      </c>
      <c r="BH76" s="131" t="n">
        <f aca="false">IF(OR($C76="",$B$2="",$D$2=0),0,IF(BH$3&lt;0,0,N(INDEX('CURVA PREVISION'!$A$1:$KZ$3000,$C76,11+3*MIN(BH$3,$D$2-1)))))</f>
        <v>0</v>
      </c>
      <c r="BI76" s="131" t="n">
        <f aca="false">IF(OR($C76="",$B$2="",$D$2=0),0,IF(BI$3&lt;0,0,N(INDEX('CURVA PREVISION'!$A$1:$KZ$3000,$C76,11+3*MIN(BI$3,$D$2-1)))))</f>
        <v>0</v>
      </c>
      <c r="BJ76" s="131" t="n">
        <f aca="false">IF(OR($C76="",$B$2="",$D$2=0),0,IF(BJ$3&lt;0,0,N(INDEX('CURVA PREVISION'!$A$1:$KZ$3000,$C76,11+3*MIN(BJ$3,$D$2-1)))))</f>
        <v>0</v>
      </c>
      <c r="BK76" s="131" t="n">
        <f aca="false">IF(OR($C76="",$B$2="",$D$2=0),0,IF(BK$3&lt;0,0,N(INDEX('CURVA PREVISION'!$A$1:$KZ$3000,$C76,11+3*MIN(BK$3,$D$2-1)))))</f>
        <v>0</v>
      </c>
      <c r="BL76" s="131" t="n">
        <f aca="false">IF(OR($C76="",$B$2="",$D$2=0),0,IF(BL$3&lt;0,0,N(INDEX('CURVA PREVISION'!$A$1:$KZ$3000,$C76,11+3*MIN(BL$3,$D$2-1)))))</f>
        <v>0</v>
      </c>
      <c r="BM76" s="131" t="n">
        <f aca="false">IF(OR($C76="",$B$2="",$D$2=0),0,IF(BM$3&lt;0,0,N(INDEX('CURVA PREVISION'!$A$1:$KZ$3000,$C76,11+3*MIN(BM$3,$D$2-1)))))</f>
        <v>0</v>
      </c>
      <c r="BN76" s="131" t="n">
        <f aca="false">IF(OR($C76="",$B$2="",$D$2=0),0,IF(BN$3&lt;0,0,N(INDEX('CURVA PREVISION'!$A$1:$KZ$3000,$C76,11+3*MIN(BN$3,$D$2-1)))))</f>
        <v>0</v>
      </c>
      <c r="BO76" s="131" t="n">
        <f aca="false">IF(OR($C76="",$B$2="",$D$2=0),0,IF(BO$3&lt;0,0,N(INDEX('CURVA PREVISION'!$A$1:$KZ$3000,$C76,11+3*MIN(BO$3,$D$2-1)))))</f>
        <v>0</v>
      </c>
      <c r="BP76" s="131" t="n">
        <f aca="false">IF(OR($C76="",$B$2="",$D$2=0),0,IF(BP$3&lt;0,0,N(INDEX('CURVA PREVISION'!$A$1:$KZ$3000,$C76,11+3*MIN(BP$3,$D$2-1)))))</f>
        <v>0</v>
      </c>
      <c r="BQ76" s="131" t="n">
        <f aca="false">IF(OR($C76="",$B$2="",$D$2=0),0,IF(BQ$3&lt;0,0,N(INDEX('CURVA PREVISION'!$A$1:$KZ$3000,$C76,11+3*MIN(BQ$3,$D$2-1)))))</f>
        <v>0</v>
      </c>
      <c r="BR76" s="131" t="n">
        <f aca="false">IF(OR($C76="",$B$2="",$D$2=0),0,IF(BR$3&lt;0,0,N(INDEX('CURVA PREVISION'!$A$1:$KZ$3000,$C76,11+3*MIN(BR$3,$D$2-1)))))</f>
        <v>0</v>
      </c>
      <c r="BS76" s="131" t="n">
        <f aca="false">IF(OR($C76="",$B$2="",$D$2=0),0,IF(BS$3&lt;0,0,N(INDEX('CURVA PREVISION'!$A$1:$KZ$3000,$C76,11+3*MIN(BS$3,$D$2-1)))))</f>
        <v>0</v>
      </c>
      <c r="BT76" s="131" t="n">
        <f aca="false">IF(OR($C76="",$B$2="",$D$2=0),0,IF(BT$3&lt;0,0,N(INDEX('CURVA PREVISION'!$A$1:$KZ$3000,$C76,11+3*MIN(BT$3,$D$2-1)))))</f>
        <v>0</v>
      </c>
      <c r="BU76" s="131" t="n">
        <f aca="false">IF(OR($C76="",$B$2="",$D$2=0),0,IF(BU$3&lt;0,0,N(INDEX('CURVA PREVISION'!$A$1:$KZ$3000,$C76,11+3*MIN(BU$3,$D$2-1)))))</f>
        <v>0</v>
      </c>
      <c r="BV76" s="131" t="n">
        <f aca="false">IF(OR($C76="",$B$2="",$D$2=0),0,IF(BV$3&lt;0,0,N(INDEX('CURVA PREVISION'!$A$1:$KZ$3000,$C76,11+3*MIN(BV$3,$D$2-1)))))</f>
        <v>0</v>
      </c>
      <c r="BW76" s="131" t="n">
        <f aca="false">IF(OR($C76="",$B$2="",$D$2=0),0,IF(BW$3&lt;0,0,N(INDEX('CURVA PREVISION'!$A$1:$KZ$3000,$C76,11+3*MIN(BW$3,$D$2-1)))))</f>
        <v>0</v>
      </c>
    </row>
    <row r="77" customFormat="false" ht="15" hidden="false" customHeight="false" outlineLevel="0" collapsed="false">
      <c r="A77" s="57" t="str">
        <f aca="false">IF('VALOR POR PL'!Q41="",'VALOR POR PL'!C41,'VALOR POR PL'!Q41)</f>
        <v>31</v>
      </c>
      <c r="B77" s="47" t="str">
        <f aca="false">B35</f>
        <v>PAVIMENTAÇÃO</v>
      </c>
      <c r="C77" s="64" t="n">
        <f aca="false">IFERROR(MATCH(A77,'CURVA PREVISION'!$B$1:$B$3000,0),"")</f>
        <v>773</v>
      </c>
      <c r="D77" s="131" t="n">
        <f aca="false">IF(OR($C77="",$B$2="",$D$2=0),0,IF(D$3&lt;0,0,N(INDEX('CURVA PREVISION'!$A$1:$KZ$3000,$C77,11+3*MIN(D$3,$D$2-1)))))</f>
        <v>0</v>
      </c>
      <c r="E77" s="131" t="n">
        <f aca="false">IF(OR($C77="",$B$2="",$D$2=0),0,IF(E$3&lt;0,0,N(INDEX('CURVA PREVISION'!$A$1:$KZ$3000,$C77,11+3*MIN(E$3,$D$2-1)))))</f>
        <v>0</v>
      </c>
      <c r="F77" s="131" t="n">
        <f aca="false">IF(OR($C77="",$B$2="",$D$2=0),0,IF(F$3&lt;0,0,N(INDEX('CURVA PREVISION'!$A$1:$KZ$3000,$C77,11+3*MIN(F$3,$D$2-1)))))</f>
        <v>0</v>
      </c>
      <c r="G77" s="131" t="n">
        <f aca="false">IF(OR($C77="",$B$2="",$D$2=0),0,IF(G$3&lt;0,0,N(INDEX('CURVA PREVISION'!$A$1:$KZ$3000,$C77,11+3*MIN(G$3,$D$2-1)))))</f>
        <v>0</v>
      </c>
      <c r="H77" s="131" t="n">
        <f aca="false">IF(OR($C77="",$B$2="",$D$2=0),0,IF(H$3&lt;0,0,N(INDEX('CURVA PREVISION'!$A$1:$KZ$3000,$C77,11+3*MIN(H$3,$D$2-1)))))</f>
        <v>0</v>
      </c>
      <c r="I77" s="131" t="n">
        <f aca="false">IF(OR($C77="",$B$2="",$D$2=0),0,IF(I$3&lt;0,0,N(INDEX('CURVA PREVISION'!$A$1:$KZ$3000,$C77,11+3*MIN(I$3,$D$2-1)))))</f>
        <v>0</v>
      </c>
      <c r="J77" s="131" t="n">
        <f aca="false">IF(OR($C77="",$B$2="",$D$2=0),0,IF(J$3&lt;0,0,N(INDEX('CURVA PREVISION'!$A$1:$KZ$3000,$C77,11+3*MIN(J$3,$D$2-1)))))</f>
        <v>0</v>
      </c>
      <c r="K77" s="131" t="n">
        <f aca="false">IF(OR($C77="",$B$2="",$D$2=0),0,IF(K$3&lt;0,0,N(INDEX('CURVA PREVISION'!$A$1:$KZ$3000,$C77,11+3*MIN(K$3,$D$2-1)))))</f>
        <v>0</v>
      </c>
      <c r="L77" s="131" t="n">
        <f aca="false">IF(OR($C77="",$B$2="",$D$2=0),0,IF(L$3&lt;0,0,N(INDEX('CURVA PREVISION'!$A$1:$KZ$3000,$C77,11+3*MIN(L$3,$D$2-1)))))</f>
        <v>0</v>
      </c>
      <c r="M77" s="131" t="n">
        <f aca="false">IF(OR($C77="",$B$2="",$D$2=0),0,IF(M$3&lt;0,0,N(INDEX('CURVA PREVISION'!$A$1:$KZ$3000,$C77,11+3*MIN(M$3,$D$2-1)))))</f>
        <v>0</v>
      </c>
      <c r="N77" s="131" t="n">
        <f aca="false">IF(OR($C77="",$B$2="",$D$2=0),0,IF(N$3&lt;0,0,N(INDEX('CURVA PREVISION'!$A$1:$KZ$3000,$C77,11+3*MIN(N$3,$D$2-1)))))</f>
        <v>0</v>
      </c>
      <c r="O77" s="131" t="n">
        <f aca="false">IF(OR($C77="",$B$2="",$D$2=0),0,IF(O$3&lt;0,0,N(INDEX('CURVA PREVISION'!$A$1:$KZ$3000,$C77,11+3*MIN(O$3,$D$2-1)))))</f>
        <v>0</v>
      </c>
      <c r="P77" s="131" t="n">
        <f aca="false">IF(OR($C77="",$B$2="",$D$2=0),0,IF(P$3&lt;0,0,N(INDEX('CURVA PREVISION'!$A$1:$KZ$3000,$C77,11+3*MIN(P$3,$D$2-1)))))</f>
        <v>0</v>
      </c>
      <c r="Q77" s="131" t="n">
        <f aca="false">IF(OR($C77="",$B$2="",$D$2=0),0,IF(Q$3&lt;0,0,N(INDEX('CURVA PREVISION'!$A$1:$KZ$3000,$C77,11+3*MIN(Q$3,$D$2-1)))))</f>
        <v>0</v>
      </c>
      <c r="R77" s="131" t="n">
        <f aca="false">IF(OR($C77="",$B$2="",$D$2=0),0,IF(R$3&lt;0,0,N(INDEX('CURVA PREVISION'!$A$1:$KZ$3000,$C77,11+3*MIN(R$3,$D$2-1)))))</f>
        <v>0</v>
      </c>
      <c r="S77" s="131" t="n">
        <f aca="false">IF(OR($C77="",$B$2="",$D$2=0),0,IF(S$3&lt;0,0,N(INDEX('CURVA PREVISION'!$A$1:$KZ$3000,$C77,11+3*MIN(S$3,$D$2-1)))))</f>
        <v>0</v>
      </c>
      <c r="T77" s="131" t="n">
        <f aca="false">IF(OR($C77="",$B$2="",$D$2=0),0,IF(T$3&lt;0,0,N(INDEX('CURVA PREVISION'!$A$1:$KZ$3000,$C77,11+3*MIN(T$3,$D$2-1)))))</f>
        <v>0</v>
      </c>
      <c r="U77" s="131" t="n">
        <f aca="false">IF(OR($C77="",$B$2="",$D$2=0),0,IF(U$3&lt;0,0,N(INDEX('CURVA PREVISION'!$A$1:$KZ$3000,$C77,11+3*MIN(U$3,$D$2-1)))))</f>
        <v>0</v>
      </c>
      <c r="V77" s="131" t="n">
        <f aca="false">IF(OR($C77="",$B$2="",$D$2=0),0,IF(V$3&lt;0,0,N(INDEX('CURVA PREVISION'!$A$1:$KZ$3000,$C77,11+3*MIN(V$3,$D$2-1)))))</f>
        <v>0</v>
      </c>
      <c r="W77" s="131" t="n">
        <f aca="false">IF(OR($C77="",$B$2="",$D$2=0),0,IF(W$3&lt;0,0,N(INDEX('CURVA PREVISION'!$A$1:$KZ$3000,$C77,11+3*MIN(W$3,$D$2-1)))))</f>
        <v>0</v>
      </c>
      <c r="X77" s="131" t="n">
        <f aca="false">IF(OR($C77="",$B$2="",$D$2=0),0,IF(X$3&lt;0,0,N(INDEX('CURVA PREVISION'!$A$1:$KZ$3000,$C77,11+3*MIN(X$3,$D$2-1)))))</f>
        <v>0</v>
      </c>
      <c r="Y77" s="131" t="n">
        <f aca="false">IF(OR($C77="",$B$2="",$D$2=0),0,IF(Y$3&lt;0,0,N(INDEX('CURVA PREVISION'!$A$1:$KZ$3000,$C77,11+3*MIN(Y$3,$D$2-1)))))</f>
        <v>0</v>
      </c>
      <c r="Z77" s="131" t="n">
        <f aca="false">IF(OR($C77="",$B$2="",$D$2=0),0,IF(Z$3&lt;0,0,N(INDEX('CURVA PREVISION'!$A$1:$KZ$3000,$C77,11+3*MIN(Z$3,$D$2-1)))))</f>
        <v>0</v>
      </c>
      <c r="AA77" s="131" t="n">
        <f aca="false">IF(OR($C77="",$B$2="",$D$2=0),0,IF(AA$3&lt;0,0,N(INDEX('CURVA PREVISION'!$A$1:$KZ$3000,$C77,11+3*MIN(AA$3,$D$2-1)))))</f>
        <v>0</v>
      </c>
      <c r="AB77" s="131" t="n">
        <f aca="false">IF(OR($C77="",$B$2="",$D$2=0),0,IF(AB$3&lt;0,0,N(INDEX('CURVA PREVISION'!$A$1:$KZ$3000,$C77,11+3*MIN(AB$3,$D$2-1)))))</f>
        <v>0</v>
      </c>
      <c r="AC77" s="131" t="n">
        <f aca="false">IF(OR($C77="",$B$2="",$D$2=0),0,IF(AC$3&lt;0,0,N(INDEX('CURVA PREVISION'!$A$1:$KZ$3000,$C77,11+3*MIN(AC$3,$D$2-1)))))</f>
        <v>0</v>
      </c>
      <c r="AD77" s="131" t="n">
        <f aca="false">IF(OR($C77="",$B$2="",$D$2=0),0,IF(AD$3&lt;0,0,N(INDEX('CURVA PREVISION'!$A$1:$KZ$3000,$C77,11+3*MIN(AD$3,$D$2-1)))))</f>
        <v>0</v>
      </c>
      <c r="AE77" s="131" t="n">
        <f aca="false">IF(OR($C77="",$B$2="",$D$2=0),0,IF(AE$3&lt;0,0,N(INDEX('CURVA PREVISION'!$A$1:$KZ$3000,$C77,11+3*MIN(AE$3,$D$2-1)))))</f>
        <v>0</v>
      </c>
      <c r="AF77" s="131" t="n">
        <f aca="false">IF(OR($C77="",$B$2="",$D$2=0),0,IF(AF$3&lt;0,0,N(INDEX('CURVA PREVISION'!$A$1:$KZ$3000,$C77,11+3*MIN(AF$3,$D$2-1)))))</f>
        <v>0</v>
      </c>
      <c r="AG77" s="131" t="n">
        <f aca="false">IF(OR($C77="",$B$2="",$D$2=0),0,IF(AG$3&lt;0,0,N(INDEX('CURVA PREVISION'!$A$1:$KZ$3000,$C77,11+3*MIN(AG$3,$D$2-1)))))</f>
        <v>0</v>
      </c>
      <c r="AH77" s="131" t="n">
        <f aca="false">IF(OR($C77="",$B$2="",$D$2=0),0,IF(AH$3&lt;0,0,N(INDEX('CURVA PREVISION'!$A$1:$KZ$3000,$C77,11+3*MIN(AH$3,$D$2-1)))))</f>
        <v>0</v>
      </c>
      <c r="AI77" s="131" t="n">
        <f aca="false">IF(OR($C77="",$B$2="",$D$2=0),0,IF(AI$3&lt;0,0,N(INDEX('CURVA PREVISION'!$A$1:$KZ$3000,$C77,11+3*MIN(AI$3,$D$2-1)))))</f>
        <v>0</v>
      </c>
      <c r="AJ77" s="131" t="n">
        <f aca="false">IF(OR($C77="",$B$2="",$D$2=0),0,IF(AJ$3&lt;0,0,N(INDEX('CURVA PREVISION'!$A$1:$KZ$3000,$C77,11+3*MIN(AJ$3,$D$2-1)))))</f>
        <v>0</v>
      </c>
      <c r="AK77" s="131" t="n">
        <f aca="false">IF(OR($C77="",$B$2="",$D$2=0),0,IF(AK$3&lt;0,0,N(INDEX('CURVA PREVISION'!$A$1:$KZ$3000,$C77,11+3*MIN(AK$3,$D$2-1)))))</f>
        <v>0</v>
      </c>
      <c r="AL77" s="131" t="n">
        <f aca="false">IF(OR($C77="",$B$2="",$D$2=0),0,IF(AL$3&lt;0,0,N(INDEX('CURVA PREVISION'!$A$1:$KZ$3000,$C77,11+3*MIN(AL$3,$D$2-1)))))</f>
        <v>0</v>
      </c>
      <c r="AM77" s="131" t="n">
        <f aca="false">IF(OR($C77="",$B$2="",$D$2=0),0,IF(AM$3&lt;0,0,N(INDEX('CURVA PREVISION'!$A$1:$KZ$3000,$C77,11+3*MIN(AM$3,$D$2-1)))))</f>
        <v>0</v>
      </c>
      <c r="AN77" s="131" t="n">
        <f aca="false">IF(OR($C77="",$B$2="",$D$2=0),0,IF(AN$3&lt;0,0,N(INDEX('CURVA PREVISION'!$A$1:$KZ$3000,$C77,11+3*MIN(AN$3,$D$2-1)))))</f>
        <v>0</v>
      </c>
      <c r="AO77" s="131" t="n">
        <f aca="false">IF(OR($C77="",$B$2="",$D$2=0),0,IF(AO$3&lt;0,0,N(INDEX('CURVA PREVISION'!$A$1:$KZ$3000,$C77,11+3*MIN(AO$3,$D$2-1)))))</f>
        <v>0</v>
      </c>
      <c r="AP77" s="131" t="n">
        <f aca="false">IF(OR($C77="",$B$2="",$D$2=0),0,IF(AP$3&lt;0,0,N(INDEX('CURVA PREVISION'!$A$1:$KZ$3000,$C77,11+3*MIN(AP$3,$D$2-1)))))</f>
        <v>0</v>
      </c>
      <c r="AQ77" s="131" t="n">
        <f aca="false">IF(OR($C77="",$B$2="",$D$2=0),0,IF(AQ$3&lt;0,0,N(INDEX('CURVA PREVISION'!$A$1:$KZ$3000,$C77,11+3*MIN(AQ$3,$D$2-1)))))</f>
        <v>0</v>
      </c>
      <c r="AR77" s="131" t="n">
        <f aca="false">IF(OR($C77="",$B$2="",$D$2=0),0,IF(AR$3&lt;0,0,N(INDEX('CURVA PREVISION'!$A$1:$KZ$3000,$C77,11+3*MIN(AR$3,$D$2-1)))))</f>
        <v>0</v>
      </c>
      <c r="AS77" s="131" t="n">
        <f aca="false">IF(OR($C77="",$B$2="",$D$2=0),0,IF(AS$3&lt;0,0,N(INDEX('CURVA PREVISION'!$A$1:$KZ$3000,$C77,11+3*MIN(AS$3,$D$2-1)))))</f>
        <v>0</v>
      </c>
      <c r="AT77" s="131" t="n">
        <f aca="false">IF(OR($C77="",$B$2="",$D$2=0),0,IF(AT$3&lt;0,0,N(INDEX('CURVA PREVISION'!$A$1:$KZ$3000,$C77,11+3*MIN(AT$3,$D$2-1)))))</f>
        <v>0</v>
      </c>
      <c r="AU77" s="131" t="n">
        <f aca="false">IF(OR($C77="",$B$2="",$D$2=0),0,IF(AU$3&lt;0,0,N(INDEX('CURVA PREVISION'!$A$1:$KZ$3000,$C77,11+3*MIN(AU$3,$D$2-1)))))</f>
        <v>0</v>
      </c>
      <c r="AV77" s="131" t="n">
        <f aca="false">IF(OR($C77="",$B$2="",$D$2=0),0,IF(AV$3&lt;0,0,N(INDEX('CURVA PREVISION'!$A$1:$KZ$3000,$C77,11+3*MIN(AV$3,$D$2-1)))))</f>
        <v>0</v>
      </c>
      <c r="AW77" s="131" t="n">
        <f aca="false">IF(OR($C77="",$B$2="",$D$2=0),0,IF(AW$3&lt;0,0,N(INDEX('CURVA PREVISION'!$A$1:$KZ$3000,$C77,11+3*MIN(AW$3,$D$2-1)))))</f>
        <v>0</v>
      </c>
      <c r="AX77" s="131" t="n">
        <f aca="false">IF(OR($C77="",$B$2="",$D$2=0),0,IF(AX$3&lt;0,0,N(INDEX('CURVA PREVISION'!$A$1:$KZ$3000,$C77,11+3*MIN(AX$3,$D$2-1)))))</f>
        <v>0</v>
      </c>
      <c r="AY77" s="131" t="n">
        <f aca="false">IF(OR($C77="",$B$2="",$D$2=0),0,IF(AY$3&lt;0,0,N(INDEX('CURVA PREVISION'!$A$1:$KZ$3000,$C77,11+3*MIN(AY$3,$D$2-1)))))</f>
        <v>0</v>
      </c>
      <c r="AZ77" s="131" t="n">
        <f aca="false">IF(OR($C77="",$B$2="",$D$2=0),0,IF(AZ$3&lt;0,0,N(INDEX('CURVA PREVISION'!$A$1:$KZ$3000,$C77,11+3*MIN(AZ$3,$D$2-1)))))</f>
        <v>0</v>
      </c>
      <c r="BA77" s="131" t="n">
        <f aca="false">IF(OR($C77="",$B$2="",$D$2=0),0,IF(BA$3&lt;0,0,N(INDEX('CURVA PREVISION'!$A$1:$KZ$3000,$C77,11+3*MIN(BA$3,$D$2-1)))))</f>
        <v>0</v>
      </c>
      <c r="BB77" s="131" t="n">
        <f aca="false">IF(OR($C77="",$B$2="",$D$2=0),0,IF(BB$3&lt;0,0,N(INDEX('CURVA PREVISION'!$A$1:$KZ$3000,$C77,11+3*MIN(BB$3,$D$2-1)))))</f>
        <v>0</v>
      </c>
      <c r="BC77" s="131" t="n">
        <f aca="false">IF(OR($C77="",$B$2="",$D$2=0),0,IF(BC$3&lt;0,0,N(INDEX('CURVA PREVISION'!$A$1:$KZ$3000,$C77,11+3*MIN(BC$3,$D$2-1)))))</f>
        <v>0</v>
      </c>
      <c r="BD77" s="131" t="n">
        <f aca="false">IF(OR($C77="",$B$2="",$D$2=0),0,IF(BD$3&lt;0,0,N(INDEX('CURVA PREVISION'!$A$1:$KZ$3000,$C77,11+3*MIN(BD$3,$D$2-1)))))</f>
        <v>0</v>
      </c>
      <c r="BE77" s="131" t="n">
        <f aca="false">IF(OR($C77="",$B$2="",$D$2=0),0,IF(BE$3&lt;0,0,N(INDEX('CURVA PREVISION'!$A$1:$KZ$3000,$C77,11+3*MIN(BE$3,$D$2-1)))))</f>
        <v>0</v>
      </c>
      <c r="BF77" s="131" t="n">
        <f aca="false">IF(OR($C77="",$B$2="",$D$2=0),0,IF(BF$3&lt;0,0,N(INDEX('CURVA PREVISION'!$A$1:$KZ$3000,$C77,11+3*MIN(BF$3,$D$2-1)))))</f>
        <v>0</v>
      </c>
      <c r="BG77" s="131" t="n">
        <f aca="false">IF(OR($C77="",$B$2="",$D$2=0),0,IF(BG$3&lt;0,0,N(INDEX('CURVA PREVISION'!$A$1:$KZ$3000,$C77,11+3*MIN(BG$3,$D$2-1)))))</f>
        <v>0</v>
      </c>
      <c r="BH77" s="131" t="n">
        <f aca="false">IF(OR($C77="",$B$2="",$D$2=0),0,IF(BH$3&lt;0,0,N(INDEX('CURVA PREVISION'!$A$1:$KZ$3000,$C77,11+3*MIN(BH$3,$D$2-1)))))</f>
        <v>0</v>
      </c>
      <c r="BI77" s="131" t="n">
        <f aca="false">IF(OR($C77="",$B$2="",$D$2=0),0,IF(BI$3&lt;0,0,N(INDEX('CURVA PREVISION'!$A$1:$KZ$3000,$C77,11+3*MIN(BI$3,$D$2-1)))))</f>
        <v>0</v>
      </c>
      <c r="BJ77" s="131" t="n">
        <f aca="false">IF(OR($C77="",$B$2="",$D$2=0),0,IF(BJ$3&lt;0,0,N(INDEX('CURVA PREVISION'!$A$1:$KZ$3000,$C77,11+3*MIN(BJ$3,$D$2-1)))))</f>
        <v>0</v>
      </c>
      <c r="BK77" s="131" t="n">
        <f aca="false">IF(OR($C77="",$B$2="",$D$2=0),0,IF(BK$3&lt;0,0,N(INDEX('CURVA PREVISION'!$A$1:$KZ$3000,$C77,11+3*MIN(BK$3,$D$2-1)))))</f>
        <v>0</v>
      </c>
      <c r="BL77" s="131" t="n">
        <f aca="false">IF(OR($C77="",$B$2="",$D$2=0),0,IF(BL$3&lt;0,0,N(INDEX('CURVA PREVISION'!$A$1:$KZ$3000,$C77,11+3*MIN(BL$3,$D$2-1)))))</f>
        <v>0</v>
      </c>
      <c r="BM77" s="131" t="n">
        <f aca="false">IF(OR($C77="",$B$2="",$D$2=0),0,IF(BM$3&lt;0,0,N(INDEX('CURVA PREVISION'!$A$1:$KZ$3000,$C77,11+3*MIN(BM$3,$D$2-1)))))</f>
        <v>0</v>
      </c>
      <c r="BN77" s="131" t="n">
        <f aca="false">IF(OR($C77="",$B$2="",$D$2=0),0,IF(BN$3&lt;0,0,N(INDEX('CURVA PREVISION'!$A$1:$KZ$3000,$C77,11+3*MIN(BN$3,$D$2-1)))))</f>
        <v>0</v>
      </c>
      <c r="BO77" s="131" t="n">
        <f aca="false">IF(OR($C77="",$B$2="",$D$2=0),0,IF(BO$3&lt;0,0,N(INDEX('CURVA PREVISION'!$A$1:$KZ$3000,$C77,11+3*MIN(BO$3,$D$2-1)))))</f>
        <v>0</v>
      </c>
      <c r="BP77" s="131" t="n">
        <f aca="false">IF(OR($C77="",$B$2="",$D$2=0),0,IF(BP$3&lt;0,0,N(INDEX('CURVA PREVISION'!$A$1:$KZ$3000,$C77,11+3*MIN(BP$3,$D$2-1)))))</f>
        <v>0</v>
      </c>
      <c r="BQ77" s="131" t="n">
        <f aca="false">IF(OR($C77="",$B$2="",$D$2=0),0,IF(BQ$3&lt;0,0,N(INDEX('CURVA PREVISION'!$A$1:$KZ$3000,$C77,11+3*MIN(BQ$3,$D$2-1)))))</f>
        <v>0</v>
      </c>
      <c r="BR77" s="131" t="n">
        <f aca="false">IF(OR($C77="",$B$2="",$D$2=0),0,IF(BR$3&lt;0,0,N(INDEX('CURVA PREVISION'!$A$1:$KZ$3000,$C77,11+3*MIN(BR$3,$D$2-1)))))</f>
        <v>0</v>
      </c>
      <c r="BS77" s="131" t="n">
        <f aca="false">IF(OR($C77="",$B$2="",$D$2=0),0,IF(BS$3&lt;0,0,N(INDEX('CURVA PREVISION'!$A$1:$KZ$3000,$C77,11+3*MIN(BS$3,$D$2-1)))))</f>
        <v>0</v>
      </c>
      <c r="BT77" s="131" t="n">
        <f aca="false">IF(OR($C77="",$B$2="",$D$2=0),0,IF(BT$3&lt;0,0,N(INDEX('CURVA PREVISION'!$A$1:$KZ$3000,$C77,11+3*MIN(BT$3,$D$2-1)))))</f>
        <v>0</v>
      </c>
      <c r="BU77" s="131" t="n">
        <f aca="false">IF(OR($C77="",$B$2="",$D$2=0),0,IF(BU$3&lt;0,0,N(INDEX('CURVA PREVISION'!$A$1:$KZ$3000,$C77,11+3*MIN(BU$3,$D$2-1)))))</f>
        <v>0</v>
      </c>
      <c r="BV77" s="131" t="n">
        <f aca="false">IF(OR($C77="",$B$2="",$D$2=0),0,IF(BV$3&lt;0,0,N(INDEX('CURVA PREVISION'!$A$1:$KZ$3000,$C77,11+3*MIN(BV$3,$D$2-1)))))</f>
        <v>0</v>
      </c>
      <c r="BW77" s="131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- FACHADA</v>
      </c>
      <c r="C78" s="64" t="n">
        <f aca="false">IFERROR(MATCH(A78,'CURVA PREVISION'!$B$1:$B$3000,0),"")</f>
        <v>782</v>
      </c>
      <c r="D78" s="131" t="n">
        <f aca="false">IF(OR($C78="",$B$2="",$D$2=0),0,IF(D$3&lt;0,0,N(INDEX('CURVA PREVISION'!$A$1:$KZ$3000,$C78,11+3*MIN(D$3,$D$2-1)))))</f>
        <v>0</v>
      </c>
      <c r="E78" s="131" t="n">
        <f aca="false">IF(OR($C78="",$B$2="",$D$2=0),0,IF(E$3&lt;0,0,N(INDEX('CURVA PREVISION'!$A$1:$KZ$3000,$C78,11+3*MIN(E$3,$D$2-1)))))</f>
        <v>0</v>
      </c>
      <c r="F78" s="131" t="n">
        <f aca="false">IF(OR($C78="",$B$2="",$D$2=0),0,IF(F$3&lt;0,0,N(INDEX('CURVA PREVISION'!$A$1:$KZ$3000,$C78,11+3*MIN(F$3,$D$2-1)))))</f>
        <v>0</v>
      </c>
      <c r="G78" s="131" t="n">
        <f aca="false">IF(OR($C78="",$B$2="",$D$2=0),0,IF(G$3&lt;0,0,N(INDEX('CURVA PREVISION'!$A$1:$KZ$3000,$C78,11+3*MIN(G$3,$D$2-1)))))</f>
        <v>0</v>
      </c>
      <c r="H78" s="131" t="n">
        <f aca="false">IF(OR($C78="",$B$2="",$D$2=0),0,IF(H$3&lt;0,0,N(INDEX('CURVA PREVISION'!$A$1:$KZ$3000,$C78,11+3*MIN(H$3,$D$2-1)))))</f>
        <v>0</v>
      </c>
      <c r="I78" s="131" t="n">
        <f aca="false">IF(OR($C78="",$B$2="",$D$2=0),0,IF(I$3&lt;0,0,N(INDEX('CURVA PREVISION'!$A$1:$KZ$3000,$C78,11+3*MIN(I$3,$D$2-1)))))</f>
        <v>0</v>
      </c>
      <c r="J78" s="131" t="n">
        <f aca="false">IF(OR($C78="",$B$2="",$D$2=0),0,IF(J$3&lt;0,0,N(INDEX('CURVA PREVISION'!$A$1:$KZ$3000,$C78,11+3*MIN(J$3,$D$2-1)))))</f>
        <v>0</v>
      </c>
      <c r="K78" s="131" t="n">
        <f aca="false">IF(OR($C78="",$B$2="",$D$2=0),0,IF(K$3&lt;0,0,N(INDEX('CURVA PREVISION'!$A$1:$KZ$3000,$C78,11+3*MIN(K$3,$D$2-1)))))</f>
        <v>0</v>
      </c>
      <c r="L78" s="131" t="n">
        <f aca="false">IF(OR($C78="",$B$2="",$D$2=0),0,IF(L$3&lt;0,0,N(INDEX('CURVA PREVISION'!$A$1:$KZ$3000,$C78,11+3*MIN(L$3,$D$2-1)))))</f>
        <v>0</v>
      </c>
      <c r="M78" s="131" t="n">
        <f aca="false">IF(OR($C78="",$B$2="",$D$2=0),0,IF(M$3&lt;0,0,N(INDEX('CURVA PREVISION'!$A$1:$KZ$3000,$C78,11+3*MIN(M$3,$D$2-1)))))</f>
        <v>0</v>
      </c>
      <c r="N78" s="131" t="n">
        <f aca="false">IF(OR($C78="",$B$2="",$D$2=0),0,IF(N$3&lt;0,0,N(INDEX('CURVA PREVISION'!$A$1:$KZ$3000,$C78,11+3*MIN(N$3,$D$2-1)))))</f>
        <v>0</v>
      </c>
      <c r="O78" s="131" t="n">
        <f aca="false">IF(OR($C78="",$B$2="",$D$2=0),0,IF(O$3&lt;0,0,N(INDEX('CURVA PREVISION'!$A$1:$KZ$3000,$C78,11+3*MIN(O$3,$D$2-1)))))</f>
        <v>0</v>
      </c>
      <c r="P78" s="131" t="n">
        <f aca="false">IF(OR($C78="",$B$2="",$D$2=0),0,IF(P$3&lt;0,0,N(INDEX('CURVA PREVISION'!$A$1:$KZ$3000,$C78,11+3*MIN(P$3,$D$2-1)))))</f>
        <v>0</v>
      </c>
      <c r="Q78" s="131" t="n">
        <f aca="false">IF(OR($C78="",$B$2="",$D$2=0),0,IF(Q$3&lt;0,0,N(INDEX('CURVA PREVISION'!$A$1:$KZ$3000,$C78,11+3*MIN(Q$3,$D$2-1)))))</f>
        <v>0</v>
      </c>
      <c r="R78" s="131" t="n">
        <f aca="false">IF(OR($C78="",$B$2="",$D$2=0),0,IF(R$3&lt;0,0,N(INDEX('CURVA PREVISION'!$A$1:$KZ$3000,$C78,11+3*MIN(R$3,$D$2-1)))))</f>
        <v>0</v>
      </c>
      <c r="S78" s="131" t="n">
        <f aca="false">IF(OR($C78="",$B$2="",$D$2=0),0,IF(S$3&lt;0,0,N(INDEX('CURVA PREVISION'!$A$1:$KZ$3000,$C78,11+3*MIN(S$3,$D$2-1)))))</f>
        <v>0</v>
      </c>
      <c r="T78" s="131" t="n">
        <f aca="false">IF(OR($C78="",$B$2="",$D$2=0),0,IF(T$3&lt;0,0,N(INDEX('CURVA PREVISION'!$A$1:$KZ$3000,$C78,11+3*MIN(T$3,$D$2-1)))))</f>
        <v>0</v>
      </c>
      <c r="U78" s="131" t="n">
        <f aca="false">IF(OR($C78="",$B$2="",$D$2=0),0,IF(U$3&lt;0,0,N(INDEX('CURVA PREVISION'!$A$1:$KZ$3000,$C78,11+3*MIN(U$3,$D$2-1)))))</f>
        <v>0</v>
      </c>
      <c r="V78" s="131" t="n">
        <f aca="false">IF(OR($C78="",$B$2="",$D$2=0),0,IF(V$3&lt;0,0,N(INDEX('CURVA PREVISION'!$A$1:$KZ$3000,$C78,11+3*MIN(V$3,$D$2-1)))))</f>
        <v>0</v>
      </c>
      <c r="W78" s="131" t="n">
        <f aca="false">IF(OR($C78="",$B$2="",$D$2=0),0,IF(W$3&lt;0,0,N(INDEX('CURVA PREVISION'!$A$1:$KZ$3000,$C78,11+3*MIN(W$3,$D$2-1)))))</f>
        <v>0</v>
      </c>
      <c r="X78" s="131" t="n">
        <f aca="false">IF(OR($C78="",$B$2="",$D$2=0),0,IF(X$3&lt;0,0,N(INDEX('CURVA PREVISION'!$A$1:$KZ$3000,$C78,11+3*MIN(X$3,$D$2-1)))))</f>
        <v>0</v>
      </c>
      <c r="Y78" s="131" t="n">
        <f aca="false">IF(OR($C78="",$B$2="",$D$2=0),0,IF(Y$3&lt;0,0,N(INDEX('CURVA PREVISION'!$A$1:$KZ$3000,$C78,11+3*MIN(Y$3,$D$2-1)))))</f>
        <v>0</v>
      </c>
      <c r="Z78" s="131" t="n">
        <f aca="false">IF(OR($C78="",$B$2="",$D$2=0),0,IF(Z$3&lt;0,0,N(INDEX('CURVA PREVISION'!$A$1:$KZ$3000,$C78,11+3*MIN(Z$3,$D$2-1)))))</f>
        <v>0</v>
      </c>
      <c r="AA78" s="131" t="n">
        <f aca="false">IF(OR($C78="",$B$2="",$D$2=0),0,IF(AA$3&lt;0,0,N(INDEX('CURVA PREVISION'!$A$1:$KZ$3000,$C78,11+3*MIN(AA$3,$D$2-1)))))</f>
        <v>0</v>
      </c>
      <c r="AB78" s="131" t="n">
        <f aca="false">IF(OR($C78="",$B$2="",$D$2=0),0,IF(AB$3&lt;0,0,N(INDEX('CURVA PREVISION'!$A$1:$KZ$3000,$C78,11+3*MIN(AB$3,$D$2-1)))))</f>
        <v>0</v>
      </c>
      <c r="AC78" s="131" t="n">
        <f aca="false">IF(OR($C78="",$B$2="",$D$2=0),0,IF(AC$3&lt;0,0,N(INDEX('CURVA PREVISION'!$A$1:$KZ$3000,$C78,11+3*MIN(AC$3,$D$2-1)))))</f>
        <v>0</v>
      </c>
      <c r="AD78" s="131" t="n">
        <f aca="false">IF(OR($C78="",$B$2="",$D$2=0),0,IF(AD$3&lt;0,0,N(INDEX('CURVA PREVISION'!$A$1:$KZ$3000,$C78,11+3*MIN(AD$3,$D$2-1)))))</f>
        <v>0</v>
      </c>
      <c r="AE78" s="131" t="n">
        <f aca="false">IF(OR($C78="",$B$2="",$D$2=0),0,IF(AE$3&lt;0,0,N(INDEX('CURVA PREVISION'!$A$1:$KZ$3000,$C78,11+3*MIN(AE$3,$D$2-1)))))</f>
        <v>0</v>
      </c>
      <c r="AF78" s="131" t="n">
        <f aca="false">IF(OR($C78="",$B$2="",$D$2=0),0,IF(AF$3&lt;0,0,N(INDEX('CURVA PREVISION'!$A$1:$KZ$3000,$C78,11+3*MIN(AF$3,$D$2-1)))))</f>
        <v>0</v>
      </c>
      <c r="AG78" s="131" t="n">
        <f aca="false">IF(OR($C78="",$B$2="",$D$2=0),0,IF(AG$3&lt;0,0,N(INDEX('CURVA PREVISION'!$A$1:$KZ$3000,$C78,11+3*MIN(AG$3,$D$2-1)))))</f>
        <v>0</v>
      </c>
      <c r="AH78" s="131" t="n">
        <f aca="false">IF(OR($C78="",$B$2="",$D$2=0),0,IF(AH$3&lt;0,0,N(INDEX('CURVA PREVISION'!$A$1:$KZ$3000,$C78,11+3*MIN(AH$3,$D$2-1)))))</f>
        <v>0</v>
      </c>
      <c r="AI78" s="131" t="n">
        <f aca="false">IF(OR($C78="",$B$2="",$D$2=0),0,IF(AI$3&lt;0,0,N(INDEX('CURVA PREVISION'!$A$1:$KZ$3000,$C78,11+3*MIN(AI$3,$D$2-1)))))</f>
        <v>0</v>
      </c>
      <c r="AJ78" s="131" t="n">
        <f aca="false">IF(OR($C78="",$B$2="",$D$2=0),0,IF(AJ$3&lt;0,0,N(INDEX('CURVA PREVISION'!$A$1:$KZ$3000,$C78,11+3*MIN(AJ$3,$D$2-1)))))</f>
        <v>0</v>
      </c>
      <c r="AK78" s="131" t="n">
        <f aca="false">IF(OR($C78="",$B$2="",$D$2=0),0,IF(AK$3&lt;0,0,N(INDEX('CURVA PREVISION'!$A$1:$KZ$3000,$C78,11+3*MIN(AK$3,$D$2-1)))))</f>
        <v>0</v>
      </c>
      <c r="AL78" s="131" t="n">
        <f aca="false">IF(OR($C78="",$B$2="",$D$2=0),0,IF(AL$3&lt;0,0,N(INDEX('CURVA PREVISION'!$A$1:$KZ$3000,$C78,11+3*MIN(AL$3,$D$2-1)))))</f>
        <v>0</v>
      </c>
      <c r="AM78" s="131" t="n">
        <f aca="false">IF(OR($C78="",$B$2="",$D$2=0),0,IF(AM$3&lt;0,0,N(INDEX('CURVA PREVISION'!$A$1:$KZ$3000,$C78,11+3*MIN(AM$3,$D$2-1)))))</f>
        <v>0</v>
      </c>
      <c r="AN78" s="131" t="n">
        <f aca="false">IF(OR($C78="",$B$2="",$D$2=0),0,IF(AN$3&lt;0,0,N(INDEX('CURVA PREVISION'!$A$1:$KZ$3000,$C78,11+3*MIN(AN$3,$D$2-1)))))</f>
        <v>0</v>
      </c>
      <c r="AO78" s="131" t="n">
        <f aca="false">IF(OR($C78="",$B$2="",$D$2=0),0,IF(AO$3&lt;0,0,N(INDEX('CURVA PREVISION'!$A$1:$KZ$3000,$C78,11+3*MIN(AO$3,$D$2-1)))))</f>
        <v>0</v>
      </c>
      <c r="AP78" s="131" t="n">
        <f aca="false">IF(OR($C78="",$B$2="",$D$2=0),0,IF(AP$3&lt;0,0,N(INDEX('CURVA PREVISION'!$A$1:$KZ$3000,$C78,11+3*MIN(AP$3,$D$2-1)))))</f>
        <v>0</v>
      </c>
      <c r="AQ78" s="131" t="n">
        <f aca="false">IF(OR($C78="",$B$2="",$D$2=0),0,IF(AQ$3&lt;0,0,N(INDEX('CURVA PREVISION'!$A$1:$KZ$3000,$C78,11+3*MIN(AQ$3,$D$2-1)))))</f>
        <v>0</v>
      </c>
      <c r="AR78" s="131" t="n">
        <f aca="false">IF(OR($C78="",$B$2="",$D$2=0),0,IF(AR$3&lt;0,0,N(INDEX('CURVA PREVISION'!$A$1:$KZ$3000,$C78,11+3*MIN(AR$3,$D$2-1)))))</f>
        <v>0</v>
      </c>
      <c r="AS78" s="131" t="n">
        <f aca="false">IF(OR($C78="",$B$2="",$D$2=0),0,IF(AS$3&lt;0,0,N(INDEX('CURVA PREVISION'!$A$1:$KZ$3000,$C78,11+3*MIN(AS$3,$D$2-1)))))</f>
        <v>0</v>
      </c>
      <c r="AT78" s="131" t="n">
        <f aca="false">IF(OR($C78="",$B$2="",$D$2=0),0,IF(AT$3&lt;0,0,N(INDEX('CURVA PREVISION'!$A$1:$KZ$3000,$C78,11+3*MIN(AT$3,$D$2-1)))))</f>
        <v>0</v>
      </c>
      <c r="AU78" s="131" t="n">
        <f aca="false">IF(OR($C78="",$B$2="",$D$2=0),0,IF(AU$3&lt;0,0,N(INDEX('CURVA PREVISION'!$A$1:$KZ$3000,$C78,11+3*MIN(AU$3,$D$2-1)))))</f>
        <v>0</v>
      </c>
      <c r="AV78" s="131" t="n">
        <f aca="false">IF(OR($C78="",$B$2="",$D$2=0),0,IF(AV$3&lt;0,0,N(INDEX('CURVA PREVISION'!$A$1:$KZ$3000,$C78,11+3*MIN(AV$3,$D$2-1)))))</f>
        <v>0</v>
      </c>
      <c r="AW78" s="131" t="n">
        <f aca="false">IF(OR($C78="",$B$2="",$D$2=0),0,IF(AW$3&lt;0,0,N(INDEX('CURVA PREVISION'!$A$1:$KZ$3000,$C78,11+3*MIN(AW$3,$D$2-1)))))</f>
        <v>0</v>
      </c>
      <c r="AX78" s="131" t="n">
        <f aca="false">IF(OR($C78="",$B$2="",$D$2=0),0,IF(AX$3&lt;0,0,N(INDEX('CURVA PREVISION'!$A$1:$KZ$3000,$C78,11+3*MIN(AX$3,$D$2-1)))))</f>
        <v>0</v>
      </c>
      <c r="AY78" s="131" t="n">
        <f aca="false">IF(OR($C78="",$B$2="",$D$2=0),0,IF(AY$3&lt;0,0,N(INDEX('CURVA PREVISION'!$A$1:$KZ$3000,$C78,11+3*MIN(AY$3,$D$2-1)))))</f>
        <v>0</v>
      </c>
      <c r="AZ78" s="131" t="n">
        <f aca="false">IF(OR($C78="",$B$2="",$D$2=0),0,IF(AZ$3&lt;0,0,N(INDEX('CURVA PREVISION'!$A$1:$KZ$3000,$C78,11+3*MIN(AZ$3,$D$2-1)))))</f>
        <v>0</v>
      </c>
      <c r="BA78" s="131" t="n">
        <f aca="false">IF(OR($C78="",$B$2="",$D$2=0),0,IF(BA$3&lt;0,0,N(INDEX('CURVA PREVISION'!$A$1:$KZ$3000,$C78,11+3*MIN(BA$3,$D$2-1)))))</f>
        <v>0</v>
      </c>
      <c r="BB78" s="131" t="n">
        <f aca="false">IF(OR($C78="",$B$2="",$D$2=0),0,IF(BB$3&lt;0,0,N(INDEX('CURVA PREVISION'!$A$1:$KZ$3000,$C78,11+3*MIN(BB$3,$D$2-1)))))</f>
        <v>0</v>
      </c>
      <c r="BC78" s="131" t="n">
        <f aca="false">IF(OR($C78="",$B$2="",$D$2=0),0,IF(BC$3&lt;0,0,N(INDEX('CURVA PREVISION'!$A$1:$KZ$3000,$C78,11+3*MIN(BC$3,$D$2-1)))))</f>
        <v>0</v>
      </c>
      <c r="BD78" s="131" t="n">
        <f aca="false">IF(OR($C78="",$B$2="",$D$2=0),0,IF(BD$3&lt;0,0,N(INDEX('CURVA PREVISION'!$A$1:$KZ$3000,$C78,11+3*MIN(BD$3,$D$2-1)))))</f>
        <v>0</v>
      </c>
      <c r="BE78" s="131" t="n">
        <f aca="false">IF(OR($C78="",$B$2="",$D$2=0),0,IF(BE$3&lt;0,0,N(INDEX('CURVA PREVISION'!$A$1:$KZ$3000,$C78,11+3*MIN(BE$3,$D$2-1)))))</f>
        <v>0</v>
      </c>
      <c r="BF78" s="131" t="n">
        <f aca="false">IF(OR($C78="",$B$2="",$D$2=0),0,IF(BF$3&lt;0,0,N(INDEX('CURVA PREVISION'!$A$1:$KZ$3000,$C78,11+3*MIN(BF$3,$D$2-1)))))</f>
        <v>0</v>
      </c>
      <c r="BG78" s="131" t="n">
        <f aca="false">IF(OR($C78="",$B$2="",$D$2=0),0,IF(BG$3&lt;0,0,N(INDEX('CURVA PREVISION'!$A$1:$KZ$3000,$C78,11+3*MIN(BG$3,$D$2-1)))))</f>
        <v>0</v>
      </c>
      <c r="BH78" s="131" t="n">
        <f aca="false">IF(OR($C78="",$B$2="",$D$2=0),0,IF(BH$3&lt;0,0,N(INDEX('CURVA PREVISION'!$A$1:$KZ$3000,$C78,11+3*MIN(BH$3,$D$2-1)))))</f>
        <v>0</v>
      </c>
      <c r="BI78" s="131" t="n">
        <f aca="false">IF(OR($C78="",$B$2="",$D$2=0),0,IF(BI$3&lt;0,0,N(INDEX('CURVA PREVISION'!$A$1:$KZ$3000,$C78,11+3*MIN(BI$3,$D$2-1)))))</f>
        <v>0</v>
      </c>
      <c r="BJ78" s="131" t="n">
        <f aca="false">IF(OR($C78="",$B$2="",$D$2=0),0,IF(BJ$3&lt;0,0,N(INDEX('CURVA PREVISION'!$A$1:$KZ$3000,$C78,11+3*MIN(BJ$3,$D$2-1)))))</f>
        <v>0</v>
      </c>
      <c r="BK78" s="131" t="n">
        <f aca="false">IF(OR($C78="",$B$2="",$D$2=0),0,IF(BK$3&lt;0,0,N(INDEX('CURVA PREVISION'!$A$1:$KZ$3000,$C78,11+3*MIN(BK$3,$D$2-1)))))</f>
        <v>0</v>
      </c>
      <c r="BL78" s="131" t="n">
        <f aca="false">IF(OR($C78="",$B$2="",$D$2=0),0,IF(BL$3&lt;0,0,N(INDEX('CURVA PREVISION'!$A$1:$KZ$3000,$C78,11+3*MIN(BL$3,$D$2-1)))))</f>
        <v>0</v>
      </c>
      <c r="BM78" s="131" t="n">
        <f aca="false">IF(OR($C78="",$B$2="",$D$2=0),0,IF(BM$3&lt;0,0,N(INDEX('CURVA PREVISION'!$A$1:$KZ$3000,$C78,11+3*MIN(BM$3,$D$2-1)))))</f>
        <v>0</v>
      </c>
      <c r="BN78" s="131" t="n">
        <f aca="false">IF(OR($C78="",$B$2="",$D$2=0),0,IF(BN$3&lt;0,0,N(INDEX('CURVA PREVISION'!$A$1:$KZ$3000,$C78,11+3*MIN(BN$3,$D$2-1)))))</f>
        <v>0</v>
      </c>
      <c r="BO78" s="131" t="n">
        <f aca="false">IF(OR($C78="",$B$2="",$D$2=0),0,IF(BO$3&lt;0,0,N(INDEX('CURVA PREVISION'!$A$1:$KZ$3000,$C78,11+3*MIN(BO$3,$D$2-1)))))</f>
        <v>0</v>
      </c>
      <c r="BP78" s="131" t="n">
        <f aca="false">IF(OR($C78="",$B$2="",$D$2=0),0,IF(BP$3&lt;0,0,N(INDEX('CURVA PREVISION'!$A$1:$KZ$3000,$C78,11+3*MIN(BP$3,$D$2-1)))))</f>
        <v>0</v>
      </c>
      <c r="BQ78" s="131" t="n">
        <f aca="false">IF(OR($C78="",$B$2="",$D$2=0),0,IF(BQ$3&lt;0,0,N(INDEX('CURVA PREVISION'!$A$1:$KZ$3000,$C78,11+3*MIN(BQ$3,$D$2-1)))))</f>
        <v>0</v>
      </c>
      <c r="BR78" s="131" t="n">
        <f aca="false">IF(OR($C78="",$B$2="",$D$2=0),0,IF(BR$3&lt;0,0,N(INDEX('CURVA PREVISION'!$A$1:$KZ$3000,$C78,11+3*MIN(BR$3,$D$2-1)))))</f>
        <v>0</v>
      </c>
      <c r="BS78" s="131" t="n">
        <f aca="false">IF(OR($C78="",$B$2="",$D$2=0),0,IF(BS$3&lt;0,0,N(INDEX('CURVA PREVISION'!$A$1:$KZ$3000,$C78,11+3*MIN(BS$3,$D$2-1)))))</f>
        <v>0</v>
      </c>
      <c r="BT78" s="131" t="n">
        <f aca="false">IF(OR($C78="",$B$2="",$D$2=0),0,IF(BT$3&lt;0,0,N(INDEX('CURVA PREVISION'!$A$1:$KZ$3000,$C78,11+3*MIN(BT$3,$D$2-1)))))</f>
        <v>0</v>
      </c>
      <c r="BU78" s="131" t="n">
        <f aca="false">IF(OR($C78="",$B$2="",$D$2=0),0,IF(BU$3&lt;0,0,N(INDEX('CURVA PREVISION'!$A$1:$KZ$3000,$C78,11+3*MIN(BU$3,$D$2-1)))))</f>
        <v>0</v>
      </c>
      <c r="BV78" s="131" t="n">
        <f aca="false">IF(OR($C78="",$B$2="",$D$2=0),0,IF(BV$3&lt;0,0,N(INDEX('CURVA PREVISION'!$A$1:$KZ$3000,$C78,11+3*MIN(BV$3,$D$2-1)))))</f>
        <v>0</v>
      </c>
      <c r="BW78" s="131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815</v>
      </c>
      <c r="D79" s="131" t="n">
        <f aca="false">IF(OR($C79="",$B$2="",$D$2=0),0,IF(D$3&lt;0,0,N(INDEX('CURVA PREVISION'!$A$1:$KZ$3000,$C79,11+3*MIN(D$3,$D$2-1)))))</f>
        <v>0</v>
      </c>
      <c r="E79" s="131" t="n">
        <f aca="false">IF(OR($C79="",$B$2="",$D$2=0),0,IF(E$3&lt;0,0,N(INDEX('CURVA PREVISION'!$A$1:$KZ$3000,$C79,11+3*MIN(E$3,$D$2-1)))))</f>
        <v>0</v>
      </c>
      <c r="F79" s="131" t="n">
        <f aca="false">IF(OR($C79="",$B$2="",$D$2=0),0,IF(F$3&lt;0,0,N(INDEX('CURVA PREVISION'!$A$1:$KZ$3000,$C79,11+3*MIN(F$3,$D$2-1)))))</f>
        <v>0</v>
      </c>
      <c r="G79" s="131" t="n">
        <f aca="false">IF(OR($C79="",$B$2="",$D$2=0),0,IF(G$3&lt;0,0,N(INDEX('CURVA PREVISION'!$A$1:$KZ$3000,$C79,11+3*MIN(G$3,$D$2-1)))))</f>
        <v>0</v>
      </c>
      <c r="H79" s="131" t="n">
        <f aca="false">IF(OR($C79="",$B$2="",$D$2=0),0,IF(H$3&lt;0,0,N(INDEX('CURVA PREVISION'!$A$1:$KZ$3000,$C79,11+3*MIN(H$3,$D$2-1)))))</f>
        <v>0</v>
      </c>
      <c r="I79" s="131" t="n">
        <f aca="false">IF(OR($C79="",$B$2="",$D$2=0),0,IF(I$3&lt;0,0,N(INDEX('CURVA PREVISION'!$A$1:$KZ$3000,$C79,11+3*MIN(I$3,$D$2-1)))))</f>
        <v>0</v>
      </c>
      <c r="J79" s="131" t="n">
        <f aca="false">IF(OR($C79="",$B$2="",$D$2=0),0,IF(J$3&lt;0,0,N(INDEX('CURVA PREVISION'!$A$1:$KZ$3000,$C79,11+3*MIN(J$3,$D$2-1)))))</f>
        <v>0</v>
      </c>
      <c r="K79" s="131" t="n">
        <f aca="false">IF(OR($C79="",$B$2="",$D$2=0),0,IF(K$3&lt;0,0,N(INDEX('CURVA PREVISION'!$A$1:$KZ$3000,$C79,11+3*MIN(K$3,$D$2-1)))))</f>
        <v>0</v>
      </c>
      <c r="L79" s="131" t="n">
        <f aca="false">IF(OR($C79="",$B$2="",$D$2=0),0,IF(L$3&lt;0,0,N(INDEX('CURVA PREVISION'!$A$1:$KZ$3000,$C79,11+3*MIN(L$3,$D$2-1)))))</f>
        <v>0</v>
      </c>
      <c r="M79" s="131" t="n">
        <f aca="false">IF(OR($C79="",$B$2="",$D$2=0),0,IF(M$3&lt;0,0,N(INDEX('CURVA PREVISION'!$A$1:$KZ$3000,$C79,11+3*MIN(M$3,$D$2-1)))))</f>
        <v>0</v>
      </c>
      <c r="N79" s="131" t="n">
        <f aca="false">IF(OR($C79="",$B$2="",$D$2=0),0,IF(N$3&lt;0,0,N(INDEX('CURVA PREVISION'!$A$1:$KZ$3000,$C79,11+3*MIN(N$3,$D$2-1)))))</f>
        <v>0</v>
      </c>
      <c r="O79" s="131" t="n">
        <f aca="false">IF(OR($C79="",$B$2="",$D$2=0),0,IF(O$3&lt;0,0,N(INDEX('CURVA PREVISION'!$A$1:$KZ$3000,$C79,11+3*MIN(O$3,$D$2-1)))))</f>
        <v>0</v>
      </c>
      <c r="P79" s="131" t="n">
        <f aca="false">IF(OR($C79="",$B$2="",$D$2=0),0,IF(P$3&lt;0,0,N(INDEX('CURVA PREVISION'!$A$1:$KZ$3000,$C79,11+3*MIN(P$3,$D$2-1)))))</f>
        <v>0</v>
      </c>
      <c r="Q79" s="131" t="n">
        <f aca="false">IF(OR($C79="",$B$2="",$D$2=0),0,IF(Q$3&lt;0,0,N(INDEX('CURVA PREVISION'!$A$1:$KZ$3000,$C79,11+3*MIN(Q$3,$D$2-1)))))</f>
        <v>0</v>
      </c>
      <c r="R79" s="131" t="n">
        <f aca="false">IF(OR($C79="",$B$2="",$D$2=0),0,IF(R$3&lt;0,0,N(INDEX('CURVA PREVISION'!$A$1:$KZ$3000,$C79,11+3*MIN(R$3,$D$2-1)))))</f>
        <v>0</v>
      </c>
      <c r="S79" s="131" t="n">
        <f aca="false">IF(OR($C79="",$B$2="",$D$2=0),0,IF(S$3&lt;0,0,N(INDEX('CURVA PREVISION'!$A$1:$KZ$3000,$C79,11+3*MIN(S$3,$D$2-1)))))</f>
        <v>0</v>
      </c>
      <c r="T79" s="131" t="n">
        <f aca="false">IF(OR($C79="",$B$2="",$D$2=0),0,IF(T$3&lt;0,0,N(INDEX('CURVA PREVISION'!$A$1:$KZ$3000,$C79,11+3*MIN(T$3,$D$2-1)))))</f>
        <v>0</v>
      </c>
      <c r="U79" s="131" t="n">
        <f aca="false">IF(OR($C79="",$B$2="",$D$2=0),0,IF(U$3&lt;0,0,N(INDEX('CURVA PREVISION'!$A$1:$KZ$3000,$C79,11+3*MIN(U$3,$D$2-1)))))</f>
        <v>0</v>
      </c>
      <c r="V79" s="131" t="n">
        <f aca="false">IF(OR($C79="",$B$2="",$D$2=0),0,IF(V$3&lt;0,0,N(INDEX('CURVA PREVISION'!$A$1:$KZ$3000,$C79,11+3*MIN(V$3,$D$2-1)))))</f>
        <v>0</v>
      </c>
      <c r="W79" s="131" t="n">
        <f aca="false">IF(OR($C79="",$B$2="",$D$2=0),0,IF(W$3&lt;0,0,N(INDEX('CURVA PREVISION'!$A$1:$KZ$3000,$C79,11+3*MIN(W$3,$D$2-1)))))</f>
        <v>0</v>
      </c>
      <c r="X79" s="131" t="n">
        <f aca="false">IF(OR($C79="",$B$2="",$D$2=0),0,IF(X$3&lt;0,0,N(INDEX('CURVA PREVISION'!$A$1:$KZ$3000,$C79,11+3*MIN(X$3,$D$2-1)))))</f>
        <v>0</v>
      </c>
      <c r="Y79" s="131" t="n">
        <f aca="false">IF(OR($C79="",$B$2="",$D$2=0),0,IF(Y$3&lt;0,0,N(INDEX('CURVA PREVISION'!$A$1:$KZ$3000,$C79,11+3*MIN(Y$3,$D$2-1)))))</f>
        <v>0</v>
      </c>
      <c r="Z79" s="131" t="n">
        <f aca="false">IF(OR($C79="",$B$2="",$D$2=0),0,IF(Z$3&lt;0,0,N(INDEX('CURVA PREVISION'!$A$1:$KZ$3000,$C79,11+3*MIN(Z$3,$D$2-1)))))</f>
        <v>0</v>
      </c>
      <c r="AA79" s="131" t="n">
        <f aca="false">IF(OR($C79="",$B$2="",$D$2=0),0,IF(AA$3&lt;0,0,N(INDEX('CURVA PREVISION'!$A$1:$KZ$3000,$C79,11+3*MIN(AA$3,$D$2-1)))))</f>
        <v>0</v>
      </c>
      <c r="AB79" s="131" t="n">
        <f aca="false">IF(OR($C79="",$B$2="",$D$2=0),0,IF(AB$3&lt;0,0,N(INDEX('CURVA PREVISION'!$A$1:$KZ$3000,$C79,11+3*MIN(AB$3,$D$2-1)))))</f>
        <v>0</v>
      </c>
      <c r="AC79" s="131" t="n">
        <f aca="false">IF(OR($C79="",$B$2="",$D$2=0),0,IF(AC$3&lt;0,0,N(INDEX('CURVA PREVISION'!$A$1:$KZ$3000,$C79,11+3*MIN(AC$3,$D$2-1)))))</f>
        <v>0</v>
      </c>
      <c r="AD79" s="131" t="n">
        <f aca="false">IF(OR($C79="",$B$2="",$D$2=0),0,IF(AD$3&lt;0,0,N(INDEX('CURVA PREVISION'!$A$1:$KZ$3000,$C79,11+3*MIN(AD$3,$D$2-1)))))</f>
        <v>0</v>
      </c>
      <c r="AE79" s="131" t="n">
        <f aca="false">IF(OR($C79="",$B$2="",$D$2=0),0,IF(AE$3&lt;0,0,N(INDEX('CURVA PREVISION'!$A$1:$KZ$3000,$C79,11+3*MIN(AE$3,$D$2-1)))))</f>
        <v>0</v>
      </c>
      <c r="AF79" s="131" t="n">
        <f aca="false">IF(OR($C79="",$B$2="",$D$2=0),0,IF(AF$3&lt;0,0,N(INDEX('CURVA PREVISION'!$A$1:$KZ$3000,$C79,11+3*MIN(AF$3,$D$2-1)))))</f>
        <v>0</v>
      </c>
      <c r="AG79" s="131" t="n">
        <f aca="false">IF(OR($C79="",$B$2="",$D$2=0),0,IF(AG$3&lt;0,0,N(INDEX('CURVA PREVISION'!$A$1:$KZ$3000,$C79,11+3*MIN(AG$3,$D$2-1)))))</f>
        <v>0</v>
      </c>
      <c r="AH79" s="131" t="n">
        <f aca="false">IF(OR($C79="",$B$2="",$D$2=0),0,IF(AH$3&lt;0,0,N(INDEX('CURVA PREVISION'!$A$1:$KZ$3000,$C79,11+3*MIN(AH$3,$D$2-1)))))</f>
        <v>0</v>
      </c>
      <c r="AI79" s="131" t="n">
        <f aca="false">IF(OR($C79="",$B$2="",$D$2=0),0,IF(AI$3&lt;0,0,N(INDEX('CURVA PREVISION'!$A$1:$KZ$3000,$C79,11+3*MIN(AI$3,$D$2-1)))))</f>
        <v>0</v>
      </c>
      <c r="AJ79" s="131" t="n">
        <f aca="false">IF(OR($C79="",$B$2="",$D$2=0),0,IF(AJ$3&lt;0,0,N(INDEX('CURVA PREVISION'!$A$1:$KZ$3000,$C79,11+3*MIN(AJ$3,$D$2-1)))))</f>
        <v>0</v>
      </c>
      <c r="AK79" s="131" t="n">
        <f aca="false">IF(OR($C79="",$B$2="",$D$2=0),0,IF(AK$3&lt;0,0,N(INDEX('CURVA PREVISION'!$A$1:$KZ$3000,$C79,11+3*MIN(AK$3,$D$2-1)))))</f>
        <v>0</v>
      </c>
      <c r="AL79" s="131" t="n">
        <f aca="false">IF(OR($C79="",$B$2="",$D$2=0),0,IF(AL$3&lt;0,0,N(INDEX('CURVA PREVISION'!$A$1:$KZ$3000,$C79,11+3*MIN(AL$3,$D$2-1)))))</f>
        <v>0</v>
      </c>
      <c r="AM79" s="131" t="n">
        <f aca="false">IF(OR($C79="",$B$2="",$D$2=0),0,IF(AM$3&lt;0,0,N(INDEX('CURVA PREVISION'!$A$1:$KZ$3000,$C79,11+3*MIN(AM$3,$D$2-1)))))</f>
        <v>0</v>
      </c>
      <c r="AN79" s="131" t="n">
        <f aca="false">IF(OR($C79="",$B$2="",$D$2=0),0,IF(AN$3&lt;0,0,N(INDEX('CURVA PREVISION'!$A$1:$KZ$3000,$C79,11+3*MIN(AN$3,$D$2-1)))))</f>
        <v>0</v>
      </c>
      <c r="AO79" s="131" t="n">
        <f aca="false">IF(OR($C79="",$B$2="",$D$2=0),0,IF(AO$3&lt;0,0,N(INDEX('CURVA PREVISION'!$A$1:$KZ$3000,$C79,11+3*MIN(AO$3,$D$2-1)))))</f>
        <v>0</v>
      </c>
      <c r="AP79" s="131" t="n">
        <f aca="false">IF(OR($C79="",$B$2="",$D$2=0),0,IF(AP$3&lt;0,0,N(INDEX('CURVA PREVISION'!$A$1:$KZ$3000,$C79,11+3*MIN(AP$3,$D$2-1)))))</f>
        <v>0</v>
      </c>
      <c r="AQ79" s="131" t="n">
        <f aca="false">IF(OR($C79="",$B$2="",$D$2=0),0,IF(AQ$3&lt;0,0,N(INDEX('CURVA PREVISION'!$A$1:$KZ$3000,$C79,11+3*MIN(AQ$3,$D$2-1)))))</f>
        <v>0</v>
      </c>
      <c r="AR79" s="131" t="n">
        <f aca="false">IF(OR($C79="",$B$2="",$D$2=0),0,IF(AR$3&lt;0,0,N(INDEX('CURVA PREVISION'!$A$1:$KZ$3000,$C79,11+3*MIN(AR$3,$D$2-1)))))</f>
        <v>0</v>
      </c>
      <c r="AS79" s="131" t="n">
        <f aca="false">IF(OR($C79="",$B$2="",$D$2=0),0,IF(AS$3&lt;0,0,N(INDEX('CURVA PREVISION'!$A$1:$KZ$3000,$C79,11+3*MIN(AS$3,$D$2-1)))))</f>
        <v>0</v>
      </c>
      <c r="AT79" s="131" t="n">
        <f aca="false">IF(OR($C79="",$B$2="",$D$2=0),0,IF(AT$3&lt;0,0,N(INDEX('CURVA PREVISION'!$A$1:$KZ$3000,$C79,11+3*MIN(AT$3,$D$2-1)))))</f>
        <v>0</v>
      </c>
      <c r="AU79" s="131" t="n">
        <f aca="false">IF(OR($C79="",$B$2="",$D$2=0),0,IF(AU$3&lt;0,0,N(INDEX('CURVA PREVISION'!$A$1:$KZ$3000,$C79,11+3*MIN(AU$3,$D$2-1)))))</f>
        <v>0</v>
      </c>
      <c r="AV79" s="131" t="n">
        <f aca="false">IF(OR($C79="",$B$2="",$D$2=0),0,IF(AV$3&lt;0,0,N(INDEX('CURVA PREVISION'!$A$1:$KZ$3000,$C79,11+3*MIN(AV$3,$D$2-1)))))</f>
        <v>0</v>
      </c>
      <c r="AW79" s="131" t="n">
        <f aca="false">IF(OR($C79="",$B$2="",$D$2=0),0,IF(AW$3&lt;0,0,N(INDEX('CURVA PREVISION'!$A$1:$KZ$3000,$C79,11+3*MIN(AW$3,$D$2-1)))))</f>
        <v>0</v>
      </c>
      <c r="AX79" s="131" t="n">
        <f aca="false">IF(OR($C79="",$B$2="",$D$2=0),0,IF(AX$3&lt;0,0,N(INDEX('CURVA PREVISION'!$A$1:$KZ$3000,$C79,11+3*MIN(AX$3,$D$2-1)))))</f>
        <v>0</v>
      </c>
      <c r="AY79" s="131" t="n">
        <f aca="false">IF(OR($C79="",$B$2="",$D$2=0),0,IF(AY$3&lt;0,0,N(INDEX('CURVA PREVISION'!$A$1:$KZ$3000,$C79,11+3*MIN(AY$3,$D$2-1)))))</f>
        <v>0</v>
      </c>
      <c r="AZ79" s="131" t="n">
        <f aca="false">IF(OR($C79="",$B$2="",$D$2=0),0,IF(AZ$3&lt;0,0,N(INDEX('CURVA PREVISION'!$A$1:$KZ$3000,$C79,11+3*MIN(AZ$3,$D$2-1)))))</f>
        <v>0</v>
      </c>
      <c r="BA79" s="131" t="n">
        <f aca="false">IF(OR($C79="",$B$2="",$D$2=0),0,IF(BA$3&lt;0,0,N(INDEX('CURVA PREVISION'!$A$1:$KZ$3000,$C79,11+3*MIN(BA$3,$D$2-1)))))</f>
        <v>0</v>
      </c>
      <c r="BB79" s="131" t="n">
        <f aca="false">IF(OR($C79="",$B$2="",$D$2=0),0,IF(BB$3&lt;0,0,N(INDEX('CURVA PREVISION'!$A$1:$KZ$3000,$C79,11+3*MIN(BB$3,$D$2-1)))))</f>
        <v>0</v>
      </c>
      <c r="BC79" s="131" t="n">
        <f aca="false">IF(OR($C79="",$B$2="",$D$2=0),0,IF(BC$3&lt;0,0,N(INDEX('CURVA PREVISION'!$A$1:$KZ$3000,$C79,11+3*MIN(BC$3,$D$2-1)))))</f>
        <v>0</v>
      </c>
      <c r="BD79" s="131" t="n">
        <f aca="false">IF(OR($C79="",$B$2="",$D$2=0),0,IF(BD$3&lt;0,0,N(INDEX('CURVA PREVISION'!$A$1:$KZ$3000,$C79,11+3*MIN(BD$3,$D$2-1)))))</f>
        <v>0</v>
      </c>
      <c r="BE79" s="131" t="n">
        <f aca="false">IF(OR($C79="",$B$2="",$D$2=0),0,IF(BE$3&lt;0,0,N(INDEX('CURVA PREVISION'!$A$1:$KZ$3000,$C79,11+3*MIN(BE$3,$D$2-1)))))</f>
        <v>0</v>
      </c>
      <c r="BF79" s="131" t="n">
        <f aca="false">IF(OR($C79="",$B$2="",$D$2=0),0,IF(BF$3&lt;0,0,N(INDEX('CURVA PREVISION'!$A$1:$KZ$3000,$C79,11+3*MIN(BF$3,$D$2-1)))))</f>
        <v>0</v>
      </c>
      <c r="BG79" s="131" t="n">
        <f aca="false">IF(OR($C79="",$B$2="",$D$2=0),0,IF(BG$3&lt;0,0,N(INDEX('CURVA PREVISION'!$A$1:$KZ$3000,$C79,11+3*MIN(BG$3,$D$2-1)))))</f>
        <v>0</v>
      </c>
      <c r="BH79" s="131" t="n">
        <f aca="false">IF(OR($C79="",$B$2="",$D$2=0),0,IF(BH$3&lt;0,0,N(INDEX('CURVA PREVISION'!$A$1:$KZ$3000,$C79,11+3*MIN(BH$3,$D$2-1)))))</f>
        <v>0</v>
      </c>
      <c r="BI79" s="131" t="n">
        <f aca="false">IF(OR($C79="",$B$2="",$D$2=0),0,IF(BI$3&lt;0,0,N(INDEX('CURVA PREVISION'!$A$1:$KZ$3000,$C79,11+3*MIN(BI$3,$D$2-1)))))</f>
        <v>0</v>
      </c>
      <c r="BJ79" s="131" t="n">
        <f aca="false">IF(OR($C79="",$B$2="",$D$2=0),0,IF(BJ$3&lt;0,0,N(INDEX('CURVA PREVISION'!$A$1:$KZ$3000,$C79,11+3*MIN(BJ$3,$D$2-1)))))</f>
        <v>0</v>
      </c>
      <c r="BK79" s="131" t="n">
        <f aca="false">IF(OR($C79="",$B$2="",$D$2=0),0,IF(BK$3&lt;0,0,N(INDEX('CURVA PREVISION'!$A$1:$KZ$3000,$C79,11+3*MIN(BK$3,$D$2-1)))))</f>
        <v>0</v>
      </c>
      <c r="BL79" s="131" t="n">
        <f aca="false">IF(OR($C79="",$B$2="",$D$2=0),0,IF(BL$3&lt;0,0,N(INDEX('CURVA PREVISION'!$A$1:$KZ$3000,$C79,11+3*MIN(BL$3,$D$2-1)))))</f>
        <v>0</v>
      </c>
      <c r="BM79" s="131" t="n">
        <f aca="false">IF(OR($C79="",$B$2="",$D$2=0),0,IF(BM$3&lt;0,0,N(INDEX('CURVA PREVISION'!$A$1:$KZ$3000,$C79,11+3*MIN(BM$3,$D$2-1)))))</f>
        <v>0</v>
      </c>
      <c r="BN79" s="131" t="n">
        <f aca="false">IF(OR($C79="",$B$2="",$D$2=0),0,IF(BN$3&lt;0,0,N(INDEX('CURVA PREVISION'!$A$1:$KZ$3000,$C79,11+3*MIN(BN$3,$D$2-1)))))</f>
        <v>0</v>
      </c>
      <c r="BO79" s="131" t="n">
        <f aca="false">IF(OR($C79="",$B$2="",$D$2=0),0,IF(BO$3&lt;0,0,N(INDEX('CURVA PREVISION'!$A$1:$KZ$3000,$C79,11+3*MIN(BO$3,$D$2-1)))))</f>
        <v>0</v>
      </c>
      <c r="BP79" s="131" t="n">
        <f aca="false">IF(OR($C79="",$B$2="",$D$2=0),0,IF(BP$3&lt;0,0,N(INDEX('CURVA PREVISION'!$A$1:$KZ$3000,$C79,11+3*MIN(BP$3,$D$2-1)))))</f>
        <v>0</v>
      </c>
      <c r="BQ79" s="131" t="n">
        <f aca="false">IF(OR($C79="",$B$2="",$D$2=0),0,IF(BQ$3&lt;0,0,N(INDEX('CURVA PREVISION'!$A$1:$KZ$3000,$C79,11+3*MIN(BQ$3,$D$2-1)))))</f>
        <v>0</v>
      </c>
      <c r="BR79" s="131" t="n">
        <f aca="false">IF(OR($C79="",$B$2="",$D$2=0),0,IF(BR$3&lt;0,0,N(INDEX('CURVA PREVISION'!$A$1:$KZ$3000,$C79,11+3*MIN(BR$3,$D$2-1)))))</f>
        <v>0</v>
      </c>
      <c r="BS79" s="131" t="n">
        <f aca="false">IF(OR($C79="",$B$2="",$D$2=0),0,IF(BS$3&lt;0,0,N(INDEX('CURVA PREVISION'!$A$1:$KZ$3000,$C79,11+3*MIN(BS$3,$D$2-1)))))</f>
        <v>0</v>
      </c>
      <c r="BT79" s="131" t="n">
        <f aca="false">IF(OR($C79="",$B$2="",$D$2=0),0,IF(BT$3&lt;0,0,N(INDEX('CURVA PREVISION'!$A$1:$KZ$3000,$C79,11+3*MIN(BT$3,$D$2-1)))))</f>
        <v>0</v>
      </c>
      <c r="BU79" s="131" t="n">
        <f aca="false">IF(OR($C79="",$B$2="",$D$2=0),0,IF(BU$3&lt;0,0,N(INDEX('CURVA PREVISION'!$A$1:$KZ$3000,$C79,11+3*MIN(BU$3,$D$2-1)))))</f>
        <v>0</v>
      </c>
      <c r="BV79" s="131" t="n">
        <f aca="false">IF(OR($C79="",$B$2="",$D$2=0),0,IF(BV$3&lt;0,0,N(INDEX('CURVA PREVISION'!$A$1:$KZ$3000,$C79,11+3*MIN(BV$3,$D$2-1)))))</f>
        <v>0</v>
      </c>
      <c r="BW79" s="131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823</v>
      </c>
      <c r="D80" s="131" t="n">
        <f aca="false">IF(OR($C80="",$B$2="",$D$2=0),0,IF(D$3&lt;0,0,N(INDEX('CURVA PREVISION'!$A$1:$KZ$3000,$C80,11+3*MIN(D$3,$D$2-1)))))</f>
        <v>0</v>
      </c>
      <c r="E80" s="131" t="n">
        <f aca="false">IF(OR($C80="",$B$2="",$D$2=0),0,IF(E$3&lt;0,0,N(INDEX('CURVA PREVISION'!$A$1:$KZ$3000,$C80,11+3*MIN(E$3,$D$2-1)))))</f>
        <v>0</v>
      </c>
      <c r="F80" s="131" t="n">
        <f aca="false">IF(OR($C80="",$B$2="",$D$2=0),0,IF(F$3&lt;0,0,N(INDEX('CURVA PREVISION'!$A$1:$KZ$3000,$C80,11+3*MIN(F$3,$D$2-1)))))</f>
        <v>0</v>
      </c>
      <c r="G80" s="131" t="n">
        <f aca="false">IF(OR($C80="",$B$2="",$D$2=0),0,IF(G$3&lt;0,0,N(INDEX('CURVA PREVISION'!$A$1:$KZ$3000,$C80,11+3*MIN(G$3,$D$2-1)))))</f>
        <v>0</v>
      </c>
      <c r="H80" s="131" t="n">
        <f aca="false">IF(OR($C80="",$B$2="",$D$2=0),0,IF(H$3&lt;0,0,N(INDEX('CURVA PREVISION'!$A$1:$KZ$3000,$C80,11+3*MIN(H$3,$D$2-1)))))</f>
        <v>0</v>
      </c>
      <c r="I80" s="131" t="n">
        <f aca="false">IF(OR($C80="",$B$2="",$D$2=0),0,IF(I$3&lt;0,0,N(INDEX('CURVA PREVISION'!$A$1:$KZ$3000,$C80,11+3*MIN(I$3,$D$2-1)))))</f>
        <v>0</v>
      </c>
      <c r="J80" s="131" t="n">
        <f aca="false">IF(OR($C80="",$B$2="",$D$2=0),0,IF(J$3&lt;0,0,N(INDEX('CURVA PREVISION'!$A$1:$KZ$3000,$C80,11+3*MIN(J$3,$D$2-1)))))</f>
        <v>0</v>
      </c>
      <c r="K80" s="131" t="n">
        <f aca="false">IF(OR($C80="",$B$2="",$D$2=0),0,IF(K$3&lt;0,0,N(INDEX('CURVA PREVISION'!$A$1:$KZ$3000,$C80,11+3*MIN(K$3,$D$2-1)))))</f>
        <v>0</v>
      </c>
      <c r="L80" s="131" t="n">
        <f aca="false">IF(OR($C80="",$B$2="",$D$2=0),0,IF(L$3&lt;0,0,N(INDEX('CURVA PREVISION'!$A$1:$KZ$3000,$C80,11+3*MIN(L$3,$D$2-1)))))</f>
        <v>0</v>
      </c>
      <c r="M80" s="131" t="n">
        <f aca="false">IF(OR($C80="",$B$2="",$D$2=0),0,IF(M$3&lt;0,0,N(INDEX('CURVA PREVISION'!$A$1:$KZ$3000,$C80,11+3*MIN(M$3,$D$2-1)))))</f>
        <v>0</v>
      </c>
      <c r="N80" s="131" t="n">
        <f aca="false">IF(OR($C80="",$B$2="",$D$2=0),0,IF(N$3&lt;0,0,N(INDEX('CURVA PREVISION'!$A$1:$KZ$3000,$C80,11+3*MIN(N$3,$D$2-1)))))</f>
        <v>0</v>
      </c>
      <c r="O80" s="131" t="n">
        <f aca="false">IF(OR($C80="",$B$2="",$D$2=0),0,IF(O$3&lt;0,0,N(INDEX('CURVA PREVISION'!$A$1:$KZ$3000,$C80,11+3*MIN(O$3,$D$2-1)))))</f>
        <v>0</v>
      </c>
      <c r="P80" s="131" t="n">
        <f aca="false">IF(OR($C80="",$B$2="",$D$2=0),0,IF(P$3&lt;0,0,N(INDEX('CURVA PREVISION'!$A$1:$KZ$3000,$C80,11+3*MIN(P$3,$D$2-1)))))</f>
        <v>0</v>
      </c>
      <c r="Q80" s="131" t="n">
        <f aca="false">IF(OR($C80="",$B$2="",$D$2=0),0,IF(Q$3&lt;0,0,N(INDEX('CURVA PREVISION'!$A$1:$KZ$3000,$C80,11+3*MIN(Q$3,$D$2-1)))))</f>
        <v>0</v>
      </c>
      <c r="R80" s="131" t="n">
        <f aca="false">IF(OR($C80="",$B$2="",$D$2=0),0,IF(R$3&lt;0,0,N(INDEX('CURVA PREVISION'!$A$1:$KZ$3000,$C80,11+3*MIN(R$3,$D$2-1)))))</f>
        <v>0</v>
      </c>
      <c r="S80" s="131" t="n">
        <f aca="false">IF(OR($C80="",$B$2="",$D$2=0),0,IF(S$3&lt;0,0,N(INDEX('CURVA PREVISION'!$A$1:$KZ$3000,$C80,11+3*MIN(S$3,$D$2-1)))))</f>
        <v>0</v>
      </c>
      <c r="T80" s="131" t="n">
        <f aca="false">IF(OR($C80="",$B$2="",$D$2=0),0,IF(T$3&lt;0,0,N(INDEX('CURVA PREVISION'!$A$1:$KZ$3000,$C80,11+3*MIN(T$3,$D$2-1)))))</f>
        <v>0</v>
      </c>
      <c r="U80" s="131" t="n">
        <f aca="false">IF(OR($C80="",$B$2="",$D$2=0),0,IF(U$3&lt;0,0,N(INDEX('CURVA PREVISION'!$A$1:$KZ$3000,$C80,11+3*MIN(U$3,$D$2-1)))))</f>
        <v>0</v>
      </c>
      <c r="V80" s="131" t="n">
        <f aca="false">IF(OR($C80="",$B$2="",$D$2=0),0,IF(V$3&lt;0,0,N(INDEX('CURVA PREVISION'!$A$1:$KZ$3000,$C80,11+3*MIN(V$3,$D$2-1)))))</f>
        <v>0</v>
      </c>
      <c r="W80" s="131" t="n">
        <f aca="false">IF(OR($C80="",$B$2="",$D$2=0),0,IF(W$3&lt;0,0,N(INDEX('CURVA PREVISION'!$A$1:$KZ$3000,$C80,11+3*MIN(W$3,$D$2-1)))))</f>
        <v>0</v>
      </c>
      <c r="X80" s="131" t="n">
        <f aca="false">IF(OR($C80="",$B$2="",$D$2=0),0,IF(X$3&lt;0,0,N(INDEX('CURVA PREVISION'!$A$1:$KZ$3000,$C80,11+3*MIN(X$3,$D$2-1)))))</f>
        <v>0</v>
      </c>
      <c r="Y80" s="131" t="n">
        <f aca="false">IF(OR($C80="",$B$2="",$D$2=0),0,IF(Y$3&lt;0,0,N(INDEX('CURVA PREVISION'!$A$1:$KZ$3000,$C80,11+3*MIN(Y$3,$D$2-1)))))</f>
        <v>0</v>
      </c>
      <c r="Z80" s="131" t="n">
        <f aca="false">IF(OR($C80="",$B$2="",$D$2=0),0,IF(Z$3&lt;0,0,N(INDEX('CURVA PREVISION'!$A$1:$KZ$3000,$C80,11+3*MIN(Z$3,$D$2-1)))))</f>
        <v>0</v>
      </c>
      <c r="AA80" s="131" t="n">
        <f aca="false">IF(OR($C80="",$B$2="",$D$2=0),0,IF(AA$3&lt;0,0,N(INDEX('CURVA PREVISION'!$A$1:$KZ$3000,$C80,11+3*MIN(AA$3,$D$2-1)))))</f>
        <v>0</v>
      </c>
      <c r="AB80" s="131" t="n">
        <f aca="false">IF(OR($C80="",$B$2="",$D$2=0),0,IF(AB$3&lt;0,0,N(INDEX('CURVA PREVISION'!$A$1:$KZ$3000,$C80,11+3*MIN(AB$3,$D$2-1)))))</f>
        <v>0</v>
      </c>
      <c r="AC80" s="131" t="n">
        <f aca="false">IF(OR($C80="",$B$2="",$D$2=0),0,IF(AC$3&lt;0,0,N(INDEX('CURVA PREVISION'!$A$1:$KZ$3000,$C80,11+3*MIN(AC$3,$D$2-1)))))</f>
        <v>0</v>
      </c>
      <c r="AD80" s="131" t="n">
        <f aca="false">IF(OR($C80="",$B$2="",$D$2=0),0,IF(AD$3&lt;0,0,N(INDEX('CURVA PREVISION'!$A$1:$KZ$3000,$C80,11+3*MIN(AD$3,$D$2-1)))))</f>
        <v>0</v>
      </c>
      <c r="AE80" s="131" t="n">
        <f aca="false">IF(OR($C80="",$B$2="",$D$2=0),0,IF(AE$3&lt;0,0,N(INDEX('CURVA PREVISION'!$A$1:$KZ$3000,$C80,11+3*MIN(AE$3,$D$2-1)))))</f>
        <v>0</v>
      </c>
      <c r="AF80" s="131" t="n">
        <f aca="false">IF(OR($C80="",$B$2="",$D$2=0),0,IF(AF$3&lt;0,0,N(INDEX('CURVA PREVISION'!$A$1:$KZ$3000,$C80,11+3*MIN(AF$3,$D$2-1)))))</f>
        <v>0</v>
      </c>
      <c r="AG80" s="131" t="n">
        <f aca="false">IF(OR($C80="",$B$2="",$D$2=0),0,IF(AG$3&lt;0,0,N(INDEX('CURVA PREVISION'!$A$1:$KZ$3000,$C80,11+3*MIN(AG$3,$D$2-1)))))</f>
        <v>0</v>
      </c>
      <c r="AH80" s="131" t="n">
        <f aca="false">IF(OR($C80="",$B$2="",$D$2=0),0,IF(AH$3&lt;0,0,N(INDEX('CURVA PREVISION'!$A$1:$KZ$3000,$C80,11+3*MIN(AH$3,$D$2-1)))))</f>
        <v>0</v>
      </c>
      <c r="AI80" s="131" t="n">
        <f aca="false">IF(OR($C80="",$B$2="",$D$2=0),0,IF(AI$3&lt;0,0,N(INDEX('CURVA PREVISION'!$A$1:$KZ$3000,$C80,11+3*MIN(AI$3,$D$2-1)))))</f>
        <v>0</v>
      </c>
      <c r="AJ80" s="131" t="n">
        <f aca="false">IF(OR($C80="",$B$2="",$D$2=0),0,IF(AJ$3&lt;0,0,N(INDEX('CURVA PREVISION'!$A$1:$KZ$3000,$C80,11+3*MIN(AJ$3,$D$2-1)))))</f>
        <v>0</v>
      </c>
      <c r="AK80" s="131" t="n">
        <f aca="false">IF(OR($C80="",$B$2="",$D$2=0),0,IF(AK$3&lt;0,0,N(INDEX('CURVA PREVISION'!$A$1:$KZ$3000,$C80,11+3*MIN(AK$3,$D$2-1)))))</f>
        <v>0</v>
      </c>
      <c r="AL80" s="131" t="n">
        <f aca="false">IF(OR($C80="",$B$2="",$D$2=0),0,IF(AL$3&lt;0,0,N(INDEX('CURVA PREVISION'!$A$1:$KZ$3000,$C80,11+3*MIN(AL$3,$D$2-1)))))</f>
        <v>0</v>
      </c>
      <c r="AM80" s="131" t="n">
        <f aca="false">IF(OR($C80="",$B$2="",$D$2=0),0,IF(AM$3&lt;0,0,N(INDEX('CURVA PREVISION'!$A$1:$KZ$3000,$C80,11+3*MIN(AM$3,$D$2-1)))))</f>
        <v>0</v>
      </c>
      <c r="AN80" s="131" t="n">
        <f aca="false">IF(OR($C80="",$B$2="",$D$2=0),0,IF(AN$3&lt;0,0,N(INDEX('CURVA PREVISION'!$A$1:$KZ$3000,$C80,11+3*MIN(AN$3,$D$2-1)))))</f>
        <v>0</v>
      </c>
      <c r="AO80" s="131" t="n">
        <f aca="false">IF(OR($C80="",$B$2="",$D$2=0),0,IF(AO$3&lt;0,0,N(INDEX('CURVA PREVISION'!$A$1:$KZ$3000,$C80,11+3*MIN(AO$3,$D$2-1)))))</f>
        <v>0</v>
      </c>
      <c r="AP80" s="131" t="n">
        <f aca="false">IF(OR($C80="",$B$2="",$D$2=0),0,IF(AP$3&lt;0,0,N(INDEX('CURVA PREVISION'!$A$1:$KZ$3000,$C80,11+3*MIN(AP$3,$D$2-1)))))</f>
        <v>0</v>
      </c>
      <c r="AQ80" s="131" t="n">
        <f aca="false">IF(OR($C80="",$B$2="",$D$2=0),0,IF(AQ$3&lt;0,0,N(INDEX('CURVA PREVISION'!$A$1:$KZ$3000,$C80,11+3*MIN(AQ$3,$D$2-1)))))</f>
        <v>0</v>
      </c>
      <c r="AR80" s="131" t="n">
        <f aca="false">IF(OR($C80="",$B$2="",$D$2=0),0,IF(AR$3&lt;0,0,N(INDEX('CURVA PREVISION'!$A$1:$KZ$3000,$C80,11+3*MIN(AR$3,$D$2-1)))))</f>
        <v>0</v>
      </c>
      <c r="AS80" s="131" t="n">
        <f aca="false">IF(OR($C80="",$B$2="",$D$2=0),0,IF(AS$3&lt;0,0,N(INDEX('CURVA PREVISION'!$A$1:$KZ$3000,$C80,11+3*MIN(AS$3,$D$2-1)))))</f>
        <v>0</v>
      </c>
      <c r="AT80" s="131" t="n">
        <f aca="false">IF(OR($C80="",$B$2="",$D$2=0),0,IF(AT$3&lt;0,0,N(INDEX('CURVA PREVISION'!$A$1:$KZ$3000,$C80,11+3*MIN(AT$3,$D$2-1)))))</f>
        <v>0</v>
      </c>
      <c r="AU80" s="131" t="n">
        <f aca="false">IF(OR($C80="",$B$2="",$D$2=0),0,IF(AU$3&lt;0,0,N(INDEX('CURVA PREVISION'!$A$1:$KZ$3000,$C80,11+3*MIN(AU$3,$D$2-1)))))</f>
        <v>0</v>
      </c>
      <c r="AV80" s="131" t="n">
        <f aca="false">IF(OR($C80="",$B$2="",$D$2=0),0,IF(AV$3&lt;0,0,N(INDEX('CURVA PREVISION'!$A$1:$KZ$3000,$C80,11+3*MIN(AV$3,$D$2-1)))))</f>
        <v>0</v>
      </c>
      <c r="AW80" s="131" t="n">
        <f aca="false">IF(OR($C80="",$B$2="",$D$2=0),0,IF(AW$3&lt;0,0,N(INDEX('CURVA PREVISION'!$A$1:$KZ$3000,$C80,11+3*MIN(AW$3,$D$2-1)))))</f>
        <v>0</v>
      </c>
      <c r="AX80" s="131" t="n">
        <f aca="false">IF(OR($C80="",$B$2="",$D$2=0),0,IF(AX$3&lt;0,0,N(INDEX('CURVA PREVISION'!$A$1:$KZ$3000,$C80,11+3*MIN(AX$3,$D$2-1)))))</f>
        <v>0</v>
      </c>
      <c r="AY80" s="131" t="n">
        <f aca="false">IF(OR($C80="",$B$2="",$D$2=0),0,IF(AY$3&lt;0,0,N(INDEX('CURVA PREVISION'!$A$1:$KZ$3000,$C80,11+3*MIN(AY$3,$D$2-1)))))</f>
        <v>0</v>
      </c>
      <c r="AZ80" s="131" t="n">
        <f aca="false">IF(OR($C80="",$B$2="",$D$2=0),0,IF(AZ$3&lt;0,0,N(INDEX('CURVA PREVISION'!$A$1:$KZ$3000,$C80,11+3*MIN(AZ$3,$D$2-1)))))</f>
        <v>0</v>
      </c>
      <c r="BA80" s="131" t="n">
        <f aca="false">IF(OR($C80="",$B$2="",$D$2=0),0,IF(BA$3&lt;0,0,N(INDEX('CURVA PREVISION'!$A$1:$KZ$3000,$C80,11+3*MIN(BA$3,$D$2-1)))))</f>
        <v>0</v>
      </c>
      <c r="BB80" s="131" t="n">
        <f aca="false">IF(OR($C80="",$B$2="",$D$2=0),0,IF(BB$3&lt;0,0,N(INDEX('CURVA PREVISION'!$A$1:$KZ$3000,$C80,11+3*MIN(BB$3,$D$2-1)))))</f>
        <v>0</v>
      </c>
      <c r="BC80" s="131" t="n">
        <f aca="false">IF(OR($C80="",$B$2="",$D$2=0),0,IF(BC$3&lt;0,0,N(INDEX('CURVA PREVISION'!$A$1:$KZ$3000,$C80,11+3*MIN(BC$3,$D$2-1)))))</f>
        <v>0</v>
      </c>
      <c r="BD80" s="131" t="n">
        <f aca="false">IF(OR($C80="",$B$2="",$D$2=0),0,IF(BD$3&lt;0,0,N(INDEX('CURVA PREVISION'!$A$1:$KZ$3000,$C80,11+3*MIN(BD$3,$D$2-1)))))</f>
        <v>0</v>
      </c>
      <c r="BE80" s="131" t="n">
        <f aca="false">IF(OR($C80="",$B$2="",$D$2=0),0,IF(BE$3&lt;0,0,N(INDEX('CURVA PREVISION'!$A$1:$KZ$3000,$C80,11+3*MIN(BE$3,$D$2-1)))))</f>
        <v>0</v>
      </c>
      <c r="BF80" s="131" t="n">
        <f aca="false">IF(OR($C80="",$B$2="",$D$2=0),0,IF(BF$3&lt;0,0,N(INDEX('CURVA PREVISION'!$A$1:$KZ$3000,$C80,11+3*MIN(BF$3,$D$2-1)))))</f>
        <v>0</v>
      </c>
      <c r="BG80" s="131" t="n">
        <f aca="false">IF(OR($C80="",$B$2="",$D$2=0),0,IF(BG$3&lt;0,0,N(INDEX('CURVA PREVISION'!$A$1:$KZ$3000,$C80,11+3*MIN(BG$3,$D$2-1)))))</f>
        <v>0</v>
      </c>
      <c r="BH80" s="131" t="n">
        <f aca="false">IF(OR($C80="",$B$2="",$D$2=0),0,IF(BH$3&lt;0,0,N(INDEX('CURVA PREVISION'!$A$1:$KZ$3000,$C80,11+3*MIN(BH$3,$D$2-1)))))</f>
        <v>0</v>
      </c>
      <c r="BI80" s="131" t="n">
        <f aca="false">IF(OR($C80="",$B$2="",$D$2=0),0,IF(BI$3&lt;0,0,N(INDEX('CURVA PREVISION'!$A$1:$KZ$3000,$C80,11+3*MIN(BI$3,$D$2-1)))))</f>
        <v>0</v>
      </c>
      <c r="BJ80" s="131" t="n">
        <f aca="false">IF(OR($C80="",$B$2="",$D$2=0),0,IF(BJ$3&lt;0,0,N(INDEX('CURVA PREVISION'!$A$1:$KZ$3000,$C80,11+3*MIN(BJ$3,$D$2-1)))))</f>
        <v>0</v>
      </c>
      <c r="BK80" s="131" t="n">
        <f aca="false">IF(OR($C80="",$B$2="",$D$2=0),0,IF(BK$3&lt;0,0,N(INDEX('CURVA PREVISION'!$A$1:$KZ$3000,$C80,11+3*MIN(BK$3,$D$2-1)))))</f>
        <v>0</v>
      </c>
      <c r="BL80" s="131" t="n">
        <f aca="false">IF(OR($C80="",$B$2="",$D$2=0),0,IF(BL$3&lt;0,0,N(INDEX('CURVA PREVISION'!$A$1:$KZ$3000,$C80,11+3*MIN(BL$3,$D$2-1)))))</f>
        <v>0</v>
      </c>
      <c r="BM80" s="131" t="n">
        <f aca="false">IF(OR($C80="",$B$2="",$D$2=0),0,IF(BM$3&lt;0,0,N(INDEX('CURVA PREVISION'!$A$1:$KZ$3000,$C80,11+3*MIN(BM$3,$D$2-1)))))</f>
        <v>0</v>
      </c>
      <c r="BN80" s="131" t="n">
        <f aca="false">IF(OR($C80="",$B$2="",$D$2=0),0,IF(BN$3&lt;0,0,N(INDEX('CURVA PREVISION'!$A$1:$KZ$3000,$C80,11+3*MIN(BN$3,$D$2-1)))))</f>
        <v>0</v>
      </c>
      <c r="BO80" s="131" t="n">
        <f aca="false">IF(OR($C80="",$B$2="",$D$2=0),0,IF(BO$3&lt;0,0,N(INDEX('CURVA PREVISION'!$A$1:$KZ$3000,$C80,11+3*MIN(BO$3,$D$2-1)))))</f>
        <v>0</v>
      </c>
      <c r="BP80" s="131" t="n">
        <f aca="false">IF(OR($C80="",$B$2="",$D$2=0),0,IF(BP$3&lt;0,0,N(INDEX('CURVA PREVISION'!$A$1:$KZ$3000,$C80,11+3*MIN(BP$3,$D$2-1)))))</f>
        <v>0</v>
      </c>
      <c r="BQ80" s="131" t="n">
        <f aca="false">IF(OR($C80="",$B$2="",$D$2=0),0,IF(BQ$3&lt;0,0,N(INDEX('CURVA PREVISION'!$A$1:$KZ$3000,$C80,11+3*MIN(BQ$3,$D$2-1)))))</f>
        <v>0</v>
      </c>
      <c r="BR80" s="131" t="n">
        <f aca="false">IF(OR($C80="",$B$2="",$D$2=0),0,IF(BR$3&lt;0,0,N(INDEX('CURVA PREVISION'!$A$1:$KZ$3000,$C80,11+3*MIN(BR$3,$D$2-1)))))</f>
        <v>0</v>
      </c>
      <c r="BS80" s="131" t="n">
        <f aca="false">IF(OR($C80="",$B$2="",$D$2=0),0,IF(BS$3&lt;0,0,N(INDEX('CURVA PREVISION'!$A$1:$KZ$3000,$C80,11+3*MIN(BS$3,$D$2-1)))))</f>
        <v>0</v>
      </c>
      <c r="BT80" s="131" t="n">
        <f aca="false">IF(OR($C80="",$B$2="",$D$2=0),0,IF(BT$3&lt;0,0,N(INDEX('CURVA PREVISION'!$A$1:$KZ$3000,$C80,11+3*MIN(BT$3,$D$2-1)))))</f>
        <v>0</v>
      </c>
      <c r="BU80" s="131" t="n">
        <f aca="false">IF(OR($C80="",$B$2="",$D$2=0),0,IF(BU$3&lt;0,0,N(INDEX('CURVA PREVISION'!$A$1:$KZ$3000,$C80,11+3*MIN(BU$3,$D$2-1)))))</f>
        <v>0</v>
      </c>
      <c r="BV80" s="131" t="n">
        <f aca="false">IF(OR($C80="",$B$2="",$D$2=0),0,IF(BV$3&lt;0,0,N(INDEX('CURVA PREVISION'!$A$1:$KZ$3000,$C80,11+3*MIN(BV$3,$D$2-1)))))</f>
        <v>0</v>
      </c>
      <c r="BW80" s="131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892</v>
      </c>
      <c r="D81" s="131" t="n">
        <f aca="false">IF(OR($C81="",$B$2="",$D$2=0),0,IF(D$3&lt;0,0,N(INDEX('CURVA PREVISION'!$A$1:$KZ$3000,$C81,11+3*MIN(D$3,$D$2-1)))))</f>
        <v>0</v>
      </c>
      <c r="E81" s="131" t="n">
        <f aca="false">IF(OR($C81="",$B$2="",$D$2=0),0,IF(E$3&lt;0,0,N(INDEX('CURVA PREVISION'!$A$1:$KZ$3000,$C81,11+3*MIN(E$3,$D$2-1)))))</f>
        <v>0</v>
      </c>
      <c r="F81" s="131" t="n">
        <f aca="false">IF(OR($C81="",$B$2="",$D$2=0),0,IF(F$3&lt;0,0,N(INDEX('CURVA PREVISION'!$A$1:$KZ$3000,$C81,11+3*MIN(F$3,$D$2-1)))))</f>
        <v>0</v>
      </c>
      <c r="G81" s="131" t="n">
        <f aca="false">IF(OR($C81="",$B$2="",$D$2=0),0,IF(G$3&lt;0,0,N(INDEX('CURVA PREVISION'!$A$1:$KZ$3000,$C81,11+3*MIN(G$3,$D$2-1)))))</f>
        <v>0</v>
      </c>
      <c r="H81" s="131" t="n">
        <f aca="false">IF(OR($C81="",$B$2="",$D$2=0),0,IF(H$3&lt;0,0,N(INDEX('CURVA PREVISION'!$A$1:$KZ$3000,$C81,11+3*MIN(H$3,$D$2-1)))))</f>
        <v>0</v>
      </c>
      <c r="I81" s="131" t="n">
        <f aca="false">IF(OR($C81="",$B$2="",$D$2=0),0,IF(I$3&lt;0,0,N(INDEX('CURVA PREVISION'!$A$1:$KZ$3000,$C81,11+3*MIN(I$3,$D$2-1)))))</f>
        <v>0</v>
      </c>
      <c r="J81" s="131" t="n">
        <f aca="false">IF(OR($C81="",$B$2="",$D$2=0),0,IF(J$3&lt;0,0,N(INDEX('CURVA PREVISION'!$A$1:$KZ$3000,$C81,11+3*MIN(J$3,$D$2-1)))))</f>
        <v>0</v>
      </c>
      <c r="K81" s="131" t="n">
        <f aca="false">IF(OR($C81="",$B$2="",$D$2=0),0,IF(K$3&lt;0,0,N(INDEX('CURVA PREVISION'!$A$1:$KZ$3000,$C81,11+3*MIN(K$3,$D$2-1)))))</f>
        <v>0</v>
      </c>
      <c r="L81" s="131" t="n">
        <f aca="false">IF(OR($C81="",$B$2="",$D$2=0),0,IF(L$3&lt;0,0,N(INDEX('CURVA PREVISION'!$A$1:$KZ$3000,$C81,11+3*MIN(L$3,$D$2-1)))))</f>
        <v>0</v>
      </c>
      <c r="M81" s="131" t="n">
        <f aca="false">IF(OR($C81="",$B$2="",$D$2=0),0,IF(M$3&lt;0,0,N(INDEX('CURVA PREVISION'!$A$1:$KZ$3000,$C81,11+3*MIN(M$3,$D$2-1)))))</f>
        <v>0</v>
      </c>
      <c r="N81" s="131" t="n">
        <f aca="false">IF(OR($C81="",$B$2="",$D$2=0),0,IF(N$3&lt;0,0,N(INDEX('CURVA PREVISION'!$A$1:$KZ$3000,$C81,11+3*MIN(N$3,$D$2-1)))))</f>
        <v>0</v>
      </c>
      <c r="O81" s="131" t="n">
        <f aca="false">IF(OR($C81="",$B$2="",$D$2=0),0,IF(O$3&lt;0,0,N(INDEX('CURVA PREVISION'!$A$1:$KZ$3000,$C81,11+3*MIN(O$3,$D$2-1)))))</f>
        <v>0</v>
      </c>
      <c r="P81" s="131" t="n">
        <f aca="false">IF(OR($C81="",$B$2="",$D$2=0),0,IF(P$3&lt;0,0,N(INDEX('CURVA PREVISION'!$A$1:$KZ$3000,$C81,11+3*MIN(P$3,$D$2-1)))))</f>
        <v>0</v>
      </c>
      <c r="Q81" s="131" t="n">
        <f aca="false">IF(OR($C81="",$B$2="",$D$2=0),0,IF(Q$3&lt;0,0,N(INDEX('CURVA PREVISION'!$A$1:$KZ$3000,$C81,11+3*MIN(Q$3,$D$2-1)))))</f>
        <v>0</v>
      </c>
      <c r="R81" s="131" t="n">
        <f aca="false">IF(OR($C81="",$B$2="",$D$2=0),0,IF(R$3&lt;0,0,N(INDEX('CURVA PREVISION'!$A$1:$KZ$3000,$C81,11+3*MIN(R$3,$D$2-1)))))</f>
        <v>0</v>
      </c>
      <c r="S81" s="131" t="n">
        <f aca="false">IF(OR($C81="",$B$2="",$D$2=0),0,IF(S$3&lt;0,0,N(INDEX('CURVA PREVISION'!$A$1:$KZ$3000,$C81,11+3*MIN(S$3,$D$2-1)))))</f>
        <v>0</v>
      </c>
      <c r="T81" s="131" t="n">
        <f aca="false">IF(OR($C81="",$B$2="",$D$2=0),0,IF(T$3&lt;0,0,N(INDEX('CURVA PREVISION'!$A$1:$KZ$3000,$C81,11+3*MIN(T$3,$D$2-1)))))</f>
        <v>0</v>
      </c>
      <c r="U81" s="131" t="n">
        <f aca="false">IF(OR($C81="",$B$2="",$D$2=0),0,IF(U$3&lt;0,0,N(INDEX('CURVA PREVISION'!$A$1:$KZ$3000,$C81,11+3*MIN(U$3,$D$2-1)))))</f>
        <v>0</v>
      </c>
      <c r="V81" s="131" t="n">
        <f aca="false">IF(OR($C81="",$B$2="",$D$2=0),0,IF(V$3&lt;0,0,N(INDEX('CURVA PREVISION'!$A$1:$KZ$3000,$C81,11+3*MIN(V$3,$D$2-1)))))</f>
        <v>0</v>
      </c>
      <c r="W81" s="131" t="n">
        <f aca="false">IF(OR($C81="",$B$2="",$D$2=0),0,IF(W$3&lt;0,0,N(INDEX('CURVA PREVISION'!$A$1:$KZ$3000,$C81,11+3*MIN(W$3,$D$2-1)))))</f>
        <v>0</v>
      </c>
      <c r="X81" s="131" t="n">
        <f aca="false">IF(OR($C81="",$B$2="",$D$2=0),0,IF(X$3&lt;0,0,N(INDEX('CURVA PREVISION'!$A$1:$KZ$3000,$C81,11+3*MIN(X$3,$D$2-1)))))</f>
        <v>0</v>
      </c>
      <c r="Y81" s="131" t="n">
        <f aca="false">IF(OR($C81="",$B$2="",$D$2=0),0,IF(Y$3&lt;0,0,N(INDEX('CURVA PREVISION'!$A$1:$KZ$3000,$C81,11+3*MIN(Y$3,$D$2-1)))))</f>
        <v>0</v>
      </c>
      <c r="Z81" s="131" t="n">
        <f aca="false">IF(OR($C81="",$B$2="",$D$2=0),0,IF(Z$3&lt;0,0,N(INDEX('CURVA PREVISION'!$A$1:$KZ$3000,$C81,11+3*MIN(Z$3,$D$2-1)))))</f>
        <v>0</v>
      </c>
      <c r="AA81" s="131" t="n">
        <f aca="false">IF(OR($C81="",$B$2="",$D$2=0),0,IF(AA$3&lt;0,0,N(INDEX('CURVA PREVISION'!$A$1:$KZ$3000,$C81,11+3*MIN(AA$3,$D$2-1)))))</f>
        <v>0</v>
      </c>
      <c r="AB81" s="131" t="n">
        <f aca="false">IF(OR($C81="",$B$2="",$D$2=0),0,IF(AB$3&lt;0,0,N(INDEX('CURVA PREVISION'!$A$1:$KZ$3000,$C81,11+3*MIN(AB$3,$D$2-1)))))</f>
        <v>0</v>
      </c>
      <c r="AC81" s="131" t="n">
        <f aca="false">IF(OR($C81="",$B$2="",$D$2=0),0,IF(AC$3&lt;0,0,N(INDEX('CURVA PREVISION'!$A$1:$KZ$3000,$C81,11+3*MIN(AC$3,$D$2-1)))))</f>
        <v>0</v>
      </c>
      <c r="AD81" s="131" t="n">
        <f aca="false">IF(OR($C81="",$B$2="",$D$2=0),0,IF(AD$3&lt;0,0,N(INDEX('CURVA PREVISION'!$A$1:$KZ$3000,$C81,11+3*MIN(AD$3,$D$2-1)))))</f>
        <v>0</v>
      </c>
      <c r="AE81" s="131" t="n">
        <f aca="false">IF(OR($C81="",$B$2="",$D$2=0),0,IF(AE$3&lt;0,0,N(INDEX('CURVA PREVISION'!$A$1:$KZ$3000,$C81,11+3*MIN(AE$3,$D$2-1)))))</f>
        <v>0</v>
      </c>
      <c r="AF81" s="131" t="n">
        <f aca="false">IF(OR($C81="",$B$2="",$D$2=0),0,IF(AF$3&lt;0,0,N(INDEX('CURVA PREVISION'!$A$1:$KZ$3000,$C81,11+3*MIN(AF$3,$D$2-1)))))</f>
        <v>0</v>
      </c>
      <c r="AG81" s="131" t="n">
        <f aca="false">IF(OR($C81="",$B$2="",$D$2=0),0,IF(AG$3&lt;0,0,N(INDEX('CURVA PREVISION'!$A$1:$KZ$3000,$C81,11+3*MIN(AG$3,$D$2-1)))))</f>
        <v>0</v>
      </c>
      <c r="AH81" s="131" t="n">
        <f aca="false">IF(OR($C81="",$B$2="",$D$2=0),0,IF(AH$3&lt;0,0,N(INDEX('CURVA PREVISION'!$A$1:$KZ$3000,$C81,11+3*MIN(AH$3,$D$2-1)))))</f>
        <v>0</v>
      </c>
      <c r="AI81" s="131" t="n">
        <f aca="false">IF(OR($C81="",$B$2="",$D$2=0),0,IF(AI$3&lt;0,0,N(INDEX('CURVA PREVISION'!$A$1:$KZ$3000,$C81,11+3*MIN(AI$3,$D$2-1)))))</f>
        <v>0</v>
      </c>
      <c r="AJ81" s="131" t="n">
        <f aca="false">IF(OR($C81="",$B$2="",$D$2=0),0,IF(AJ$3&lt;0,0,N(INDEX('CURVA PREVISION'!$A$1:$KZ$3000,$C81,11+3*MIN(AJ$3,$D$2-1)))))</f>
        <v>0</v>
      </c>
      <c r="AK81" s="131" t="n">
        <f aca="false">IF(OR($C81="",$B$2="",$D$2=0),0,IF(AK$3&lt;0,0,N(INDEX('CURVA PREVISION'!$A$1:$KZ$3000,$C81,11+3*MIN(AK$3,$D$2-1)))))</f>
        <v>0</v>
      </c>
      <c r="AL81" s="131" t="n">
        <f aca="false">IF(OR($C81="",$B$2="",$D$2=0),0,IF(AL$3&lt;0,0,N(INDEX('CURVA PREVISION'!$A$1:$KZ$3000,$C81,11+3*MIN(AL$3,$D$2-1)))))</f>
        <v>0</v>
      </c>
      <c r="AM81" s="131" t="n">
        <f aca="false">IF(OR($C81="",$B$2="",$D$2=0),0,IF(AM$3&lt;0,0,N(INDEX('CURVA PREVISION'!$A$1:$KZ$3000,$C81,11+3*MIN(AM$3,$D$2-1)))))</f>
        <v>0</v>
      </c>
      <c r="AN81" s="131" t="n">
        <f aca="false">IF(OR($C81="",$B$2="",$D$2=0),0,IF(AN$3&lt;0,0,N(INDEX('CURVA PREVISION'!$A$1:$KZ$3000,$C81,11+3*MIN(AN$3,$D$2-1)))))</f>
        <v>0</v>
      </c>
      <c r="AO81" s="131" t="n">
        <f aca="false">IF(OR($C81="",$B$2="",$D$2=0),0,IF(AO$3&lt;0,0,N(INDEX('CURVA PREVISION'!$A$1:$KZ$3000,$C81,11+3*MIN(AO$3,$D$2-1)))))</f>
        <v>0</v>
      </c>
      <c r="AP81" s="131" t="n">
        <f aca="false">IF(OR($C81="",$B$2="",$D$2=0),0,IF(AP$3&lt;0,0,N(INDEX('CURVA PREVISION'!$A$1:$KZ$3000,$C81,11+3*MIN(AP$3,$D$2-1)))))</f>
        <v>0</v>
      </c>
      <c r="AQ81" s="131" t="n">
        <f aca="false">IF(OR($C81="",$B$2="",$D$2=0),0,IF(AQ$3&lt;0,0,N(INDEX('CURVA PREVISION'!$A$1:$KZ$3000,$C81,11+3*MIN(AQ$3,$D$2-1)))))</f>
        <v>0</v>
      </c>
      <c r="AR81" s="131" t="n">
        <f aca="false">IF(OR($C81="",$B$2="",$D$2=0),0,IF(AR$3&lt;0,0,N(INDEX('CURVA PREVISION'!$A$1:$KZ$3000,$C81,11+3*MIN(AR$3,$D$2-1)))))</f>
        <v>0</v>
      </c>
      <c r="AS81" s="131" t="n">
        <f aca="false">IF(OR($C81="",$B$2="",$D$2=0),0,IF(AS$3&lt;0,0,N(INDEX('CURVA PREVISION'!$A$1:$KZ$3000,$C81,11+3*MIN(AS$3,$D$2-1)))))</f>
        <v>0</v>
      </c>
      <c r="AT81" s="131" t="n">
        <f aca="false">IF(OR($C81="",$B$2="",$D$2=0),0,IF(AT$3&lt;0,0,N(INDEX('CURVA PREVISION'!$A$1:$KZ$3000,$C81,11+3*MIN(AT$3,$D$2-1)))))</f>
        <v>0</v>
      </c>
      <c r="AU81" s="131" t="n">
        <f aca="false">IF(OR($C81="",$B$2="",$D$2=0),0,IF(AU$3&lt;0,0,N(INDEX('CURVA PREVISION'!$A$1:$KZ$3000,$C81,11+3*MIN(AU$3,$D$2-1)))))</f>
        <v>0</v>
      </c>
      <c r="AV81" s="131" t="n">
        <f aca="false">IF(OR($C81="",$B$2="",$D$2=0),0,IF(AV$3&lt;0,0,N(INDEX('CURVA PREVISION'!$A$1:$KZ$3000,$C81,11+3*MIN(AV$3,$D$2-1)))))</f>
        <v>0</v>
      </c>
      <c r="AW81" s="131" t="n">
        <f aca="false">IF(OR($C81="",$B$2="",$D$2=0),0,IF(AW$3&lt;0,0,N(INDEX('CURVA PREVISION'!$A$1:$KZ$3000,$C81,11+3*MIN(AW$3,$D$2-1)))))</f>
        <v>0</v>
      </c>
      <c r="AX81" s="131" t="n">
        <f aca="false">IF(OR($C81="",$B$2="",$D$2=0),0,IF(AX$3&lt;0,0,N(INDEX('CURVA PREVISION'!$A$1:$KZ$3000,$C81,11+3*MIN(AX$3,$D$2-1)))))</f>
        <v>0</v>
      </c>
      <c r="AY81" s="131" t="n">
        <f aca="false">IF(OR($C81="",$B$2="",$D$2=0),0,IF(AY$3&lt;0,0,N(INDEX('CURVA PREVISION'!$A$1:$KZ$3000,$C81,11+3*MIN(AY$3,$D$2-1)))))</f>
        <v>0</v>
      </c>
      <c r="AZ81" s="131" t="n">
        <f aca="false">IF(OR($C81="",$B$2="",$D$2=0),0,IF(AZ$3&lt;0,0,N(INDEX('CURVA PREVISION'!$A$1:$KZ$3000,$C81,11+3*MIN(AZ$3,$D$2-1)))))</f>
        <v>0</v>
      </c>
      <c r="BA81" s="131" t="n">
        <f aca="false">IF(OR($C81="",$B$2="",$D$2=0),0,IF(BA$3&lt;0,0,N(INDEX('CURVA PREVISION'!$A$1:$KZ$3000,$C81,11+3*MIN(BA$3,$D$2-1)))))</f>
        <v>0</v>
      </c>
      <c r="BB81" s="131" t="n">
        <f aca="false">IF(OR($C81="",$B$2="",$D$2=0),0,IF(BB$3&lt;0,0,N(INDEX('CURVA PREVISION'!$A$1:$KZ$3000,$C81,11+3*MIN(BB$3,$D$2-1)))))</f>
        <v>0</v>
      </c>
      <c r="BC81" s="131" t="n">
        <f aca="false">IF(OR($C81="",$B$2="",$D$2=0),0,IF(BC$3&lt;0,0,N(INDEX('CURVA PREVISION'!$A$1:$KZ$3000,$C81,11+3*MIN(BC$3,$D$2-1)))))</f>
        <v>0</v>
      </c>
      <c r="BD81" s="131" t="n">
        <f aca="false">IF(OR($C81="",$B$2="",$D$2=0),0,IF(BD$3&lt;0,0,N(INDEX('CURVA PREVISION'!$A$1:$KZ$3000,$C81,11+3*MIN(BD$3,$D$2-1)))))</f>
        <v>0</v>
      </c>
      <c r="BE81" s="131" t="n">
        <f aca="false">IF(OR($C81="",$B$2="",$D$2=0),0,IF(BE$3&lt;0,0,N(INDEX('CURVA PREVISION'!$A$1:$KZ$3000,$C81,11+3*MIN(BE$3,$D$2-1)))))</f>
        <v>0</v>
      </c>
      <c r="BF81" s="131" t="n">
        <f aca="false">IF(OR($C81="",$B$2="",$D$2=0),0,IF(BF$3&lt;0,0,N(INDEX('CURVA PREVISION'!$A$1:$KZ$3000,$C81,11+3*MIN(BF$3,$D$2-1)))))</f>
        <v>0</v>
      </c>
      <c r="BG81" s="131" t="n">
        <f aca="false">IF(OR($C81="",$B$2="",$D$2=0),0,IF(BG$3&lt;0,0,N(INDEX('CURVA PREVISION'!$A$1:$KZ$3000,$C81,11+3*MIN(BG$3,$D$2-1)))))</f>
        <v>0</v>
      </c>
      <c r="BH81" s="131" t="n">
        <f aca="false">IF(OR($C81="",$B$2="",$D$2=0),0,IF(BH$3&lt;0,0,N(INDEX('CURVA PREVISION'!$A$1:$KZ$3000,$C81,11+3*MIN(BH$3,$D$2-1)))))</f>
        <v>0</v>
      </c>
      <c r="BI81" s="131" t="n">
        <f aca="false">IF(OR($C81="",$B$2="",$D$2=0),0,IF(BI$3&lt;0,0,N(INDEX('CURVA PREVISION'!$A$1:$KZ$3000,$C81,11+3*MIN(BI$3,$D$2-1)))))</f>
        <v>0</v>
      </c>
      <c r="BJ81" s="131" t="n">
        <f aca="false">IF(OR($C81="",$B$2="",$D$2=0),0,IF(BJ$3&lt;0,0,N(INDEX('CURVA PREVISION'!$A$1:$KZ$3000,$C81,11+3*MIN(BJ$3,$D$2-1)))))</f>
        <v>0</v>
      </c>
      <c r="BK81" s="131" t="n">
        <f aca="false">IF(OR($C81="",$B$2="",$D$2=0),0,IF(BK$3&lt;0,0,N(INDEX('CURVA PREVISION'!$A$1:$KZ$3000,$C81,11+3*MIN(BK$3,$D$2-1)))))</f>
        <v>0</v>
      </c>
      <c r="BL81" s="131" t="n">
        <f aca="false">IF(OR($C81="",$B$2="",$D$2=0),0,IF(BL$3&lt;0,0,N(INDEX('CURVA PREVISION'!$A$1:$KZ$3000,$C81,11+3*MIN(BL$3,$D$2-1)))))</f>
        <v>0</v>
      </c>
      <c r="BM81" s="131" t="n">
        <f aca="false">IF(OR($C81="",$B$2="",$D$2=0),0,IF(BM$3&lt;0,0,N(INDEX('CURVA PREVISION'!$A$1:$KZ$3000,$C81,11+3*MIN(BM$3,$D$2-1)))))</f>
        <v>0</v>
      </c>
      <c r="BN81" s="131" t="n">
        <f aca="false">IF(OR($C81="",$B$2="",$D$2=0),0,IF(BN$3&lt;0,0,N(INDEX('CURVA PREVISION'!$A$1:$KZ$3000,$C81,11+3*MIN(BN$3,$D$2-1)))))</f>
        <v>0</v>
      </c>
      <c r="BO81" s="131" t="n">
        <f aca="false">IF(OR($C81="",$B$2="",$D$2=0),0,IF(BO$3&lt;0,0,N(INDEX('CURVA PREVISION'!$A$1:$KZ$3000,$C81,11+3*MIN(BO$3,$D$2-1)))))</f>
        <v>0</v>
      </c>
      <c r="BP81" s="131" t="n">
        <f aca="false">IF(OR($C81="",$B$2="",$D$2=0),0,IF(BP$3&lt;0,0,N(INDEX('CURVA PREVISION'!$A$1:$KZ$3000,$C81,11+3*MIN(BP$3,$D$2-1)))))</f>
        <v>0</v>
      </c>
      <c r="BQ81" s="131" t="n">
        <f aca="false">IF(OR($C81="",$B$2="",$D$2=0),0,IF(BQ$3&lt;0,0,N(INDEX('CURVA PREVISION'!$A$1:$KZ$3000,$C81,11+3*MIN(BQ$3,$D$2-1)))))</f>
        <v>0</v>
      </c>
      <c r="BR81" s="131" t="n">
        <f aca="false">IF(OR($C81="",$B$2="",$D$2=0),0,IF(BR$3&lt;0,0,N(INDEX('CURVA PREVISION'!$A$1:$KZ$3000,$C81,11+3*MIN(BR$3,$D$2-1)))))</f>
        <v>0</v>
      </c>
      <c r="BS81" s="131" t="n">
        <f aca="false">IF(OR($C81="",$B$2="",$D$2=0),0,IF(BS$3&lt;0,0,N(INDEX('CURVA PREVISION'!$A$1:$KZ$3000,$C81,11+3*MIN(BS$3,$D$2-1)))))</f>
        <v>0</v>
      </c>
      <c r="BT81" s="131" t="n">
        <f aca="false">IF(OR($C81="",$B$2="",$D$2=0),0,IF(BT$3&lt;0,0,N(INDEX('CURVA PREVISION'!$A$1:$KZ$3000,$C81,11+3*MIN(BT$3,$D$2-1)))))</f>
        <v>0</v>
      </c>
      <c r="BU81" s="131" t="n">
        <f aca="false">IF(OR($C81="",$B$2="",$D$2=0),0,IF(BU$3&lt;0,0,N(INDEX('CURVA PREVISION'!$A$1:$KZ$3000,$C81,11+3*MIN(BU$3,$D$2-1)))))</f>
        <v>0</v>
      </c>
      <c r="BV81" s="131" t="n">
        <f aca="false">IF(OR($C81="",$B$2="",$D$2=0),0,IF(BV$3&lt;0,0,N(INDEX('CURVA PREVISION'!$A$1:$KZ$3000,$C81,11+3*MIN(BV$3,$D$2-1)))))</f>
        <v>0</v>
      </c>
      <c r="BW81" s="131" t="n">
        <f aca="false">IF(OR($C81="",$B$2="",$D$2=0),0,IF(BW$3&lt;0,0,N(INDEX('CURVA PREVISION'!$A$1:$KZ$3000,$C81,11+3*MIN(BW$3,$D$2-1)))))</f>
        <v>0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PAISAGISMO</v>
      </c>
      <c r="C82" s="64" t="n">
        <f aca="false">IFERROR(MATCH(A82,'CURVA PREVISION'!$B$1:$B$3000,0),"")</f>
        <v>919</v>
      </c>
      <c r="D82" s="131" t="n">
        <f aca="false">IF(OR($C82="",$B$2="",$D$2=0),0,IF(D$3&lt;0,0,N(INDEX('CURVA PREVISION'!$A$1:$KZ$3000,$C82,11+3*MIN(D$3,$D$2-1)))))</f>
        <v>0</v>
      </c>
      <c r="E82" s="131" t="n">
        <f aca="false">IF(OR($C82="",$B$2="",$D$2=0),0,IF(E$3&lt;0,0,N(INDEX('CURVA PREVISION'!$A$1:$KZ$3000,$C82,11+3*MIN(E$3,$D$2-1)))))</f>
        <v>0</v>
      </c>
      <c r="F82" s="131" t="n">
        <f aca="false">IF(OR($C82="",$B$2="",$D$2=0),0,IF(F$3&lt;0,0,N(INDEX('CURVA PREVISION'!$A$1:$KZ$3000,$C82,11+3*MIN(F$3,$D$2-1)))))</f>
        <v>0</v>
      </c>
      <c r="G82" s="131" t="n">
        <f aca="false">IF(OR($C82="",$B$2="",$D$2=0),0,IF(G$3&lt;0,0,N(INDEX('CURVA PREVISION'!$A$1:$KZ$3000,$C82,11+3*MIN(G$3,$D$2-1)))))</f>
        <v>0</v>
      </c>
      <c r="H82" s="131" t="n">
        <f aca="false">IF(OR($C82="",$B$2="",$D$2=0),0,IF(H$3&lt;0,0,N(INDEX('CURVA PREVISION'!$A$1:$KZ$3000,$C82,11+3*MIN(H$3,$D$2-1)))))</f>
        <v>0</v>
      </c>
      <c r="I82" s="131" t="n">
        <f aca="false">IF(OR($C82="",$B$2="",$D$2=0),0,IF(I$3&lt;0,0,N(INDEX('CURVA PREVISION'!$A$1:$KZ$3000,$C82,11+3*MIN(I$3,$D$2-1)))))</f>
        <v>0</v>
      </c>
      <c r="J82" s="131" t="n">
        <f aca="false">IF(OR($C82="",$B$2="",$D$2=0),0,IF(J$3&lt;0,0,N(INDEX('CURVA PREVISION'!$A$1:$KZ$3000,$C82,11+3*MIN(J$3,$D$2-1)))))</f>
        <v>0</v>
      </c>
      <c r="K82" s="131" t="n">
        <f aca="false">IF(OR($C82="",$B$2="",$D$2=0),0,IF(K$3&lt;0,0,N(INDEX('CURVA PREVISION'!$A$1:$KZ$3000,$C82,11+3*MIN(K$3,$D$2-1)))))</f>
        <v>0</v>
      </c>
      <c r="L82" s="131" t="n">
        <f aca="false">IF(OR($C82="",$B$2="",$D$2=0),0,IF(L$3&lt;0,0,N(INDEX('CURVA PREVISION'!$A$1:$KZ$3000,$C82,11+3*MIN(L$3,$D$2-1)))))</f>
        <v>0</v>
      </c>
      <c r="M82" s="131" t="n">
        <f aca="false">IF(OR($C82="",$B$2="",$D$2=0),0,IF(M$3&lt;0,0,N(INDEX('CURVA PREVISION'!$A$1:$KZ$3000,$C82,11+3*MIN(M$3,$D$2-1)))))</f>
        <v>0</v>
      </c>
      <c r="N82" s="131" t="n">
        <f aca="false">IF(OR($C82="",$B$2="",$D$2=0),0,IF(N$3&lt;0,0,N(INDEX('CURVA PREVISION'!$A$1:$KZ$3000,$C82,11+3*MIN(N$3,$D$2-1)))))</f>
        <v>0</v>
      </c>
      <c r="O82" s="131" t="n">
        <f aca="false">IF(OR($C82="",$B$2="",$D$2=0),0,IF(O$3&lt;0,0,N(INDEX('CURVA PREVISION'!$A$1:$KZ$3000,$C82,11+3*MIN(O$3,$D$2-1)))))</f>
        <v>0</v>
      </c>
      <c r="P82" s="131" t="n">
        <f aca="false">IF(OR($C82="",$B$2="",$D$2=0),0,IF(P$3&lt;0,0,N(INDEX('CURVA PREVISION'!$A$1:$KZ$3000,$C82,11+3*MIN(P$3,$D$2-1)))))</f>
        <v>0</v>
      </c>
      <c r="Q82" s="131" t="n">
        <f aca="false">IF(OR($C82="",$B$2="",$D$2=0),0,IF(Q$3&lt;0,0,N(INDEX('CURVA PREVISION'!$A$1:$KZ$3000,$C82,11+3*MIN(Q$3,$D$2-1)))))</f>
        <v>0</v>
      </c>
      <c r="R82" s="131" t="n">
        <f aca="false">IF(OR($C82="",$B$2="",$D$2=0),0,IF(R$3&lt;0,0,N(INDEX('CURVA PREVISION'!$A$1:$KZ$3000,$C82,11+3*MIN(R$3,$D$2-1)))))</f>
        <v>0</v>
      </c>
      <c r="S82" s="131" t="n">
        <f aca="false">IF(OR($C82="",$B$2="",$D$2=0),0,IF(S$3&lt;0,0,N(INDEX('CURVA PREVISION'!$A$1:$KZ$3000,$C82,11+3*MIN(S$3,$D$2-1)))))</f>
        <v>0</v>
      </c>
      <c r="T82" s="131" t="n">
        <f aca="false">IF(OR($C82="",$B$2="",$D$2=0),0,IF(T$3&lt;0,0,N(INDEX('CURVA PREVISION'!$A$1:$KZ$3000,$C82,11+3*MIN(T$3,$D$2-1)))))</f>
        <v>0</v>
      </c>
      <c r="U82" s="131" t="n">
        <f aca="false">IF(OR($C82="",$B$2="",$D$2=0),0,IF(U$3&lt;0,0,N(INDEX('CURVA PREVISION'!$A$1:$KZ$3000,$C82,11+3*MIN(U$3,$D$2-1)))))</f>
        <v>0</v>
      </c>
      <c r="V82" s="131" t="n">
        <f aca="false">IF(OR($C82="",$B$2="",$D$2=0),0,IF(V$3&lt;0,0,N(INDEX('CURVA PREVISION'!$A$1:$KZ$3000,$C82,11+3*MIN(V$3,$D$2-1)))))</f>
        <v>0</v>
      </c>
      <c r="W82" s="131" t="n">
        <f aca="false">IF(OR($C82="",$B$2="",$D$2=0),0,IF(W$3&lt;0,0,N(INDEX('CURVA PREVISION'!$A$1:$KZ$3000,$C82,11+3*MIN(W$3,$D$2-1)))))</f>
        <v>0</v>
      </c>
      <c r="X82" s="131" t="n">
        <f aca="false">IF(OR($C82="",$B$2="",$D$2=0),0,IF(X$3&lt;0,0,N(INDEX('CURVA PREVISION'!$A$1:$KZ$3000,$C82,11+3*MIN(X$3,$D$2-1)))))</f>
        <v>0</v>
      </c>
      <c r="Y82" s="131" t="n">
        <f aca="false">IF(OR($C82="",$B$2="",$D$2=0),0,IF(Y$3&lt;0,0,N(INDEX('CURVA PREVISION'!$A$1:$KZ$3000,$C82,11+3*MIN(Y$3,$D$2-1)))))</f>
        <v>0</v>
      </c>
      <c r="Z82" s="131" t="n">
        <f aca="false">IF(OR($C82="",$B$2="",$D$2=0),0,IF(Z$3&lt;0,0,N(INDEX('CURVA PREVISION'!$A$1:$KZ$3000,$C82,11+3*MIN(Z$3,$D$2-1)))))</f>
        <v>0</v>
      </c>
      <c r="AA82" s="131" t="n">
        <f aca="false">IF(OR($C82="",$B$2="",$D$2=0),0,IF(AA$3&lt;0,0,N(INDEX('CURVA PREVISION'!$A$1:$KZ$3000,$C82,11+3*MIN(AA$3,$D$2-1)))))</f>
        <v>0</v>
      </c>
      <c r="AB82" s="131" t="n">
        <f aca="false">IF(OR($C82="",$B$2="",$D$2=0),0,IF(AB$3&lt;0,0,N(INDEX('CURVA PREVISION'!$A$1:$KZ$3000,$C82,11+3*MIN(AB$3,$D$2-1)))))</f>
        <v>0</v>
      </c>
      <c r="AC82" s="131" t="n">
        <f aca="false">IF(OR($C82="",$B$2="",$D$2=0),0,IF(AC$3&lt;0,0,N(INDEX('CURVA PREVISION'!$A$1:$KZ$3000,$C82,11+3*MIN(AC$3,$D$2-1)))))</f>
        <v>0</v>
      </c>
      <c r="AD82" s="131" t="n">
        <f aca="false">IF(OR($C82="",$B$2="",$D$2=0),0,IF(AD$3&lt;0,0,N(INDEX('CURVA PREVISION'!$A$1:$KZ$3000,$C82,11+3*MIN(AD$3,$D$2-1)))))</f>
        <v>0</v>
      </c>
      <c r="AE82" s="131" t="n">
        <f aca="false">IF(OR($C82="",$B$2="",$D$2=0),0,IF(AE$3&lt;0,0,N(INDEX('CURVA PREVISION'!$A$1:$KZ$3000,$C82,11+3*MIN(AE$3,$D$2-1)))))</f>
        <v>0</v>
      </c>
      <c r="AF82" s="131" t="n">
        <f aca="false">IF(OR($C82="",$B$2="",$D$2=0),0,IF(AF$3&lt;0,0,N(INDEX('CURVA PREVISION'!$A$1:$KZ$3000,$C82,11+3*MIN(AF$3,$D$2-1)))))</f>
        <v>0</v>
      </c>
      <c r="AG82" s="131" t="n">
        <f aca="false">IF(OR($C82="",$B$2="",$D$2=0),0,IF(AG$3&lt;0,0,N(INDEX('CURVA PREVISION'!$A$1:$KZ$3000,$C82,11+3*MIN(AG$3,$D$2-1)))))</f>
        <v>0</v>
      </c>
      <c r="AH82" s="131" t="n">
        <f aca="false">IF(OR($C82="",$B$2="",$D$2=0),0,IF(AH$3&lt;0,0,N(INDEX('CURVA PREVISION'!$A$1:$KZ$3000,$C82,11+3*MIN(AH$3,$D$2-1)))))</f>
        <v>0</v>
      </c>
      <c r="AI82" s="131" t="n">
        <f aca="false">IF(OR($C82="",$B$2="",$D$2=0),0,IF(AI$3&lt;0,0,N(INDEX('CURVA PREVISION'!$A$1:$KZ$3000,$C82,11+3*MIN(AI$3,$D$2-1)))))</f>
        <v>0</v>
      </c>
      <c r="AJ82" s="131" t="n">
        <f aca="false">IF(OR($C82="",$B$2="",$D$2=0),0,IF(AJ$3&lt;0,0,N(INDEX('CURVA PREVISION'!$A$1:$KZ$3000,$C82,11+3*MIN(AJ$3,$D$2-1)))))</f>
        <v>0</v>
      </c>
      <c r="AK82" s="131" t="n">
        <f aca="false">IF(OR($C82="",$B$2="",$D$2=0),0,IF(AK$3&lt;0,0,N(INDEX('CURVA PREVISION'!$A$1:$KZ$3000,$C82,11+3*MIN(AK$3,$D$2-1)))))</f>
        <v>0</v>
      </c>
      <c r="AL82" s="131" t="n">
        <f aca="false">IF(OR($C82="",$B$2="",$D$2=0),0,IF(AL$3&lt;0,0,N(INDEX('CURVA PREVISION'!$A$1:$KZ$3000,$C82,11+3*MIN(AL$3,$D$2-1)))))</f>
        <v>0</v>
      </c>
      <c r="AM82" s="131" t="n">
        <f aca="false">IF(OR($C82="",$B$2="",$D$2=0),0,IF(AM$3&lt;0,0,N(INDEX('CURVA PREVISION'!$A$1:$KZ$3000,$C82,11+3*MIN(AM$3,$D$2-1)))))</f>
        <v>0</v>
      </c>
      <c r="AN82" s="131" t="n">
        <f aca="false">IF(OR($C82="",$B$2="",$D$2=0),0,IF(AN$3&lt;0,0,N(INDEX('CURVA PREVISION'!$A$1:$KZ$3000,$C82,11+3*MIN(AN$3,$D$2-1)))))</f>
        <v>0</v>
      </c>
      <c r="AO82" s="131" t="n">
        <f aca="false">IF(OR($C82="",$B$2="",$D$2=0),0,IF(AO$3&lt;0,0,N(INDEX('CURVA PREVISION'!$A$1:$KZ$3000,$C82,11+3*MIN(AO$3,$D$2-1)))))</f>
        <v>0</v>
      </c>
      <c r="AP82" s="131" t="n">
        <f aca="false">IF(OR($C82="",$B$2="",$D$2=0),0,IF(AP$3&lt;0,0,N(INDEX('CURVA PREVISION'!$A$1:$KZ$3000,$C82,11+3*MIN(AP$3,$D$2-1)))))</f>
        <v>0</v>
      </c>
      <c r="AQ82" s="131" t="n">
        <f aca="false">IF(OR($C82="",$B$2="",$D$2=0),0,IF(AQ$3&lt;0,0,N(INDEX('CURVA PREVISION'!$A$1:$KZ$3000,$C82,11+3*MIN(AQ$3,$D$2-1)))))</f>
        <v>0</v>
      </c>
      <c r="AR82" s="131" t="n">
        <f aca="false">IF(OR($C82="",$B$2="",$D$2=0),0,IF(AR$3&lt;0,0,N(INDEX('CURVA PREVISION'!$A$1:$KZ$3000,$C82,11+3*MIN(AR$3,$D$2-1)))))</f>
        <v>0</v>
      </c>
      <c r="AS82" s="131" t="n">
        <f aca="false">IF(OR($C82="",$B$2="",$D$2=0),0,IF(AS$3&lt;0,0,N(INDEX('CURVA PREVISION'!$A$1:$KZ$3000,$C82,11+3*MIN(AS$3,$D$2-1)))))</f>
        <v>0</v>
      </c>
      <c r="AT82" s="131" t="n">
        <f aca="false">IF(OR($C82="",$B$2="",$D$2=0),0,IF(AT$3&lt;0,0,N(INDEX('CURVA PREVISION'!$A$1:$KZ$3000,$C82,11+3*MIN(AT$3,$D$2-1)))))</f>
        <v>0</v>
      </c>
      <c r="AU82" s="131" t="n">
        <f aca="false">IF(OR($C82="",$B$2="",$D$2=0),0,IF(AU$3&lt;0,0,N(INDEX('CURVA PREVISION'!$A$1:$KZ$3000,$C82,11+3*MIN(AU$3,$D$2-1)))))</f>
        <v>0</v>
      </c>
      <c r="AV82" s="131" t="n">
        <f aca="false">IF(OR($C82="",$B$2="",$D$2=0),0,IF(AV$3&lt;0,0,N(INDEX('CURVA PREVISION'!$A$1:$KZ$3000,$C82,11+3*MIN(AV$3,$D$2-1)))))</f>
        <v>0</v>
      </c>
      <c r="AW82" s="131" t="n">
        <f aca="false">IF(OR($C82="",$B$2="",$D$2=0),0,IF(AW$3&lt;0,0,N(INDEX('CURVA PREVISION'!$A$1:$KZ$3000,$C82,11+3*MIN(AW$3,$D$2-1)))))</f>
        <v>0</v>
      </c>
      <c r="AX82" s="131" t="n">
        <f aca="false">IF(OR($C82="",$B$2="",$D$2=0),0,IF(AX$3&lt;0,0,N(INDEX('CURVA PREVISION'!$A$1:$KZ$3000,$C82,11+3*MIN(AX$3,$D$2-1)))))</f>
        <v>0</v>
      </c>
      <c r="AY82" s="131" t="n">
        <f aca="false">IF(OR($C82="",$B$2="",$D$2=0),0,IF(AY$3&lt;0,0,N(INDEX('CURVA PREVISION'!$A$1:$KZ$3000,$C82,11+3*MIN(AY$3,$D$2-1)))))</f>
        <v>0</v>
      </c>
      <c r="AZ82" s="131" t="n">
        <f aca="false">IF(OR($C82="",$B$2="",$D$2=0),0,IF(AZ$3&lt;0,0,N(INDEX('CURVA PREVISION'!$A$1:$KZ$3000,$C82,11+3*MIN(AZ$3,$D$2-1)))))</f>
        <v>0</v>
      </c>
      <c r="BA82" s="131" t="n">
        <f aca="false">IF(OR($C82="",$B$2="",$D$2=0),0,IF(BA$3&lt;0,0,N(INDEX('CURVA PREVISION'!$A$1:$KZ$3000,$C82,11+3*MIN(BA$3,$D$2-1)))))</f>
        <v>0</v>
      </c>
      <c r="BB82" s="131" t="n">
        <f aca="false">IF(OR($C82="",$B$2="",$D$2=0),0,IF(BB$3&lt;0,0,N(INDEX('CURVA PREVISION'!$A$1:$KZ$3000,$C82,11+3*MIN(BB$3,$D$2-1)))))</f>
        <v>0</v>
      </c>
      <c r="BC82" s="131" t="n">
        <f aca="false">IF(OR($C82="",$B$2="",$D$2=0),0,IF(BC$3&lt;0,0,N(INDEX('CURVA PREVISION'!$A$1:$KZ$3000,$C82,11+3*MIN(BC$3,$D$2-1)))))</f>
        <v>0</v>
      </c>
      <c r="BD82" s="131" t="n">
        <f aca="false">IF(OR($C82="",$B$2="",$D$2=0),0,IF(BD$3&lt;0,0,N(INDEX('CURVA PREVISION'!$A$1:$KZ$3000,$C82,11+3*MIN(BD$3,$D$2-1)))))</f>
        <v>0</v>
      </c>
      <c r="BE82" s="131" t="n">
        <f aca="false">IF(OR($C82="",$B$2="",$D$2=0),0,IF(BE$3&lt;0,0,N(INDEX('CURVA PREVISION'!$A$1:$KZ$3000,$C82,11+3*MIN(BE$3,$D$2-1)))))</f>
        <v>0</v>
      </c>
      <c r="BF82" s="131" t="n">
        <f aca="false">IF(OR($C82="",$B$2="",$D$2=0),0,IF(BF$3&lt;0,0,N(INDEX('CURVA PREVISION'!$A$1:$KZ$3000,$C82,11+3*MIN(BF$3,$D$2-1)))))</f>
        <v>0</v>
      </c>
      <c r="BG82" s="131" t="n">
        <f aca="false">IF(OR($C82="",$B$2="",$D$2=0),0,IF(BG$3&lt;0,0,N(INDEX('CURVA PREVISION'!$A$1:$KZ$3000,$C82,11+3*MIN(BG$3,$D$2-1)))))</f>
        <v>0</v>
      </c>
      <c r="BH82" s="131" t="n">
        <f aca="false">IF(OR($C82="",$B$2="",$D$2=0),0,IF(BH$3&lt;0,0,N(INDEX('CURVA PREVISION'!$A$1:$KZ$3000,$C82,11+3*MIN(BH$3,$D$2-1)))))</f>
        <v>0</v>
      </c>
      <c r="BI82" s="131" t="n">
        <f aca="false">IF(OR($C82="",$B$2="",$D$2=0),0,IF(BI$3&lt;0,0,N(INDEX('CURVA PREVISION'!$A$1:$KZ$3000,$C82,11+3*MIN(BI$3,$D$2-1)))))</f>
        <v>0</v>
      </c>
      <c r="BJ82" s="131" t="n">
        <f aca="false">IF(OR($C82="",$B$2="",$D$2=0),0,IF(BJ$3&lt;0,0,N(INDEX('CURVA PREVISION'!$A$1:$KZ$3000,$C82,11+3*MIN(BJ$3,$D$2-1)))))</f>
        <v>0</v>
      </c>
      <c r="BK82" s="131" t="n">
        <f aca="false">IF(OR($C82="",$B$2="",$D$2=0),0,IF(BK$3&lt;0,0,N(INDEX('CURVA PREVISION'!$A$1:$KZ$3000,$C82,11+3*MIN(BK$3,$D$2-1)))))</f>
        <v>0</v>
      </c>
      <c r="BL82" s="131" t="n">
        <f aca="false">IF(OR($C82="",$B$2="",$D$2=0),0,IF(BL$3&lt;0,0,N(INDEX('CURVA PREVISION'!$A$1:$KZ$3000,$C82,11+3*MIN(BL$3,$D$2-1)))))</f>
        <v>0</v>
      </c>
      <c r="BM82" s="131" t="n">
        <f aca="false">IF(OR($C82="",$B$2="",$D$2=0),0,IF(BM$3&lt;0,0,N(INDEX('CURVA PREVISION'!$A$1:$KZ$3000,$C82,11+3*MIN(BM$3,$D$2-1)))))</f>
        <v>0</v>
      </c>
      <c r="BN82" s="131" t="n">
        <f aca="false">IF(OR($C82="",$B$2="",$D$2=0),0,IF(BN$3&lt;0,0,N(INDEX('CURVA PREVISION'!$A$1:$KZ$3000,$C82,11+3*MIN(BN$3,$D$2-1)))))</f>
        <v>0</v>
      </c>
      <c r="BO82" s="131" t="n">
        <f aca="false">IF(OR($C82="",$B$2="",$D$2=0),0,IF(BO$3&lt;0,0,N(INDEX('CURVA PREVISION'!$A$1:$KZ$3000,$C82,11+3*MIN(BO$3,$D$2-1)))))</f>
        <v>0</v>
      </c>
      <c r="BP82" s="131" t="n">
        <f aca="false">IF(OR($C82="",$B$2="",$D$2=0),0,IF(BP$3&lt;0,0,N(INDEX('CURVA PREVISION'!$A$1:$KZ$3000,$C82,11+3*MIN(BP$3,$D$2-1)))))</f>
        <v>0</v>
      </c>
      <c r="BQ82" s="131" t="n">
        <f aca="false">IF(OR($C82="",$B$2="",$D$2=0),0,IF(BQ$3&lt;0,0,N(INDEX('CURVA PREVISION'!$A$1:$KZ$3000,$C82,11+3*MIN(BQ$3,$D$2-1)))))</f>
        <v>0</v>
      </c>
      <c r="BR82" s="131" t="n">
        <f aca="false">IF(OR($C82="",$B$2="",$D$2=0),0,IF(BR$3&lt;0,0,N(INDEX('CURVA PREVISION'!$A$1:$KZ$3000,$C82,11+3*MIN(BR$3,$D$2-1)))))</f>
        <v>0</v>
      </c>
      <c r="BS82" s="131" t="n">
        <f aca="false">IF(OR($C82="",$B$2="",$D$2=0),0,IF(BS$3&lt;0,0,N(INDEX('CURVA PREVISION'!$A$1:$KZ$3000,$C82,11+3*MIN(BS$3,$D$2-1)))))</f>
        <v>0</v>
      </c>
      <c r="BT82" s="131" t="n">
        <f aca="false">IF(OR($C82="",$B$2="",$D$2=0),0,IF(BT$3&lt;0,0,N(INDEX('CURVA PREVISION'!$A$1:$KZ$3000,$C82,11+3*MIN(BT$3,$D$2-1)))))</f>
        <v>0</v>
      </c>
      <c r="BU82" s="131" t="n">
        <f aca="false">IF(OR($C82="",$B$2="",$D$2=0),0,IF(BU$3&lt;0,0,N(INDEX('CURVA PREVISION'!$A$1:$KZ$3000,$C82,11+3*MIN(BU$3,$D$2-1)))))</f>
        <v>0</v>
      </c>
      <c r="BV82" s="131" t="n">
        <f aca="false">IF(OR($C82="",$B$2="",$D$2=0),0,IF(BV$3&lt;0,0,N(INDEX('CURVA PREVISION'!$A$1:$KZ$3000,$C82,11+3*MIN(BV$3,$D$2-1)))))</f>
        <v>0</v>
      </c>
      <c r="BW82" s="131" t="n">
        <f aca="false">IF(OR($C82="",$B$2="",$D$2=0),0,IF(BW$3&lt;0,0,N(INDEX('CURVA PREVISION'!$A$1:$KZ$3000,$C82,11+3*MIN(BW$3,$D$2-1)))))</f>
        <v>0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927</v>
      </c>
      <c r="D83" s="131" t="n">
        <f aca="false">IF(OR($C83="",$B$2="",$D$2=0),0,IF(D$3&lt;0,0,N(INDEX('CURVA PREVISION'!$A$1:$KZ$3000,$C83,11+3*MIN(D$3,$D$2-1)))))</f>
        <v>0</v>
      </c>
      <c r="E83" s="131" t="n">
        <f aca="false">IF(OR($C83="",$B$2="",$D$2=0),0,IF(E$3&lt;0,0,N(INDEX('CURVA PREVISION'!$A$1:$KZ$3000,$C83,11+3*MIN(E$3,$D$2-1)))))</f>
        <v>0</v>
      </c>
      <c r="F83" s="131" t="n">
        <f aca="false">IF(OR($C83="",$B$2="",$D$2=0),0,IF(F$3&lt;0,0,N(INDEX('CURVA PREVISION'!$A$1:$KZ$3000,$C83,11+3*MIN(F$3,$D$2-1)))))</f>
        <v>0</v>
      </c>
      <c r="G83" s="131" t="n">
        <f aca="false">IF(OR($C83="",$B$2="",$D$2=0),0,IF(G$3&lt;0,0,N(INDEX('CURVA PREVISION'!$A$1:$KZ$3000,$C83,11+3*MIN(G$3,$D$2-1)))))</f>
        <v>0</v>
      </c>
      <c r="H83" s="131" t="n">
        <f aca="false">IF(OR($C83="",$B$2="",$D$2=0),0,IF(H$3&lt;0,0,N(INDEX('CURVA PREVISION'!$A$1:$KZ$3000,$C83,11+3*MIN(H$3,$D$2-1)))))</f>
        <v>0</v>
      </c>
      <c r="I83" s="131" t="n">
        <f aca="false">IF(OR($C83="",$B$2="",$D$2=0),0,IF(I$3&lt;0,0,N(INDEX('CURVA PREVISION'!$A$1:$KZ$3000,$C83,11+3*MIN(I$3,$D$2-1)))))</f>
        <v>0</v>
      </c>
      <c r="J83" s="131" t="n">
        <f aca="false">IF(OR($C83="",$B$2="",$D$2=0),0,IF(J$3&lt;0,0,N(INDEX('CURVA PREVISION'!$A$1:$KZ$3000,$C83,11+3*MIN(J$3,$D$2-1)))))</f>
        <v>0</v>
      </c>
      <c r="K83" s="131" t="n">
        <f aca="false">IF(OR($C83="",$B$2="",$D$2=0),0,IF(K$3&lt;0,0,N(INDEX('CURVA PREVISION'!$A$1:$KZ$3000,$C83,11+3*MIN(K$3,$D$2-1)))))</f>
        <v>0</v>
      </c>
      <c r="L83" s="131" t="n">
        <f aca="false">IF(OR($C83="",$B$2="",$D$2=0),0,IF(L$3&lt;0,0,N(INDEX('CURVA PREVISION'!$A$1:$KZ$3000,$C83,11+3*MIN(L$3,$D$2-1)))))</f>
        <v>0</v>
      </c>
      <c r="M83" s="131" t="n">
        <f aca="false">IF(OR($C83="",$B$2="",$D$2=0),0,IF(M$3&lt;0,0,N(INDEX('CURVA PREVISION'!$A$1:$KZ$3000,$C83,11+3*MIN(M$3,$D$2-1)))))</f>
        <v>0</v>
      </c>
      <c r="N83" s="131" t="n">
        <f aca="false">IF(OR($C83="",$B$2="",$D$2=0),0,IF(N$3&lt;0,0,N(INDEX('CURVA PREVISION'!$A$1:$KZ$3000,$C83,11+3*MIN(N$3,$D$2-1)))))</f>
        <v>0</v>
      </c>
      <c r="O83" s="131" t="n">
        <f aca="false">IF(OR($C83="",$B$2="",$D$2=0),0,IF(O$3&lt;0,0,N(INDEX('CURVA PREVISION'!$A$1:$KZ$3000,$C83,11+3*MIN(O$3,$D$2-1)))))</f>
        <v>0</v>
      </c>
      <c r="P83" s="131" t="n">
        <f aca="false">IF(OR($C83="",$B$2="",$D$2=0),0,IF(P$3&lt;0,0,N(INDEX('CURVA PREVISION'!$A$1:$KZ$3000,$C83,11+3*MIN(P$3,$D$2-1)))))</f>
        <v>0</v>
      </c>
      <c r="Q83" s="131" t="n">
        <f aca="false">IF(OR($C83="",$B$2="",$D$2=0),0,IF(Q$3&lt;0,0,N(INDEX('CURVA PREVISION'!$A$1:$KZ$3000,$C83,11+3*MIN(Q$3,$D$2-1)))))</f>
        <v>0</v>
      </c>
      <c r="R83" s="131" t="n">
        <f aca="false">IF(OR($C83="",$B$2="",$D$2=0),0,IF(R$3&lt;0,0,N(INDEX('CURVA PREVISION'!$A$1:$KZ$3000,$C83,11+3*MIN(R$3,$D$2-1)))))</f>
        <v>0</v>
      </c>
      <c r="S83" s="131" t="n">
        <f aca="false">IF(OR($C83="",$B$2="",$D$2=0),0,IF(S$3&lt;0,0,N(INDEX('CURVA PREVISION'!$A$1:$KZ$3000,$C83,11+3*MIN(S$3,$D$2-1)))))</f>
        <v>0</v>
      </c>
      <c r="T83" s="131" t="n">
        <f aca="false">IF(OR($C83="",$B$2="",$D$2=0),0,IF(T$3&lt;0,0,N(INDEX('CURVA PREVISION'!$A$1:$KZ$3000,$C83,11+3*MIN(T$3,$D$2-1)))))</f>
        <v>0</v>
      </c>
      <c r="U83" s="131" t="n">
        <f aca="false">IF(OR($C83="",$B$2="",$D$2=0),0,IF(U$3&lt;0,0,N(INDEX('CURVA PREVISION'!$A$1:$KZ$3000,$C83,11+3*MIN(U$3,$D$2-1)))))</f>
        <v>0</v>
      </c>
      <c r="V83" s="131" t="n">
        <f aca="false">IF(OR($C83="",$B$2="",$D$2=0),0,IF(V$3&lt;0,0,N(INDEX('CURVA PREVISION'!$A$1:$KZ$3000,$C83,11+3*MIN(V$3,$D$2-1)))))</f>
        <v>0</v>
      </c>
      <c r="W83" s="131" t="n">
        <f aca="false">IF(OR($C83="",$B$2="",$D$2=0),0,IF(W$3&lt;0,0,N(INDEX('CURVA PREVISION'!$A$1:$KZ$3000,$C83,11+3*MIN(W$3,$D$2-1)))))</f>
        <v>0</v>
      </c>
      <c r="X83" s="131" t="n">
        <f aca="false">IF(OR($C83="",$B$2="",$D$2=0),0,IF(X$3&lt;0,0,N(INDEX('CURVA PREVISION'!$A$1:$KZ$3000,$C83,11+3*MIN(X$3,$D$2-1)))))</f>
        <v>0</v>
      </c>
      <c r="Y83" s="131" t="n">
        <f aca="false">IF(OR($C83="",$B$2="",$D$2=0),0,IF(Y$3&lt;0,0,N(INDEX('CURVA PREVISION'!$A$1:$KZ$3000,$C83,11+3*MIN(Y$3,$D$2-1)))))</f>
        <v>0</v>
      </c>
      <c r="Z83" s="131" t="n">
        <f aca="false">IF(OR($C83="",$B$2="",$D$2=0),0,IF(Z$3&lt;0,0,N(INDEX('CURVA PREVISION'!$A$1:$KZ$3000,$C83,11+3*MIN(Z$3,$D$2-1)))))</f>
        <v>0</v>
      </c>
      <c r="AA83" s="131" t="n">
        <f aca="false">IF(OR($C83="",$B$2="",$D$2=0),0,IF(AA$3&lt;0,0,N(INDEX('CURVA PREVISION'!$A$1:$KZ$3000,$C83,11+3*MIN(AA$3,$D$2-1)))))</f>
        <v>0</v>
      </c>
      <c r="AB83" s="131" t="n">
        <f aca="false">IF(OR($C83="",$B$2="",$D$2=0),0,IF(AB$3&lt;0,0,N(INDEX('CURVA PREVISION'!$A$1:$KZ$3000,$C83,11+3*MIN(AB$3,$D$2-1)))))</f>
        <v>0</v>
      </c>
      <c r="AC83" s="131" t="n">
        <f aca="false">IF(OR($C83="",$B$2="",$D$2=0),0,IF(AC$3&lt;0,0,N(INDEX('CURVA PREVISION'!$A$1:$KZ$3000,$C83,11+3*MIN(AC$3,$D$2-1)))))</f>
        <v>0</v>
      </c>
      <c r="AD83" s="131" t="n">
        <f aca="false">IF(OR($C83="",$B$2="",$D$2=0),0,IF(AD$3&lt;0,0,N(INDEX('CURVA PREVISION'!$A$1:$KZ$3000,$C83,11+3*MIN(AD$3,$D$2-1)))))</f>
        <v>0</v>
      </c>
      <c r="AE83" s="131" t="n">
        <f aca="false">IF(OR($C83="",$B$2="",$D$2=0),0,IF(AE$3&lt;0,0,N(INDEX('CURVA PREVISION'!$A$1:$KZ$3000,$C83,11+3*MIN(AE$3,$D$2-1)))))</f>
        <v>0</v>
      </c>
      <c r="AF83" s="131" t="n">
        <f aca="false">IF(OR($C83="",$B$2="",$D$2=0),0,IF(AF$3&lt;0,0,N(INDEX('CURVA PREVISION'!$A$1:$KZ$3000,$C83,11+3*MIN(AF$3,$D$2-1)))))</f>
        <v>0</v>
      </c>
      <c r="AG83" s="131" t="n">
        <f aca="false">IF(OR($C83="",$B$2="",$D$2=0),0,IF(AG$3&lt;0,0,N(INDEX('CURVA PREVISION'!$A$1:$KZ$3000,$C83,11+3*MIN(AG$3,$D$2-1)))))</f>
        <v>0</v>
      </c>
      <c r="AH83" s="131" t="n">
        <f aca="false">IF(OR($C83="",$B$2="",$D$2=0),0,IF(AH$3&lt;0,0,N(INDEX('CURVA PREVISION'!$A$1:$KZ$3000,$C83,11+3*MIN(AH$3,$D$2-1)))))</f>
        <v>0</v>
      </c>
      <c r="AI83" s="131" t="n">
        <f aca="false">IF(OR($C83="",$B$2="",$D$2=0),0,IF(AI$3&lt;0,0,N(INDEX('CURVA PREVISION'!$A$1:$KZ$3000,$C83,11+3*MIN(AI$3,$D$2-1)))))</f>
        <v>0</v>
      </c>
      <c r="AJ83" s="131" t="n">
        <f aca="false">IF(OR($C83="",$B$2="",$D$2=0),0,IF(AJ$3&lt;0,0,N(INDEX('CURVA PREVISION'!$A$1:$KZ$3000,$C83,11+3*MIN(AJ$3,$D$2-1)))))</f>
        <v>0</v>
      </c>
      <c r="AK83" s="131" t="n">
        <f aca="false">IF(OR($C83="",$B$2="",$D$2=0),0,IF(AK$3&lt;0,0,N(INDEX('CURVA PREVISION'!$A$1:$KZ$3000,$C83,11+3*MIN(AK$3,$D$2-1)))))</f>
        <v>0</v>
      </c>
      <c r="AL83" s="131" t="n">
        <f aca="false">IF(OR($C83="",$B$2="",$D$2=0),0,IF(AL$3&lt;0,0,N(INDEX('CURVA PREVISION'!$A$1:$KZ$3000,$C83,11+3*MIN(AL$3,$D$2-1)))))</f>
        <v>0</v>
      </c>
      <c r="AM83" s="131" t="n">
        <f aca="false">IF(OR($C83="",$B$2="",$D$2=0),0,IF(AM$3&lt;0,0,N(INDEX('CURVA PREVISION'!$A$1:$KZ$3000,$C83,11+3*MIN(AM$3,$D$2-1)))))</f>
        <v>0</v>
      </c>
      <c r="AN83" s="131" t="n">
        <f aca="false">IF(OR($C83="",$B$2="",$D$2=0),0,IF(AN$3&lt;0,0,N(INDEX('CURVA PREVISION'!$A$1:$KZ$3000,$C83,11+3*MIN(AN$3,$D$2-1)))))</f>
        <v>0</v>
      </c>
      <c r="AO83" s="131" t="n">
        <f aca="false">IF(OR($C83="",$B$2="",$D$2=0),0,IF(AO$3&lt;0,0,N(INDEX('CURVA PREVISION'!$A$1:$KZ$3000,$C83,11+3*MIN(AO$3,$D$2-1)))))</f>
        <v>0</v>
      </c>
      <c r="AP83" s="131" t="n">
        <f aca="false">IF(OR($C83="",$B$2="",$D$2=0),0,IF(AP$3&lt;0,0,N(INDEX('CURVA PREVISION'!$A$1:$KZ$3000,$C83,11+3*MIN(AP$3,$D$2-1)))))</f>
        <v>0</v>
      </c>
      <c r="AQ83" s="131" t="n">
        <f aca="false">IF(OR($C83="",$B$2="",$D$2=0),0,IF(AQ$3&lt;0,0,N(INDEX('CURVA PREVISION'!$A$1:$KZ$3000,$C83,11+3*MIN(AQ$3,$D$2-1)))))</f>
        <v>0</v>
      </c>
      <c r="AR83" s="131" t="n">
        <f aca="false">IF(OR($C83="",$B$2="",$D$2=0),0,IF(AR$3&lt;0,0,N(INDEX('CURVA PREVISION'!$A$1:$KZ$3000,$C83,11+3*MIN(AR$3,$D$2-1)))))</f>
        <v>0</v>
      </c>
      <c r="AS83" s="131" t="n">
        <f aca="false">IF(OR($C83="",$B$2="",$D$2=0),0,IF(AS$3&lt;0,0,N(INDEX('CURVA PREVISION'!$A$1:$KZ$3000,$C83,11+3*MIN(AS$3,$D$2-1)))))</f>
        <v>0</v>
      </c>
      <c r="AT83" s="131" t="n">
        <f aca="false">IF(OR($C83="",$B$2="",$D$2=0),0,IF(AT$3&lt;0,0,N(INDEX('CURVA PREVISION'!$A$1:$KZ$3000,$C83,11+3*MIN(AT$3,$D$2-1)))))</f>
        <v>0</v>
      </c>
      <c r="AU83" s="131" t="n">
        <f aca="false">IF(OR($C83="",$B$2="",$D$2=0),0,IF(AU$3&lt;0,0,N(INDEX('CURVA PREVISION'!$A$1:$KZ$3000,$C83,11+3*MIN(AU$3,$D$2-1)))))</f>
        <v>0</v>
      </c>
      <c r="AV83" s="131" t="n">
        <f aca="false">IF(OR($C83="",$B$2="",$D$2=0),0,IF(AV$3&lt;0,0,N(INDEX('CURVA PREVISION'!$A$1:$KZ$3000,$C83,11+3*MIN(AV$3,$D$2-1)))))</f>
        <v>0</v>
      </c>
      <c r="AW83" s="131" t="n">
        <f aca="false">IF(OR($C83="",$B$2="",$D$2=0),0,IF(AW$3&lt;0,0,N(INDEX('CURVA PREVISION'!$A$1:$KZ$3000,$C83,11+3*MIN(AW$3,$D$2-1)))))</f>
        <v>0</v>
      </c>
      <c r="AX83" s="131" t="n">
        <f aca="false">IF(OR($C83="",$B$2="",$D$2=0),0,IF(AX$3&lt;0,0,N(INDEX('CURVA PREVISION'!$A$1:$KZ$3000,$C83,11+3*MIN(AX$3,$D$2-1)))))</f>
        <v>0</v>
      </c>
      <c r="AY83" s="131" t="n">
        <f aca="false">IF(OR($C83="",$B$2="",$D$2=0),0,IF(AY$3&lt;0,0,N(INDEX('CURVA PREVISION'!$A$1:$KZ$3000,$C83,11+3*MIN(AY$3,$D$2-1)))))</f>
        <v>0</v>
      </c>
      <c r="AZ83" s="131" t="n">
        <f aca="false">IF(OR($C83="",$B$2="",$D$2=0),0,IF(AZ$3&lt;0,0,N(INDEX('CURVA PREVISION'!$A$1:$KZ$3000,$C83,11+3*MIN(AZ$3,$D$2-1)))))</f>
        <v>0</v>
      </c>
      <c r="BA83" s="131" t="n">
        <f aca="false">IF(OR($C83="",$B$2="",$D$2=0),0,IF(BA$3&lt;0,0,N(INDEX('CURVA PREVISION'!$A$1:$KZ$3000,$C83,11+3*MIN(BA$3,$D$2-1)))))</f>
        <v>0</v>
      </c>
      <c r="BB83" s="131" t="n">
        <f aca="false">IF(OR($C83="",$B$2="",$D$2=0),0,IF(BB$3&lt;0,0,N(INDEX('CURVA PREVISION'!$A$1:$KZ$3000,$C83,11+3*MIN(BB$3,$D$2-1)))))</f>
        <v>0</v>
      </c>
      <c r="BC83" s="131" t="n">
        <f aca="false">IF(OR($C83="",$B$2="",$D$2=0),0,IF(BC$3&lt;0,0,N(INDEX('CURVA PREVISION'!$A$1:$KZ$3000,$C83,11+3*MIN(BC$3,$D$2-1)))))</f>
        <v>0</v>
      </c>
      <c r="BD83" s="131" t="n">
        <f aca="false">IF(OR($C83="",$B$2="",$D$2=0),0,IF(BD$3&lt;0,0,N(INDEX('CURVA PREVISION'!$A$1:$KZ$3000,$C83,11+3*MIN(BD$3,$D$2-1)))))</f>
        <v>0</v>
      </c>
      <c r="BE83" s="131" t="n">
        <f aca="false">IF(OR($C83="",$B$2="",$D$2=0),0,IF(BE$3&lt;0,0,N(INDEX('CURVA PREVISION'!$A$1:$KZ$3000,$C83,11+3*MIN(BE$3,$D$2-1)))))</f>
        <v>0</v>
      </c>
      <c r="BF83" s="131" t="n">
        <f aca="false">IF(OR($C83="",$B$2="",$D$2=0),0,IF(BF$3&lt;0,0,N(INDEX('CURVA PREVISION'!$A$1:$KZ$3000,$C83,11+3*MIN(BF$3,$D$2-1)))))</f>
        <v>0</v>
      </c>
      <c r="BG83" s="131" t="n">
        <f aca="false">IF(OR($C83="",$B$2="",$D$2=0),0,IF(BG$3&lt;0,0,N(INDEX('CURVA PREVISION'!$A$1:$KZ$3000,$C83,11+3*MIN(BG$3,$D$2-1)))))</f>
        <v>0</v>
      </c>
      <c r="BH83" s="131" t="n">
        <f aca="false">IF(OR($C83="",$B$2="",$D$2=0),0,IF(BH$3&lt;0,0,N(INDEX('CURVA PREVISION'!$A$1:$KZ$3000,$C83,11+3*MIN(BH$3,$D$2-1)))))</f>
        <v>0</v>
      </c>
      <c r="BI83" s="131" t="n">
        <f aca="false">IF(OR($C83="",$B$2="",$D$2=0),0,IF(BI$3&lt;0,0,N(INDEX('CURVA PREVISION'!$A$1:$KZ$3000,$C83,11+3*MIN(BI$3,$D$2-1)))))</f>
        <v>0</v>
      </c>
      <c r="BJ83" s="131" t="n">
        <f aca="false">IF(OR($C83="",$B$2="",$D$2=0),0,IF(BJ$3&lt;0,0,N(INDEX('CURVA PREVISION'!$A$1:$KZ$3000,$C83,11+3*MIN(BJ$3,$D$2-1)))))</f>
        <v>0</v>
      </c>
      <c r="BK83" s="131" t="n">
        <f aca="false">IF(OR($C83="",$B$2="",$D$2=0),0,IF(BK$3&lt;0,0,N(INDEX('CURVA PREVISION'!$A$1:$KZ$3000,$C83,11+3*MIN(BK$3,$D$2-1)))))</f>
        <v>0</v>
      </c>
      <c r="BL83" s="131" t="n">
        <f aca="false">IF(OR($C83="",$B$2="",$D$2=0),0,IF(BL$3&lt;0,0,N(INDEX('CURVA PREVISION'!$A$1:$KZ$3000,$C83,11+3*MIN(BL$3,$D$2-1)))))</f>
        <v>0</v>
      </c>
      <c r="BM83" s="131" t="n">
        <f aca="false">IF(OR($C83="",$B$2="",$D$2=0),0,IF(BM$3&lt;0,0,N(INDEX('CURVA PREVISION'!$A$1:$KZ$3000,$C83,11+3*MIN(BM$3,$D$2-1)))))</f>
        <v>0</v>
      </c>
      <c r="BN83" s="131" t="n">
        <f aca="false">IF(OR($C83="",$B$2="",$D$2=0),0,IF(BN$3&lt;0,0,N(INDEX('CURVA PREVISION'!$A$1:$KZ$3000,$C83,11+3*MIN(BN$3,$D$2-1)))))</f>
        <v>0</v>
      </c>
      <c r="BO83" s="131" t="n">
        <f aca="false">IF(OR($C83="",$B$2="",$D$2=0),0,IF(BO$3&lt;0,0,N(INDEX('CURVA PREVISION'!$A$1:$KZ$3000,$C83,11+3*MIN(BO$3,$D$2-1)))))</f>
        <v>0</v>
      </c>
      <c r="BP83" s="131" t="n">
        <f aca="false">IF(OR($C83="",$B$2="",$D$2=0),0,IF(BP$3&lt;0,0,N(INDEX('CURVA PREVISION'!$A$1:$KZ$3000,$C83,11+3*MIN(BP$3,$D$2-1)))))</f>
        <v>0</v>
      </c>
      <c r="BQ83" s="131" t="n">
        <f aca="false">IF(OR($C83="",$B$2="",$D$2=0),0,IF(BQ$3&lt;0,0,N(INDEX('CURVA PREVISION'!$A$1:$KZ$3000,$C83,11+3*MIN(BQ$3,$D$2-1)))))</f>
        <v>0</v>
      </c>
      <c r="BR83" s="131" t="n">
        <f aca="false">IF(OR($C83="",$B$2="",$D$2=0),0,IF(BR$3&lt;0,0,N(INDEX('CURVA PREVISION'!$A$1:$KZ$3000,$C83,11+3*MIN(BR$3,$D$2-1)))))</f>
        <v>0</v>
      </c>
      <c r="BS83" s="131" t="n">
        <f aca="false">IF(OR($C83="",$B$2="",$D$2=0),0,IF(BS$3&lt;0,0,N(INDEX('CURVA PREVISION'!$A$1:$KZ$3000,$C83,11+3*MIN(BS$3,$D$2-1)))))</f>
        <v>0</v>
      </c>
      <c r="BT83" s="131" t="n">
        <f aca="false">IF(OR($C83="",$B$2="",$D$2=0),0,IF(BT$3&lt;0,0,N(INDEX('CURVA PREVISION'!$A$1:$KZ$3000,$C83,11+3*MIN(BT$3,$D$2-1)))))</f>
        <v>0</v>
      </c>
      <c r="BU83" s="131" t="n">
        <f aca="false">IF(OR($C83="",$B$2="",$D$2=0),0,IF(BU$3&lt;0,0,N(INDEX('CURVA PREVISION'!$A$1:$KZ$3000,$C83,11+3*MIN(BU$3,$D$2-1)))))</f>
        <v>0</v>
      </c>
      <c r="BV83" s="131" t="n">
        <f aca="false">IF(OR($C83="",$B$2="",$D$2=0),0,IF(BV$3&lt;0,0,N(INDEX('CURVA PREVISION'!$A$1:$KZ$3000,$C83,11+3*MIN(BV$3,$D$2-1)))))</f>
        <v>0</v>
      </c>
      <c r="BW83" s="131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str">
        <f aca="false">IFERROR(MATCH(A84,'CURVA PREVISION'!$B$1:$B$3000,0),"")</f>
        <v/>
      </c>
      <c r="D84" s="131" t="n">
        <f aca="false">IF(OR($C84="",$B$2="",$D$2=0),0,IF(D$3&lt;0,0,N(INDEX('CURVA PREVISION'!$A$1:$KZ$3000,$C84,11+3*MIN(D$3,$D$2-1)))))</f>
        <v>0</v>
      </c>
      <c r="E84" s="131" t="n">
        <f aca="false">IF(OR($C84="",$B$2="",$D$2=0),0,IF(E$3&lt;0,0,N(INDEX('CURVA PREVISION'!$A$1:$KZ$3000,$C84,11+3*MIN(E$3,$D$2-1)))))</f>
        <v>0</v>
      </c>
      <c r="F84" s="131" t="n">
        <f aca="false">IF(OR($C84="",$B$2="",$D$2=0),0,IF(F$3&lt;0,0,N(INDEX('CURVA PREVISION'!$A$1:$KZ$3000,$C84,11+3*MIN(F$3,$D$2-1)))))</f>
        <v>0</v>
      </c>
      <c r="G84" s="131" t="n">
        <f aca="false">IF(OR($C84="",$B$2="",$D$2=0),0,IF(G$3&lt;0,0,N(INDEX('CURVA PREVISION'!$A$1:$KZ$3000,$C84,11+3*MIN(G$3,$D$2-1)))))</f>
        <v>0</v>
      </c>
      <c r="H84" s="131" t="n">
        <f aca="false">IF(OR($C84="",$B$2="",$D$2=0),0,IF(H$3&lt;0,0,N(INDEX('CURVA PREVISION'!$A$1:$KZ$3000,$C84,11+3*MIN(H$3,$D$2-1)))))</f>
        <v>0</v>
      </c>
      <c r="I84" s="131" t="n">
        <f aca="false">IF(OR($C84="",$B$2="",$D$2=0),0,IF(I$3&lt;0,0,N(INDEX('CURVA PREVISION'!$A$1:$KZ$3000,$C84,11+3*MIN(I$3,$D$2-1)))))</f>
        <v>0</v>
      </c>
      <c r="J84" s="131" t="n">
        <f aca="false">IF(OR($C84="",$B$2="",$D$2=0),0,IF(J$3&lt;0,0,N(INDEX('CURVA PREVISION'!$A$1:$KZ$3000,$C84,11+3*MIN(J$3,$D$2-1)))))</f>
        <v>0</v>
      </c>
      <c r="K84" s="131" t="n">
        <f aca="false">IF(OR($C84="",$B$2="",$D$2=0),0,IF(K$3&lt;0,0,N(INDEX('CURVA PREVISION'!$A$1:$KZ$3000,$C84,11+3*MIN(K$3,$D$2-1)))))</f>
        <v>0</v>
      </c>
      <c r="L84" s="131" t="n">
        <f aca="false">IF(OR($C84="",$B$2="",$D$2=0),0,IF(L$3&lt;0,0,N(INDEX('CURVA PREVISION'!$A$1:$KZ$3000,$C84,11+3*MIN(L$3,$D$2-1)))))</f>
        <v>0</v>
      </c>
      <c r="M84" s="131" t="n">
        <f aca="false">IF(OR($C84="",$B$2="",$D$2=0),0,IF(M$3&lt;0,0,N(INDEX('CURVA PREVISION'!$A$1:$KZ$3000,$C84,11+3*MIN(M$3,$D$2-1)))))</f>
        <v>0</v>
      </c>
      <c r="N84" s="131" t="n">
        <f aca="false">IF(OR($C84="",$B$2="",$D$2=0),0,IF(N$3&lt;0,0,N(INDEX('CURVA PREVISION'!$A$1:$KZ$3000,$C84,11+3*MIN(N$3,$D$2-1)))))</f>
        <v>0</v>
      </c>
      <c r="O84" s="131" t="n">
        <f aca="false">IF(OR($C84="",$B$2="",$D$2=0),0,IF(O$3&lt;0,0,N(INDEX('CURVA PREVISION'!$A$1:$KZ$3000,$C84,11+3*MIN(O$3,$D$2-1)))))</f>
        <v>0</v>
      </c>
      <c r="P84" s="131" t="n">
        <f aca="false">IF(OR($C84="",$B$2="",$D$2=0),0,IF(P$3&lt;0,0,N(INDEX('CURVA PREVISION'!$A$1:$KZ$3000,$C84,11+3*MIN(P$3,$D$2-1)))))</f>
        <v>0</v>
      </c>
      <c r="Q84" s="131" t="n">
        <f aca="false">IF(OR($C84="",$B$2="",$D$2=0),0,IF(Q$3&lt;0,0,N(INDEX('CURVA PREVISION'!$A$1:$KZ$3000,$C84,11+3*MIN(Q$3,$D$2-1)))))</f>
        <v>0</v>
      </c>
      <c r="R84" s="131" t="n">
        <f aca="false">IF(OR($C84="",$B$2="",$D$2=0),0,IF(R$3&lt;0,0,N(INDEX('CURVA PREVISION'!$A$1:$KZ$3000,$C84,11+3*MIN(R$3,$D$2-1)))))</f>
        <v>0</v>
      </c>
      <c r="S84" s="131" t="n">
        <f aca="false">IF(OR($C84="",$B$2="",$D$2=0),0,IF(S$3&lt;0,0,N(INDEX('CURVA PREVISION'!$A$1:$KZ$3000,$C84,11+3*MIN(S$3,$D$2-1)))))</f>
        <v>0</v>
      </c>
      <c r="T84" s="131" t="n">
        <f aca="false">IF(OR($C84="",$B$2="",$D$2=0),0,IF(T$3&lt;0,0,N(INDEX('CURVA PREVISION'!$A$1:$KZ$3000,$C84,11+3*MIN(T$3,$D$2-1)))))</f>
        <v>0</v>
      </c>
      <c r="U84" s="131" t="n">
        <f aca="false">IF(OR($C84="",$B$2="",$D$2=0),0,IF(U$3&lt;0,0,N(INDEX('CURVA PREVISION'!$A$1:$KZ$3000,$C84,11+3*MIN(U$3,$D$2-1)))))</f>
        <v>0</v>
      </c>
      <c r="V84" s="131" t="n">
        <f aca="false">IF(OR($C84="",$B$2="",$D$2=0),0,IF(V$3&lt;0,0,N(INDEX('CURVA PREVISION'!$A$1:$KZ$3000,$C84,11+3*MIN(V$3,$D$2-1)))))</f>
        <v>0</v>
      </c>
      <c r="W84" s="131" t="n">
        <f aca="false">IF(OR($C84="",$B$2="",$D$2=0),0,IF(W$3&lt;0,0,N(INDEX('CURVA PREVISION'!$A$1:$KZ$3000,$C84,11+3*MIN(W$3,$D$2-1)))))</f>
        <v>0</v>
      </c>
      <c r="X84" s="131" t="n">
        <f aca="false">IF(OR($C84="",$B$2="",$D$2=0),0,IF(X$3&lt;0,0,N(INDEX('CURVA PREVISION'!$A$1:$KZ$3000,$C84,11+3*MIN(X$3,$D$2-1)))))</f>
        <v>0</v>
      </c>
      <c r="Y84" s="131" t="n">
        <f aca="false">IF(OR($C84="",$B$2="",$D$2=0),0,IF(Y$3&lt;0,0,N(INDEX('CURVA PREVISION'!$A$1:$KZ$3000,$C84,11+3*MIN(Y$3,$D$2-1)))))</f>
        <v>0</v>
      </c>
      <c r="Z84" s="131" t="n">
        <f aca="false">IF(OR($C84="",$B$2="",$D$2=0),0,IF(Z$3&lt;0,0,N(INDEX('CURVA PREVISION'!$A$1:$KZ$3000,$C84,11+3*MIN(Z$3,$D$2-1)))))</f>
        <v>0</v>
      </c>
      <c r="AA84" s="131" t="n">
        <f aca="false">IF(OR($C84="",$B$2="",$D$2=0),0,IF(AA$3&lt;0,0,N(INDEX('CURVA PREVISION'!$A$1:$KZ$3000,$C84,11+3*MIN(AA$3,$D$2-1)))))</f>
        <v>0</v>
      </c>
      <c r="AB84" s="131" t="n">
        <f aca="false">IF(OR($C84="",$B$2="",$D$2=0),0,IF(AB$3&lt;0,0,N(INDEX('CURVA PREVISION'!$A$1:$KZ$3000,$C84,11+3*MIN(AB$3,$D$2-1)))))</f>
        <v>0</v>
      </c>
      <c r="AC84" s="131" t="n">
        <f aca="false">IF(OR($C84="",$B$2="",$D$2=0),0,IF(AC$3&lt;0,0,N(INDEX('CURVA PREVISION'!$A$1:$KZ$3000,$C84,11+3*MIN(AC$3,$D$2-1)))))</f>
        <v>0</v>
      </c>
      <c r="AD84" s="131" t="n">
        <f aca="false">IF(OR($C84="",$B$2="",$D$2=0),0,IF(AD$3&lt;0,0,N(INDEX('CURVA PREVISION'!$A$1:$KZ$3000,$C84,11+3*MIN(AD$3,$D$2-1)))))</f>
        <v>0</v>
      </c>
      <c r="AE84" s="131" t="n">
        <f aca="false">IF(OR($C84="",$B$2="",$D$2=0),0,IF(AE$3&lt;0,0,N(INDEX('CURVA PREVISION'!$A$1:$KZ$3000,$C84,11+3*MIN(AE$3,$D$2-1)))))</f>
        <v>0</v>
      </c>
      <c r="AF84" s="131" t="n">
        <f aca="false">IF(OR($C84="",$B$2="",$D$2=0),0,IF(AF$3&lt;0,0,N(INDEX('CURVA PREVISION'!$A$1:$KZ$3000,$C84,11+3*MIN(AF$3,$D$2-1)))))</f>
        <v>0</v>
      </c>
      <c r="AG84" s="131" t="n">
        <f aca="false">IF(OR($C84="",$B$2="",$D$2=0),0,IF(AG$3&lt;0,0,N(INDEX('CURVA PREVISION'!$A$1:$KZ$3000,$C84,11+3*MIN(AG$3,$D$2-1)))))</f>
        <v>0</v>
      </c>
      <c r="AH84" s="131" t="n">
        <f aca="false">IF(OR($C84="",$B$2="",$D$2=0),0,IF(AH$3&lt;0,0,N(INDEX('CURVA PREVISION'!$A$1:$KZ$3000,$C84,11+3*MIN(AH$3,$D$2-1)))))</f>
        <v>0</v>
      </c>
      <c r="AI84" s="131" t="n">
        <f aca="false">IF(OR($C84="",$B$2="",$D$2=0),0,IF(AI$3&lt;0,0,N(INDEX('CURVA PREVISION'!$A$1:$KZ$3000,$C84,11+3*MIN(AI$3,$D$2-1)))))</f>
        <v>0</v>
      </c>
      <c r="AJ84" s="131" t="n">
        <f aca="false">IF(OR($C84="",$B$2="",$D$2=0),0,IF(AJ$3&lt;0,0,N(INDEX('CURVA PREVISION'!$A$1:$KZ$3000,$C84,11+3*MIN(AJ$3,$D$2-1)))))</f>
        <v>0</v>
      </c>
      <c r="AK84" s="131" t="n">
        <f aca="false">IF(OR($C84="",$B$2="",$D$2=0),0,IF(AK$3&lt;0,0,N(INDEX('CURVA PREVISION'!$A$1:$KZ$3000,$C84,11+3*MIN(AK$3,$D$2-1)))))</f>
        <v>0</v>
      </c>
      <c r="AL84" s="131" t="n">
        <f aca="false">IF(OR($C84="",$B$2="",$D$2=0),0,IF(AL$3&lt;0,0,N(INDEX('CURVA PREVISION'!$A$1:$KZ$3000,$C84,11+3*MIN(AL$3,$D$2-1)))))</f>
        <v>0</v>
      </c>
      <c r="AM84" s="131" t="n">
        <f aca="false">IF(OR($C84="",$B$2="",$D$2=0),0,IF(AM$3&lt;0,0,N(INDEX('CURVA PREVISION'!$A$1:$KZ$3000,$C84,11+3*MIN(AM$3,$D$2-1)))))</f>
        <v>0</v>
      </c>
      <c r="AN84" s="131" t="n">
        <f aca="false">IF(OR($C84="",$B$2="",$D$2=0),0,IF(AN$3&lt;0,0,N(INDEX('CURVA PREVISION'!$A$1:$KZ$3000,$C84,11+3*MIN(AN$3,$D$2-1)))))</f>
        <v>0</v>
      </c>
      <c r="AO84" s="131" t="n">
        <f aca="false">IF(OR($C84="",$B$2="",$D$2=0),0,IF(AO$3&lt;0,0,N(INDEX('CURVA PREVISION'!$A$1:$KZ$3000,$C84,11+3*MIN(AO$3,$D$2-1)))))</f>
        <v>0</v>
      </c>
      <c r="AP84" s="131" t="n">
        <f aca="false">IF(OR($C84="",$B$2="",$D$2=0),0,IF(AP$3&lt;0,0,N(INDEX('CURVA PREVISION'!$A$1:$KZ$3000,$C84,11+3*MIN(AP$3,$D$2-1)))))</f>
        <v>0</v>
      </c>
      <c r="AQ84" s="131" t="n">
        <f aca="false">IF(OR($C84="",$B$2="",$D$2=0),0,IF(AQ$3&lt;0,0,N(INDEX('CURVA PREVISION'!$A$1:$KZ$3000,$C84,11+3*MIN(AQ$3,$D$2-1)))))</f>
        <v>0</v>
      </c>
      <c r="AR84" s="131" t="n">
        <f aca="false">IF(OR($C84="",$B$2="",$D$2=0),0,IF(AR$3&lt;0,0,N(INDEX('CURVA PREVISION'!$A$1:$KZ$3000,$C84,11+3*MIN(AR$3,$D$2-1)))))</f>
        <v>0</v>
      </c>
      <c r="AS84" s="131" t="n">
        <f aca="false">IF(OR($C84="",$B$2="",$D$2=0),0,IF(AS$3&lt;0,0,N(INDEX('CURVA PREVISION'!$A$1:$KZ$3000,$C84,11+3*MIN(AS$3,$D$2-1)))))</f>
        <v>0</v>
      </c>
      <c r="AT84" s="131" t="n">
        <f aca="false">IF(OR($C84="",$B$2="",$D$2=0),0,IF(AT$3&lt;0,0,N(INDEX('CURVA PREVISION'!$A$1:$KZ$3000,$C84,11+3*MIN(AT$3,$D$2-1)))))</f>
        <v>0</v>
      </c>
      <c r="AU84" s="131" t="n">
        <f aca="false">IF(OR($C84="",$B$2="",$D$2=0),0,IF(AU$3&lt;0,0,N(INDEX('CURVA PREVISION'!$A$1:$KZ$3000,$C84,11+3*MIN(AU$3,$D$2-1)))))</f>
        <v>0</v>
      </c>
      <c r="AV84" s="131" t="n">
        <f aca="false">IF(OR($C84="",$B$2="",$D$2=0),0,IF(AV$3&lt;0,0,N(INDEX('CURVA PREVISION'!$A$1:$KZ$3000,$C84,11+3*MIN(AV$3,$D$2-1)))))</f>
        <v>0</v>
      </c>
      <c r="AW84" s="131" t="n">
        <f aca="false">IF(OR($C84="",$B$2="",$D$2=0),0,IF(AW$3&lt;0,0,N(INDEX('CURVA PREVISION'!$A$1:$KZ$3000,$C84,11+3*MIN(AW$3,$D$2-1)))))</f>
        <v>0</v>
      </c>
      <c r="AX84" s="131" t="n">
        <f aca="false">IF(OR($C84="",$B$2="",$D$2=0),0,IF(AX$3&lt;0,0,N(INDEX('CURVA PREVISION'!$A$1:$KZ$3000,$C84,11+3*MIN(AX$3,$D$2-1)))))</f>
        <v>0</v>
      </c>
      <c r="AY84" s="131" t="n">
        <f aca="false">IF(OR($C84="",$B$2="",$D$2=0),0,IF(AY$3&lt;0,0,N(INDEX('CURVA PREVISION'!$A$1:$KZ$3000,$C84,11+3*MIN(AY$3,$D$2-1)))))</f>
        <v>0</v>
      </c>
      <c r="AZ84" s="131" t="n">
        <f aca="false">IF(OR($C84="",$B$2="",$D$2=0),0,IF(AZ$3&lt;0,0,N(INDEX('CURVA PREVISION'!$A$1:$KZ$3000,$C84,11+3*MIN(AZ$3,$D$2-1)))))</f>
        <v>0</v>
      </c>
      <c r="BA84" s="131" t="n">
        <f aca="false">IF(OR($C84="",$B$2="",$D$2=0),0,IF(BA$3&lt;0,0,N(INDEX('CURVA PREVISION'!$A$1:$KZ$3000,$C84,11+3*MIN(BA$3,$D$2-1)))))</f>
        <v>0</v>
      </c>
      <c r="BB84" s="131" t="n">
        <f aca="false">IF(OR($C84="",$B$2="",$D$2=0),0,IF(BB$3&lt;0,0,N(INDEX('CURVA PREVISION'!$A$1:$KZ$3000,$C84,11+3*MIN(BB$3,$D$2-1)))))</f>
        <v>0</v>
      </c>
      <c r="BC84" s="131" t="n">
        <f aca="false">IF(OR($C84="",$B$2="",$D$2=0),0,IF(BC$3&lt;0,0,N(INDEX('CURVA PREVISION'!$A$1:$KZ$3000,$C84,11+3*MIN(BC$3,$D$2-1)))))</f>
        <v>0</v>
      </c>
      <c r="BD84" s="131" t="n">
        <f aca="false">IF(OR($C84="",$B$2="",$D$2=0),0,IF(BD$3&lt;0,0,N(INDEX('CURVA PREVISION'!$A$1:$KZ$3000,$C84,11+3*MIN(BD$3,$D$2-1)))))</f>
        <v>0</v>
      </c>
      <c r="BE84" s="131" t="n">
        <f aca="false">IF(OR($C84="",$B$2="",$D$2=0),0,IF(BE$3&lt;0,0,N(INDEX('CURVA PREVISION'!$A$1:$KZ$3000,$C84,11+3*MIN(BE$3,$D$2-1)))))</f>
        <v>0</v>
      </c>
      <c r="BF84" s="131" t="n">
        <f aca="false">IF(OR($C84="",$B$2="",$D$2=0),0,IF(BF$3&lt;0,0,N(INDEX('CURVA PREVISION'!$A$1:$KZ$3000,$C84,11+3*MIN(BF$3,$D$2-1)))))</f>
        <v>0</v>
      </c>
      <c r="BG84" s="131" t="n">
        <f aca="false">IF(OR($C84="",$B$2="",$D$2=0),0,IF(BG$3&lt;0,0,N(INDEX('CURVA PREVISION'!$A$1:$KZ$3000,$C84,11+3*MIN(BG$3,$D$2-1)))))</f>
        <v>0</v>
      </c>
      <c r="BH84" s="131" t="n">
        <f aca="false">IF(OR($C84="",$B$2="",$D$2=0),0,IF(BH$3&lt;0,0,N(INDEX('CURVA PREVISION'!$A$1:$KZ$3000,$C84,11+3*MIN(BH$3,$D$2-1)))))</f>
        <v>0</v>
      </c>
      <c r="BI84" s="131" t="n">
        <f aca="false">IF(OR($C84="",$B$2="",$D$2=0),0,IF(BI$3&lt;0,0,N(INDEX('CURVA PREVISION'!$A$1:$KZ$3000,$C84,11+3*MIN(BI$3,$D$2-1)))))</f>
        <v>0</v>
      </c>
      <c r="BJ84" s="131" t="n">
        <f aca="false">IF(OR($C84="",$B$2="",$D$2=0),0,IF(BJ$3&lt;0,0,N(INDEX('CURVA PREVISION'!$A$1:$KZ$3000,$C84,11+3*MIN(BJ$3,$D$2-1)))))</f>
        <v>0</v>
      </c>
      <c r="BK84" s="131" t="n">
        <f aca="false">IF(OR($C84="",$B$2="",$D$2=0),0,IF(BK$3&lt;0,0,N(INDEX('CURVA PREVISION'!$A$1:$KZ$3000,$C84,11+3*MIN(BK$3,$D$2-1)))))</f>
        <v>0</v>
      </c>
      <c r="BL84" s="131" t="n">
        <f aca="false">IF(OR($C84="",$B$2="",$D$2=0),0,IF(BL$3&lt;0,0,N(INDEX('CURVA PREVISION'!$A$1:$KZ$3000,$C84,11+3*MIN(BL$3,$D$2-1)))))</f>
        <v>0</v>
      </c>
      <c r="BM84" s="131" t="n">
        <f aca="false">IF(OR($C84="",$B$2="",$D$2=0),0,IF(BM$3&lt;0,0,N(INDEX('CURVA PREVISION'!$A$1:$KZ$3000,$C84,11+3*MIN(BM$3,$D$2-1)))))</f>
        <v>0</v>
      </c>
      <c r="BN84" s="131" t="n">
        <f aca="false">IF(OR($C84="",$B$2="",$D$2=0),0,IF(BN$3&lt;0,0,N(INDEX('CURVA PREVISION'!$A$1:$KZ$3000,$C84,11+3*MIN(BN$3,$D$2-1)))))</f>
        <v>0</v>
      </c>
      <c r="BO84" s="131" t="n">
        <f aca="false">IF(OR($C84="",$B$2="",$D$2=0),0,IF(BO$3&lt;0,0,N(INDEX('CURVA PREVISION'!$A$1:$KZ$3000,$C84,11+3*MIN(BO$3,$D$2-1)))))</f>
        <v>0</v>
      </c>
      <c r="BP84" s="131" t="n">
        <f aca="false">IF(OR($C84="",$B$2="",$D$2=0),0,IF(BP$3&lt;0,0,N(INDEX('CURVA PREVISION'!$A$1:$KZ$3000,$C84,11+3*MIN(BP$3,$D$2-1)))))</f>
        <v>0</v>
      </c>
      <c r="BQ84" s="131" t="n">
        <f aca="false">IF(OR($C84="",$B$2="",$D$2=0),0,IF(BQ$3&lt;0,0,N(INDEX('CURVA PREVISION'!$A$1:$KZ$3000,$C84,11+3*MIN(BQ$3,$D$2-1)))))</f>
        <v>0</v>
      </c>
      <c r="BR84" s="131" t="n">
        <f aca="false">IF(OR($C84="",$B$2="",$D$2=0),0,IF(BR$3&lt;0,0,N(INDEX('CURVA PREVISION'!$A$1:$KZ$3000,$C84,11+3*MIN(BR$3,$D$2-1)))))</f>
        <v>0</v>
      </c>
      <c r="BS84" s="131" t="n">
        <f aca="false">IF(OR($C84="",$B$2="",$D$2=0),0,IF(BS$3&lt;0,0,N(INDEX('CURVA PREVISION'!$A$1:$KZ$3000,$C84,11+3*MIN(BS$3,$D$2-1)))))</f>
        <v>0</v>
      </c>
      <c r="BT84" s="131" t="n">
        <f aca="false">IF(OR($C84="",$B$2="",$D$2=0),0,IF(BT$3&lt;0,0,N(INDEX('CURVA PREVISION'!$A$1:$KZ$3000,$C84,11+3*MIN(BT$3,$D$2-1)))))</f>
        <v>0</v>
      </c>
      <c r="BU84" s="131" t="n">
        <f aca="false">IF(OR($C84="",$B$2="",$D$2=0),0,IF(BU$3&lt;0,0,N(INDEX('CURVA PREVISION'!$A$1:$KZ$3000,$C84,11+3*MIN(BU$3,$D$2-1)))))</f>
        <v>0</v>
      </c>
      <c r="BV84" s="131" t="n">
        <f aca="false">IF(OR($C84="",$B$2="",$D$2=0),0,IF(BV$3&lt;0,0,N(INDEX('CURVA PREVISION'!$A$1:$KZ$3000,$C84,11+3*MIN(BV$3,$D$2-1)))))</f>
        <v>0</v>
      </c>
      <c r="BW84" s="131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2865</v>
      </c>
      <c r="CB1" s="132" t="n">
        <f aca="false">IF(CB$4="",0,IFERROR(1/INDEX('"INCC-FGV"'!$B$2:$B$800,MATCH(CB$4,'"INCC-FGV"'!$A$2:$A$800,0)),0))</f>
        <v>0.000929765513137587</v>
      </c>
      <c r="CC1" s="132" t="n">
        <f aca="false">IF(CC$4="",0,IFERROR(1/INDEX('"INCC-FGV"'!$B$2:$B$800,MATCH(CC$4,'"INCC-FGV"'!$A$2:$A$800,0)),0))</f>
        <v>0.000921670878702582</v>
      </c>
      <c r="CD1" s="132" t="n">
        <f aca="false">IF(CD$4="",0,IFERROR(1/INDEX('"INCC-FGV"'!$B$2:$B$800,MATCH(CD$4,'"INCC-FGV"'!$A$2:$A$800,0)),0))</f>
        <v>0.000915176835043951</v>
      </c>
      <c r="CE1" s="132" t="n">
        <f aca="false">IF(CE$4="",0,IFERROR(1/INDEX('"INCC-FGV"'!$B$2:$B$800,MATCH(CE$4,'"INCC-FGV"'!$A$2:$A$800,0)),0))</f>
        <v>0.000912626923589398</v>
      </c>
      <c r="CF1" s="132" t="n">
        <f aca="false">IF(CF$4="",0,IFERROR(1/INDEX('"INCC-FGV"'!$B$2:$B$800,MATCH(CF$4,'"INCC-FGV"'!$A$2:$A$800,0)),0))</f>
        <v>0.000907944422905985</v>
      </c>
      <c r="CG1" s="132" t="n">
        <f aca="false">IF(CG$4="",0,IFERROR(1/INDEX('"INCC-FGV"'!$B$2:$B$800,MATCH(CG$4,'"INCC-FGV"'!$A$2:$A$800,0)),0))</f>
        <v>0.000900181566621988</v>
      </c>
      <c r="CH1" s="132" t="n">
        <f aca="false">IF(CH$4="",0,IFERROR(1/INDEX('"INCC-FGV"'!$B$2:$B$800,MATCH(CH$4,'"INCC-FGV"'!$A$2:$A$800,0)),0))</f>
        <v>0.000893793231661374</v>
      </c>
      <c r="CI1" s="132" t="n">
        <f aca="false">IF(CI$4="",0,IFERROR(1/INDEX('"INCC-FGV"'!$B$2:$B$800,MATCH(CI$4,'"INCC-FGV"'!$A$2:$A$800,0)),0))</f>
        <v>0.000887377586261975</v>
      </c>
      <c r="CJ1" s="132" t="n">
        <f aca="false">IF(CJ$4="",0,IFERROR(1/INDEX('"INCC-FGV"'!$B$2:$B$800,MATCH(CJ$4,'"INCC-FGV"'!$A$2:$A$800,0)),0))</f>
        <v>0.000881231962283272</v>
      </c>
      <c r="CK1" s="132" t="n">
        <f aca="false">IF(CK$4="",0,IFERROR(1/INDEX('"INCC-FGV"'!$B$2:$B$800,MATCH(CK$4,'"INCC-FGV"'!$A$2:$A$800,0)),0))</f>
        <v>0.000876118584402636</v>
      </c>
      <c r="CL1" s="132" t="n">
        <f aca="false">IF(CL$4="",0,IFERROR(1/INDEX('"INCC-FGV"'!$B$2:$B$800,MATCH(CL$4,'"INCC-FGV"'!$A$2:$A$800,0)),0))</f>
        <v>0.00087019326992525</v>
      </c>
      <c r="CM1" s="132" t="n">
        <f aca="false">IF(CM$4="",0,IFERROR(1/INDEX('"INCC-FGV"'!$B$2:$B$800,MATCH(CM$4,'"INCC-FGV"'!$A$2:$A$800,0)),0))</f>
        <v>0.00086675767622267</v>
      </c>
      <c r="CN1" s="132" t="n">
        <f aca="false">IF(CN$4="",0,IFERROR(1/INDEX('"INCC-FGV"'!$B$2:$B$800,MATCH(CN$4,'"INCC-FGV"'!$A$2:$A$800,0)),0))</f>
        <v>0.000862413931089677</v>
      </c>
      <c r="CO1" s="132" t="n">
        <f aca="false">IF(CO$4="",0,IFERROR(1/INDEX('"INCC-FGV"'!$B$2:$B$800,MATCH(CO$4,'"INCC-FGV"'!$A$2:$A$800,0)),0))</f>
        <v>0.000855347116967008</v>
      </c>
      <c r="CP1" s="132" t="n">
        <f aca="false">IF(CP$4="",0,IFERROR(1/INDEX('"INCC-FGV"'!$B$2:$B$800,MATCH(CP$4,'"INCC-FGV"'!$A$2:$A$800,0)),0))</f>
        <v>0.000851952035100424</v>
      </c>
      <c r="CQ1" s="132" t="n">
        <f aca="false">IF(CQ$4="",0,IFERROR(1/INDEX('"INCC-FGV"'!$B$2:$B$800,MATCH(CQ$4,'"INCC-FGV"'!$A$2:$A$800,0)),0))</f>
        <v>0.000848618364440854</v>
      </c>
      <c r="CR1" s="132" t="n">
        <f aca="false">IF(CR$4="",0,IFERROR(1/INDEX('"INCC-FGV"'!$B$2:$B$800,MATCH(CR$4,'"INCC-FGV"'!$A$2:$A$800,0)),0))</f>
        <v>0.000844265160047346</v>
      </c>
      <c r="CS1" s="132" t="n">
        <f aca="false">IF(CS$4="",0,IFERROR(1/INDEX('"INCC-FGV"'!$B$2:$B$800,MATCH(CS$4,'"INCC-FGV"'!$A$2:$A$800,0)),0))</f>
        <v>0.000839400097538291</v>
      </c>
      <c r="CT1" s="132" t="n">
        <f aca="false">IF(CT$4="",0,IFERROR(1/INDEX('"INCC-FGV"'!$B$2:$B$800,MATCH(CT$4,'"INCC-FGV"'!$A$2:$A$800,0)),0))</f>
        <v>0.000833674445127131</v>
      </c>
      <c r="CU1" s="132" t="n">
        <f aca="false">IF(CU$4="",0,IFERROR(1/INDEX('"INCC-FGV"'!$B$2:$B$800,MATCH(CU$4,'"INCC-FGV"'!$A$2:$A$800,0)),0))</f>
        <v>0.000826124706828995</v>
      </c>
      <c r="CV1" s="132" t="n">
        <f aca="false">IF(CV$4="",0,IFERROR(1/INDEX('"INCC-FGV"'!$B$2:$B$800,MATCH(CV$4,'"INCC-FGV"'!$A$2:$A$800,0)),0))</f>
        <v>0.000821891237488761</v>
      </c>
      <c r="CW1" s="132" t="n">
        <f aca="false">IF(CW$4="",0,IFERROR(1/INDEX('"INCC-FGV"'!$B$2:$B$800,MATCH(CW$4,'"INCC-FGV"'!$A$2:$A$800,0)),0))</f>
        <v>0.000820514840241658</v>
      </c>
      <c r="CX1" s="132" t="n">
        <f aca="false">IF(CX$4="",0,IFERROR(1/INDEX('"INCC-FGV"'!$B$2:$B$800,MATCH(CX$4,'"INCC-FGV"'!$A$2:$A$800,0)),0))</f>
        <v>0.000818092274263799</v>
      </c>
      <c r="CY1" s="132" t="n">
        <f aca="false">IF(CY$4="",0,IFERROR(1/INDEX('"INCC-FGV"'!$B$2:$B$800,MATCH(CY$4,'"INCC-FGV"'!$A$2:$A$800,0)),0))</f>
        <v>0.000815904924230989</v>
      </c>
      <c r="CZ1" s="132" t="n">
        <f aca="false">IF(CZ$4="",0,IFERROR(1/INDEX('"INCC-FGV"'!$B$2:$B$800,MATCH(CZ$4,'"INCC-FGV"'!$A$2:$A$800,0)),0))</f>
        <v>0.000814225496494352</v>
      </c>
      <c r="DA1" s="132" t="n">
        <f aca="false">IF(DA$4="",0,IFERROR(1/INDEX('"INCC-FGV"'!$B$2:$B$800,MATCH(DA$4,'"INCC-FGV"'!$A$2:$A$800,0)),0))</f>
        <v>0.000808383911220045</v>
      </c>
      <c r="DB1" s="132" t="n">
        <f aca="false">IF(DB$4="",0,IFERROR(1/INDEX('"INCC-FGV"'!$B$2:$B$800,MATCH(DB$4,'"INCC-FGV"'!$A$2:$A$800,0)),0))</f>
        <v>0.000806138909019969</v>
      </c>
      <c r="DC1" s="132" t="n">
        <f aca="false">IF(DC$4="",0,IFERROR(1/INDEX('"INCC-FGV"'!$B$2:$B$800,MATCH(DC$4,'"INCC-FGV"'!$A$2:$A$800,0)),0))</f>
        <v>0.000801808237938198</v>
      </c>
      <c r="DD1" s="132" t="n">
        <f aca="false">IF(DD$4="",0,IFERROR(1/INDEX('"INCC-FGV"'!$B$2:$B$800,MATCH(DD$4,'"INCC-FGV"'!$A$2:$A$800,0)),0))</f>
        <v>0.000793870052998765</v>
      </c>
      <c r="DE1" s="132" t="n">
        <f aca="false">IF(DE$4="",0,IFERROR(1/INDEX('"INCC-FGV"'!$B$2:$B$800,MATCH(DE$4,'"INCC-FGV"'!$A$2:$A$800,0)),0))</f>
        <v>0.000786970909620326</v>
      </c>
      <c r="DF1" s="132" t="n">
        <f aca="false">IF(DF$4="",0,IFERROR(1/INDEX('"INCC-FGV"'!$B$2:$B$800,MATCH(DF$4,'"INCC-FGV"'!$A$2:$A$800,0)),0))</f>
        <v>0.0007808589604737</v>
      </c>
      <c r="DG1" s="132" t="n">
        <f aca="false">IF(DG$4="",0,IFERROR(1/INDEX('"INCC-FGV"'!$B$2:$B$800,MATCH(DG$4,'"INCC-FGV"'!$A$2:$A$800,0)),0))</f>
        <v>0.000776137798609316</v>
      </c>
      <c r="DH1" s="132" t="n">
        <f aca="false">IF(DH$4="",0,IFERROR(1/INDEX('"INCC-FGV"'!$B$2:$B$800,MATCH(DH$4,'"INCC-FGV"'!$A$2:$A$800,0)),0))</f>
        <v>0.000771076013444481</v>
      </c>
      <c r="DI1" s="132" t="n">
        <f aca="false">IF(DI$4="",0,IFERROR(1/INDEX('"INCC-FGV"'!$B$2:$B$800,MATCH(DI$4,'"INCC-FGV"'!$A$2:$A$800,0)),0))</f>
        <v>0.000769383462256356</v>
      </c>
      <c r="DJ1" s="132" t="n">
        <f aca="false">IF(DJ$4="",0,IFERROR(1/INDEX('"INCC-FGV"'!$B$2:$B$800,MATCH(DJ$4,'"INCC-FGV"'!$A$2:$A$800,0)),0))</f>
        <v>0</v>
      </c>
      <c r="DK1" s="132" t="n">
        <f aca="false">IF(DK$4="",0,IFERROR(1/INDEX('"INCC-FGV"'!$B$2:$B$800,MATCH(DK$4,'"INCC-FGV"'!$A$2:$A$800,0)),0))</f>
        <v>0</v>
      </c>
      <c r="DL1" s="132" t="n">
        <f aca="false">IF(DL$4="",0,IFERROR(1/INDEX('"INCC-FGV"'!$B$2:$B$800,MATCH(DL$4,'"INCC-FGV"'!$A$2:$A$800,0)),0))</f>
        <v>0</v>
      </c>
      <c r="DM1" s="132" t="n">
        <f aca="false">IF(DM$4="",0,IFERROR(1/INDEX('"INCC-FGV"'!$B$2:$B$800,MATCH(DM$4,'"INCC-FGV"'!$A$2:$A$800,0)),0))</f>
        <v>0</v>
      </c>
      <c r="DN1" s="132" t="n">
        <f aca="false">IF(DN$4="",0,IFERROR(1/INDEX('"INCC-FGV"'!$B$2:$B$800,MATCH(DN$4,'"INCC-FGV"'!$A$2:$A$800,0)),0))</f>
        <v>0</v>
      </c>
      <c r="DO1" s="132" t="n">
        <f aca="false">IF(DO$4="",0,IFERROR(1/INDEX('"INCC-FGV"'!$B$2:$B$800,MATCH(DO$4,'"INCC-FGV"'!$A$2:$A$800,0)),0))</f>
        <v>0</v>
      </c>
      <c r="DP1" s="132" t="n">
        <f aca="false">IF(DP$4="",0,IFERROR(1/INDEX('"INCC-FGV"'!$B$2:$B$800,MATCH(DP$4,'"INCC-FGV"'!$A$2:$A$800,0)),0))</f>
        <v>0</v>
      </c>
      <c r="DQ1" s="132" t="n">
        <f aca="false">IF(DQ$4="",0,IFERROR(1/INDEX('"INCC-FGV"'!$B$2:$B$800,MATCH(DQ$4,'"INCC-FGV"'!$A$2:$A$800,0)),0))</f>
        <v>0</v>
      </c>
      <c r="DR1" s="132" t="n">
        <f aca="false">IF(DR$4="",0,IFERROR(1/INDEX('"INCC-FGV"'!$B$2:$B$800,MATCH(DR$4,'"INCC-FGV"'!$A$2:$A$800,0)),0))</f>
        <v>0</v>
      </c>
      <c r="DS1" s="132" t="n">
        <f aca="false">IF(DS$4="",0,IFERROR(1/INDEX('"INCC-FGV"'!$B$2:$B$800,MATCH(DS$4,'"INCC-FGV"'!$A$2:$A$800,0)),0))</f>
        <v>0</v>
      </c>
      <c r="DT1" s="132" t="n">
        <f aca="false">IF(DT$4="",0,IFERROR(1/INDEX('"INCC-FGV"'!$B$2:$B$800,MATCH(DT$4,'"INCC-FGV"'!$A$2:$A$800,0)),0))</f>
        <v>0</v>
      </c>
      <c r="DU1" s="132" t="n">
        <f aca="false">IF(DU$4="",0,IFERROR(1/INDEX('"INCC-FGV"'!$B$2:$B$800,MATCH(DU$4,'"INCC-FGV"'!$A$2:$A$800,0)),0))</f>
        <v>0</v>
      </c>
      <c r="DV1" s="132" t="n">
        <f aca="false">IF(DV$4="",0,IFERROR(1/INDEX('"INCC-FGV"'!$B$2:$B$800,MATCH(DV$4,'"INCC-FGV"'!$A$2:$A$800,0)),0))</f>
        <v>0</v>
      </c>
      <c r="DW1" s="132" t="n">
        <f aca="false">IF(DW$4="",0,IFERROR(1/INDEX('"INCC-FGV"'!$B$2:$B$800,MATCH(DW$4,'"INCC-FGV"'!$A$2:$A$800,0)),0))</f>
        <v>0</v>
      </c>
      <c r="DX1" s="132" t="n">
        <f aca="false">IF(DX$4="",0,IFERROR(1/INDEX('"INCC-FGV"'!$B$2:$B$800,MATCH(DX$4,'"INCC-FGV"'!$A$2:$A$800,0)),0))</f>
        <v>0</v>
      </c>
      <c r="DY1" s="132" t="n">
        <f aca="false">IF(DY$4="",0,IFERROR(1/INDEX('"INCC-FGV"'!$B$2:$B$800,MATCH(DY$4,'"INCC-FGV"'!$A$2:$A$800,0)),0))</f>
        <v>0</v>
      </c>
      <c r="DZ1" s="132" t="n">
        <f aca="false">IF(DZ$4="",0,IFERROR(1/INDEX('"INCC-FGV"'!$B$2:$B$800,MATCH(DZ$4,'"INCC-FGV"'!$A$2:$A$800,0)),0))</f>
        <v>0</v>
      </c>
      <c r="EA1" s="132" t="n">
        <f aca="false">IF(EA$4="",0,IFERROR(1/INDEX('"INCC-FGV"'!$B$2:$B$800,MATCH(EA$4,'"INCC-FGV"'!$A$2:$A$800,0)),0))</f>
        <v>0</v>
      </c>
      <c r="EB1" s="132" t="n">
        <f aca="false">IF(EB$4="",0,IFERROR(1/INDEX('"INCC-FGV"'!$B$2:$B$800,MATCH(EB$4,'"INCC-FGV"'!$A$2:$A$800,0)),0))</f>
        <v>0</v>
      </c>
      <c r="EC1" s="132" t="n">
        <f aca="false">IF(EC$4="",0,IFERROR(1/INDEX('"INCC-FGV"'!$B$2:$B$800,MATCH(EC$4,'"INCC-FGV"'!$A$2:$A$800,0)),0))</f>
        <v>0</v>
      </c>
      <c r="ED1" s="132" t="n">
        <f aca="false">IF(ED$4="",0,IFERROR(1/INDEX('"INCC-FGV"'!$B$2:$B$800,MATCH(ED$4,'"INCC-FGV"'!$A$2:$A$800,0)),0))</f>
        <v>0</v>
      </c>
      <c r="EE1" s="132" t="n">
        <f aca="false">IF(EE$4="",0,IFERROR(1/INDEX('"INCC-FGV"'!$B$2:$B$800,MATCH(EE$4,'"INCC-FGV"'!$A$2:$A$800,0)),0))</f>
        <v>0</v>
      </c>
      <c r="EF1" s="132" t="n">
        <f aca="false">IF(EF$4="",0,IFERROR(1/INDEX('"INCC-FGV"'!$B$2:$B$800,MATCH(EF$4,'"INCC-FGV"'!$A$2:$A$800,0)),0))</f>
        <v>0</v>
      </c>
      <c r="EG1" s="132" t="n">
        <f aca="false">IF(EG$4="",0,IFERROR(1/INDEX('"INCC-FGV"'!$B$2:$B$800,MATCH(EG$4,'"INCC-FGV"'!$A$2:$A$800,0)),0))</f>
        <v>0</v>
      </c>
      <c r="EH1" s="132" t="n">
        <f aca="false">IF(EH$4="",0,IFERROR(1/INDEX('"INCC-FGV"'!$B$2:$B$800,MATCH(EH$4,'"INCC-FGV"'!$A$2:$A$800,0)),0))</f>
        <v>0</v>
      </c>
      <c r="EI1" s="132" t="n">
        <f aca="false">IF(EI$4="",0,IFERROR(1/INDEX('"INCC-FGV"'!$B$2:$B$800,MATCH(EI$4,'"INCC-FGV"'!$A$2:$A$800,0)),0))</f>
        <v>0</v>
      </c>
      <c r="EJ1" s="132" t="n">
        <f aca="false">IF(EJ$4="",0,IFERROR(1/INDEX('"INCC-FGV"'!$B$2:$B$800,MATCH(EJ$4,'"INCC-FGV"'!$A$2:$A$800,0)),0))</f>
        <v>0</v>
      </c>
      <c r="EK1" s="132" t="n">
        <f aca="false">IF(EK$4="",0,IFERROR(1/INDEX('"INCC-FGV"'!$B$2:$B$800,MATCH(EK$4,'"INCC-FGV"'!$A$2:$A$800,0)),0))</f>
        <v>0</v>
      </c>
      <c r="EL1" s="132" t="n">
        <f aca="false">IF(EL$4="",0,IFERROR(1/INDEX('"INCC-FGV"'!$B$2:$B$800,MATCH(EL$4,'"INCC-FGV"'!$A$2:$A$800,0)),0))</f>
        <v>0</v>
      </c>
      <c r="EM1" s="132" t="n">
        <f aca="false">IF(EM$4="",0,IFERROR(1/INDEX('"INCC-FGV"'!$B$2:$B$800,MATCH(EM$4,'"INCC-FGV"'!$A$2:$A$800,0)),0))</f>
        <v>0</v>
      </c>
      <c r="EN1" s="132" t="n">
        <f aca="false">IF(EN$4="",0,IFERROR(1/INDEX('"INCC-FGV"'!$B$2:$B$800,MATCH(EN$4,'"INCC-FGV"'!$A$2:$A$800,0)),0))</f>
        <v>0</v>
      </c>
      <c r="EO1" s="132" t="n">
        <f aca="false">IF(EO$4="",0,IFERROR(1/INDEX('"INCC-FGV"'!$B$2:$B$800,MATCH(EO$4,'"INCC-FGV"'!$A$2:$A$800,0)),0))</f>
        <v>0</v>
      </c>
      <c r="EP1" s="132" t="n">
        <f aca="false">IF(EP$4="",0,IFERROR(1/INDEX('"INCC-FGV"'!$B$2:$B$800,MATCH(EP$4,'"INCC-FGV"'!$A$2:$A$800,0)),0))</f>
        <v>0</v>
      </c>
      <c r="EQ1" s="132" t="n">
        <f aca="false">IF(EQ$4="",0,IFERROR(1/INDEX('"INCC-FGV"'!$B$2:$B$800,MATCH(EQ$4,'"INCC-FGV"'!$A$2:$A$800,0)),0))</f>
        <v>0</v>
      </c>
      <c r="ER1" s="132" t="n">
        <f aca="false">IF(ER$4="",0,IFERROR(1/INDEX('"INCC-FGV"'!$B$2:$B$800,MATCH(ER$4,'"INCC-FGV"'!$A$2:$A$800,0)),0))</f>
        <v>0</v>
      </c>
      <c r="ES1" s="132" t="n">
        <f aca="false">IF(ES$4="",0,IFERROR(1/INDEX('"INCC-FGV"'!$B$2:$B$800,MATCH(ES$4,'"INCC-FGV"'!$A$2:$A$800,0)),0))</f>
        <v>0</v>
      </c>
      <c r="ET1" s="132" t="n">
        <f aca="false">IF(ET$4="",0,IFERROR(1/INDEX('"INCC-FGV"'!$B$2:$B$800,MATCH(ET$4,'"INCC-FGV"'!$A$2:$A$800,0)),0))</f>
        <v>0</v>
      </c>
      <c r="EU1" s="132" t="n">
        <f aca="false">IF(EU$4="",0,IFERROR(1/INDEX('"INCC-FGV"'!$B$2:$B$800,MATCH(EU$4,'"INCC-FGV"'!$A$2:$A$800,0)),0))</f>
        <v>0</v>
      </c>
      <c r="EV1" s="132" t="n">
        <f aca="false">IF(EV$4="",0,IFERROR(1/INDEX('"INCC-FGV"'!$B$2:$B$800,MATCH(EV$4,'"INCC-FGV"'!$A$2:$A$800,0)),0))</f>
        <v>0</v>
      </c>
      <c r="EW1" s="132" t="n">
        <f aca="false">IF(EW$4="",0,IFERROR(1/INDEX('"INCC-FGV"'!$B$2:$B$800,MATCH(EW$4,'"INCC-FGV"'!$A$2:$A$800,0)),0))</f>
        <v>0</v>
      </c>
      <c r="EX1" s="132" t="n">
        <f aca="false">IF(EX$4="",0,IFERROR(1/INDEX('"INCC-FGV"'!$B$2:$B$800,MATCH(EX$4,'"INCC-FGV"'!$A$2:$A$800,0)),0))</f>
        <v>0</v>
      </c>
      <c r="EY1" s="132" t="n">
        <f aca="false">IF(EY$4="",0,IFERROR(1/INDEX('"INCC-FGV"'!$B$2:$B$800,MATCH(EY$4,'"INCC-FGV"'!$A$2:$A$800,0)),0))</f>
        <v>0</v>
      </c>
      <c r="EZ1" s="132" t="n">
        <f aca="false">IF(EZ$4="",0,IFERROR(1/INDEX('"INCC-FGV"'!$B$2:$B$800,MATCH(EZ$4,'"INCC-FGV"'!$A$2:$A$800,0)),0))</f>
        <v>0</v>
      </c>
      <c r="FA1" s="132" t="n">
        <f aca="false">IF(FA$4="",0,IFERROR(1/INDEX('"INCC-FGV"'!$B$2:$B$800,MATCH(FA$4,'"INCC-FGV"'!$A$2:$A$800,0)),0))</f>
        <v>0</v>
      </c>
      <c r="FB1" s="132" t="n">
        <f aca="false">IF(FB$4="",0,IFERROR(1/INDEX('"INCC-FGV"'!$B$2:$B$800,MATCH(FB$4,'"INCC-FGV"'!$A$2:$A$800,0)),0))</f>
        <v>0</v>
      </c>
      <c r="FC1" s="132" t="n">
        <f aca="false">IF(FC$4="",0,IFERROR(1/INDEX('"INCC-FGV"'!$B$2:$B$800,MATCH(FC$4,'"INCC-FGV"'!$A$2:$A$800,0)),0))</f>
        <v>0</v>
      </c>
      <c r="FD1" s="132" t="n">
        <f aca="false">IF(FD$4="",0,IFERROR(1/INDEX('"INCC-FGV"'!$B$2:$B$800,MATCH(FD$4,'"INCC-FGV"'!$A$2:$A$800,0)),0))</f>
        <v>0</v>
      </c>
      <c r="FE1" s="132" t="n">
        <f aca="false">IF(FE$4="",0,IFERROR(1/INDEX('"INCC-FGV"'!$B$2:$B$800,MATCH(FE$4,'"INCC-FGV"'!$A$2:$A$800,0)),0))</f>
        <v>0</v>
      </c>
      <c r="FF1" s="132" t="n">
        <f aca="false">IF(FF$4="",0,IFERROR(1/INDEX('"INCC-FGV"'!$B$2:$B$800,MATCH(FF$4,'"INCC-FGV"'!$A$2:$A$800,0)),0))</f>
        <v>0</v>
      </c>
      <c r="FG1" s="132" t="n">
        <f aca="false">IF(FG$4="",0,IFERROR(1/INDEX('"INCC-FGV"'!$B$2:$B$800,MATCH(FG$4,'"INCC-FGV"'!$A$2:$A$800,0)),0))</f>
        <v>0</v>
      </c>
      <c r="FH1" s="132" t="n">
        <f aca="false">IF(FH$4="",0,IFERROR(1/INDEX('"INCC-FGV"'!$B$2:$B$800,MATCH(FH$4,'"INCC-FGV"'!$A$2:$A$800,0)),0))</f>
        <v>0</v>
      </c>
      <c r="FI1" s="132" t="n">
        <f aca="false">IF(FI$4="",0,IFERROR(1/INDEX('"INCC-FGV"'!$B$2:$B$800,MATCH(FI$4,'"INCC-FGV"'!$A$2:$A$800,0)),0))</f>
        <v>0</v>
      </c>
      <c r="FJ1" s="132" t="n">
        <f aca="false">IF(FJ$4="",0,IFERROR(1/INDEX('"INCC-FGV"'!$B$2:$B$800,MATCH(FJ$4,'"INCC-FGV"'!$A$2:$A$800,0)),0))</f>
        <v>0</v>
      </c>
      <c r="FK1" s="132" t="n">
        <f aca="false">IF(FK$4="",0,IFERROR(1/INDEX('"INCC-FGV"'!$B$2:$B$800,MATCH(FK$4,'"INCC-FGV"'!$A$2:$A$800,0)),0))</f>
        <v>0</v>
      </c>
      <c r="FL1" s="132" t="n">
        <f aca="false">IF(FL$4="",0,IFERROR(1/INDEX('"INCC-FGV"'!$B$2:$B$800,MATCH(FL$4,'"INCC-FGV"'!$A$2:$A$800,0)),0))</f>
        <v>0</v>
      </c>
      <c r="FM1" s="132" t="n">
        <f aca="false">IF(FM$4="",0,IFERROR(1/INDEX('"INCC-FGV"'!$B$2:$B$800,MATCH(FM$4,'"INCC-FGV"'!$A$2:$A$800,0)),0))</f>
        <v>0</v>
      </c>
      <c r="FN1" s="132" t="n">
        <f aca="false">IF(FN$4="",0,IFERROR(1/INDEX('"INCC-FGV"'!$B$2:$B$800,MATCH(FN$4,'"INCC-FGV"'!$A$2:$A$800,0)),0))</f>
        <v>0</v>
      </c>
      <c r="FO1" s="132" t="n">
        <f aca="false">IF(FO$4="",0,IFERROR(1/INDEX('"INCC-FGV"'!$B$2:$B$800,MATCH(FO$4,'"INCC-FGV"'!$A$2:$A$800,0)),0))</f>
        <v>0</v>
      </c>
      <c r="FP1" s="132" t="n">
        <f aca="false">IF(FP$4="",0,IFERROR(1/INDEX('"INCC-FGV"'!$B$2:$B$800,MATCH(FP$4,'"INCC-FGV"'!$A$2:$A$800,0)),0))</f>
        <v>0</v>
      </c>
      <c r="FQ1" s="132" t="n">
        <f aca="false">IF(FQ$4="",0,IFERROR(1/INDEX('"INCC-FGV"'!$B$2:$B$800,MATCH(FQ$4,'"INCC-FGV"'!$A$2:$A$800,0)),0))</f>
        <v>0</v>
      </c>
      <c r="FR1" s="132" t="n">
        <f aca="false">IF(FR$4="",0,IFERROR(1/INDEX('"INCC-FGV"'!$B$2:$B$800,MATCH(FR$4,'"INCC-FGV"'!$A$2:$A$800,0)),0))</f>
        <v>0</v>
      </c>
      <c r="FS1" s="132" t="n">
        <f aca="false">IF(FS$4="",0,IFERROR(1/INDEX('"INCC-FGV"'!$B$2:$B$800,MATCH(FS$4,'"INCC-FGV"'!$A$2:$A$800,0)),0))</f>
        <v>0</v>
      </c>
      <c r="FT1" s="132" t="n">
        <f aca="false">IF(FT$4="",0,IFERROR(1/INDEX('"INCC-FGV"'!$B$2:$B$800,MATCH(FT$4,'"INCC-FGV"'!$A$2:$A$800,0)),0))</f>
        <v>0</v>
      </c>
      <c r="FU1" s="132" t="n">
        <f aca="false">IF(FU$4="",0,IFERROR(1/INDEX('"INCC-FGV"'!$B$2:$B$800,MATCH(FU$4,'"INCC-FGV"'!$A$2:$A$800,0)),0))</f>
        <v>0</v>
      </c>
      <c r="FV1" s="132" t="n">
        <f aca="false">IF(FV$4="",0,IFERROR(1/INDEX('"INCC-FGV"'!$B$2:$B$800,MATCH(FV$4,'"INCC-FGV"'!$A$2:$A$800,0)),0))</f>
        <v>0</v>
      </c>
      <c r="FW1" s="132" t="n">
        <f aca="false">IF(FW$4="",0,IFERROR(1/INDEX('"INCC-FGV"'!$B$2:$B$800,MATCH(FW$4,'"INCC-FGV"'!$A$2:$A$800,0)),0))</f>
        <v>0</v>
      </c>
      <c r="FX1" s="132" t="n">
        <f aca="false">IF(FX$4="",0,IFERROR(1/INDEX('"INCC-FGV"'!$B$2:$B$800,MATCH(FX$4,'"INCC-FGV"'!$A$2:$A$800,0)),0))</f>
        <v>0</v>
      </c>
      <c r="FY1" s="132" t="n">
        <f aca="false">IF(FY$4="",0,IFERROR(1/INDEX('"INCC-FGV"'!$B$2:$B$800,MATCH(FY$4,'"INCC-FGV"'!$A$2:$A$800,0)),0))</f>
        <v>0</v>
      </c>
      <c r="FZ1" s="132" t="n">
        <f aca="false">IF(FZ$4="",0,IFERROR(1/INDEX('"INCC-FGV"'!$B$2:$B$800,MATCH(FZ$4,'"INCC-FGV"'!$A$2:$A$800,0)),0))</f>
        <v>0</v>
      </c>
      <c r="GA1" s="132" t="n">
        <f aca="false">IF(GA$4="",0,IFERROR(1/INDEX('"INCC-FGV"'!$B$2:$B$800,MATCH(GA$4,'"INCC-FGV"'!$A$2:$A$800,0)),0))</f>
        <v>0</v>
      </c>
      <c r="GB1" s="132" t="n">
        <f aca="false">IF(GB$4="",0,IFERROR(1/INDEX('"INCC-FGV"'!$B$2:$B$800,MATCH(GB$4,'"INCC-FGV"'!$A$2:$A$800,0)),0))</f>
        <v>0</v>
      </c>
      <c r="GC1" s="132" t="n">
        <f aca="false">IF(GC$4="",0,IFERROR(1/INDEX('"INCC-FGV"'!$B$2:$B$800,MATCH(GC$4,'"INCC-FGV"'!$A$2:$A$800,0)),0))</f>
        <v>0</v>
      </c>
      <c r="GD1" s="132" t="n">
        <f aca="false">IF(GD$4="",0,IFERROR(1/INDEX('"INCC-FGV"'!$B$2:$B$800,MATCH(GD$4,'"INCC-FGV"'!$A$2:$A$800,0)),0))</f>
        <v>0</v>
      </c>
      <c r="GE1" s="132" t="n">
        <f aca="false">IF(GE$4="",0,IFERROR(1/INDEX('"INCC-FGV"'!$B$2:$B$800,MATCH(GE$4,'"INCC-FGV"'!$A$2:$A$800,0)),0))</f>
        <v>0</v>
      </c>
      <c r="GF1" s="132" t="n">
        <f aca="false">IF(GF$4="",0,IFERROR(1/INDEX('"INCC-FGV"'!$B$2:$B$800,MATCH(GF$4,'"INCC-FGV"'!$A$2:$A$800,0)),0))</f>
        <v>0</v>
      </c>
      <c r="GG1" s="132" t="n">
        <f aca="false">IF(GG$4="",0,IFERROR(1/INDEX('"INCC-FGV"'!$B$2:$B$800,MATCH(GG$4,'"INCC-FGV"'!$A$2:$A$800,0)),0))</f>
        <v>0</v>
      </c>
      <c r="GH1" s="132" t="n">
        <f aca="false">IF(GH$4="",0,IFERROR(1/INDEX('"INCC-FGV"'!$B$2:$B$800,MATCH(GH$4,'"INCC-FGV"'!$A$2:$A$800,0)),0))</f>
        <v>0</v>
      </c>
      <c r="GI1" s="132" t="n">
        <f aca="false">IF(GI$4="",0,IFERROR(1/INDEX('"INCC-FGV"'!$B$2:$B$800,MATCH(GI$4,'"INCC-FGV"'!$A$2:$A$800,0)),0))</f>
        <v>0</v>
      </c>
      <c r="GJ1" s="132" t="n">
        <f aca="false">IF(GJ$4="",0,IFERROR(1/INDEX('"INCC-FGV"'!$B$2:$B$800,MATCH(GJ$4,'"INCC-FGV"'!$A$2:$A$800,0)),0))</f>
        <v>0</v>
      </c>
      <c r="GK1" s="132" t="n">
        <f aca="false">IF(GK$4="",0,IFERROR(1/INDEX('"INCC-FGV"'!$B$2:$B$800,MATCH(GK$4,'"INCC-FGV"'!$A$2:$A$800,0)),0))</f>
        <v>0</v>
      </c>
      <c r="GL1" s="132" t="n">
        <f aca="false">IF(GL$4="",0,IFERROR(1/INDEX('"INCC-FGV"'!$B$2:$B$800,MATCH(GL$4,'"INCC-FGV"'!$A$2:$A$800,0)),0))</f>
        <v>0</v>
      </c>
      <c r="GM1" s="132" t="n">
        <f aca="false">IF(GM$4="",0,IFERROR(1/INDEX('"INCC-FGV"'!$B$2:$B$800,MATCH(GM$4,'"INCC-FGV"'!$A$2:$A$800,0)),0))</f>
        <v>0</v>
      </c>
      <c r="GN1" s="132" t="n">
        <f aca="false">IF(GN$4="",0,IFERROR(1/INDEX('"INCC-FGV"'!$B$2:$B$800,MATCH(GN$4,'"INCC-FGV"'!$A$2:$A$800,0)),0))</f>
        <v>0</v>
      </c>
      <c r="GO1" s="132" t="n">
        <f aca="false">IF(GO$4="",0,IFERROR(1/INDEX('"INCC-FGV"'!$B$2:$B$800,MATCH(GO$4,'"INCC-FGV"'!$A$2:$A$800,0)),0))</f>
        <v>0</v>
      </c>
      <c r="GP1" s="132" t="n">
        <f aca="false">IF(GP$4="",0,IFERROR(1/INDEX('"INCC-FGV"'!$B$2:$B$800,MATCH(GP$4,'"INCC-FGV"'!$A$2:$A$800,0)),0))</f>
        <v>0</v>
      </c>
      <c r="GQ1" s="132" t="n">
        <f aca="false">IF(GQ$4="",0,IFERROR(1/INDEX('"INCC-FGV"'!$B$2:$B$800,MATCH(GQ$4,'"INCC-FGV"'!$A$2:$A$800,0)),0))</f>
        <v>0</v>
      </c>
      <c r="GR1" s="132" t="n">
        <f aca="false">IF(GR$4="",0,IFERROR(1/INDEX('"INCC-FGV"'!$B$2:$B$800,MATCH(GR$4,'"INCC-FGV"'!$A$2:$A$800,0)),0))</f>
        <v>0</v>
      </c>
      <c r="GS1" s="132" t="n">
        <f aca="false">IF(GS$4="",0,IFERROR(1/INDEX('"INCC-FGV"'!$B$2:$B$800,MATCH(GS$4,'"INCC-FGV"'!$A$2:$A$800,0)),0))</f>
        <v>0</v>
      </c>
      <c r="GT1" s="132" t="n">
        <f aca="false">IF(GT$4="",0,IFERROR(1/INDEX('"INCC-FGV"'!$B$2:$B$800,MATCH(GT$4,'"INCC-FGV"'!$A$2:$A$800,0)),0))</f>
        <v>0</v>
      </c>
      <c r="GU1" s="132" t="n">
        <f aca="false">IF(GU$4="",0,IFERROR(1/INDEX('"INCC-FGV"'!$B$2:$B$800,MATCH(GU$4,'"INCC-FGV"'!$A$2:$A$800,0)),0))</f>
        <v>0</v>
      </c>
      <c r="GV1" s="132" t="n">
        <f aca="false">IF(GV$4="",0,IFERROR(1/INDEX('"INCC-FGV"'!$B$2:$B$800,MATCH(GV$4,'"INCC-FGV"'!$A$2:$A$800,0)),0))</f>
        <v>0</v>
      </c>
      <c r="GW1" s="132" t="n">
        <f aca="false">IF(GW$4="",0,IFERROR(1/INDEX('"INCC-FGV"'!$B$2:$B$800,MATCH(GW$4,'"INCC-FGV"'!$A$2:$A$800,0)),0))</f>
        <v>0</v>
      </c>
      <c r="GX1" s="132" t="n">
        <f aca="false">IF(GX$4="",0,IFERROR(1/INDEX('"INCC-FGV"'!$B$2:$B$800,MATCH(GX$4,'"INCC-FGV"'!$A$2:$A$800,0)),0))</f>
        <v>0</v>
      </c>
      <c r="GY1" s="132" t="n">
        <f aca="false">IF(GY$4="",0,IFERROR(1/INDEX('"INCC-FGV"'!$B$2:$B$800,MATCH(GY$4,'"INCC-FGV"'!$A$2:$A$800,0)),0))</f>
        <v>0</v>
      </c>
      <c r="GZ1" s="132" t="n">
        <f aca="false">IF(GZ$4="",0,IFERROR(1/INDEX('"INCC-FGV"'!$B$2:$B$800,MATCH(GZ$4,'"INCC-FGV"'!$A$2:$A$800,0)),0))</f>
        <v>0</v>
      </c>
      <c r="HA1" s="132" t="n">
        <f aca="false">IF(HA$4="",0,IFERROR(1/INDEX('"INCC-FGV"'!$B$2:$B$800,MATCH(HA$4,'"INCC-FGV"'!$A$2:$A$800,0)),0))</f>
        <v>0</v>
      </c>
      <c r="HB1" s="132" t="n">
        <f aca="false">IF(HB$4="",0,IFERROR(1/INDEX('"INCC-FGV"'!$B$2:$B$800,MATCH(HB$4,'"INCC-FGV"'!$A$2:$A$800,0)),0))</f>
        <v>0</v>
      </c>
      <c r="HC1" s="132" t="n">
        <f aca="false">IF(HC$4="",0,IFERROR(1/INDEX('"INCC-FGV"'!$B$2:$B$800,MATCH(HC$4,'"INCC-FGV"'!$A$2:$A$800,0)),0))</f>
        <v>0</v>
      </c>
      <c r="HD1" s="132" t="n">
        <f aca="false">IF(HD$4="",0,IFERROR(1/INDEX('"INCC-FGV"'!$B$2:$B$800,MATCH(HD$4,'"INCC-FGV"'!$A$2:$A$800,0)),0))</f>
        <v>0</v>
      </c>
      <c r="HE1" s="132" t="n">
        <f aca="false">IF(HE$4="",0,IFERROR(1/INDEX('"INCC-FGV"'!$B$2:$B$800,MATCH(HE$4,'"INCC-FGV"'!$A$2:$A$800,0)),0))</f>
        <v>0</v>
      </c>
      <c r="HF1" s="132" t="n">
        <f aca="false">IF(HF$4="",0,IFERROR(1/INDEX('"INCC-FGV"'!$B$2:$B$800,MATCH(HF$4,'"INCC-FGV"'!$A$2:$A$800,0)),0))</f>
        <v>0</v>
      </c>
      <c r="HG1" s="132" t="n">
        <f aca="false">IF(HG$4="",0,IFERROR(1/INDEX('"INCC-FGV"'!$B$2:$B$800,MATCH(HG$4,'"INCC-FGV"'!$A$2:$A$800,0)),0))</f>
        <v>0</v>
      </c>
      <c r="HH1" s="132" t="n">
        <f aca="false">IF(HH$4="",0,IFERROR(1/INDEX('"INCC-FGV"'!$B$2:$B$800,MATCH(HH$4,'"INCC-FGV"'!$A$2:$A$800,0)),0))</f>
        <v>0</v>
      </c>
      <c r="HI1" s="132" t="n">
        <f aca="false">IF(HI$4="",0,IFERROR(1/INDEX('"INCC-FGV"'!$B$2:$B$800,MATCH(HI$4,'"INCC-FGV"'!$A$2:$A$800,0)),0))</f>
        <v>0</v>
      </c>
      <c r="HJ1" s="132" t="n">
        <f aca="false">IF(HJ$4="",0,IFERROR(1/INDEX('"INCC-FGV"'!$B$2:$B$800,MATCH(HJ$4,'"INCC-FGV"'!$A$2:$A$800,0)),0))</f>
        <v>0</v>
      </c>
      <c r="HK1" s="132" t="n">
        <f aca="false">IF(HK$4="",0,IFERROR(1/INDEX('"INCC-FGV"'!$B$2:$B$800,MATCH(HK$4,'"INCC-FGV"'!$A$2:$A$800,0)),0))</f>
        <v>0</v>
      </c>
      <c r="HL1" s="132" t="n">
        <f aca="false">IF(HL$4="",0,IFERROR(1/INDEX('"INCC-FGV"'!$B$2:$B$800,MATCH(HL$4,'"INCC-FGV"'!$A$2:$A$800,0)),0))</f>
        <v>0</v>
      </c>
      <c r="HM1" s="132" t="n">
        <f aca="false">IF(HM$4="",0,IFERROR(1/INDEX('"INCC-FGV"'!$B$2:$B$800,MATCH(HM$4,'"INCC-FGV"'!$A$2:$A$800,0)),0))</f>
        <v>0</v>
      </c>
      <c r="HN1" s="132" t="n">
        <f aca="false">IF(HN$4="",0,IFERROR(1/INDEX('"INCC-FGV"'!$B$2:$B$800,MATCH(HN$4,'"INCC-FGV"'!$A$2:$A$800,0)),0))</f>
        <v>0</v>
      </c>
      <c r="HO1" s="132" t="n">
        <f aca="false">IF(HO$4="",0,IFERROR(1/INDEX('"INCC-FGV"'!$B$2:$B$800,MATCH(HO$4,'"INCC-FGV"'!$A$2:$A$800,0)),0))</f>
        <v>0</v>
      </c>
      <c r="HP1" s="132" t="n">
        <f aca="false">IF(HP$4="",0,IFERROR(1/INDEX('"INCC-FGV"'!$B$2:$B$800,MATCH(HP$4,'"INCC-FGV"'!$A$2:$A$800,0)),0))</f>
        <v>0</v>
      </c>
      <c r="HQ1" s="132" t="n">
        <f aca="false">IF(HQ$4="",0,IFERROR(1/INDEX('"INCC-FGV"'!$B$2:$B$800,MATCH(HQ$4,'"INCC-FGV"'!$A$2:$A$800,0)),0))</f>
        <v>0</v>
      </c>
      <c r="HR1" s="132" t="n">
        <f aca="false">IF(HR$4="",0,IFERROR(1/INDEX('"INCC-FGV"'!$B$2:$B$800,MATCH(HR$4,'"INCC-FGV"'!$A$2:$A$800,0)),0))</f>
        <v>0</v>
      </c>
      <c r="HS1" s="132" t="n">
        <f aca="false">IF(HS$4="",0,IFERROR(1/INDEX('"INCC-FGV"'!$B$2:$B$800,MATCH(HS$4,'"INCC-FGV"'!$A$2:$A$800,0)),0))</f>
        <v>0</v>
      </c>
      <c r="HT1" s="132" t="n">
        <f aca="false">IF(HT$4="",0,IFERROR(1/INDEX('"INCC-FGV"'!$B$2:$B$800,MATCH(HT$4,'"INCC-FGV"'!$A$2:$A$800,0)),0))</f>
        <v>0</v>
      </c>
      <c r="HU1" s="132" t="n">
        <f aca="false">IF(HU$4="",0,IFERROR(1/INDEX('"INCC-FGV"'!$B$2:$B$800,MATCH(HU$4,'"INCC-FGV"'!$A$2:$A$800,0)),0))</f>
        <v>0</v>
      </c>
      <c r="HV1" s="132" t="n">
        <f aca="false">IF(HV$4="",0,IFERROR(1/INDEX('"INCC-FGV"'!$B$2:$B$800,MATCH(HV$4,'"INCC-FGV"'!$A$2:$A$800,0)),0))</f>
        <v>0</v>
      </c>
      <c r="HW1" s="132" t="n">
        <f aca="false">IF(HW$4="",0,IFERROR(1/INDEX('"INCC-FGV"'!$B$2:$B$800,MATCH(HW$4,'"INCC-FGV"'!$A$2:$A$800,0)),0))</f>
        <v>0</v>
      </c>
      <c r="HX1" s="132" t="n">
        <f aca="false">IF(HX$4="",0,IFERROR(1/INDEX('"INCC-FGV"'!$B$2:$B$800,MATCH(HX$4,'"INCC-FGV"'!$A$2:$A$800,0)),0))</f>
        <v>0</v>
      </c>
      <c r="HY1" s="132" t="n">
        <f aca="false">IF(HY$4="",0,IFERROR(1/INDEX('"INCC-FGV"'!$B$2:$B$800,MATCH(HY$4,'"INCC-FGV"'!$A$2:$A$800,0)),0))</f>
        <v>0</v>
      </c>
      <c r="HZ1" s="132" t="n">
        <f aca="false">IF(HZ$4="",0,IFERROR(1/INDEX('"INCC-FGV"'!$B$2:$B$800,MATCH(HZ$4,'"INCC-FGV"'!$A$2:$A$800,0)),0))</f>
        <v>0</v>
      </c>
      <c r="IA1" s="132" t="n">
        <f aca="false">IF(IA$4="",0,IFERROR(1/INDEX('"INCC-FGV"'!$B$2:$B$800,MATCH(IA$4,'"INCC-FGV"'!$A$2:$A$800,0)),0))</f>
        <v>0</v>
      </c>
      <c r="IB1" s="132" t="n">
        <f aca="false">IF(IB$4="",0,IFERROR(1/INDEX('"INCC-FGV"'!$B$2:$B$800,MATCH(IB$4,'"INCC-FGV"'!$A$2:$A$800,0)),0))</f>
        <v>0</v>
      </c>
      <c r="IC1" s="132" t="n">
        <f aca="false">IF(IC$4="",0,IFERROR(1/INDEX('"INCC-FGV"'!$B$2:$B$800,MATCH(IC$4,'"INCC-FGV"'!$A$2:$A$800,0)),0))</f>
        <v>0</v>
      </c>
      <c r="ID1" s="132" t="n">
        <f aca="false">IF(ID$4="",0,IFERROR(1/INDEX('"INCC-FGV"'!$B$2:$B$800,MATCH(ID$4,'"INCC-FGV"'!$A$2:$A$800,0)),0))</f>
        <v>0</v>
      </c>
      <c r="IE1" s="132" t="n">
        <f aca="false">IF(IE$4="",0,IFERROR(1/INDEX('"INCC-FGV"'!$B$2:$B$800,MATCH(IE$4,'"INCC-FGV"'!$A$2:$A$800,0)),0))</f>
        <v>0</v>
      </c>
      <c r="IF1" s="132" t="n">
        <f aca="false">IF(IF$4="",0,IFERROR(1/INDEX('"INCC-FGV"'!$B$2:$B$800,MATCH(IF$4,'"INCC-FGV"'!$A$2:$A$800,0)),0))</f>
        <v>0</v>
      </c>
      <c r="IG1" s="132" t="n">
        <f aca="false">IF(IG$4="",0,IFERROR(1/INDEX('"INCC-FGV"'!$B$2:$B$800,MATCH(IG$4,'"INCC-FGV"'!$A$2:$A$800,0)),0))</f>
        <v>0</v>
      </c>
      <c r="IH1" s="132" t="n">
        <f aca="false">IF(IH$4="",0,IFERROR(1/INDEX('"INCC-FGV"'!$B$2:$B$800,MATCH(IH$4,'"INCC-FGV"'!$A$2:$A$800,0)),0))</f>
        <v>0</v>
      </c>
      <c r="II1" s="132" t="n">
        <f aca="false">IF(II$4="",0,IFERROR(1/INDEX('"INCC-FGV"'!$B$2:$B$800,MATCH(II$4,'"INCC-FGV"'!$A$2:$A$800,0)),0))</f>
        <v>0</v>
      </c>
      <c r="IJ1" s="132" t="n">
        <f aca="false">IF(IJ$4="",0,IFERROR(1/INDEX('"INCC-FGV"'!$B$2:$B$800,MATCH(IJ$4,'"INCC-FGV"'!$A$2:$A$800,0)),0))</f>
        <v>0</v>
      </c>
      <c r="IK1" s="132" t="n">
        <f aca="false">IF(IK$4="",0,IFERROR(1/INDEX('"INCC-FGV"'!$B$2:$B$800,MATCH(IK$4,'"INCC-FGV"'!$A$2:$A$800,0)),0))</f>
        <v>0</v>
      </c>
      <c r="IL1" s="132" t="n">
        <f aca="false">IF(IL$4="",0,IFERROR(1/INDEX('"INCC-FGV"'!$B$2:$B$800,MATCH(IL$4,'"INCC-FGV"'!$A$2:$A$800,0)),0))</f>
        <v>0</v>
      </c>
      <c r="IM1" s="132" t="n">
        <f aca="false">IF(IM$4="",0,IFERROR(1/INDEX('"INCC-FGV"'!$B$2:$B$800,MATCH(IM$4,'"INCC-FGV"'!$A$2:$A$800,0)),0))</f>
        <v>0</v>
      </c>
      <c r="IN1" s="132" t="n">
        <f aca="false">IF(IN$4="",0,IFERROR(1/INDEX('"INCC-FGV"'!$B$2:$B$800,MATCH(IN$4,'"INCC-FGV"'!$A$2:$A$800,0)),0))</f>
        <v>0</v>
      </c>
      <c r="IO1" s="132" t="n">
        <f aca="false">IF(IO$4="",0,IFERROR(1/INDEX('"INCC-FGV"'!$B$2:$B$800,MATCH(IO$4,'"INCC-FGV"'!$A$2:$A$800,0)),0))</f>
        <v>0</v>
      </c>
      <c r="IP1" s="132" t="n">
        <f aca="false">IF(IP$4="",0,IFERROR(1/INDEX('"INCC-FGV"'!$B$2:$B$800,MATCH(IP$4,'"INCC-FGV"'!$A$2:$A$800,0)),0))</f>
        <v>0</v>
      </c>
      <c r="IQ1" s="132" t="n">
        <f aca="false">IF(IQ$4="",0,IFERROR(1/INDEX('"INCC-FGV"'!$B$2:$B$800,MATCH(IQ$4,'"INCC-FGV"'!$A$2:$A$800,0)),0))</f>
        <v>0</v>
      </c>
      <c r="IR1" s="132" t="n">
        <f aca="false">IF(IR$4="",0,IFERROR(1/INDEX('"INCC-FGV"'!$B$2:$B$800,MATCH(IR$4,'"INCC-FGV"'!$A$2:$A$800,0)),0))</f>
        <v>0</v>
      </c>
      <c r="IS1" s="132" t="n">
        <f aca="false">IF(IS$4="",0,IFERROR(1/INDEX('"INCC-FGV"'!$B$2:$B$800,MATCH(IS$4,'"INCC-FGV"'!$A$2:$A$800,0)),0))</f>
        <v>0</v>
      </c>
      <c r="IT1" s="132" t="n">
        <f aca="false">IF(IT$4="",0,IFERROR(1/INDEX('"INCC-FGV"'!$B$2:$B$800,MATCH(IT$4,'"INCC-FGV"'!$A$2:$A$800,0)),0))</f>
        <v>0</v>
      </c>
      <c r="IU1" s="132" t="n">
        <f aca="false">IF(IU$4="",0,IFERROR(1/INDEX('"INCC-FGV"'!$B$2:$B$800,MATCH(IU$4,'"INCC-FGV"'!$A$2:$A$800,0)),0))</f>
        <v>0</v>
      </c>
      <c r="IV1" s="132" t="n">
        <f aca="false">IF(IV$4="",0,IFERROR(1/INDEX('"INCC-FGV"'!$B$2:$B$800,MATCH(IV$4,'"INCC-FGV"'!$A$2:$A$800,0)),0))</f>
        <v>0</v>
      </c>
      <c r="IW1" s="132" t="n">
        <f aca="false">IF(IW$4="",0,IFERROR(1/INDEX('"INCC-FGV"'!$B$2:$B$800,MATCH(IW$4,'"INCC-FGV"'!$A$2:$A$800,0)),0))</f>
        <v>0</v>
      </c>
      <c r="IX1" s="132" t="n">
        <f aca="false">IF(IX$4="",0,IFERROR(1/INDEX('"INCC-FGV"'!$B$2:$B$800,MATCH(IX$4,'"INCC-FGV"'!$A$2:$A$800,0)),0))</f>
        <v>0</v>
      </c>
      <c r="IY1" s="132" t="n">
        <f aca="false">IF(IY$4="",0,IFERROR(1/INDEX('"INCC-FGV"'!$B$2:$B$800,MATCH(IY$4,'"INCC-FGV"'!$A$2:$A$800,0)),0))</f>
        <v>0</v>
      </c>
      <c r="IZ1" s="132" t="n">
        <f aca="false">IF(IZ$4="",0,IFERROR(1/INDEX('"INCC-FGV"'!$B$2:$B$800,MATCH(IZ$4,'"INCC-FGV"'!$A$2:$A$800,0)),0))</f>
        <v>0</v>
      </c>
      <c r="JA1" s="132" t="n">
        <f aca="false">IF(JA$4="",0,IFERROR(1/INDEX('"INCC-FGV"'!$B$2:$B$800,MATCH(JA$4,'"INCC-FGV"'!$A$2:$A$800,0)),0))</f>
        <v>0</v>
      </c>
      <c r="JB1" s="132" t="n">
        <f aca="false">IF(JB$4="",0,IFERROR(1/INDEX('"INCC-FGV"'!$B$2:$B$800,MATCH(JB$4,'"INCC-FGV"'!$A$2:$A$800,0)),0))</f>
        <v>0</v>
      </c>
      <c r="JC1" s="132" t="n">
        <f aca="false">IF(JC$4="",0,IFERROR(1/INDEX('"INCC-FGV"'!$B$2:$B$800,MATCH(JC$4,'"INCC-FGV"'!$A$2:$A$800,0)),0))</f>
        <v>0</v>
      </c>
      <c r="JD1" s="132" t="n">
        <f aca="false">IF(JD$4="",0,IFERROR(1/INDEX('"INCC-FGV"'!$B$2:$B$800,MATCH(JD$4,'"INCC-FGV"'!$A$2:$A$800,0)),0))</f>
        <v>0</v>
      </c>
      <c r="JE1" s="132" t="n">
        <f aca="false">IF(JE$4="",0,IFERROR(1/INDEX('"INCC-FGV"'!$B$2:$B$800,MATCH(JE$4,'"INCC-FGV"'!$A$2:$A$800,0)),0))</f>
        <v>0</v>
      </c>
      <c r="JF1" s="132" t="n">
        <f aca="false">IF(JF$4="",0,IFERROR(1/INDEX('"INCC-FGV"'!$B$2:$B$800,MATCH(JF$4,'"INCC-FGV"'!$A$2:$A$800,0)),0))</f>
        <v>0</v>
      </c>
      <c r="JG1" s="132" t="n">
        <f aca="false">IF(JG$4="",0,IFERROR(1/INDEX('"INCC-FGV"'!$B$2:$B$800,MATCH(JG$4,'"INCC-FGV"'!$A$2:$A$800,0)),0))</f>
        <v>0</v>
      </c>
      <c r="JH1" s="132" t="n">
        <f aca="false">IF(JH$4="",0,IFERROR(1/INDEX('"INCC-FGV"'!$B$2:$B$800,MATCH(JH$4,'"INCC-FGV"'!$A$2:$A$800,0)),0))</f>
        <v>0</v>
      </c>
      <c r="JI1" s="132" t="n">
        <f aca="false">IF(JI$4="",0,IFERROR(1/INDEX('"INCC-FGV"'!$B$2:$B$800,MATCH(JI$4,'"INCC-FGV"'!$A$2:$A$800,0)),0))</f>
        <v>0</v>
      </c>
      <c r="JJ1" s="132" t="n">
        <f aca="false">IF(JJ$4="",0,IFERROR(1/INDEX('"INCC-FGV"'!$B$2:$B$800,MATCH(JJ$4,'"INCC-FGV"'!$A$2:$A$800,0)),0))</f>
        <v>0</v>
      </c>
      <c r="JK1" s="132" t="n">
        <f aca="false">IF(JK$4="",0,IFERROR(1/INDEX('"INCC-FGV"'!$B$2:$B$800,MATCH(JK$4,'"INCC-FGV"'!$A$2:$A$800,0)),0))</f>
        <v>0</v>
      </c>
      <c r="JL1" s="132" t="n">
        <f aca="false">IF(JL$4="",0,IFERROR(1/INDEX('"INCC-FGV"'!$B$2:$B$800,MATCH(JL$4,'"INCC-FGV"'!$A$2:$A$800,0)),0))</f>
        <v>0</v>
      </c>
      <c r="JM1" s="132" t="n">
        <f aca="false">IF(JM$4="",0,IFERROR(1/INDEX('"INCC-FGV"'!$B$2:$B$800,MATCH(JM$4,'"INCC-FGV"'!$A$2:$A$800,0)),0))</f>
        <v>0</v>
      </c>
      <c r="JN1" s="132" t="n">
        <f aca="false">IF(JN$4="",0,IFERROR(1/INDEX('"INCC-FGV"'!$B$2:$B$800,MATCH(JN$4,'"INCC-FGV"'!$A$2:$A$800,0)),0))</f>
        <v>0</v>
      </c>
      <c r="JO1" s="132" t="n">
        <f aca="false">IF(JO$4="",0,IFERROR(1/INDEX('"INCC-FGV"'!$B$2:$B$800,MATCH(JO$4,'"INCC-FGV"'!$A$2:$A$800,0)),0))</f>
        <v>0</v>
      </c>
      <c r="JP1" s="132" t="n">
        <f aca="false">IF(JP$4="",0,IFERROR(1/INDEX('"INCC-FGV"'!$B$2:$B$800,MATCH(JP$4,'"INCC-FGV"'!$A$2:$A$800,0)),0))</f>
        <v>0</v>
      </c>
      <c r="JQ1" s="132" t="n">
        <f aca="false">IF(JQ$4="",0,IFERROR(1/INDEX('"INCC-FGV"'!$B$2:$B$800,MATCH(JQ$4,'"INCC-FGV"'!$A$2:$A$800,0)),0))</f>
        <v>0</v>
      </c>
      <c r="JR1" s="132" t="n">
        <f aca="false">IF(JR$4="",0,IFERROR(1/INDEX('"INCC-FGV"'!$B$2:$B$800,MATCH(JR$4,'"INCC-FGV"'!$A$2:$A$800,0)),0))</f>
        <v>0</v>
      </c>
      <c r="JS1" s="132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2866</v>
      </c>
      <c r="C2" s="63" t="n">
        <f aca="false">SUMPRODUCT(('DADOS BRUTOS'!$A$3:$A$500&lt;&gt;"")*(COUNTIF($B$5:$C$42,'DADOS BRUTOS'!$A$3:$A$500)=0)*(COUNTIF($A$50:$A$69,'DADOS BRUTOS'!$A$3:$A$500)=0))</f>
        <v>0</v>
      </c>
      <c r="CB2" s="123" t="s">
        <v>2867</v>
      </c>
    </row>
    <row r="3" customFormat="false" ht="15" hidden="false" customHeight="false" outlineLevel="0" collapsed="false">
      <c r="D3" s="123" t="s">
        <v>2868</v>
      </c>
      <c r="CB3" s="123" t="str">
        <f aca="false">"B"</f>
        <v>B</v>
      </c>
      <c r="CC3" s="123" t="str">
        <f aca="false">"C"</f>
        <v>C</v>
      </c>
      <c r="CD3" s="123" t="str">
        <f aca="false">"D"</f>
        <v>D</v>
      </c>
      <c r="CE3" s="123" t="str">
        <f aca="false">"E"</f>
        <v>E</v>
      </c>
      <c r="CF3" s="123" t="str">
        <f aca="false">"F"</f>
        <v>F</v>
      </c>
      <c r="CG3" s="123" t="str">
        <f aca="false">"G"</f>
        <v>G</v>
      </c>
      <c r="CH3" s="123" t="str">
        <f aca="false">"H"</f>
        <v>H</v>
      </c>
      <c r="CI3" s="123" t="str">
        <f aca="false">"I"</f>
        <v>I</v>
      </c>
      <c r="CJ3" s="123" t="str">
        <f aca="false">"J"</f>
        <v>J</v>
      </c>
      <c r="CK3" s="123" t="str">
        <f aca="false">"K"</f>
        <v>K</v>
      </c>
      <c r="CL3" s="123" t="str">
        <f aca="false">"L"</f>
        <v>L</v>
      </c>
      <c r="CM3" s="123" t="str">
        <f aca="false">"M"</f>
        <v>M</v>
      </c>
      <c r="CN3" s="123" t="str">
        <f aca="false">"N"</f>
        <v>N</v>
      </c>
      <c r="CO3" s="123" t="str">
        <f aca="false">"O"</f>
        <v>O</v>
      </c>
      <c r="CP3" s="123" t="str">
        <f aca="false">"P"</f>
        <v>P</v>
      </c>
      <c r="CQ3" s="123" t="str">
        <f aca="false">"Q"</f>
        <v>Q</v>
      </c>
      <c r="CR3" s="123" t="str">
        <f aca="false">"R"</f>
        <v>R</v>
      </c>
      <c r="CS3" s="123" t="str">
        <f aca="false">"S"</f>
        <v>S</v>
      </c>
      <c r="CT3" s="123" t="str">
        <f aca="false">"T"</f>
        <v>T</v>
      </c>
      <c r="CU3" s="123" t="str">
        <f aca="false">"U"</f>
        <v>U</v>
      </c>
      <c r="CV3" s="123" t="str">
        <f aca="false">"V"</f>
        <v>V</v>
      </c>
      <c r="CW3" s="123" t="str">
        <f aca="false">"W"</f>
        <v>W</v>
      </c>
      <c r="CX3" s="123" t="str">
        <f aca="false">"X"</f>
        <v>X</v>
      </c>
      <c r="CY3" s="123" t="str">
        <f aca="false">"Y"</f>
        <v>Y</v>
      </c>
      <c r="CZ3" s="123" t="str">
        <f aca="false">"Z"</f>
        <v>Z</v>
      </c>
      <c r="DA3" s="123" t="str">
        <f aca="false">"AA"</f>
        <v>AA</v>
      </c>
      <c r="DB3" s="123" t="str">
        <f aca="false">"AB"</f>
        <v>AB</v>
      </c>
      <c r="DC3" s="123" t="str">
        <f aca="false">"AC"</f>
        <v>AC</v>
      </c>
      <c r="DD3" s="123" t="str">
        <f aca="false">"AD"</f>
        <v>AD</v>
      </c>
      <c r="DE3" s="123" t="str">
        <f aca="false">"AE"</f>
        <v>AE</v>
      </c>
      <c r="DF3" s="123" t="str">
        <f aca="false">"AF"</f>
        <v>AF</v>
      </c>
      <c r="DG3" s="123" t="str">
        <f aca="false">"AG"</f>
        <v>AG</v>
      </c>
      <c r="DH3" s="123" t="str">
        <f aca="false">"AH"</f>
        <v>AH</v>
      </c>
      <c r="DI3" s="123" t="str">
        <f aca="false">"AI"</f>
        <v>AI</v>
      </c>
      <c r="DJ3" s="123" t="str">
        <f aca="false">"AJ"</f>
        <v>AJ</v>
      </c>
      <c r="DK3" s="123" t="str">
        <f aca="false">"AK"</f>
        <v>AK</v>
      </c>
      <c r="DL3" s="123" t="str">
        <f aca="false">"AL"</f>
        <v>AL</v>
      </c>
      <c r="DM3" s="123" t="str">
        <f aca="false">"AM"</f>
        <v>AM</v>
      </c>
      <c r="DN3" s="123" t="str">
        <f aca="false">"AN"</f>
        <v>AN</v>
      </c>
      <c r="DO3" s="123" t="str">
        <f aca="false">"AO"</f>
        <v>AO</v>
      </c>
      <c r="DP3" s="123" t="str">
        <f aca="false">"AP"</f>
        <v>AP</v>
      </c>
      <c r="DQ3" s="123" t="str">
        <f aca="false">"AQ"</f>
        <v>AQ</v>
      </c>
      <c r="DR3" s="123" t="str">
        <f aca="false">"AR"</f>
        <v>AR</v>
      </c>
      <c r="DS3" s="123" t="str">
        <f aca="false">"AS"</f>
        <v>AS</v>
      </c>
      <c r="DT3" s="123" t="str">
        <f aca="false">"AT"</f>
        <v>AT</v>
      </c>
      <c r="DU3" s="123" t="str">
        <f aca="false">"AU"</f>
        <v>AU</v>
      </c>
      <c r="DV3" s="123" t="str">
        <f aca="false">"AV"</f>
        <v>AV</v>
      </c>
      <c r="DW3" s="123" t="str">
        <f aca="false">"AW"</f>
        <v>AW</v>
      </c>
      <c r="DX3" s="123" t="str">
        <f aca="false">"AX"</f>
        <v>AX</v>
      </c>
      <c r="DY3" s="123" t="str">
        <f aca="false">"AY"</f>
        <v>AY</v>
      </c>
      <c r="DZ3" s="123" t="str">
        <f aca="false">"AZ"</f>
        <v>AZ</v>
      </c>
      <c r="EA3" s="123" t="str">
        <f aca="false">"BA"</f>
        <v>BA</v>
      </c>
      <c r="EB3" s="123" t="str">
        <f aca="false">"BB"</f>
        <v>BB</v>
      </c>
      <c r="EC3" s="123" t="str">
        <f aca="false">"BC"</f>
        <v>BC</v>
      </c>
      <c r="ED3" s="123" t="str">
        <f aca="false">"BD"</f>
        <v>BD</v>
      </c>
      <c r="EE3" s="123" t="str">
        <f aca="false">"BE"</f>
        <v>BE</v>
      </c>
      <c r="EF3" s="123" t="str">
        <f aca="false">"BF"</f>
        <v>BF</v>
      </c>
      <c r="EG3" s="123" t="str">
        <f aca="false">"BG"</f>
        <v>BG</v>
      </c>
      <c r="EH3" s="123" t="str">
        <f aca="false">"BH"</f>
        <v>BH</v>
      </c>
      <c r="EI3" s="123" t="str">
        <f aca="false">"BI"</f>
        <v>BI</v>
      </c>
      <c r="EJ3" s="123" t="str">
        <f aca="false">"BJ"</f>
        <v>BJ</v>
      </c>
      <c r="EK3" s="123" t="str">
        <f aca="false">"BK"</f>
        <v>BK</v>
      </c>
      <c r="EL3" s="123" t="str">
        <f aca="false">"BL"</f>
        <v>BL</v>
      </c>
      <c r="EM3" s="123" t="str">
        <f aca="false">"BM"</f>
        <v>BM</v>
      </c>
      <c r="EN3" s="123" t="str">
        <f aca="false">"BN"</f>
        <v>BN</v>
      </c>
      <c r="EO3" s="123" t="str">
        <f aca="false">"BO"</f>
        <v>BO</v>
      </c>
      <c r="EP3" s="123" t="str">
        <f aca="false">"BP"</f>
        <v>BP</v>
      </c>
      <c r="EQ3" s="123" t="str">
        <f aca="false">"BQ"</f>
        <v>BQ</v>
      </c>
      <c r="ER3" s="123" t="str">
        <f aca="false">"BR"</f>
        <v>BR</v>
      </c>
      <c r="ES3" s="123" t="str">
        <f aca="false">"BS"</f>
        <v>BS</v>
      </c>
      <c r="ET3" s="123" t="str">
        <f aca="false">"BT"</f>
        <v>BT</v>
      </c>
      <c r="EU3" s="123" t="str">
        <f aca="false">"BU"</f>
        <v>BU</v>
      </c>
      <c r="EV3" s="123" t="str">
        <f aca="false">"BV"</f>
        <v>BV</v>
      </c>
      <c r="EW3" s="123" t="str">
        <f aca="false">"BW"</f>
        <v>BW</v>
      </c>
      <c r="EX3" s="123" t="str">
        <f aca="false">"BX"</f>
        <v>BX</v>
      </c>
      <c r="EY3" s="123" t="str">
        <f aca="false">"BY"</f>
        <v>BY</v>
      </c>
      <c r="EZ3" s="123" t="str">
        <f aca="false">"BZ"</f>
        <v>BZ</v>
      </c>
      <c r="FA3" s="123" t="str">
        <f aca="false">"CA"</f>
        <v>CA</v>
      </c>
      <c r="FB3" s="123" t="str">
        <f aca="false">"CB"</f>
        <v>CB</v>
      </c>
      <c r="FC3" s="123" t="str">
        <f aca="false">"CC"</f>
        <v>CC</v>
      </c>
      <c r="FD3" s="123" t="str">
        <f aca="false">"CD"</f>
        <v>CD</v>
      </c>
      <c r="FE3" s="123" t="str">
        <f aca="false">"CE"</f>
        <v>CE</v>
      </c>
      <c r="FF3" s="123" t="str">
        <f aca="false">"CF"</f>
        <v>CF</v>
      </c>
      <c r="FG3" s="123" t="str">
        <f aca="false">"CG"</f>
        <v>CG</v>
      </c>
      <c r="FH3" s="123" t="str">
        <f aca="false">"CH"</f>
        <v>CH</v>
      </c>
      <c r="FI3" s="123" t="str">
        <f aca="false">"CI"</f>
        <v>CI</v>
      </c>
      <c r="FJ3" s="123" t="str">
        <f aca="false">"CJ"</f>
        <v>CJ</v>
      </c>
      <c r="FK3" s="123" t="str">
        <f aca="false">"CK"</f>
        <v>CK</v>
      </c>
      <c r="FL3" s="123" t="str">
        <f aca="false">"CL"</f>
        <v>CL</v>
      </c>
      <c r="FM3" s="123" t="str">
        <f aca="false">"CM"</f>
        <v>CM</v>
      </c>
      <c r="FN3" s="123" t="str">
        <f aca="false">"CN"</f>
        <v>CN</v>
      </c>
      <c r="FO3" s="123" t="str">
        <f aca="false">"CO"</f>
        <v>CO</v>
      </c>
      <c r="FP3" s="123" t="str">
        <f aca="false">"CP"</f>
        <v>CP</v>
      </c>
      <c r="FQ3" s="123" t="str">
        <f aca="false">"CQ"</f>
        <v>CQ</v>
      </c>
      <c r="FR3" s="123" t="str">
        <f aca="false">"CR"</f>
        <v>CR</v>
      </c>
      <c r="FS3" s="123" t="str">
        <f aca="false">"CS"</f>
        <v>CS</v>
      </c>
      <c r="FT3" s="123" t="str">
        <f aca="false">"CT"</f>
        <v>CT</v>
      </c>
      <c r="FU3" s="123" t="str">
        <f aca="false">"CU"</f>
        <v>CU</v>
      </c>
      <c r="FV3" s="123" t="str">
        <f aca="false">"CV"</f>
        <v>CV</v>
      </c>
      <c r="FW3" s="123" t="str">
        <f aca="false">"CW"</f>
        <v>CW</v>
      </c>
      <c r="FX3" s="123" t="str">
        <f aca="false">"CX"</f>
        <v>CX</v>
      </c>
      <c r="FY3" s="123" t="str">
        <f aca="false">"CY"</f>
        <v>CY</v>
      </c>
      <c r="FZ3" s="123" t="str">
        <f aca="false">"CZ"</f>
        <v>CZ</v>
      </c>
      <c r="GA3" s="123" t="str">
        <f aca="false">"DA"</f>
        <v>DA</v>
      </c>
      <c r="GB3" s="123" t="str">
        <f aca="false">"DB"</f>
        <v>DB</v>
      </c>
      <c r="GC3" s="123" t="str">
        <f aca="false">"DC"</f>
        <v>DC</v>
      </c>
      <c r="GD3" s="123" t="str">
        <f aca="false">"DD"</f>
        <v>DD</v>
      </c>
      <c r="GE3" s="123" t="str">
        <f aca="false">"DE"</f>
        <v>DE</v>
      </c>
      <c r="GF3" s="123" t="str">
        <f aca="false">"DF"</f>
        <v>DF</v>
      </c>
      <c r="GG3" s="123" t="str">
        <f aca="false">"DG"</f>
        <v>DG</v>
      </c>
      <c r="GH3" s="123" t="str">
        <f aca="false">"DH"</f>
        <v>DH</v>
      </c>
      <c r="GI3" s="123" t="str">
        <f aca="false">"DI"</f>
        <v>DI</v>
      </c>
      <c r="GJ3" s="123" t="str">
        <f aca="false">"DJ"</f>
        <v>DJ</v>
      </c>
      <c r="GK3" s="123" t="str">
        <f aca="false">"DK"</f>
        <v>DK</v>
      </c>
      <c r="GL3" s="123" t="str">
        <f aca="false">"DL"</f>
        <v>DL</v>
      </c>
      <c r="GM3" s="123" t="str">
        <f aca="false">"DM"</f>
        <v>DM</v>
      </c>
      <c r="GN3" s="123" t="str">
        <f aca="false">"DN"</f>
        <v>DN</v>
      </c>
      <c r="GO3" s="123" t="str">
        <f aca="false">"DO"</f>
        <v>DO</v>
      </c>
      <c r="GP3" s="123" t="str">
        <f aca="false">"DP"</f>
        <v>DP</v>
      </c>
      <c r="GQ3" s="123" t="str">
        <f aca="false">"DQ"</f>
        <v>DQ</v>
      </c>
      <c r="GR3" s="123" t="str">
        <f aca="false">"DR"</f>
        <v>DR</v>
      </c>
      <c r="GS3" s="123" t="str">
        <f aca="false">"DS"</f>
        <v>DS</v>
      </c>
      <c r="GT3" s="123" t="str">
        <f aca="false">"DT"</f>
        <v>DT</v>
      </c>
      <c r="GU3" s="123" t="str">
        <f aca="false">"DU"</f>
        <v>DU</v>
      </c>
      <c r="GV3" s="123" t="str">
        <f aca="false">"DV"</f>
        <v>DV</v>
      </c>
      <c r="GW3" s="123" t="str">
        <f aca="false">"DW"</f>
        <v>DW</v>
      </c>
      <c r="GX3" s="123" t="str">
        <f aca="false">"DX"</f>
        <v>DX</v>
      </c>
      <c r="GY3" s="123" t="str">
        <f aca="false">"DY"</f>
        <v>DY</v>
      </c>
      <c r="GZ3" s="123" t="str">
        <f aca="false">"DZ"</f>
        <v>DZ</v>
      </c>
      <c r="HA3" s="123" t="str">
        <f aca="false">"EA"</f>
        <v>EA</v>
      </c>
      <c r="HB3" s="123" t="str">
        <f aca="false">"EB"</f>
        <v>EB</v>
      </c>
      <c r="HC3" s="123" t="str">
        <f aca="false">"EC"</f>
        <v>EC</v>
      </c>
      <c r="HD3" s="123" t="str">
        <f aca="false">"ED"</f>
        <v>ED</v>
      </c>
      <c r="HE3" s="123" t="str">
        <f aca="false">"EE"</f>
        <v>EE</v>
      </c>
      <c r="HF3" s="123" t="str">
        <f aca="false">"EF"</f>
        <v>EF</v>
      </c>
      <c r="HG3" s="123" t="str">
        <f aca="false">"EG"</f>
        <v>EG</v>
      </c>
      <c r="HH3" s="123" t="str">
        <f aca="false">"EH"</f>
        <v>EH</v>
      </c>
      <c r="HI3" s="123" t="str">
        <f aca="false">"EI"</f>
        <v>EI</v>
      </c>
      <c r="HJ3" s="123" t="str">
        <f aca="false">"EJ"</f>
        <v>EJ</v>
      </c>
      <c r="HK3" s="123" t="str">
        <f aca="false">"EK"</f>
        <v>EK</v>
      </c>
      <c r="HL3" s="123" t="str">
        <f aca="false">"EL"</f>
        <v>EL</v>
      </c>
      <c r="HM3" s="123" t="str">
        <f aca="false">"EM"</f>
        <v>EM</v>
      </c>
      <c r="HN3" s="123" t="str">
        <f aca="false">"EN"</f>
        <v>EN</v>
      </c>
      <c r="HO3" s="123" t="str">
        <f aca="false">"EO"</f>
        <v>EO</v>
      </c>
      <c r="HP3" s="123" t="str">
        <f aca="false">"EP"</f>
        <v>EP</v>
      </c>
      <c r="HQ3" s="123" t="str">
        <f aca="false">"EQ"</f>
        <v>EQ</v>
      </c>
      <c r="HR3" s="123" t="str">
        <f aca="false">"ER"</f>
        <v>ER</v>
      </c>
      <c r="HS3" s="123" t="str">
        <f aca="false">"ES"</f>
        <v>ES</v>
      </c>
      <c r="HT3" s="123" t="str">
        <f aca="false">"ET"</f>
        <v>ET</v>
      </c>
      <c r="HU3" s="123" t="str">
        <f aca="false">"EU"</f>
        <v>EU</v>
      </c>
      <c r="HV3" s="123" t="str">
        <f aca="false">"EV"</f>
        <v>EV</v>
      </c>
      <c r="HW3" s="123" t="str">
        <f aca="false">"EW"</f>
        <v>EW</v>
      </c>
      <c r="HX3" s="123" t="str">
        <f aca="false">"EX"</f>
        <v>EX</v>
      </c>
      <c r="HY3" s="123" t="str">
        <f aca="false">"EY"</f>
        <v>EY</v>
      </c>
      <c r="HZ3" s="123" t="str">
        <f aca="false">"EZ"</f>
        <v>EZ</v>
      </c>
      <c r="IA3" s="123" t="str">
        <f aca="false">"FA"</f>
        <v>FA</v>
      </c>
      <c r="IB3" s="123" t="str">
        <f aca="false">"FB"</f>
        <v>FB</v>
      </c>
      <c r="IC3" s="123" t="str">
        <f aca="false">"FC"</f>
        <v>FC</v>
      </c>
      <c r="ID3" s="123" t="str">
        <f aca="false">"FD"</f>
        <v>FD</v>
      </c>
      <c r="IE3" s="123" t="str">
        <f aca="false">"FE"</f>
        <v>FE</v>
      </c>
      <c r="IF3" s="123" t="str">
        <f aca="false">"FF"</f>
        <v>FF</v>
      </c>
      <c r="IG3" s="123" t="str">
        <f aca="false">"FG"</f>
        <v>FG</v>
      </c>
      <c r="IH3" s="123" t="str">
        <f aca="false">"FH"</f>
        <v>FH</v>
      </c>
      <c r="II3" s="123" t="str">
        <f aca="false">"FI"</f>
        <v>FI</v>
      </c>
      <c r="IJ3" s="123" t="str">
        <f aca="false">"FJ"</f>
        <v>FJ</v>
      </c>
      <c r="IK3" s="123" t="str">
        <f aca="false">"FK"</f>
        <v>FK</v>
      </c>
      <c r="IL3" s="123" t="str">
        <f aca="false">"FL"</f>
        <v>FL</v>
      </c>
      <c r="IM3" s="123" t="str">
        <f aca="false">"FM"</f>
        <v>FM</v>
      </c>
      <c r="IN3" s="123" t="str">
        <f aca="false">"FN"</f>
        <v>FN</v>
      </c>
      <c r="IO3" s="123" t="str">
        <f aca="false">"FO"</f>
        <v>FO</v>
      </c>
      <c r="IP3" s="123" t="str">
        <f aca="false">"FP"</f>
        <v>FP</v>
      </c>
      <c r="IQ3" s="123" t="str">
        <f aca="false">"FQ"</f>
        <v>FQ</v>
      </c>
      <c r="IR3" s="123" t="str">
        <f aca="false">"FR"</f>
        <v>FR</v>
      </c>
      <c r="IS3" s="123" t="str">
        <f aca="false">"FS"</f>
        <v>FS</v>
      </c>
      <c r="IT3" s="123" t="str">
        <f aca="false">"FT"</f>
        <v>FT</v>
      </c>
      <c r="IU3" s="123" t="str">
        <f aca="false">"FU"</f>
        <v>FU</v>
      </c>
      <c r="IV3" s="123" t="str">
        <f aca="false">"FV"</f>
        <v>FV</v>
      </c>
      <c r="IW3" s="123" t="str">
        <f aca="false">"FW"</f>
        <v>FW</v>
      </c>
      <c r="IX3" s="123" t="str">
        <f aca="false">"FX"</f>
        <v>FX</v>
      </c>
      <c r="IY3" s="123" t="str">
        <f aca="false">"FY"</f>
        <v>FY</v>
      </c>
      <c r="IZ3" s="123" t="str">
        <f aca="false">"FZ"</f>
        <v>FZ</v>
      </c>
      <c r="JA3" s="123" t="str">
        <f aca="false">"GA"</f>
        <v>GA</v>
      </c>
      <c r="JB3" s="123" t="str">
        <f aca="false">"GB"</f>
        <v>GB</v>
      </c>
      <c r="JC3" s="123" t="str">
        <f aca="false">"GC"</f>
        <v>GC</v>
      </c>
      <c r="JD3" s="123" t="str">
        <f aca="false">"GD"</f>
        <v>GD</v>
      </c>
      <c r="JE3" s="123" t="str">
        <f aca="false">"GE"</f>
        <v>GE</v>
      </c>
      <c r="JF3" s="123" t="str">
        <f aca="false">"GF"</f>
        <v>GF</v>
      </c>
      <c r="JG3" s="123" t="str">
        <f aca="false">"GG"</f>
        <v>GG</v>
      </c>
      <c r="JH3" s="123" t="str">
        <f aca="false">"GH"</f>
        <v>GH</v>
      </c>
      <c r="JI3" s="123" t="str">
        <f aca="false">"GI"</f>
        <v>GI</v>
      </c>
      <c r="JJ3" s="123" t="str">
        <f aca="false">"GJ"</f>
        <v>GJ</v>
      </c>
      <c r="JK3" s="123" t="str">
        <f aca="false">"GK"</f>
        <v>GK</v>
      </c>
      <c r="JL3" s="123" t="str">
        <f aca="false">"GL"</f>
        <v>GL</v>
      </c>
      <c r="JM3" s="123" t="str">
        <f aca="false">"GM"</f>
        <v>GM</v>
      </c>
      <c r="JN3" s="123" t="str">
        <f aca="false">"GN"</f>
        <v>GN</v>
      </c>
      <c r="JO3" s="123" t="str">
        <f aca="false">"GO"</f>
        <v>GO</v>
      </c>
      <c r="JP3" s="123" t="str">
        <f aca="false">"GP"</f>
        <v>GP</v>
      </c>
      <c r="JQ3" s="123" t="str">
        <f aca="false">"GQ"</f>
        <v>GQ</v>
      </c>
      <c r="JR3" s="123" t="str">
        <f aca="false">"GR"</f>
        <v>GR</v>
      </c>
      <c r="JS3" s="123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2869</v>
      </c>
      <c r="C4" s="54" t="s">
        <v>2870</v>
      </c>
      <c r="D4" s="130" t="n">
        <f aca="false">'MODELO PARA BI'!H1</f>
        <v>45627</v>
      </c>
      <c r="E4" s="130" t="n">
        <f aca="false">'MODELO PARA BI'!I1</f>
        <v>45658</v>
      </c>
      <c r="F4" s="130" t="n">
        <f aca="false">'MODELO PARA BI'!J1</f>
        <v>45689</v>
      </c>
      <c r="G4" s="130" t="n">
        <f aca="false">'MODELO PARA BI'!K1</f>
        <v>45717</v>
      </c>
      <c r="H4" s="130" t="n">
        <f aca="false">'MODELO PARA BI'!L1</f>
        <v>45748</v>
      </c>
      <c r="I4" s="130" t="n">
        <f aca="false">'MODELO PARA BI'!M1</f>
        <v>45778</v>
      </c>
      <c r="J4" s="130" t="n">
        <f aca="false">'MODELO PARA BI'!N1</f>
        <v>45809</v>
      </c>
      <c r="K4" s="130" t="n">
        <f aca="false">'MODELO PARA BI'!O1</f>
        <v>45839</v>
      </c>
      <c r="L4" s="130" t="n">
        <f aca="false">'MODELO PARA BI'!P1</f>
        <v>45870</v>
      </c>
      <c r="M4" s="130" t="n">
        <f aca="false">'MODELO PARA BI'!Q1</f>
        <v>45901</v>
      </c>
      <c r="N4" s="130" t="n">
        <f aca="false">'MODELO PARA BI'!R1</f>
        <v>45931</v>
      </c>
      <c r="O4" s="130" t="n">
        <f aca="false">'MODELO PARA BI'!S1</f>
        <v>45962</v>
      </c>
      <c r="P4" s="130" t="n">
        <f aca="false">'MODELO PARA BI'!T1</f>
        <v>45992</v>
      </c>
      <c r="Q4" s="130" t="n">
        <f aca="false">'MODELO PARA BI'!U1</f>
        <v>46023</v>
      </c>
      <c r="R4" s="130" t="n">
        <f aca="false">'MODELO PARA BI'!V1</f>
        <v>46054</v>
      </c>
      <c r="S4" s="130" t="n">
        <f aca="false">'MODELO PARA BI'!W1</f>
        <v>46082</v>
      </c>
      <c r="T4" s="130" t="n">
        <f aca="false">'MODELO PARA BI'!X1</f>
        <v>46113</v>
      </c>
      <c r="U4" s="130" t="n">
        <f aca="false">'MODELO PARA BI'!Y1</f>
        <v>46143</v>
      </c>
      <c r="V4" s="130" t="n">
        <f aca="false">'MODELO PARA BI'!Z1</f>
        <v>46174</v>
      </c>
      <c r="W4" s="130" t="n">
        <f aca="false">'MODELO PARA BI'!AA1</f>
        <v>46204</v>
      </c>
      <c r="X4" s="130" t="n">
        <f aca="false">'MODELO PARA BI'!AB1</f>
        <v>46235</v>
      </c>
      <c r="Y4" s="130" t="n">
        <f aca="false">'MODELO PARA BI'!AC1</f>
        <v>46266</v>
      </c>
      <c r="Z4" s="130" t="n">
        <f aca="false">'MODELO PARA BI'!AD1</f>
        <v>46296</v>
      </c>
      <c r="AA4" s="130" t="n">
        <f aca="false">'MODELO PARA BI'!AE1</f>
        <v>46327</v>
      </c>
      <c r="AB4" s="130" t="n">
        <f aca="false">'MODELO PARA BI'!AF1</f>
        <v>46357</v>
      </c>
      <c r="AC4" s="130" t="n">
        <f aca="false">'MODELO PARA BI'!AG1</f>
        <v>46388</v>
      </c>
      <c r="AD4" s="130" t="n">
        <f aca="false">'MODELO PARA BI'!AH1</f>
        <v>46419</v>
      </c>
      <c r="AE4" s="130" t="n">
        <f aca="false">'MODELO PARA BI'!AI1</f>
        <v>46447</v>
      </c>
      <c r="AF4" s="130" t="n">
        <f aca="false">'MODELO PARA BI'!AJ1</f>
        <v>46478</v>
      </c>
      <c r="AG4" s="130" t="n">
        <f aca="false">'MODELO PARA BI'!AK1</f>
        <v>46508</v>
      </c>
      <c r="AH4" s="130" t="n">
        <f aca="false">'MODELO PARA BI'!AL1</f>
        <v>46539</v>
      </c>
      <c r="AI4" s="130" t="n">
        <f aca="false">'MODELO PARA BI'!AM1</f>
        <v>46569</v>
      </c>
      <c r="AJ4" s="130" t="n">
        <f aca="false">'MODELO PARA BI'!AN1</f>
        <v>46600</v>
      </c>
      <c r="AK4" s="130" t="n">
        <f aca="false">'MODELO PARA BI'!AO1</f>
        <v>46631</v>
      </c>
      <c r="AL4" s="130" t="n">
        <f aca="false">'MODELO PARA BI'!AP1</f>
        <v>46661</v>
      </c>
      <c r="AM4" s="130" t="n">
        <f aca="false">'MODELO PARA BI'!AQ1</f>
        <v>46692</v>
      </c>
      <c r="AN4" s="130" t="n">
        <f aca="false">'MODELO PARA BI'!AR1</f>
        <v>46722</v>
      </c>
      <c r="AO4" s="130" t="n">
        <f aca="false">'MODELO PARA BI'!AS1</f>
        <v>46753</v>
      </c>
      <c r="AP4" s="130" t="n">
        <f aca="false">'MODELO PARA BI'!AT1</f>
        <v>46784</v>
      </c>
      <c r="AQ4" s="130" t="n">
        <f aca="false">'MODELO PARA BI'!AU1</f>
        <v>46813</v>
      </c>
      <c r="AR4" s="130" t="n">
        <f aca="false">'MODELO PARA BI'!AV1</f>
        <v>46844</v>
      </c>
      <c r="AS4" s="130" t="n">
        <f aca="false">'MODELO PARA BI'!AW1</f>
        <v>46874</v>
      </c>
      <c r="AT4" s="130" t="n">
        <f aca="false">'MODELO PARA BI'!AX1</f>
        <v>46905</v>
      </c>
      <c r="AU4" s="130" t="n">
        <f aca="false">'MODELO PARA BI'!AY1</f>
        <v>46935</v>
      </c>
      <c r="AV4" s="130" t="n">
        <f aca="false">'MODELO PARA BI'!AZ1</f>
        <v>46966</v>
      </c>
      <c r="AW4" s="130" t="n">
        <f aca="false">'MODELO PARA BI'!BA1</f>
        <v>46997</v>
      </c>
      <c r="AX4" s="130" t="n">
        <f aca="false">'MODELO PARA BI'!BB1</f>
        <v>47027</v>
      </c>
      <c r="AY4" s="130" t="n">
        <f aca="false">'MODELO PARA BI'!BC1</f>
        <v>47058</v>
      </c>
      <c r="AZ4" s="130" t="n">
        <f aca="false">'MODELO PARA BI'!BD1</f>
        <v>47088</v>
      </c>
      <c r="BA4" s="130" t="n">
        <f aca="false">'MODELO PARA BI'!BE1</f>
        <v>47119</v>
      </c>
      <c r="BB4" s="130" t="n">
        <f aca="false">'MODELO PARA BI'!BF1</f>
        <v>47150</v>
      </c>
      <c r="BC4" s="130" t="n">
        <f aca="false">'MODELO PARA BI'!BG1</f>
        <v>47178</v>
      </c>
      <c r="BD4" s="130" t="n">
        <f aca="false">'MODELO PARA BI'!BH1</f>
        <v>47209</v>
      </c>
      <c r="BE4" s="130" t="n">
        <f aca="false">'MODELO PARA BI'!BI1</f>
        <v>47239</v>
      </c>
      <c r="BF4" s="130" t="n">
        <f aca="false">'MODELO PARA BI'!BJ1</f>
        <v>47270</v>
      </c>
      <c r="BG4" s="130" t="n">
        <f aca="false">'MODELO PARA BI'!BK1</f>
        <v>47300</v>
      </c>
      <c r="BH4" s="130" t="n">
        <f aca="false">'MODELO PARA BI'!BL1</f>
        <v>47331</v>
      </c>
      <c r="BI4" s="130" t="n">
        <f aca="false">'MODELO PARA BI'!BM1</f>
        <v>47362</v>
      </c>
      <c r="BJ4" s="130" t="n">
        <f aca="false">'MODELO PARA BI'!BN1</f>
        <v>47392</v>
      </c>
      <c r="BK4" s="130" t="n">
        <f aca="false">'MODELO PARA BI'!BO1</f>
        <v>47423</v>
      </c>
      <c r="BL4" s="130" t="n">
        <f aca="false">'MODELO PARA BI'!BP1</f>
        <v>47453</v>
      </c>
      <c r="BM4" s="130" t="n">
        <f aca="false">'MODELO PARA BI'!BQ1</f>
        <v>47484</v>
      </c>
      <c r="BN4" s="130" t="n">
        <f aca="false">'MODELO PARA BI'!BR1</f>
        <v>47515</v>
      </c>
      <c r="BO4" s="130" t="n">
        <f aca="false">'MODELO PARA BI'!BS1</f>
        <v>47543</v>
      </c>
      <c r="BP4" s="130" t="n">
        <f aca="false">'MODELO PARA BI'!BT1</f>
        <v>47574</v>
      </c>
      <c r="BQ4" s="130" t="n">
        <f aca="false">'MODELO PARA BI'!BU1</f>
        <v>47604</v>
      </c>
      <c r="BR4" s="130" t="n">
        <f aca="false">'MODELO PARA BI'!BV1</f>
        <v>47635</v>
      </c>
      <c r="BS4" s="130" t="n">
        <f aca="false">'MODELO PARA BI'!BW1</f>
        <v>47665</v>
      </c>
      <c r="BT4" s="130" t="n">
        <f aca="false">'MODELO PARA BI'!BX1</f>
        <v>47696</v>
      </c>
      <c r="BU4" s="130" t="n">
        <f aca="false">'MODELO PARA BI'!BY1</f>
        <v>47727</v>
      </c>
      <c r="BV4" s="130" t="n">
        <f aca="false">'MODELO PARA BI'!BZ1</f>
        <v>47757</v>
      </c>
      <c r="BW4" s="130" t="n">
        <f aca="false">'MODELO PARA BI'!CA1</f>
        <v>47788</v>
      </c>
      <c r="BX4" s="54" t="s">
        <v>2871</v>
      </c>
      <c r="BY4" s="54" t="s">
        <v>2872</v>
      </c>
      <c r="BZ4" s="54" t="s">
        <v>2873</v>
      </c>
      <c r="CB4" s="119" t="n">
        <f aca="false">IF(ISNUMBER('DADOS BRUTOS'!B$2),DATE(YEAR('DADOS BRUTOS'!B$2),MONTH('DADOS BRUTOS'!B$2),1),"")</f>
        <v>45078</v>
      </c>
      <c r="CC4" s="119" t="n">
        <f aca="false">IF(ISNUMBER('DADOS BRUTOS'!C$2),DATE(YEAR('DADOS BRUTOS'!C$2),MONTH('DADOS BRUTOS'!C$2),1),"")</f>
        <v>45231</v>
      </c>
      <c r="CD4" s="119" t="n">
        <f aca="false">IF(ISNUMBER('DADOS BRUTOS'!D$2),DATE(YEAR('DADOS BRUTOS'!D$2),MONTH('DADOS BRUTOS'!D$2),1),"")</f>
        <v>45323</v>
      </c>
      <c r="CE4" s="119" t="n">
        <f aca="false">IF(ISNUMBER('DADOS BRUTOS'!E$2),DATE(YEAR('DADOS BRUTOS'!E$2),MONTH('DADOS BRUTOS'!E$2),1),"")</f>
        <v>45352</v>
      </c>
      <c r="CF4" s="119" t="n">
        <f aca="false">IF(ISNUMBER('DADOS BRUTOS'!F$2),DATE(YEAR('DADOS BRUTOS'!F$2),MONTH('DADOS BRUTOS'!F$2),1),"")</f>
        <v>45383</v>
      </c>
      <c r="CG4" s="119" t="n">
        <f aca="false">IF(ISNUMBER('DADOS BRUTOS'!G$2),DATE(YEAR('DADOS BRUTOS'!G$2),MONTH('DADOS BRUTOS'!G$2),1),"")</f>
        <v>45413</v>
      </c>
      <c r="CH4" s="119" t="n">
        <f aca="false">IF(ISNUMBER('DADOS BRUTOS'!H$2),DATE(YEAR('DADOS BRUTOS'!H$2),MONTH('DADOS BRUTOS'!H$2),1),"")</f>
        <v>45444</v>
      </c>
      <c r="CI4" s="119" t="n">
        <f aca="false">IF(ISNUMBER('DADOS BRUTOS'!I$2),DATE(YEAR('DADOS BRUTOS'!I$2),MONTH('DADOS BRUTOS'!I$2),1),"")</f>
        <v>45474</v>
      </c>
      <c r="CJ4" s="119" t="n">
        <f aca="false">IF(ISNUMBER('DADOS BRUTOS'!J$2),DATE(YEAR('DADOS BRUTOS'!J$2),MONTH('DADOS BRUTOS'!J$2),1),"")</f>
        <v>45505</v>
      </c>
      <c r="CK4" s="119" t="n">
        <f aca="false">IF(ISNUMBER('DADOS BRUTOS'!K$2),DATE(YEAR('DADOS BRUTOS'!K$2),MONTH('DADOS BRUTOS'!K$2),1),"")</f>
        <v>45536</v>
      </c>
      <c r="CL4" s="119" t="n">
        <f aca="false">IF(ISNUMBER('DADOS BRUTOS'!L$2),DATE(YEAR('DADOS BRUTOS'!L$2),MONTH('DADOS BRUTOS'!L$2),1),"")</f>
        <v>45566</v>
      </c>
      <c r="CM4" s="119" t="n">
        <f aca="false">IF(ISNUMBER('DADOS BRUTOS'!M$2),DATE(YEAR('DADOS BRUTOS'!M$2),MONTH('DADOS BRUTOS'!M$2),1),"")</f>
        <v>45597</v>
      </c>
      <c r="CN4" s="119" t="n">
        <f aca="false">IF(ISNUMBER('DADOS BRUTOS'!N$2),DATE(YEAR('DADOS BRUTOS'!N$2),MONTH('DADOS BRUTOS'!N$2),1),"")</f>
        <v>45627</v>
      </c>
      <c r="CO4" s="119" t="n">
        <f aca="false">IF(ISNUMBER('DADOS BRUTOS'!O$2),DATE(YEAR('DADOS BRUTOS'!O$2),MONTH('DADOS BRUTOS'!O$2),1),"")</f>
        <v>45658</v>
      </c>
      <c r="CP4" s="119" t="n">
        <f aca="false">IF(ISNUMBER('DADOS BRUTOS'!P$2),DATE(YEAR('DADOS BRUTOS'!P$2),MONTH('DADOS BRUTOS'!P$2),1),"")</f>
        <v>45689</v>
      </c>
      <c r="CQ4" s="119" t="n">
        <f aca="false">IF(ISNUMBER('DADOS BRUTOS'!Q$2),DATE(YEAR('DADOS BRUTOS'!Q$2),MONTH('DADOS BRUTOS'!Q$2),1),"")</f>
        <v>45717</v>
      </c>
      <c r="CR4" s="119" t="n">
        <f aca="false">IF(ISNUMBER('DADOS BRUTOS'!R$2),DATE(YEAR('DADOS BRUTOS'!R$2),MONTH('DADOS BRUTOS'!R$2),1),"")</f>
        <v>45748</v>
      </c>
      <c r="CS4" s="119" t="n">
        <f aca="false">IF(ISNUMBER('DADOS BRUTOS'!S$2),DATE(YEAR('DADOS BRUTOS'!S$2),MONTH('DADOS BRUTOS'!S$2),1),"")</f>
        <v>45778</v>
      </c>
      <c r="CT4" s="119" t="n">
        <f aca="false">IF(ISNUMBER('DADOS BRUTOS'!T$2),DATE(YEAR('DADOS BRUTOS'!T$2),MONTH('DADOS BRUTOS'!T$2),1),"")</f>
        <v>45809</v>
      </c>
      <c r="CU4" s="119" t="n">
        <f aca="false">IF(ISNUMBER('DADOS BRUTOS'!U$2),DATE(YEAR('DADOS BRUTOS'!U$2),MONTH('DADOS BRUTOS'!U$2),1),"")</f>
        <v>45839</v>
      </c>
      <c r="CV4" s="119" t="n">
        <f aca="false">IF(ISNUMBER('DADOS BRUTOS'!V$2),DATE(YEAR('DADOS BRUTOS'!V$2),MONTH('DADOS BRUTOS'!V$2),1),"")</f>
        <v>45870</v>
      </c>
      <c r="CW4" s="119" t="n">
        <f aca="false">IF(ISNUMBER('DADOS BRUTOS'!W$2),DATE(YEAR('DADOS BRUTOS'!W$2),MONTH('DADOS BRUTOS'!W$2),1),"")</f>
        <v>45901</v>
      </c>
      <c r="CX4" s="119" t="n">
        <f aca="false">IF(ISNUMBER('DADOS BRUTOS'!X$2),DATE(YEAR('DADOS BRUTOS'!X$2),MONTH('DADOS BRUTOS'!X$2),1),"")</f>
        <v>45931</v>
      </c>
      <c r="CY4" s="119" t="n">
        <f aca="false">IF(ISNUMBER('DADOS BRUTOS'!Y$2),DATE(YEAR('DADOS BRUTOS'!Y$2),MONTH('DADOS BRUTOS'!Y$2),1),"")</f>
        <v>45962</v>
      </c>
      <c r="CZ4" s="119" t="n">
        <f aca="false">IF(ISNUMBER('DADOS BRUTOS'!Z$2),DATE(YEAR('DADOS BRUTOS'!Z$2),MONTH('DADOS BRUTOS'!Z$2),1),"")</f>
        <v>45992</v>
      </c>
      <c r="DA4" s="119" t="n">
        <f aca="false">IF(ISNUMBER('DADOS BRUTOS'!AA$2),DATE(YEAR('DADOS BRUTOS'!AA$2),MONTH('DADOS BRUTOS'!AA$2),1),"")</f>
        <v>46023</v>
      </c>
      <c r="DB4" s="119" t="n">
        <f aca="false">IF(ISNUMBER('DADOS BRUTOS'!AB$2),DATE(YEAR('DADOS BRUTOS'!AB$2),MONTH('DADOS BRUTOS'!AB$2),1),"")</f>
        <v>46054</v>
      </c>
      <c r="DC4" s="119" t="n">
        <f aca="false">IF(ISNUMBER('DADOS BRUTOS'!AC$2),DATE(YEAR('DADOS BRUTOS'!AC$2),MONTH('DADOS BRUTOS'!AC$2),1),"")</f>
        <v>46082</v>
      </c>
      <c r="DD4" s="119" t="n">
        <f aca="false">IF(ISNUMBER('DADOS BRUTOS'!AD$2),DATE(YEAR('DADOS BRUTOS'!AD$2),MONTH('DADOS BRUTOS'!AD$2),1),"")</f>
        <v>46113</v>
      </c>
      <c r="DE4" s="119" t="n">
        <f aca="false">IF(ISNUMBER('DADOS BRUTOS'!AE$2),DATE(YEAR('DADOS BRUTOS'!AE$2),MONTH('DADOS BRUTOS'!AE$2),1),"")</f>
        <v>46143</v>
      </c>
      <c r="DF4" s="119" t="n">
        <f aca="false">IF(ISNUMBER('DADOS BRUTOS'!AF$2),DATE(YEAR('DADOS BRUTOS'!AF$2),MONTH('DADOS BRUTOS'!AF$2),1),"")</f>
        <v>46174</v>
      </c>
      <c r="DG4" s="119" t="n">
        <f aca="false">IF(ISNUMBER('DADOS BRUTOS'!AG$2),DATE(YEAR('DADOS BRUTOS'!AG$2),MONTH('DADOS BRUTOS'!AG$2),1),"")</f>
        <v>46204</v>
      </c>
      <c r="DH4" s="119" t="n">
        <f aca="false">IF(ISNUMBER('DADOS BRUTOS'!AH$2),DATE(YEAR('DADOS BRUTOS'!AH$2),MONTH('DADOS BRUTOS'!AH$2),1),"")</f>
        <v>46235</v>
      </c>
      <c r="DI4" s="119" t="n">
        <f aca="false">IF(ISNUMBER('DADOS BRUTOS'!AI$2),DATE(YEAR('DADOS BRUTOS'!AI$2),MONTH('DADOS BRUTOS'!AI$2),1),"")</f>
        <v>46266</v>
      </c>
      <c r="DJ4" s="119" t="n">
        <f aca="false">IF(ISNUMBER('DADOS BRUTOS'!AJ$2),DATE(YEAR('DADOS BRUTOS'!AJ$2),MONTH('DADOS BRUTOS'!AJ$2),1),"")</f>
        <v>46296</v>
      </c>
      <c r="DK4" s="119" t="n">
        <f aca="false">IF(ISNUMBER('DADOS BRUTOS'!AK$2),DATE(YEAR('DADOS BRUTOS'!AK$2),MONTH('DADOS BRUTOS'!AK$2),1),"")</f>
        <v>46327</v>
      </c>
      <c r="DL4" s="119" t="n">
        <f aca="false">IF(ISNUMBER('DADOS BRUTOS'!AL$2),DATE(YEAR('DADOS BRUTOS'!AL$2),MONTH('DADOS BRUTOS'!AL$2),1),"")</f>
        <v>46357</v>
      </c>
      <c r="DM4" s="119" t="n">
        <f aca="false">IF(ISNUMBER('DADOS BRUTOS'!AM$2),DATE(YEAR('DADOS BRUTOS'!AM$2),MONTH('DADOS BRUTOS'!AM$2),1),"")</f>
        <v>46388</v>
      </c>
      <c r="DN4" s="119" t="n">
        <f aca="false">IF(ISNUMBER('DADOS BRUTOS'!AN$2),DATE(YEAR('DADOS BRUTOS'!AN$2),MONTH('DADOS BRUTOS'!AN$2),1),"")</f>
        <v>46419</v>
      </c>
      <c r="DO4" s="119" t="n">
        <f aca="false">IF(ISNUMBER('DADOS BRUTOS'!AO$2),DATE(YEAR('DADOS BRUTOS'!AO$2),MONTH('DADOS BRUTOS'!AO$2),1),"")</f>
        <v>46447</v>
      </c>
      <c r="DP4" s="119" t="n">
        <f aca="false">IF(ISNUMBER('DADOS BRUTOS'!AP$2),DATE(YEAR('DADOS BRUTOS'!AP$2),MONTH('DADOS BRUTOS'!AP$2),1),"")</f>
        <v>46478</v>
      </c>
      <c r="DQ4" s="119" t="n">
        <f aca="false">IF(ISNUMBER('DADOS BRUTOS'!AQ$2),DATE(YEAR('DADOS BRUTOS'!AQ$2),MONTH('DADOS BRUTOS'!AQ$2),1),"")</f>
        <v>46508</v>
      </c>
      <c r="DR4" s="119" t="n">
        <f aca="false">IF(ISNUMBER('DADOS BRUTOS'!AR$2),DATE(YEAR('DADOS BRUTOS'!AR$2),MONTH('DADOS BRUTOS'!AR$2),1),"")</f>
        <v>46539</v>
      </c>
      <c r="DS4" s="119" t="n">
        <f aca="false">IF(ISNUMBER('DADOS BRUTOS'!AS$2),DATE(YEAR('DADOS BRUTOS'!AS$2),MONTH('DADOS BRUTOS'!AS$2),1),"")</f>
        <v>46569</v>
      </c>
      <c r="DT4" s="119" t="n">
        <f aca="false">IF(ISNUMBER('DADOS BRUTOS'!AT$2),DATE(YEAR('DADOS BRUTOS'!AT$2),MONTH('DADOS BRUTOS'!AT$2),1),"")</f>
        <v>46600</v>
      </c>
      <c r="DU4" s="119" t="n">
        <f aca="false">IF(ISNUMBER('DADOS BRUTOS'!AU$2),DATE(YEAR('DADOS BRUTOS'!AU$2),MONTH('DADOS BRUTOS'!AU$2),1),"")</f>
        <v>46631</v>
      </c>
      <c r="DV4" s="119" t="n">
        <f aca="false">IF(ISNUMBER('DADOS BRUTOS'!AV$2),DATE(YEAR('DADOS BRUTOS'!AV$2),MONTH('DADOS BRUTOS'!AV$2),1),"")</f>
        <v>46661</v>
      </c>
      <c r="DW4" s="119" t="n">
        <f aca="false">IF(ISNUMBER('DADOS BRUTOS'!AW$2),DATE(YEAR('DADOS BRUTOS'!AW$2),MONTH('DADOS BRUTOS'!AW$2),1),"")</f>
        <v>46692</v>
      </c>
      <c r="DX4" s="119" t="n">
        <f aca="false">IF(ISNUMBER('DADOS BRUTOS'!AX$2),DATE(YEAR('DADOS BRUTOS'!AX$2),MONTH('DADOS BRUTOS'!AX$2),1),"")</f>
        <v>46722</v>
      </c>
      <c r="DY4" s="119" t="n">
        <f aca="false">IF(ISNUMBER('DADOS BRUTOS'!AY$2),DATE(YEAR('DADOS BRUTOS'!AY$2),MONTH('DADOS BRUTOS'!AY$2),1),"")</f>
        <v>46753</v>
      </c>
      <c r="DZ4" s="119" t="n">
        <f aca="false">IF(ISNUMBER('DADOS BRUTOS'!AZ$2),DATE(YEAR('DADOS BRUTOS'!AZ$2),MONTH('DADOS BRUTOS'!AZ$2),1),"")</f>
        <v>46784</v>
      </c>
      <c r="EA4" s="119" t="n">
        <f aca="false">IF(ISNUMBER('DADOS BRUTOS'!BA$2),DATE(YEAR('DADOS BRUTOS'!BA$2),MONTH('DADOS BRUTOS'!BA$2),1),"")</f>
        <v>46813</v>
      </c>
      <c r="EB4" s="119" t="n">
        <f aca="false">IF(ISNUMBER('DADOS BRUTOS'!BB$2),DATE(YEAR('DADOS BRUTOS'!BB$2),MONTH('DADOS BRUTOS'!BB$2),1),"")</f>
        <v>46844</v>
      </c>
      <c r="EC4" s="119" t="n">
        <f aca="false">IF(ISNUMBER('DADOS BRUTOS'!BC$2),DATE(YEAR('DADOS BRUTOS'!BC$2),MONTH('DADOS BRUTOS'!BC$2),1),"")</f>
        <v>46874</v>
      </c>
      <c r="ED4" s="119" t="n">
        <f aca="false">IF(ISNUMBER('DADOS BRUTOS'!BD$2),DATE(YEAR('DADOS BRUTOS'!BD$2),MONTH('DADOS BRUTOS'!BD$2),1),"")</f>
        <v>46905</v>
      </c>
      <c r="EE4" s="119" t="n">
        <f aca="false">IF(ISNUMBER('DADOS BRUTOS'!BE$2),DATE(YEAR('DADOS BRUTOS'!BE$2),MONTH('DADOS BRUTOS'!BE$2),1),"")</f>
        <v>46935</v>
      </c>
      <c r="EF4" s="119" t="n">
        <f aca="false">IF(ISNUMBER('DADOS BRUTOS'!BF$2),DATE(YEAR('DADOS BRUTOS'!BF$2),MONTH('DADOS BRUTOS'!BF$2),1),"")</f>
        <v>46966</v>
      </c>
      <c r="EG4" s="119" t="n">
        <f aca="false">IF(ISNUMBER('DADOS BRUTOS'!BG$2),DATE(YEAR('DADOS BRUTOS'!BG$2),MONTH('DADOS BRUTOS'!BG$2),1),"")</f>
        <v>46997</v>
      </c>
      <c r="EH4" s="119" t="n">
        <f aca="false">IF(ISNUMBER('DADOS BRUTOS'!BH$2),DATE(YEAR('DADOS BRUTOS'!BH$2),MONTH('DADOS BRUTOS'!BH$2),1),"")</f>
        <v>47027</v>
      </c>
      <c r="EI4" s="119" t="n">
        <f aca="false">IF(ISNUMBER('DADOS BRUTOS'!BI$2),DATE(YEAR('DADOS BRUTOS'!BI$2),MONTH('DADOS BRUTOS'!BI$2),1),"")</f>
        <v>47058</v>
      </c>
      <c r="EJ4" s="119" t="n">
        <f aca="false">IF(ISNUMBER('DADOS BRUTOS'!BJ$2),DATE(YEAR('DADOS BRUTOS'!BJ$2),MONTH('DADOS BRUTOS'!BJ$2),1),"")</f>
        <v>47088</v>
      </c>
      <c r="EK4" s="119" t="n">
        <f aca="false">IF(ISNUMBER('DADOS BRUTOS'!BK$2),DATE(YEAR('DADOS BRUTOS'!BK$2),MONTH('DADOS BRUTOS'!BK$2),1),"")</f>
        <v>47119</v>
      </c>
      <c r="EL4" s="119" t="n">
        <f aca="false">IF(ISNUMBER('DADOS BRUTOS'!BL$2),DATE(YEAR('DADOS BRUTOS'!BL$2),MONTH('DADOS BRUTOS'!BL$2),1),"")</f>
        <v>47150</v>
      </c>
      <c r="EM4" s="119" t="n">
        <f aca="false">IF(ISNUMBER('DADOS BRUTOS'!BM$2),DATE(YEAR('DADOS BRUTOS'!BM$2),MONTH('DADOS BRUTOS'!BM$2),1),"")</f>
        <v>47178</v>
      </c>
      <c r="EN4" s="119" t="n">
        <f aca="false">IF(ISNUMBER('DADOS BRUTOS'!BN$2),DATE(YEAR('DADOS BRUTOS'!BN$2),MONTH('DADOS BRUTOS'!BN$2),1),"")</f>
        <v>47209</v>
      </c>
      <c r="EO4" s="119" t="n">
        <f aca="false">IF(ISNUMBER('DADOS BRUTOS'!BO$2),DATE(YEAR('DADOS BRUTOS'!BO$2),MONTH('DADOS BRUTOS'!BO$2),1),"")</f>
        <v>47239</v>
      </c>
      <c r="EP4" s="119" t="n">
        <f aca="false">IF(ISNUMBER('DADOS BRUTOS'!BP$2),DATE(YEAR('DADOS BRUTOS'!BP$2),MONTH('DADOS BRUTOS'!BP$2),1),"")</f>
        <v>47270</v>
      </c>
      <c r="EQ4" s="119" t="str">
        <f aca="false">IF(ISNUMBER('DADOS BRUTOS'!BQ$2),DATE(YEAR('DADOS BRUTOS'!BQ$2),MONTH('DADOS BRUTOS'!BQ$2),1),"")</f>
        <v/>
      </c>
      <c r="ER4" s="119" t="str">
        <f aca="false">IF(ISNUMBER('DADOS BRUTOS'!BR$2),DATE(YEAR('DADOS BRUTOS'!BR$2),MONTH('DADOS BRUTOS'!BR$2),1),"")</f>
        <v/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418594.15</v>
      </c>
      <c r="E5" s="50" t="n">
        <f aca="false">SUMIF($CB$4:$JS$4,E$4,$CB5:$JS5)</f>
        <v>10917.03</v>
      </c>
      <c r="F5" s="50" t="n">
        <f aca="false">SUMIF($CB$4:$JS$4,F$4,$CB5:$JS5)</f>
        <v>263811.08</v>
      </c>
      <c r="G5" s="50" t="n">
        <f aca="false">SUMIF($CB$4:$JS$4,G$4,$CB5:$JS5)</f>
        <v>95377.59</v>
      </c>
      <c r="H5" s="50" t="n">
        <f aca="false">SUMIF($CB$4:$JS$4,H$4,$CB5:$JS5)</f>
        <v>152105.86</v>
      </c>
      <c r="I5" s="50" t="n">
        <f aca="false">SUMIF($CB$4:$JS$4,I$4,$CB5:$JS5)</f>
        <v>202477.1</v>
      </c>
      <c r="J5" s="50" t="n">
        <f aca="false">SUMIF($CB$4:$JS$4,J$4,$CB5:$JS5)</f>
        <v>65133.61</v>
      </c>
      <c r="K5" s="50" t="n">
        <f aca="false">SUMIF($CB$4:$JS$4,K$4,$CB5:$JS5)</f>
        <v>46336.42</v>
      </c>
      <c r="L5" s="50" t="n">
        <f aca="false">SUMIF($CB$4:$JS$4,L$4,$CB5:$JS5)</f>
        <v>89390.73</v>
      </c>
      <c r="M5" s="50" t="n">
        <f aca="false">SUMIF($CB$4:$JS$4,M$4,$CB5:$JS5)</f>
        <v>31201.11</v>
      </c>
      <c r="N5" s="50" t="n">
        <f aca="false">SUMIF($CB$4:$JS$4,N$4,$CB5:$JS5)</f>
        <v>59081.79</v>
      </c>
      <c r="O5" s="50" t="n">
        <f aca="false">SUMIF($CB$4:$JS$4,O$4,$CB5:$JS5)</f>
        <v>118743.26</v>
      </c>
      <c r="P5" s="50" t="n">
        <f aca="false">SUMIF($CB$4:$JS$4,P$4,$CB5:$JS5)</f>
        <v>73812.68</v>
      </c>
      <c r="Q5" s="50" t="n">
        <f aca="false">SUMIF($CB$4:$JS$4,Q$4,$CB5:$JS5)</f>
        <v>141055.81</v>
      </c>
      <c r="R5" s="50" t="n">
        <f aca="false">SUMIF($CB$4:$JS$4,R$4,$CB5:$JS5)</f>
        <v>93013.12</v>
      </c>
      <c r="S5" s="50" t="n">
        <f aca="false">SUMIF($CB$4:$JS$4,S$4,$CB5:$JS5)</f>
        <v>46600</v>
      </c>
      <c r="T5" s="50" t="n">
        <f aca="false">SUMIF($CB$4:$JS$4,T$4,$CB5:$JS5)</f>
        <v>145577.73</v>
      </c>
      <c r="U5" s="50" t="n">
        <f aca="false">SUMIF($CB$4:$JS$4,U$4,$CB5:$JS5)</f>
        <v>925</v>
      </c>
      <c r="V5" s="50" t="n">
        <f aca="false">SUMIF($CB$4:$JS$4,V$4,$CB5:$JS5)</f>
        <v>925</v>
      </c>
      <c r="W5" s="50" t="n">
        <f aca="false">SUMIF($CB$4:$JS$4,W$4,$CB5:$JS5)</f>
        <v>17537.85</v>
      </c>
      <c r="X5" s="50" t="n">
        <f aca="false">SUMIF($CB$4:$JS$4,X$4,$CB5:$JS5)</f>
        <v>33676.72</v>
      </c>
      <c r="Y5" s="50" t="n">
        <f aca="false">SUMIF($CB$4:$JS$4,Y$4,$CB5:$JS5)</f>
        <v>54437.23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2160730.87</v>
      </c>
      <c r="BZ5" s="45" t="n">
        <f aca="false">SUMPRODUCT(($CB$4:$JS$4&lt;&gt;"")*($CB$4:$JS$4&lt;=$D$4),$CB5:$JS5,$CB$1:$JS$1)</f>
        <v>373.966007423308</v>
      </c>
      <c r="CB5" s="133" t="n">
        <f aca="false">IF(OR(CB$4="",$B5=""),0,SUMIF('DADOS BRUTOS'!$A$3:$A$500,$B5,'DADOS BRUTOS'!B$3:B$500)+IF($C5="",0,SUMIF('DADOS BRUTOS'!$A$3:$A$500,$C5,'DADOS BRUTOS'!B$3:B$500)))</f>
        <v>0</v>
      </c>
      <c r="CC5" s="133" t="n">
        <f aca="false">IF(OR(CC$4="",$B5=""),0,SUMIF('DADOS BRUTOS'!$A$3:$A$500,$B5,'DADOS BRUTOS'!C$3:C$500)+IF($C5="",0,SUMIF('DADOS BRUTOS'!$A$3:$A$500,$C5,'DADOS BRUTOS'!C$3:C$500)))</f>
        <v>0</v>
      </c>
      <c r="CD5" s="133" t="n">
        <f aca="false">IF(OR(CD$4="",$B5=""),0,SUMIF('DADOS BRUTOS'!$A$3:$A$500,$B5,'DADOS BRUTOS'!D$3:D$500)+IF($C5="",0,SUMIF('DADOS BRUTOS'!$A$3:$A$500,$C5,'DADOS BRUTOS'!D$3:D$500)))</f>
        <v>0</v>
      </c>
      <c r="CE5" s="133" t="n">
        <f aca="false">IF(OR(CE$4="",$B5=""),0,SUMIF('DADOS BRUTOS'!$A$3:$A$500,$B5,'DADOS BRUTOS'!E$3:E$500)+IF($C5="",0,SUMIF('DADOS BRUTOS'!$A$3:$A$500,$C5,'DADOS BRUTOS'!E$3:E$500)))</f>
        <v>129412.72</v>
      </c>
      <c r="CF5" s="133" t="n">
        <f aca="false">IF(OR(CF$4="",$B5=""),0,SUMIF('DADOS BRUTOS'!$A$3:$A$500,$B5,'DADOS BRUTOS'!F$3:F$500)+IF($C5="",0,SUMIF('DADOS BRUTOS'!$A$3:$A$500,$C5,'DADOS BRUTOS'!F$3:F$500)))</f>
        <v>38210.98</v>
      </c>
      <c r="CG5" s="133" t="n">
        <f aca="false">IF(OR(CG$4="",$B5=""),0,SUMIF('DADOS BRUTOS'!$A$3:$A$500,$B5,'DADOS BRUTOS'!G$3:G$500)+IF($C5="",0,SUMIF('DADOS BRUTOS'!$A$3:$A$500,$C5,'DADOS BRUTOS'!G$3:G$500)))</f>
        <v>44489.71</v>
      </c>
      <c r="CH5" s="133" t="n">
        <f aca="false">IF(OR(CH$4="",$B5=""),0,SUMIF('DADOS BRUTOS'!$A$3:$A$500,$B5,'DADOS BRUTOS'!H$3:H$500)+IF($C5="",0,SUMIF('DADOS BRUTOS'!$A$3:$A$500,$C5,'DADOS BRUTOS'!H$3:H$500)))</f>
        <v>9769.88</v>
      </c>
      <c r="CI5" s="133" t="n">
        <f aca="false">IF(OR(CI$4="",$B5=""),0,SUMIF('DADOS BRUTOS'!$A$3:$A$500,$B5,'DADOS BRUTOS'!I$3:I$500)+IF($C5="",0,SUMIF('DADOS BRUTOS'!$A$3:$A$500,$C5,'DADOS BRUTOS'!I$3:I$500)))</f>
        <v>53439.61</v>
      </c>
      <c r="CJ5" s="133" t="n">
        <f aca="false">IF(OR(CJ$4="",$B5=""),0,SUMIF('DADOS BRUTOS'!$A$3:$A$500,$B5,'DADOS BRUTOS'!J$3:J$500)+IF($C5="",0,SUMIF('DADOS BRUTOS'!$A$3:$A$500,$C5,'DADOS BRUTOS'!J$3:J$500)))</f>
        <v>56848.49</v>
      </c>
      <c r="CK5" s="133" t="n">
        <f aca="false">IF(OR(CK$4="",$B5=""),0,SUMIF('DADOS BRUTOS'!$A$3:$A$500,$B5,'DADOS BRUTOS'!K$3:K$500)+IF($C5="",0,SUMIF('DADOS BRUTOS'!$A$3:$A$500,$C5,'DADOS BRUTOS'!K$3:K$500)))</f>
        <v>9211.24</v>
      </c>
      <c r="CL5" s="133" t="n">
        <f aca="false">IF(OR(CL$4="",$B5=""),0,SUMIF('DADOS BRUTOS'!$A$3:$A$500,$B5,'DADOS BRUTOS'!L$3:L$500)+IF($C5="",0,SUMIF('DADOS BRUTOS'!$A$3:$A$500,$C5,'DADOS BRUTOS'!L$3:L$500)))</f>
        <v>7608.12</v>
      </c>
      <c r="CM5" s="133" t="n">
        <f aca="false">IF(OR(CM$4="",$B5=""),0,SUMIF('DADOS BRUTOS'!$A$3:$A$500,$B5,'DADOS BRUTOS'!M$3:M$500)+IF($C5="",0,SUMIF('DADOS BRUTOS'!$A$3:$A$500,$C5,'DADOS BRUTOS'!M$3:M$500)))</f>
        <v>34653.4</v>
      </c>
      <c r="CN5" s="133" t="n">
        <f aca="false">IF(OR(CN$4="",$B5=""),0,SUMIF('DADOS BRUTOS'!$A$3:$A$500,$B5,'DADOS BRUTOS'!N$3:N$500)+IF($C5="",0,SUMIF('DADOS BRUTOS'!$A$3:$A$500,$C5,'DADOS BRUTOS'!N$3:N$500)))</f>
        <v>34950</v>
      </c>
      <c r="CO5" s="133" t="n">
        <f aca="false">IF(OR(CO$4="",$B5=""),0,SUMIF('DADOS BRUTOS'!$A$3:$A$500,$B5,'DADOS BRUTOS'!O$3:O$500)+IF($C5="",0,SUMIF('DADOS BRUTOS'!$A$3:$A$500,$C5,'DADOS BRUTOS'!O$3:O$500)))</f>
        <v>10917.03</v>
      </c>
      <c r="CP5" s="133" t="n">
        <f aca="false">IF(OR(CP$4="",$B5=""),0,SUMIF('DADOS BRUTOS'!$A$3:$A$500,$B5,'DADOS BRUTOS'!P$3:P$500)+IF($C5="",0,SUMIF('DADOS BRUTOS'!$A$3:$A$500,$C5,'DADOS BRUTOS'!P$3:P$500)))</f>
        <v>263811.08</v>
      </c>
      <c r="CQ5" s="133" t="n">
        <f aca="false">IF(OR(CQ$4="",$B5=""),0,SUMIF('DADOS BRUTOS'!$A$3:$A$500,$B5,'DADOS BRUTOS'!Q$3:Q$500)+IF($C5="",0,SUMIF('DADOS BRUTOS'!$A$3:$A$500,$C5,'DADOS BRUTOS'!Q$3:Q$500)))</f>
        <v>95377.59</v>
      </c>
      <c r="CR5" s="133" t="n">
        <f aca="false">IF(OR(CR$4="",$B5=""),0,SUMIF('DADOS BRUTOS'!$A$3:$A$500,$B5,'DADOS BRUTOS'!R$3:R$500)+IF($C5="",0,SUMIF('DADOS BRUTOS'!$A$3:$A$500,$C5,'DADOS BRUTOS'!R$3:R$500)))</f>
        <v>152105.86</v>
      </c>
      <c r="CS5" s="133" t="n">
        <f aca="false">IF(OR(CS$4="",$B5=""),0,SUMIF('DADOS BRUTOS'!$A$3:$A$500,$B5,'DADOS BRUTOS'!S$3:S$500)+IF($C5="",0,SUMIF('DADOS BRUTOS'!$A$3:$A$500,$C5,'DADOS BRUTOS'!S$3:S$500)))</f>
        <v>202477.1</v>
      </c>
      <c r="CT5" s="133" t="n">
        <f aca="false">IF(OR(CT$4="",$B5=""),0,SUMIF('DADOS BRUTOS'!$A$3:$A$500,$B5,'DADOS BRUTOS'!T$3:T$500)+IF($C5="",0,SUMIF('DADOS BRUTOS'!$A$3:$A$500,$C5,'DADOS BRUTOS'!T$3:T$500)))</f>
        <v>65133.61</v>
      </c>
      <c r="CU5" s="133" t="n">
        <f aca="false">IF(OR(CU$4="",$B5=""),0,SUMIF('DADOS BRUTOS'!$A$3:$A$500,$B5,'DADOS BRUTOS'!U$3:U$500)+IF($C5="",0,SUMIF('DADOS BRUTOS'!$A$3:$A$500,$C5,'DADOS BRUTOS'!U$3:U$500)))</f>
        <v>46336.42</v>
      </c>
      <c r="CV5" s="133" t="n">
        <f aca="false">IF(OR(CV$4="",$B5=""),0,SUMIF('DADOS BRUTOS'!$A$3:$A$500,$B5,'DADOS BRUTOS'!V$3:V$500)+IF($C5="",0,SUMIF('DADOS BRUTOS'!$A$3:$A$500,$C5,'DADOS BRUTOS'!V$3:V$500)))</f>
        <v>89390.73</v>
      </c>
      <c r="CW5" s="133" t="n">
        <f aca="false">IF(OR(CW$4="",$B5=""),0,SUMIF('DADOS BRUTOS'!$A$3:$A$500,$B5,'DADOS BRUTOS'!W$3:W$500)+IF($C5="",0,SUMIF('DADOS BRUTOS'!$A$3:$A$500,$C5,'DADOS BRUTOS'!W$3:W$500)))</f>
        <v>31201.11</v>
      </c>
      <c r="CX5" s="133" t="n">
        <f aca="false">IF(OR(CX$4="",$B5=""),0,SUMIF('DADOS BRUTOS'!$A$3:$A$500,$B5,'DADOS BRUTOS'!X$3:X$500)+IF($C5="",0,SUMIF('DADOS BRUTOS'!$A$3:$A$500,$C5,'DADOS BRUTOS'!X$3:X$500)))</f>
        <v>59081.79</v>
      </c>
      <c r="CY5" s="133" t="n">
        <f aca="false">IF(OR(CY$4="",$B5=""),0,SUMIF('DADOS BRUTOS'!$A$3:$A$500,$B5,'DADOS BRUTOS'!Y$3:Y$500)+IF($C5="",0,SUMIF('DADOS BRUTOS'!$A$3:$A$500,$C5,'DADOS BRUTOS'!Y$3:Y$500)))</f>
        <v>118743.26</v>
      </c>
      <c r="CZ5" s="133" t="n">
        <f aca="false">IF(OR(CZ$4="",$B5=""),0,SUMIF('DADOS BRUTOS'!$A$3:$A$500,$B5,'DADOS BRUTOS'!Z$3:Z$500)+IF($C5="",0,SUMIF('DADOS BRUTOS'!$A$3:$A$500,$C5,'DADOS BRUTOS'!Z$3:Z$500)))</f>
        <v>73812.68</v>
      </c>
      <c r="DA5" s="133" t="n">
        <f aca="false">IF(OR(DA$4="",$B5=""),0,SUMIF('DADOS BRUTOS'!$A$3:$A$500,$B5,'DADOS BRUTOS'!AA$3:AA$500)+IF($C5="",0,SUMIF('DADOS BRUTOS'!$A$3:$A$500,$C5,'DADOS BRUTOS'!AA$3:AA$500)))</f>
        <v>141055.81</v>
      </c>
      <c r="DB5" s="133" t="n">
        <f aca="false">IF(OR(DB$4="",$B5=""),0,SUMIF('DADOS BRUTOS'!$A$3:$A$500,$B5,'DADOS BRUTOS'!AB$3:AB$500)+IF($C5="",0,SUMIF('DADOS BRUTOS'!$A$3:$A$500,$C5,'DADOS BRUTOS'!AB$3:AB$500)))</f>
        <v>93013.12</v>
      </c>
      <c r="DC5" s="133" t="n">
        <f aca="false">IF(OR(DC$4="",$B5=""),0,SUMIF('DADOS BRUTOS'!$A$3:$A$500,$B5,'DADOS BRUTOS'!AC$3:AC$500)+IF($C5="",0,SUMIF('DADOS BRUTOS'!$A$3:$A$500,$C5,'DADOS BRUTOS'!AC$3:AC$500)))</f>
        <v>46600</v>
      </c>
      <c r="DD5" s="133" t="n">
        <f aca="false">IF(OR(DD$4="",$B5=""),0,SUMIF('DADOS BRUTOS'!$A$3:$A$500,$B5,'DADOS BRUTOS'!AD$3:AD$500)+IF($C5="",0,SUMIF('DADOS BRUTOS'!$A$3:$A$500,$C5,'DADOS BRUTOS'!AD$3:AD$500)))</f>
        <v>145577.73</v>
      </c>
      <c r="DE5" s="133" t="n">
        <f aca="false">IF(OR(DE$4="",$B5=""),0,SUMIF('DADOS BRUTOS'!$A$3:$A$500,$B5,'DADOS BRUTOS'!AE$3:AE$500)+IF($C5="",0,SUMIF('DADOS BRUTOS'!$A$3:$A$500,$C5,'DADOS BRUTOS'!AE$3:AE$500)))</f>
        <v>925</v>
      </c>
      <c r="DF5" s="133" t="n">
        <f aca="false">IF(OR(DF$4="",$B5=""),0,SUMIF('DADOS BRUTOS'!$A$3:$A$500,$B5,'DADOS BRUTOS'!AF$3:AF$500)+IF($C5="",0,SUMIF('DADOS BRUTOS'!$A$3:$A$500,$C5,'DADOS BRUTOS'!AF$3:AF$500)))</f>
        <v>925</v>
      </c>
      <c r="DG5" s="133" t="n">
        <f aca="false">IF(OR(DG$4="",$B5=""),0,SUMIF('DADOS BRUTOS'!$A$3:$A$500,$B5,'DADOS BRUTOS'!AG$3:AG$500)+IF($C5="",0,SUMIF('DADOS BRUTOS'!$A$3:$A$500,$C5,'DADOS BRUTOS'!AG$3:AG$500)))</f>
        <v>17537.85</v>
      </c>
      <c r="DH5" s="133" t="n">
        <f aca="false">IF(OR(DH$4="",$B5=""),0,SUMIF('DADOS BRUTOS'!$A$3:$A$500,$B5,'DADOS BRUTOS'!AH$3:AH$500)+IF($C5="",0,SUMIF('DADOS BRUTOS'!$A$3:$A$500,$C5,'DADOS BRUTOS'!AH$3:AH$500)))</f>
        <v>33676.72</v>
      </c>
      <c r="DI5" s="133" t="n">
        <f aca="false">IF(OR(DI$4="",$B5=""),0,SUMIF('DADOS BRUTOS'!$A$3:$A$500,$B5,'DADOS BRUTOS'!AI$3:AI$500)+IF($C5="",0,SUMIF('DADOS BRUTOS'!$A$3:$A$500,$C5,'DADOS BRUTOS'!AI$3:AI$500)))</f>
        <v>54437.23</v>
      </c>
      <c r="DJ5" s="133" t="n">
        <f aca="false">IF(OR(DJ$4="",$B5=""),0,SUMIF('DADOS BRUTOS'!$A$3:$A$500,$B5,'DADOS BRUTOS'!AJ$3:AJ$500)+IF($C5="",0,SUMIF('DADOS BRUTOS'!$A$3:$A$500,$C5,'DADOS BRUTOS'!AJ$3:AJ$500)))</f>
        <v>0</v>
      </c>
      <c r="DK5" s="133" t="n">
        <f aca="false">IF(OR(DK$4="",$B5=""),0,SUMIF('DADOS BRUTOS'!$A$3:$A$500,$B5,'DADOS BRUTOS'!AK$3:AK$500)+IF($C5="",0,SUMIF('DADOS BRUTOS'!$A$3:$A$500,$C5,'DADOS BRUTOS'!AK$3:AK$500)))</f>
        <v>0</v>
      </c>
      <c r="DL5" s="133" t="n">
        <f aca="false">IF(OR(DL$4="",$B5=""),0,SUMIF('DADOS BRUTOS'!$A$3:$A$500,$B5,'DADOS BRUTOS'!AL$3:AL$500)+IF($C5="",0,SUMIF('DADOS BRUTOS'!$A$3:$A$500,$C5,'DADOS BRUTOS'!AL$3:AL$500)))</f>
        <v>0</v>
      </c>
      <c r="DM5" s="133" t="n">
        <f aca="false">IF(OR(DM$4="",$B5=""),0,SUMIF('DADOS BRUTOS'!$A$3:$A$500,$B5,'DADOS BRUTOS'!AM$3:AM$500)+IF($C5="",0,SUMIF('DADOS BRUTOS'!$A$3:$A$500,$C5,'DADOS BRUTOS'!AM$3:AM$500)))</f>
        <v>0</v>
      </c>
      <c r="DN5" s="133" t="n">
        <f aca="false">IF(OR(DN$4="",$B5=""),0,SUMIF('DADOS BRUTOS'!$A$3:$A$500,$B5,'DADOS BRUTOS'!AN$3:AN$500)+IF($C5="",0,SUMIF('DADOS BRUTOS'!$A$3:$A$500,$C5,'DADOS BRUTOS'!AN$3:AN$500)))</f>
        <v>0</v>
      </c>
      <c r="DO5" s="133" t="n">
        <f aca="false">IF(OR(DO$4="",$B5=""),0,SUMIF('DADOS BRUTOS'!$A$3:$A$500,$B5,'DADOS BRUTOS'!AO$3:AO$500)+IF($C5="",0,SUMIF('DADOS BRUTOS'!$A$3:$A$500,$C5,'DADOS BRUTOS'!AO$3:AO$500)))</f>
        <v>0</v>
      </c>
      <c r="DP5" s="133" t="n">
        <f aca="false">IF(OR(DP$4="",$B5=""),0,SUMIF('DADOS BRUTOS'!$A$3:$A$500,$B5,'DADOS BRUTOS'!AP$3:AP$500)+IF($C5="",0,SUMIF('DADOS BRUTOS'!$A$3:$A$500,$C5,'DADOS BRUTOS'!AP$3:AP$500)))</f>
        <v>0</v>
      </c>
      <c r="DQ5" s="133" t="n">
        <f aca="false">IF(OR(DQ$4="",$B5=""),0,SUMIF('DADOS BRUTOS'!$A$3:$A$500,$B5,'DADOS BRUTOS'!AQ$3:AQ$500)+IF($C5="",0,SUMIF('DADOS BRUTOS'!$A$3:$A$500,$C5,'DADOS BRUTOS'!AQ$3:AQ$500)))</f>
        <v>0</v>
      </c>
      <c r="DR5" s="133" t="n">
        <f aca="false">IF(OR(DR$4="",$B5=""),0,SUMIF('DADOS BRUTOS'!$A$3:$A$500,$B5,'DADOS BRUTOS'!AR$3:AR$500)+IF($C5="",0,SUMIF('DADOS BRUTOS'!$A$3:$A$500,$C5,'DADOS BRUTOS'!AR$3:AR$500)))</f>
        <v>0</v>
      </c>
      <c r="DS5" s="133" t="n">
        <f aca="false">IF(OR(DS$4="",$B5=""),0,SUMIF('DADOS BRUTOS'!$A$3:$A$500,$B5,'DADOS BRUTOS'!AS$3:AS$500)+IF($C5="",0,SUMIF('DADOS BRUTOS'!$A$3:$A$500,$C5,'DADOS BRUTOS'!AS$3:AS$500)))</f>
        <v>0</v>
      </c>
      <c r="DT5" s="133" t="n">
        <f aca="false">IF(OR(DT$4="",$B5=""),0,SUMIF('DADOS BRUTOS'!$A$3:$A$500,$B5,'DADOS BRUTOS'!AT$3:AT$500)+IF($C5="",0,SUMIF('DADOS BRUTOS'!$A$3:$A$500,$C5,'DADOS BRUTOS'!AT$3:AT$500)))</f>
        <v>0</v>
      </c>
      <c r="DU5" s="133" t="n">
        <f aca="false">IF(OR(DU$4="",$B5=""),0,SUMIF('DADOS BRUTOS'!$A$3:$A$500,$B5,'DADOS BRUTOS'!AU$3:AU$500)+IF($C5="",0,SUMIF('DADOS BRUTOS'!$A$3:$A$500,$C5,'DADOS BRUTOS'!AU$3:AU$500)))</f>
        <v>0</v>
      </c>
      <c r="DV5" s="133" t="n">
        <f aca="false">IF(OR(DV$4="",$B5=""),0,SUMIF('DADOS BRUTOS'!$A$3:$A$500,$B5,'DADOS BRUTOS'!AV$3:AV$500)+IF($C5="",0,SUMIF('DADOS BRUTOS'!$A$3:$A$500,$C5,'DADOS BRUTOS'!AV$3:AV$500)))</f>
        <v>0</v>
      </c>
      <c r="DW5" s="133" t="n">
        <f aca="false">IF(OR(DW$4="",$B5=""),0,SUMIF('DADOS BRUTOS'!$A$3:$A$500,$B5,'DADOS BRUTOS'!AW$3:AW$500)+IF($C5="",0,SUMIF('DADOS BRUTOS'!$A$3:$A$500,$C5,'DADOS BRUTOS'!AW$3:AW$500)))</f>
        <v>0</v>
      </c>
      <c r="DX5" s="133" t="n">
        <f aca="false">IF(OR(DX$4="",$B5=""),0,SUMIF('DADOS BRUTOS'!$A$3:$A$500,$B5,'DADOS BRUTOS'!AX$3:AX$500)+IF($C5="",0,SUMIF('DADOS BRUTOS'!$A$3:$A$500,$C5,'DADOS BRUTOS'!AX$3:AX$500)))</f>
        <v>0</v>
      </c>
      <c r="DY5" s="133" t="n">
        <f aca="false">IF(OR(DY$4="",$B5=""),0,SUMIF('DADOS BRUTOS'!$A$3:$A$500,$B5,'DADOS BRUTOS'!AY$3:AY$500)+IF($C5="",0,SUMIF('DADOS BRUTOS'!$A$3:$A$500,$C5,'DADOS BRUTOS'!AY$3:AY$500)))</f>
        <v>0</v>
      </c>
      <c r="DZ5" s="133" t="n">
        <f aca="false">IF(OR(DZ$4="",$B5=""),0,SUMIF('DADOS BRUTOS'!$A$3:$A$500,$B5,'DADOS BRUTOS'!AZ$3:AZ$500)+IF($C5="",0,SUMIF('DADOS BRUTOS'!$A$3:$A$500,$C5,'DADOS BRUTOS'!AZ$3:AZ$500)))</f>
        <v>0</v>
      </c>
      <c r="EA5" s="133" t="n">
        <f aca="false">IF(OR(EA$4="",$B5=""),0,SUMIF('DADOS BRUTOS'!$A$3:$A$500,$B5,'DADOS BRUTOS'!BA$3:BA$500)+IF($C5="",0,SUMIF('DADOS BRUTOS'!$A$3:$A$500,$C5,'DADOS BRUTOS'!BA$3:BA$500)))</f>
        <v>0</v>
      </c>
      <c r="EB5" s="133" t="n">
        <f aca="false">IF(OR(EB$4="",$B5=""),0,SUMIF('DADOS BRUTOS'!$A$3:$A$500,$B5,'DADOS BRUTOS'!BB$3:BB$500)+IF($C5="",0,SUMIF('DADOS BRUTOS'!$A$3:$A$500,$C5,'DADOS BRUTOS'!BB$3:BB$500)))</f>
        <v>0</v>
      </c>
      <c r="EC5" s="133" t="n">
        <f aca="false">IF(OR(EC$4="",$B5=""),0,SUMIF('DADOS BRUTOS'!$A$3:$A$500,$B5,'DADOS BRUTOS'!BC$3:BC$500)+IF($C5="",0,SUMIF('DADOS BRUTOS'!$A$3:$A$500,$C5,'DADOS BRUTOS'!BC$3:BC$500)))</f>
        <v>0</v>
      </c>
      <c r="ED5" s="133" t="n">
        <f aca="false">IF(OR(ED$4="",$B5=""),0,SUMIF('DADOS BRUTOS'!$A$3:$A$500,$B5,'DADOS BRUTOS'!BD$3:BD$500)+IF($C5="",0,SUMIF('DADOS BRUTOS'!$A$3:$A$500,$C5,'DADOS BRUTOS'!BD$3:BD$500)))</f>
        <v>0</v>
      </c>
      <c r="EE5" s="133" t="n">
        <f aca="false">IF(OR(EE$4="",$B5=""),0,SUMIF('DADOS BRUTOS'!$A$3:$A$500,$B5,'DADOS BRUTOS'!BE$3:BE$500)+IF($C5="",0,SUMIF('DADOS BRUTOS'!$A$3:$A$500,$C5,'DADOS BRUTOS'!BE$3:BE$500)))</f>
        <v>0</v>
      </c>
      <c r="EF5" s="133" t="n">
        <f aca="false">IF(OR(EF$4="",$B5=""),0,SUMIF('DADOS BRUTOS'!$A$3:$A$500,$B5,'DADOS BRUTOS'!BF$3:BF$500)+IF($C5="",0,SUMIF('DADOS BRUTOS'!$A$3:$A$500,$C5,'DADOS BRUTOS'!BF$3:BF$500)))</f>
        <v>0</v>
      </c>
      <c r="EG5" s="133" t="n">
        <f aca="false">IF(OR(EG$4="",$B5=""),0,SUMIF('DADOS BRUTOS'!$A$3:$A$500,$B5,'DADOS BRUTOS'!BG$3:BG$500)+IF($C5="",0,SUMIF('DADOS BRUTOS'!$A$3:$A$500,$C5,'DADOS BRUTOS'!BG$3:BG$500)))</f>
        <v>0</v>
      </c>
      <c r="EH5" s="133" t="n">
        <f aca="false">IF(OR(EH$4="",$B5=""),0,SUMIF('DADOS BRUTOS'!$A$3:$A$500,$B5,'DADOS BRUTOS'!BH$3:BH$500)+IF($C5="",0,SUMIF('DADOS BRUTOS'!$A$3:$A$500,$C5,'DADOS BRUTOS'!BH$3:BH$500)))</f>
        <v>0</v>
      </c>
      <c r="EI5" s="133" t="n">
        <f aca="false">IF(OR(EI$4="",$B5=""),0,SUMIF('DADOS BRUTOS'!$A$3:$A$500,$B5,'DADOS BRUTOS'!BI$3:BI$500)+IF($C5="",0,SUMIF('DADOS BRUTOS'!$A$3:$A$500,$C5,'DADOS BRUTOS'!BI$3:BI$500)))</f>
        <v>0</v>
      </c>
      <c r="EJ5" s="133" t="n">
        <f aca="false">IF(OR(EJ$4="",$B5=""),0,SUMIF('DADOS BRUTOS'!$A$3:$A$500,$B5,'DADOS BRUTOS'!BJ$3:BJ$500)+IF($C5="",0,SUMIF('DADOS BRUTOS'!$A$3:$A$500,$C5,'DADOS BRUTOS'!BJ$3:BJ$500)))</f>
        <v>0</v>
      </c>
      <c r="EK5" s="133" t="n">
        <f aca="false">IF(OR(EK$4="",$B5=""),0,SUMIF('DADOS BRUTOS'!$A$3:$A$500,$B5,'DADOS BRUTOS'!BK$3:BK$500)+IF($C5="",0,SUMIF('DADOS BRUTOS'!$A$3:$A$500,$C5,'DADOS BRUTOS'!BK$3:BK$500)))</f>
        <v>0</v>
      </c>
      <c r="EL5" s="133" t="n">
        <f aca="false">IF(OR(EL$4="",$B5=""),0,SUMIF('DADOS BRUTOS'!$A$3:$A$500,$B5,'DADOS BRUTOS'!BL$3:BL$500)+IF($C5="",0,SUMIF('DADOS BRUTOS'!$A$3:$A$500,$C5,'DADOS BRUTOS'!BL$3:BL$500)))</f>
        <v>0</v>
      </c>
      <c r="EM5" s="133" t="n">
        <f aca="false">IF(OR(EM$4="",$B5=""),0,SUMIF('DADOS BRUTOS'!$A$3:$A$500,$B5,'DADOS BRUTOS'!BM$3:BM$500)+IF($C5="",0,SUMIF('DADOS BRUTOS'!$A$3:$A$500,$C5,'DADOS BRUTOS'!BM$3:BM$500)))</f>
        <v>0</v>
      </c>
      <c r="EN5" s="133" t="n">
        <f aca="false">IF(OR(EN$4="",$B5=""),0,SUMIF('DADOS BRUTOS'!$A$3:$A$500,$B5,'DADOS BRUTOS'!BN$3:BN$500)+IF($C5="",0,SUMIF('DADOS BRUTOS'!$A$3:$A$500,$C5,'DADOS BRUTOS'!BN$3:BN$500)))</f>
        <v>0</v>
      </c>
      <c r="EO5" s="133" t="n">
        <f aca="false">IF(OR(EO$4="",$B5=""),0,SUMIF('DADOS BRUTOS'!$A$3:$A$500,$B5,'DADOS BRUTOS'!BO$3:BO$500)+IF($C5="",0,SUMIF('DADOS BRUTOS'!$A$3:$A$500,$C5,'DADOS BRUTOS'!BO$3:BO$500)))</f>
        <v>0</v>
      </c>
      <c r="EP5" s="133" t="n">
        <f aca="false">IF(OR(EP$4="",$B5=""),0,SUMIF('DADOS BRUTOS'!$A$3:$A$500,$B5,'DADOS BRUTOS'!BP$3:BP$500)+IF($C5="",0,SUMIF('DADOS BRUTOS'!$A$3:$A$500,$C5,'DADOS BRUTOS'!BP$3:BP$500)))</f>
        <v>0</v>
      </c>
      <c r="EQ5" s="133" t="n">
        <f aca="false">IF(OR(EQ$4="",$B5=""),0,SUMIF('DADOS BRUTOS'!$A$3:$A$500,$B5,'DADOS BRUTOS'!BQ$3:BQ$500)+IF($C5="",0,SUMIF('DADOS BRUTOS'!$A$3:$A$500,$C5,'DADOS BRUTOS'!BQ$3:BQ$500)))</f>
        <v>0</v>
      </c>
      <c r="ER5" s="133" t="n">
        <f aca="false">IF(OR(ER$4="",$B5=""),0,SUMIF('DADOS BRUTOS'!$A$3:$A$500,$B5,'DADOS BRUTOS'!BR$3:BR$500)+IF($C5="",0,SUMIF('DADOS BRUTOS'!$A$3:$A$500,$C5,'DADOS BRUTOS'!BR$3:BR$500)))</f>
        <v>0</v>
      </c>
      <c r="ES5" s="133" t="n">
        <f aca="false">IF(OR(ES$4="",$B5=""),0,SUMIF('DADOS BRUTOS'!$A$3:$A$500,$B5,'DADOS BRUTOS'!BS$3:BS$500)+IF($C5="",0,SUMIF('DADOS BRUTOS'!$A$3:$A$500,$C5,'DADOS BRUTOS'!BS$3:BS$500)))</f>
        <v>0</v>
      </c>
      <c r="ET5" s="133" t="n">
        <f aca="false">IF(OR(ET$4="",$B5=""),0,SUMIF('DADOS BRUTOS'!$A$3:$A$500,$B5,'DADOS BRUTOS'!BT$3:BT$500)+IF($C5="",0,SUMIF('DADOS BRUTOS'!$A$3:$A$500,$C5,'DADOS BRUTOS'!BT$3:BT$500)))</f>
        <v>0</v>
      </c>
      <c r="EU5" s="133" t="n">
        <f aca="false">IF(OR(EU$4="",$B5=""),0,SUMIF('DADOS BRUTOS'!$A$3:$A$500,$B5,'DADOS BRUTOS'!BU$3:BU$500)+IF($C5="",0,SUMIF('DADOS BRUTOS'!$A$3:$A$500,$C5,'DADOS BRUTOS'!BU$3:BU$500)))</f>
        <v>0</v>
      </c>
      <c r="EV5" s="133" t="n">
        <f aca="false">IF(OR(EV$4="",$B5=""),0,SUMIF('DADOS BRUTOS'!$A$3:$A$500,$B5,'DADOS BRUTOS'!BV$3:BV$500)+IF($C5="",0,SUMIF('DADOS BRUTOS'!$A$3:$A$500,$C5,'DADOS BRUTOS'!BV$3:BV$500)))</f>
        <v>0</v>
      </c>
      <c r="EW5" s="133" t="n">
        <f aca="false">IF(OR(EW$4="",$B5=""),0,SUMIF('DADOS BRUTOS'!$A$3:$A$500,$B5,'DADOS BRUTOS'!BW$3:BW$500)+IF($C5="",0,SUMIF('DADOS BRUTOS'!$A$3:$A$500,$C5,'DADOS BRUTOS'!BW$3:BW$500)))</f>
        <v>0</v>
      </c>
      <c r="EX5" s="133" t="n">
        <f aca="false">IF(OR(EX$4="",$B5=""),0,SUMIF('DADOS BRUTOS'!$A$3:$A$500,$B5,'DADOS BRUTOS'!BX$3:BX$500)+IF($C5="",0,SUMIF('DADOS BRUTOS'!$A$3:$A$500,$C5,'DADOS BRUTOS'!BX$3:BX$500)))</f>
        <v>0</v>
      </c>
      <c r="EY5" s="133" t="n">
        <f aca="false">IF(OR(EY$4="",$B5=""),0,SUMIF('DADOS BRUTOS'!$A$3:$A$500,$B5,'DADOS BRUTOS'!BY$3:BY$500)+IF($C5="",0,SUMIF('DADOS BRUTOS'!$A$3:$A$500,$C5,'DADOS BRUTOS'!BY$3:BY$500)))</f>
        <v>0</v>
      </c>
      <c r="EZ5" s="133" t="n">
        <f aca="false">IF(OR(EZ$4="",$B5=""),0,SUMIF('DADOS BRUTOS'!$A$3:$A$500,$B5,'DADOS BRUTOS'!BZ$3:BZ$500)+IF($C5="",0,SUMIF('DADOS BRUTOS'!$A$3:$A$500,$C5,'DADOS BRUTOS'!BZ$3:BZ$500)))</f>
        <v>0</v>
      </c>
      <c r="FA5" s="133" t="n">
        <f aca="false">IF(OR(FA$4="",$B5=""),0,SUMIF('DADOS BRUTOS'!$A$3:$A$500,$B5,'DADOS BRUTOS'!CA$3:CA$500)+IF($C5="",0,SUMIF('DADOS BRUTOS'!$A$3:$A$500,$C5,'DADOS BRUTOS'!CA$3:CA$500)))</f>
        <v>0</v>
      </c>
      <c r="FB5" s="133" t="n">
        <f aca="false">IF(OR(FB$4="",$B5=""),0,SUMIF('DADOS BRUTOS'!$A$3:$A$500,$B5,'DADOS BRUTOS'!CB$3:CB$500)+IF($C5="",0,SUMIF('DADOS BRUTOS'!$A$3:$A$500,$C5,'DADOS BRUTOS'!CB$3:CB$500)))</f>
        <v>0</v>
      </c>
      <c r="FC5" s="133" t="n">
        <f aca="false">IF(OR(FC$4="",$B5=""),0,SUMIF('DADOS BRUTOS'!$A$3:$A$500,$B5,'DADOS BRUTOS'!CC$3:CC$500)+IF($C5="",0,SUMIF('DADOS BRUTOS'!$A$3:$A$500,$C5,'DADOS BRUTOS'!CC$3:CC$500)))</f>
        <v>0</v>
      </c>
      <c r="FD5" s="133" t="n">
        <f aca="false">IF(OR(FD$4="",$B5=""),0,SUMIF('DADOS BRUTOS'!$A$3:$A$500,$B5,'DADOS BRUTOS'!CD$3:CD$500)+IF($C5="",0,SUMIF('DADOS BRUTOS'!$A$3:$A$500,$C5,'DADOS BRUTOS'!CD$3:CD$500)))</f>
        <v>0</v>
      </c>
      <c r="FE5" s="133" t="n">
        <f aca="false">IF(OR(FE$4="",$B5=""),0,SUMIF('DADOS BRUTOS'!$A$3:$A$500,$B5,'DADOS BRUTOS'!CE$3:CE$500)+IF($C5="",0,SUMIF('DADOS BRUTOS'!$A$3:$A$500,$C5,'DADOS BRUTOS'!CE$3:CE$500)))</f>
        <v>0</v>
      </c>
      <c r="FF5" s="133" t="n">
        <f aca="false">IF(OR(FF$4="",$B5=""),0,SUMIF('DADOS BRUTOS'!$A$3:$A$500,$B5,'DADOS BRUTOS'!CF$3:CF$500)+IF($C5="",0,SUMIF('DADOS BRUTOS'!$A$3:$A$500,$C5,'DADOS BRUTOS'!CF$3:CF$500)))</f>
        <v>0</v>
      </c>
      <c r="FG5" s="133" t="n">
        <f aca="false">IF(OR(FG$4="",$B5=""),0,SUMIF('DADOS BRUTOS'!$A$3:$A$500,$B5,'DADOS BRUTOS'!CG$3:CG$500)+IF($C5="",0,SUMIF('DADOS BRUTOS'!$A$3:$A$500,$C5,'DADOS BRUTOS'!CG$3:CG$500)))</f>
        <v>0</v>
      </c>
      <c r="FH5" s="133" t="n">
        <f aca="false">IF(OR(FH$4="",$B5=""),0,SUMIF('DADOS BRUTOS'!$A$3:$A$500,$B5,'DADOS BRUTOS'!CH$3:CH$500)+IF($C5="",0,SUMIF('DADOS BRUTOS'!$A$3:$A$500,$C5,'DADOS BRUTOS'!CH$3:CH$500)))</f>
        <v>0</v>
      </c>
      <c r="FI5" s="133" t="n">
        <f aca="false">IF(OR(FI$4="",$B5=""),0,SUMIF('DADOS BRUTOS'!$A$3:$A$500,$B5,'DADOS BRUTOS'!CI$3:CI$500)+IF($C5="",0,SUMIF('DADOS BRUTOS'!$A$3:$A$500,$C5,'DADOS BRUTOS'!CI$3:CI$500)))</f>
        <v>0</v>
      </c>
      <c r="FJ5" s="133" t="n">
        <f aca="false">IF(OR(FJ$4="",$B5=""),0,SUMIF('DADOS BRUTOS'!$A$3:$A$500,$B5,'DADOS BRUTOS'!CJ$3:CJ$500)+IF($C5="",0,SUMIF('DADOS BRUTOS'!$A$3:$A$500,$C5,'DADOS BRUTOS'!CJ$3:CJ$500)))</f>
        <v>0</v>
      </c>
      <c r="FK5" s="133" t="n">
        <f aca="false">IF(OR(FK$4="",$B5=""),0,SUMIF('DADOS BRUTOS'!$A$3:$A$500,$B5,'DADOS BRUTOS'!CK$3:CK$500)+IF($C5="",0,SUMIF('DADOS BRUTOS'!$A$3:$A$500,$C5,'DADOS BRUTOS'!CK$3:CK$500)))</f>
        <v>0</v>
      </c>
      <c r="FL5" s="133" t="n">
        <f aca="false">IF(OR(FL$4="",$B5=""),0,SUMIF('DADOS BRUTOS'!$A$3:$A$500,$B5,'DADOS BRUTOS'!CL$3:CL$500)+IF($C5="",0,SUMIF('DADOS BRUTOS'!$A$3:$A$500,$C5,'DADOS BRUTOS'!CL$3:CL$500)))</f>
        <v>0</v>
      </c>
      <c r="FM5" s="133" t="n">
        <f aca="false">IF(OR(FM$4="",$B5=""),0,SUMIF('DADOS BRUTOS'!$A$3:$A$500,$B5,'DADOS BRUTOS'!CM$3:CM$500)+IF($C5="",0,SUMIF('DADOS BRUTOS'!$A$3:$A$500,$C5,'DADOS BRUTOS'!CM$3:CM$500)))</f>
        <v>0</v>
      </c>
      <c r="FN5" s="133" t="n">
        <f aca="false">IF(OR(FN$4="",$B5=""),0,SUMIF('DADOS BRUTOS'!$A$3:$A$500,$B5,'DADOS BRUTOS'!CN$3:CN$500)+IF($C5="",0,SUMIF('DADOS BRUTOS'!$A$3:$A$500,$C5,'DADOS BRUTOS'!CN$3:CN$500)))</f>
        <v>0</v>
      </c>
      <c r="FO5" s="133" t="n">
        <f aca="false">IF(OR(FO$4="",$B5=""),0,SUMIF('DADOS BRUTOS'!$A$3:$A$500,$B5,'DADOS BRUTOS'!CO$3:CO$500)+IF($C5="",0,SUMIF('DADOS BRUTOS'!$A$3:$A$500,$C5,'DADOS BRUTOS'!CO$3:CO$500)))</f>
        <v>0</v>
      </c>
      <c r="FP5" s="133" t="n">
        <f aca="false">IF(OR(FP$4="",$B5=""),0,SUMIF('DADOS BRUTOS'!$A$3:$A$500,$B5,'DADOS BRUTOS'!CP$3:CP$500)+IF($C5="",0,SUMIF('DADOS BRUTOS'!$A$3:$A$500,$C5,'DADOS BRUTOS'!CP$3:CP$500)))</f>
        <v>0</v>
      </c>
      <c r="FQ5" s="133" t="n">
        <f aca="false">IF(OR(FQ$4="",$B5=""),0,SUMIF('DADOS BRUTOS'!$A$3:$A$500,$B5,'DADOS BRUTOS'!CQ$3:CQ$500)+IF($C5="",0,SUMIF('DADOS BRUTOS'!$A$3:$A$500,$C5,'DADOS BRUTOS'!CQ$3:CQ$500)))</f>
        <v>0</v>
      </c>
      <c r="FR5" s="133" t="n">
        <f aca="false">IF(OR(FR$4="",$B5=""),0,SUMIF('DADOS BRUTOS'!$A$3:$A$500,$B5,'DADOS BRUTOS'!CR$3:CR$500)+IF($C5="",0,SUMIF('DADOS BRUTOS'!$A$3:$A$500,$C5,'DADOS BRUTOS'!CR$3:CR$500)))</f>
        <v>0</v>
      </c>
      <c r="FS5" s="133" t="n">
        <f aca="false">IF(OR(FS$4="",$B5=""),0,SUMIF('DADOS BRUTOS'!$A$3:$A$500,$B5,'DADOS BRUTOS'!CS$3:CS$500)+IF($C5="",0,SUMIF('DADOS BRUTOS'!$A$3:$A$500,$C5,'DADOS BRUTOS'!CS$3:CS$500)))</f>
        <v>0</v>
      </c>
      <c r="FT5" s="133" t="n">
        <f aca="false">IF(OR(FT$4="",$B5=""),0,SUMIF('DADOS BRUTOS'!$A$3:$A$500,$B5,'DADOS BRUTOS'!CT$3:CT$500)+IF($C5="",0,SUMIF('DADOS BRUTOS'!$A$3:$A$500,$C5,'DADOS BRUTOS'!CT$3:CT$500)))</f>
        <v>0</v>
      </c>
      <c r="FU5" s="133" t="n">
        <f aca="false">IF(OR(FU$4="",$B5=""),0,SUMIF('DADOS BRUTOS'!$A$3:$A$500,$B5,'DADOS BRUTOS'!CU$3:CU$500)+IF($C5="",0,SUMIF('DADOS BRUTOS'!$A$3:$A$500,$C5,'DADOS BRUTOS'!CU$3:CU$500)))</f>
        <v>0</v>
      </c>
      <c r="FV5" s="133" t="n">
        <f aca="false">IF(OR(FV$4="",$B5=""),0,SUMIF('DADOS BRUTOS'!$A$3:$A$500,$B5,'DADOS BRUTOS'!CV$3:CV$500)+IF($C5="",0,SUMIF('DADOS BRUTOS'!$A$3:$A$500,$C5,'DADOS BRUTOS'!CV$3:CV$500)))</f>
        <v>0</v>
      </c>
      <c r="FW5" s="133" t="n">
        <f aca="false">IF(OR(FW$4="",$B5=""),0,SUMIF('DADOS BRUTOS'!$A$3:$A$500,$B5,'DADOS BRUTOS'!CW$3:CW$500)+IF($C5="",0,SUMIF('DADOS BRUTOS'!$A$3:$A$500,$C5,'DADOS BRUTOS'!CW$3:CW$500)))</f>
        <v>0</v>
      </c>
      <c r="FX5" s="133" t="n">
        <f aca="false">IF(OR(FX$4="",$B5=""),0,SUMIF('DADOS BRUTOS'!$A$3:$A$500,$B5,'DADOS BRUTOS'!CX$3:CX$500)+IF($C5="",0,SUMIF('DADOS BRUTOS'!$A$3:$A$500,$C5,'DADOS BRUTOS'!CX$3:CX$500)))</f>
        <v>0</v>
      </c>
      <c r="FY5" s="133" t="n">
        <f aca="false">IF(OR(FY$4="",$B5=""),0,SUMIF('DADOS BRUTOS'!$A$3:$A$500,$B5,'DADOS BRUTOS'!CY$3:CY$500)+IF($C5="",0,SUMIF('DADOS BRUTOS'!$A$3:$A$500,$C5,'DADOS BRUTOS'!CY$3:CY$500)))</f>
        <v>0</v>
      </c>
      <c r="FZ5" s="133" t="n">
        <f aca="false">IF(OR(FZ$4="",$B5=""),0,SUMIF('DADOS BRUTOS'!$A$3:$A$500,$B5,'DADOS BRUTOS'!CZ$3:CZ$500)+IF($C5="",0,SUMIF('DADOS BRUTOS'!$A$3:$A$500,$C5,'DADOS BRUTOS'!CZ$3:CZ$500)))</f>
        <v>0</v>
      </c>
      <c r="GA5" s="133" t="n">
        <f aca="false">IF(OR(GA$4="",$B5=""),0,SUMIF('DADOS BRUTOS'!$A$3:$A$500,$B5,'DADOS BRUTOS'!DA$3:DA$500)+IF($C5="",0,SUMIF('DADOS BRUTOS'!$A$3:$A$500,$C5,'DADOS BRUTOS'!DA$3:DA$500)))</f>
        <v>0</v>
      </c>
      <c r="GB5" s="133" t="n">
        <f aca="false">IF(OR(GB$4="",$B5=""),0,SUMIF('DADOS BRUTOS'!$A$3:$A$500,$B5,'DADOS BRUTOS'!DB$3:DB$500)+IF($C5="",0,SUMIF('DADOS BRUTOS'!$A$3:$A$500,$C5,'DADOS BRUTOS'!DB$3:DB$500)))</f>
        <v>0</v>
      </c>
      <c r="GC5" s="133" t="n">
        <f aca="false">IF(OR(GC$4="",$B5=""),0,SUMIF('DADOS BRUTOS'!$A$3:$A$500,$B5,'DADOS BRUTOS'!DC$3:DC$500)+IF($C5="",0,SUMIF('DADOS BRUTOS'!$A$3:$A$500,$C5,'DADOS BRUTOS'!DC$3:DC$500)))</f>
        <v>0</v>
      </c>
      <c r="GD5" s="133" t="n">
        <f aca="false">IF(OR(GD$4="",$B5=""),0,SUMIF('DADOS BRUTOS'!$A$3:$A$500,$B5,'DADOS BRUTOS'!DD$3:DD$500)+IF($C5="",0,SUMIF('DADOS BRUTOS'!$A$3:$A$500,$C5,'DADOS BRUTOS'!DD$3:DD$500)))</f>
        <v>0</v>
      </c>
      <c r="GE5" s="133" t="n">
        <f aca="false">IF(OR(GE$4="",$B5=""),0,SUMIF('DADOS BRUTOS'!$A$3:$A$500,$B5,'DADOS BRUTOS'!DE$3:DE$500)+IF($C5="",0,SUMIF('DADOS BRUTOS'!$A$3:$A$500,$C5,'DADOS BRUTOS'!DE$3:DE$500)))</f>
        <v>0</v>
      </c>
      <c r="GF5" s="133" t="n">
        <f aca="false">IF(OR(GF$4="",$B5=""),0,SUMIF('DADOS BRUTOS'!$A$3:$A$500,$B5,'DADOS BRUTOS'!DF$3:DF$500)+IF($C5="",0,SUMIF('DADOS BRUTOS'!$A$3:$A$500,$C5,'DADOS BRUTOS'!DF$3:DF$500)))</f>
        <v>0</v>
      </c>
      <c r="GG5" s="133" t="n">
        <f aca="false">IF(OR(GG$4="",$B5=""),0,SUMIF('DADOS BRUTOS'!$A$3:$A$500,$B5,'DADOS BRUTOS'!DG$3:DG$500)+IF($C5="",0,SUMIF('DADOS BRUTOS'!$A$3:$A$500,$C5,'DADOS BRUTOS'!DG$3:DG$500)))</f>
        <v>0</v>
      </c>
      <c r="GH5" s="133" t="n">
        <f aca="false">IF(OR(GH$4="",$B5=""),0,SUMIF('DADOS BRUTOS'!$A$3:$A$500,$B5,'DADOS BRUTOS'!DH$3:DH$500)+IF($C5="",0,SUMIF('DADOS BRUTOS'!$A$3:$A$500,$C5,'DADOS BRUTOS'!DH$3:DH$500)))</f>
        <v>0</v>
      </c>
      <c r="GI5" s="133" t="n">
        <f aca="false">IF(OR(GI$4="",$B5=""),0,SUMIF('DADOS BRUTOS'!$A$3:$A$500,$B5,'DADOS BRUTOS'!DI$3:DI$500)+IF($C5="",0,SUMIF('DADOS BRUTOS'!$A$3:$A$500,$C5,'DADOS BRUTOS'!DI$3:DI$500)))</f>
        <v>0</v>
      </c>
      <c r="GJ5" s="133" t="n">
        <f aca="false">IF(OR(GJ$4="",$B5=""),0,SUMIF('DADOS BRUTOS'!$A$3:$A$500,$B5,'DADOS BRUTOS'!DJ$3:DJ$500)+IF($C5="",0,SUMIF('DADOS BRUTOS'!$A$3:$A$500,$C5,'DADOS BRUTOS'!DJ$3:DJ$500)))</f>
        <v>0</v>
      </c>
      <c r="GK5" s="133" t="n">
        <f aca="false">IF(OR(GK$4="",$B5=""),0,SUMIF('DADOS BRUTOS'!$A$3:$A$500,$B5,'DADOS BRUTOS'!DK$3:DK$500)+IF($C5="",0,SUMIF('DADOS BRUTOS'!$A$3:$A$500,$C5,'DADOS BRUTOS'!DK$3:DK$500)))</f>
        <v>0</v>
      </c>
      <c r="GL5" s="133" t="n">
        <f aca="false">IF(OR(GL$4="",$B5=""),0,SUMIF('DADOS BRUTOS'!$A$3:$A$500,$B5,'DADOS BRUTOS'!DL$3:DL$500)+IF($C5="",0,SUMIF('DADOS BRUTOS'!$A$3:$A$500,$C5,'DADOS BRUTOS'!DL$3:DL$500)))</f>
        <v>0</v>
      </c>
      <c r="GM5" s="133" t="n">
        <f aca="false">IF(OR(GM$4="",$B5=""),0,SUMIF('DADOS BRUTOS'!$A$3:$A$500,$B5,'DADOS BRUTOS'!DM$3:DM$500)+IF($C5="",0,SUMIF('DADOS BRUTOS'!$A$3:$A$500,$C5,'DADOS BRUTOS'!DM$3:DM$500)))</f>
        <v>0</v>
      </c>
      <c r="GN5" s="133" t="n">
        <f aca="false">IF(OR(GN$4="",$B5=""),0,SUMIF('DADOS BRUTOS'!$A$3:$A$500,$B5,'DADOS BRUTOS'!DN$3:DN$500)+IF($C5="",0,SUMIF('DADOS BRUTOS'!$A$3:$A$500,$C5,'DADOS BRUTOS'!DN$3:DN$500)))</f>
        <v>0</v>
      </c>
      <c r="GO5" s="133" t="n">
        <f aca="false">IF(OR(GO$4="",$B5=""),0,SUMIF('DADOS BRUTOS'!$A$3:$A$500,$B5,'DADOS BRUTOS'!DO$3:DO$500)+IF($C5="",0,SUMIF('DADOS BRUTOS'!$A$3:$A$500,$C5,'DADOS BRUTOS'!DO$3:DO$500)))</f>
        <v>0</v>
      </c>
      <c r="GP5" s="133" t="n">
        <f aca="false">IF(OR(GP$4="",$B5=""),0,SUMIF('DADOS BRUTOS'!$A$3:$A$500,$B5,'DADOS BRUTOS'!DP$3:DP$500)+IF($C5="",0,SUMIF('DADOS BRUTOS'!$A$3:$A$500,$C5,'DADOS BRUTOS'!DP$3:DP$500)))</f>
        <v>0</v>
      </c>
      <c r="GQ5" s="133" t="n">
        <f aca="false">IF(OR(GQ$4="",$B5=""),0,SUMIF('DADOS BRUTOS'!$A$3:$A$500,$B5,'DADOS BRUTOS'!DQ$3:DQ$500)+IF($C5="",0,SUMIF('DADOS BRUTOS'!$A$3:$A$500,$C5,'DADOS BRUTOS'!DQ$3:DQ$500)))</f>
        <v>0</v>
      </c>
      <c r="GR5" s="133" t="n">
        <f aca="false">IF(OR(GR$4="",$B5=""),0,SUMIF('DADOS BRUTOS'!$A$3:$A$500,$B5,'DADOS BRUTOS'!DR$3:DR$500)+IF($C5="",0,SUMIF('DADOS BRUTOS'!$A$3:$A$500,$C5,'DADOS BRUTOS'!DR$3:DR$500)))</f>
        <v>0</v>
      </c>
      <c r="GS5" s="133" t="n">
        <f aca="false">IF(OR(GS$4="",$B5=""),0,SUMIF('DADOS BRUTOS'!$A$3:$A$500,$B5,'DADOS BRUTOS'!DS$3:DS$500)+IF($C5="",0,SUMIF('DADOS BRUTOS'!$A$3:$A$500,$C5,'DADOS BRUTOS'!DS$3:DS$500)))</f>
        <v>0</v>
      </c>
      <c r="GT5" s="133" t="n">
        <f aca="false">IF(OR(GT$4="",$B5=""),0,SUMIF('DADOS BRUTOS'!$A$3:$A$500,$B5,'DADOS BRUTOS'!DT$3:DT$500)+IF($C5="",0,SUMIF('DADOS BRUTOS'!$A$3:$A$500,$C5,'DADOS BRUTOS'!DT$3:DT$500)))</f>
        <v>0</v>
      </c>
      <c r="GU5" s="133" t="n">
        <f aca="false">IF(OR(GU$4="",$B5=""),0,SUMIF('DADOS BRUTOS'!$A$3:$A$500,$B5,'DADOS BRUTOS'!DU$3:DU$500)+IF($C5="",0,SUMIF('DADOS BRUTOS'!$A$3:$A$500,$C5,'DADOS BRUTOS'!DU$3:DU$500)))</f>
        <v>0</v>
      </c>
      <c r="GV5" s="133" t="n">
        <f aca="false">IF(OR(GV$4="",$B5=""),0,SUMIF('DADOS BRUTOS'!$A$3:$A$500,$B5,'DADOS BRUTOS'!DV$3:DV$500)+IF($C5="",0,SUMIF('DADOS BRUTOS'!$A$3:$A$500,$C5,'DADOS BRUTOS'!DV$3:DV$500)))</f>
        <v>0</v>
      </c>
      <c r="GW5" s="133" t="n">
        <f aca="false">IF(OR(GW$4="",$B5=""),0,SUMIF('DADOS BRUTOS'!$A$3:$A$500,$B5,'DADOS BRUTOS'!DW$3:DW$500)+IF($C5="",0,SUMIF('DADOS BRUTOS'!$A$3:$A$500,$C5,'DADOS BRUTOS'!DW$3:DW$500)))</f>
        <v>0</v>
      </c>
      <c r="GX5" s="133" t="n">
        <f aca="false">IF(OR(GX$4="",$B5=""),0,SUMIF('DADOS BRUTOS'!$A$3:$A$500,$B5,'DADOS BRUTOS'!DX$3:DX$500)+IF($C5="",0,SUMIF('DADOS BRUTOS'!$A$3:$A$500,$C5,'DADOS BRUTOS'!DX$3:DX$500)))</f>
        <v>0</v>
      </c>
      <c r="GY5" s="133" t="n">
        <f aca="false">IF(OR(GY$4="",$B5=""),0,SUMIF('DADOS BRUTOS'!$A$3:$A$500,$B5,'DADOS BRUTOS'!DY$3:DY$500)+IF($C5="",0,SUMIF('DADOS BRUTOS'!$A$3:$A$500,$C5,'DADOS BRUTOS'!DY$3:DY$500)))</f>
        <v>0</v>
      </c>
      <c r="GZ5" s="133" t="n">
        <f aca="false">IF(OR(GZ$4="",$B5=""),0,SUMIF('DADOS BRUTOS'!$A$3:$A$500,$B5,'DADOS BRUTOS'!DZ$3:DZ$500)+IF($C5="",0,SUMIF('DADOS BRUTOS'!$A$3:$A$500,$C5,'DADOS BRUTOS'!DZ$3:DZ$500)))</f>
        <v>0</v>
      </c>
      <c r="HA5" s="133" t="n">
        <f aca="false">IF(OR(HA$4="",$B5=""),0,SUMIF('DADOS BRUTOS'!$A$3:$A$500,$B5,'DADOS BRUTOS'!EA$3:EA$500)+IF($C5="",0,SUMIF('DADOS BRUTOS'!$A$3:$A$500,$C5,'DADOS BRUTOS'!EA$3:EA$500)))</f>
        <v>0</v>
      </c>
      <c r="HB5" s="133" t="n">
        <f aca="false">IF(OR(HB$4="",$B5=""),0,SUMIF('DADOS BRUTOS'!$A$3:$A$500,$B5,'DADOS BRUTOS'!EB$3:EB$500)+IF($C5="",0,SUMIF('DADOS BRUTOS'!$A$3:$A$500,$C5,'DADOS BRUTOS'!EB$3:EB$500)))</f>
        <v>0</v>
      </c>
      <c r="HC5" s="133" t="n">
        <f aca="false">IF(OR(HC$4="",$B5=""),0,SUMIF('DADOS BRUTOS'!$A$3:$A$500,$B5,'DADOS BRUTOS'!EC$3:EC$500)+IF($C5="",0,SUMIF('DADOS BRUTOS'!$A$3:$A$500,$C5,'DADOS BRUTOS'!EC$3:EC$500)))</f>
        <v>0</v>
      </c>
      <c r="HD5" s="133" t="n">
        <f aca="false">IF(OR(HD$4="",$B5=""),0,SUMIF('DADOS BRUTOS'!$A$3:$A$500,$B5,'DADOS BRUTOS'!ED$3:ED$500)+IF($C5="",0,SUMIF('DADOS BRUTOS'!$A$3:$A$500,$C5,'DADOS BRUTOS'!ED$3:ED$500)))</f>
        <v>0</v>
      </c>
      <c r="HE5" s="133" t="n">
        <f aca="false">IF(OR(HE$4="",$B5=""),0,SUMIF('DADOS BRUTOS'!$A$3:$A$500,$B5,'DADOS BRUTOS'!EE$3:EE$500)+IF($C5="",0,SUMIF('DADOS BRUTOS'!$A$3:$A$500,$C5,'DADOS BRUTOS'!EE$3:EE$500)))</f>
        <v>0</v>
      </c>
      <c r="HF5" s="133" t="n">
        <f aca="false">IF(OR(HF$4="",$B5=""),0,SUMIF('DADOS BRUTOS'!$A$3:$A$500,$B5,'DADOS BRUTOS'!EF$3:EF$500)+IF($C5="",0,SUMIF('DADOS BRUTOS'!$A$3:$A$500,$C5,'DADOS BRUTOS'!EF$3:EF$500)))</f>
        <v>0</v>
      </c>
      <c r="HG5" s="133" t="n">
        <f aca="false">IF(OR(HG$4="",$B5=""),0,SUMIF('DADOS BRUTOS'!$A$3:$A$500,$B5,'DADOS BRUTOS'!EG$3:EG$500)+IF($C5="",0,SUMIF('DADOS BRUTOS'!$A$3:$A$500,$C5,'DADOS BRUTOS'!EG$3:EG$500)))</f>
        <v>0</v>
      </c>
      <c r="HH5" s="133" t="n">
        <f aca="false">IF(OR(HH$4="",$B5=""),0,SUMIF('DADOS BRUTOS'!$A$3:$A$500,$B5,'DADOS BRUTOS'!EH$3:EH$500)+IF($C5="",0,SUMIF('DADOS BRUTOS'!$A$3:$A$500,$C5,'DADOS BRUTOS'!EH$3:EH$500)))</f>
        <v>0</v>
      </c>
      <c r="HI5" s="133" t="n">
        <f aca="false">IF(OR(HI$4="",$B5=""),0,SUMIF('DADOS BRUTOS'!$A$3:$A$500,$B5,'DADOS BRUTOS'!EI$3:EI$500)+IF($C5="",0,SUMIF('DADOS BRUTOS'!$A$3:$A$500,$C5,'DADOS BRUTOS'!EI$3:EI$500)))</f>
        <v>0</v>
      </c>
      <c r="HJ5" s="133" t="n">
        <f aca="false">IF(OR(HJ$4="",$B5=""),0,SUMIF('DADOS BRUTOS'!$A$3:$A$500,$B5,'DADOS BRUTOS'!EJ$3:EJ$500)+IF($C5="",0,SUMIF('DADOS BRUTOS'!$A$3:$A$500,$C5,'DADOS BRUTOS'!EJ$3:EJ$500)))</f>
        <v>0</v>
      </c>
      <c r="HK5" s="133" t="n">
        <f aca="false">IF(OR(HK$4="",$B5=""),0,SUMIF('DADOS BRUTOS'!$A$3:$A$500,$B5,'DADOS BRUTOS'!EK$3:EK$500)+IF($C5="",0,SUMIF('DADOS BRUTOS'!$A$3:$A$500,$C5,'DADOS BRUTOS'!EK$3:EK$500)))</f>
        <v>0</v>
      </c>
      <c r="HL5" s="133" t="n">
        <f aca="false">IF(OR(HL$4="",$B5=""),0,SUMIF('DADOS BRUTOS'!$A$3:$A$500,$B5,'DADOS BRUTOS'!EL$3:EL$500)+IF($C5="",0,SUMIF('DADOS BRUTOS'!$A$3:$A$500,$C5,'DADOS BRUTOS'!EL$3:EL$500)))</f>
        <v>0</v>
      </c>
      <c r="HM5" s="133" t="n">
        <f aca="false">IF(OR(HM$4="",$B5=""),0,SUMIF('DADOS BRUTOS'!$A$3:$A$500,$B5,'DADOS BRUTOS'!EM$3:EM$500)+IF($C5="",0,SUMIF('DADOS BRUTOS'!$A$3:$A$500,$C5,'DADOS BRUTOS'!EM$3:EM$500)))</f>
        <v>0</v>
      </c>
      <c r="HN5" s="133" t="n">
        <f aca="false">IF(OR(HN$4="",$B5=""),0,SUMIF('DADOS BRUTOS'!$A$3:$A$500,$B5,'DADOS BRUTOS'!EN$3:EN$500)+IF($C5="",0,SUMIF('DADOS BRUTOS'!$A$3:$A$500,$C5,'DADOS BRUTOS'!EN$3:EN$500)))</f>
        <v>0</v>
      </c>
      <c r="HO5" s="133" t="n">
        <f aca="false">IF(OR(HO$4="",$B5=""),0,SUMIF('DADOS BRUTOS'!$A$3:$A$500,$B5,'DADOS BRUTOS'!EO$3:EO$500)+IF($C5="",0,SUMIF('DADOS BRUTOS'!$A$3:$A$500,$C5,'DADOS BRUTOS'!EO$3:EO$500)))</f>
        <v>0</v>
      </c>
      <c r="HP5" s="133" t="n">
        <f aca="false">IF(OR(HP$4="",$B5=""),0,SUMIF('DADOS BRUTOS'!$A$3:$A$500,$B5,'DADOS BRUTOS'!EP$3:EP$500)+IF($C5="",0,SUMIF('DADOS BRUTOS'!$A$3:$A$500,$C5,'DADOS BRUTOS'!EP$3:EP$500)))</f>
        <v>0</v>
      </c>
      <c r="HQ5" s="133" t="n">
        <f aca="false">IF(OR(HQ$4="",$B5=""),0,SUMIF('DADOS BRUTOS'!$A$3:$A$500,$B5,'DADOS BRUTOS'!EQ$3:EQ$500)+IF($C5="",0,SUMIF('DADOS BRUTOS'!$A$3:$A$500,$C5,'DADOS BRUTOS'!EQ$3:EQ$500)))</f>
        <v>0</v>
      </c>
      <c r="HR5" s="133" t="n">
        <f aca="false">IF(OR(HR$4="",$B5=""),0,SUMIF('DADOS BRUTOS'!$A$3:$A$500,$B5,'DADOS BRUTOS'!ER$3:ER$500)+IF($C5="",0,SUMIF('DADOS BRUTOS'!$A$3:$A$500,$C5,'DADOS BRUTOS'!ER$3:ER$500)))</f>
        <v>0</v>
      </c>
      <c r="HS5" s="133" t="n">
        <f aca="false">IF(OR(HS$4="",$B5=""),0,SUMIF('DADOS BRUTOS'!$A$3:$A$500,$B5,'DADOS BRUTOS'!ES$3:ES$500)+IF($C5="",0,SUMIF('DADOS BRUTOS'!$A$3:$A$500,$C5,'DADOS BRUTOS'!ES$3:ES$500)))</f>
        <v>0</v>
      </c>
      <c r="HT5" s="133" t="n">
        <f aca="false">IF(OR(HT$4="",$B5=""),0,SUMIF('DADOS BRUTOS'!$A$3:$A$500,$B5,'DADOS BRUTOS'!ET$3:ET$500)+IF($C5="",0,SUMIF('DADOS BRUTOS'!$A$3:$A$500,$C5,'DADOS BRUTOS'!ET$3:ET$500)))</f>
        <v>0</v>
      </c>
      <c r="HU5" s="133" t="n">
        <f aca="false">IF(OR(HU$4="",$B5=""),0,SUMIF('DADOS BRUTOS'!$A$3:$A$500,$B5,'DADOS BRUTOS'!EU$3:EU$500)+IF($C5="",0,SUMIF('DADOS BRUTOS'!$A$3:$A$500,$C5,'DADOS BRUTOS'!EU$3:EU$500)))</f>
        <v>0</v>
      </c>
      <c r="HV5" s="133" t="n">
        <f aca="false">IF(OR(HV$4="",$B5=""),0,SUMIF('DADOS BRUTOS'!$A$3:$A$500,$B5,'DADOS BRUTOS'!EV$3:EV$500)+IF($C5="",0,SUMIF('DADOS BRUTOS'!$A$3:$A$500,$C5,'DADOS BRUTOS'!EV$3:EV$500)))</f>
        <v>0</v>
      </c>
      <c r="HW5" s="133" t="n">
        <f aca="false">IF(OR(HW$4="",$B5=""),0,SUMIF('DADOS BRUTOS'!$A$3:$A$500,$B5,'DADOS BRUTOS'!EW$3:EW$500)+IF($C5="",0,SUMIF('DADOS BRUTOS'!$A$3:$A$500,$C5,'DADOS BRUTOS'!EW$3:EW$500)))</f>
        <v>0</v>
      </c>
      <c r="HX5" s="133" t="n">
        <f aca="false">IF(OR(HX$4="",$B5=""),0,SUMIF('DADOS BRUTOS'!$A$3:$A$500,$B5,'DADOS BRUTOS'!EX$3:EX$500)+IF($C5="",0,SUMIF('DADOS BRUTOS'!$A$3:$A$500,$C5,'DADOS BRUTOS'!EX$3:EX$500)))</f>
        <v>0</v>
      </c>
      <c r="HY5" s="133" t="n">
        <f aca="false">IF(OR(HY$4="",$B5=""),0,SUMIF('DADOS BRUTOS'!$A$3:$A$500,$B5,'DADOS BRUTOS'!EY$3:EY$500)+IF($C5="",0,SUMIF('DADOS BRUTOS'!$A$3:$A$500,$C5,'DADOS BRUTOS'!EY$3:EY$500)))</f>
        <v>0</v>
      </c>
      <c r="HZ5" s="133" t="n">
        <f aca="false">IF(OR(HZ$4="",$B5=""),0,SUMIF('DADOS BRUTOS'!$A$3:$A$500,$B5,'DADOS BRUTOS'!EZ$3:EZ$500)+IF($C5="",0,SUMIF('DADOS BRUTOS'!$A$3:$A$500,$C5,'DADOS BRUTOS'!EZ$3:EZ$500)))</f>
        <v>0</v>
      </c>
      <c r="IA5" s="133" t="n">
        <f aca="false">IF(OR(IA$4="",$B5=""),0,SUMIF('DADOS BRUTOS'!$A$3:$A$500,$B5,'DADOS BRUTOS'!FA$3:FA$500)+IF($C5="",0,SUMIF('DADOS BRUTOS'!$A$3:$A$500,$C5,'DADOS BRUTOS'!FA$3:FA$500)))</f>
        <v>0</v>
      </c>
      <c r="IB5" s="133" t="n">
        <f aca="false">IF(OR(IB$4="",$B5=""),0,SUMIF('DADOS BRUTOS'!$A$3:$A$500,$B5,'DADOS BRUTOS'!FB$3:FB$500)+IF($C5="",0,SUMIF('DADOS BRUTOS'!$A$3:$A$500,$C5,'DADOS BRUTOS'!FB$3:FB$500)))</f>
        <v>0</v>
      </c>
      <c r="IC5" s="133" t="n">
        <f aca="false">IF(OR(IC$4="",$B5=""),0,SUMIF('DADOS BRUTOS'!$A$3:$A$500,$B5,'DADOS BRUTOS'!FC$3:FC$500)+IF($C5="",0,SUMIF('DADOS BRUTOS'!$A$3:$A$500,$C5,'DADOS BRUTOS'!FC$3:FC$500)))</f>
        <v>0</v>
      </c>
      <c r="ID5" s="133" t="n">
        <f aca="false">IF(OR(ID$4="",$B5=""),0,SUMIF('DADOS BRUTOS'!$A$3:$A$500,$B5,'DADOS BRUTOS'!FD$3:FD$500)+IF($C5="",0,SUMIF('DADOS BRUTOS'!$A$3:$A$500,$C5,'DADOS BRUTOS'!FD$3:FD$500)))</f>
        <v>0</v>
      </c>
      <c r="IE5" s="133" t="n">
        <f aca="false">IF(OR(IE$4="",$B5=""),0,SUMIF('DADOS BRUTOS'!$A$3:$A$500,$B5,'DADOS BRUTOS'!FE$3:FE$500)+IF($C5="",0,SUMIF('DADOS BRUTOS'!$A$3:$A$500,$C5,'DADOS BRUTOS'!FE$3:FE$500)))</f>
        <v>0</v>
      </c>
      <c r="IF5" s="133" t="n">
        <f aca="false">IF(OR(IF$4="",$B5=""),0,SUMIF('DADOS BRUTOS'!$A$3:$A$500,$B5,'DADOS BRUTOS'!FF$3:FF$500)+IF($C5="",0,SUMIF('DADOS BRUTOS'!$A$3:$A$500,$C5,'DADOS BRUTOS'!FF$3:FF$500)))</f>
        <v>0</v>
      </c>
      <c r="IG5" s="133" t="n">
        <f aca="false">IF(OR(IG$4="",$B5=""),0,SUMIF('DADOS BRUTOS'!$A$3:$A$500,$B5,'DADOS BRUTOS'!FG$3:FG$500)+IF($C5="",0,SUMIF('DADOS BRUTOS'!$A$3:$A$500,$C5,'DADOS BRUTOS'!FG$3:FG$500)))</f>
        <v>0</v>
      </c>
      <c r="IH5" s="133" t="n">
        <f aca="false">IF(OR(IH$4="",$B5=""),0,SUMIF('DADOS BRUTOS'!$A$3:$A$500,$B5,'DADOS BRUTOS'!FH$3:FH$500)+IF($C5="",0,SUMIF('DADOS BRUTOS'!$A$3:$A$500,$C5,'DADOS BRUTOS'!FH$3:FH$500)))</f>
        <v>0</v>
      </c>
      <c r="II5" s="133" t="n">
        <f aca="false">IF(OR(II$4="",$B5=""),0,SUMIF('DADOS BRUTOS'!$A$3:$A$500,$B5,'DADOS BRUTOS'!FI$3:FI$500)+IF($C5="",0,SUMIF('DADOS BRUTOS'!$A$3:$A$500,$C5,'DADOS BRUTOS'!FI$3:FI$500)))</f>
        <v>0</v>
      </c>
      <c r="IJ5" s="133" t="n">
        <f aca="false">IF(OR(IJ$4="",$B5=""),0,SUMIF('DADOS BRUTOS'!$A$3:$A$500,$B5,'DADOS BRUTOS'!FJ$3:FJ$500)+IF($C5="",0,SUMIF('DADOS BRUTOS'!$A$3:$A$500,$C5,'DADOS BRUTOS'!FJ$3:FJ$500)))</f>
        <v>0</v>
      </c>
      <c r="IK5" s="133" t="n">
        <f aca="false">IF(OR(IK$4="",$B5=""),0,SUMIF('DADOS BRUTOS'!$A$3:$A$500,$B5,'DADOS BRUTOS'!FK$3:FK$500)+IF($C5="",0,SUMIF('DADOS BRUTOS'!$A$3:$A$500,$C5,'DADOS BRUTOS'!FK$3:FK$500)))</f>
        <v>0</v>
      </c>
      <c r="IL5" s="133" t="n">
        <f aca="false">IF(OR(IL$4="",$B5=""),0,SUMIF('DADOS BRUTOS'!$A$3:$A$500,$B5,'DADOS BRUTOS'!FL$3:FL$500)+IF($C5="",0,SUMIF('DADOS BRUTOS'!$A$3:$A$500,$C5,'DADOS BRUTOS'!FL$3:FL$500)))</f>
        <v>0</v>
      </c>
      <c r="IM5" s="133" t="n">
        <f aca="false">IF(OR(IM$4="",$B5=""),0,SUMIF('DADOS BRUTOS'!$A$3:$A$500,$B5,'DADOS BRUTOS'!FM$3:FM$500)+IF($C5="",0,SUMIF('DADOS BRUTOS'!$A$3:$A$500,$C5,'DADOS BRUTOS'!FM$3:FM$500)))</f>
        <v>0</v>
      </c>
      <c r="IN5" s="133" t="n">
        <f aca="false">IF(OR(IN$4="",$B5=""),0,SUMIF('DADOS BRUTOS'!$A$3:$A$500,$B5,'DADOS BRUTOS'!FN$3:FN$500)+IF($C5="",0,SUMIF('DADOS BRUTOS'!$A$3:$A$500,$C5,'DADOS BRUTOS'!FN$3:FN$500)))</f>
        <v>0</v>
      </c>
      <c r="IO5" s="133" t="n">
        <f aca="false">IF(OR(IO$4="",$B5=""),0,SUMIF('DADOS BRUTOS'!$A$3:$A$500,$B5,'DADOS BRUTOS'!FO$3:FO$500)+IF($C5="",0,SUMIF('DADOS BRUTOS'!$A$3:$A$500,$C5,'DADOS BRUTOS'!FO$3:FO$500)))</f>
        <v>0</v>
      </c>
      <c r="IP5" s="133" t="n">
        <f aca="false">IF(OR(IP$4="",$B5=""),0,SUMIF('DADOS BRUTOS'!$A$3:$A$500,$B5,'DADOS BRUTOS'!FP$3:FP$500)+IF($C5="",0,SUMIF('DADOS BRUTOS'!$A$3:$A$500,$C5,'DADOS BRUTOS'!FP$3:FP$500)))</f>
        <v>0</v>
      </c>
      <c r="IQ5" s="133" t="n">
        <f aca="false">IF(OR(IQ$4="",$B5=""),0,SUMIF('DADOS BRUTOS'!$A$3:$A$500,$B5,'DADOS BRUTOS'!FQ$3:FQ$500)+IF($C5="",0,SUMIF('DADOS BRUTOS'!$A$3:$A$500,$C5,'DADOS BRUTOS'!FQ$3:FQ$500)))</f>
        <v>0</v>
      </c>
      <c r="IR5" s="133" t="n">
        <f aca="false">IF(OR(IR$4="",$B5=""),0,SUMIF('DADOS BRUTOS'!$A$3:$A$500,$B5,'DADOS BRUTOS'!FR$3:FR$500)+IF($C5="",0,SUMIF('DADOS BRUTOS'!$A$3:$A$500,$C5,'DADOS BRUTOS'!FR$3:FR$500)))</f>
        <v>0</v>
      </c>
      <c r="IS5" s="133" t="n">
        <f aca="false">IF(OR(IS$4="",$B5=""),0,SUMIF('DADOS BRUTOS'!$A$3:$A$500,$B5,'DADOS BRUTOS'!FS$3:FS$500)+IF($C5="",0,SUMIF('DADOS BRUTOS'!$A$3:$A$500,$C5,'DADOS BRUTOS'!FS$3:FS$500)))</f>
        <v>0</v>
      </c>
      <c r="IT5" s="133" t="n">
        <f aca="false">IF(OR(IT$4="",$B5=""),0,SUMIF('DADOS BRUTOS'!$A$3:$A$500,$B5,'DADOS BRUTOS'!FT$3:FT$500)+IF($C5="",0,SUMIF('DADOS BRUTOS'!$A$3:$A$500,$C5,'DADOS BRUTOS'!FT$3:FT$500)))</f>
        <v>0</v>
      </c>
      <c r="IU5" s="133" t="n">
        <f aca="false">IF(OR(IU$4="",$B5=""),0,SUMIF('DADOS BRUTOS'!$A$3:$A$500,$B5,'DADOS BRUTOS'!FU$3:FU$500)+IF($C5="",0,SUMIF('DADOS BRUTOS'!$A$3:$A$500,$C5,'DADOS BRUTOS'!FU$3:FU$500)))</f>
        <v>0</v>
      </c>
      <c r="IV5" s="133" t="n">
        <f aca="false">IF(OR(IV$4="",$B5=""),0,SUMIF('DADOS BRUTOS'!$A$3:$A$500,$B5,'DADOS BRUTOS'!FV$3:FV$500)+IF($C5="",0,SUMIF('DADOS BRUTOS'!$A$3:$A$500,$C5,'DADOS BRUTOS'!FV$3:FV$500)))</f>
        <v>0</v>
      </c>
      <c r="IW5" s="133" t="n">
        <f aca="false">IF(OR(IW$4="",$B5=""),0,SUMIF('DADOS BRUTOS'!$A$3:$A$500,$B5,'DADOS BRUTOS'!FW$3:FW$500)+IF($C5="",0,SUMIF('DADOS BRUTOS'!$A$3:$A$500,$C5,'DADOS BRUTOS'!FW$3:FW$500)))</f>
        <v>0</v>
      </c>
      <c r="IX5" s="133" t="n">
        <f aca="false">IF(OR(IX$4="",$B5=""),0,SUMIF('DADOS BRUTOS'!$A$3:$A$500,$B5,'DADOS BRUTOS'!FX$3:FX$500)+IF($C5="",0,SUMIF('DADOS BRUTOS'!$A$3:$A$500,$C5,'DADOS BRUTOS'!FX$3:FX$500)))</f>
        <v>0</v>
      </c>
      <c r="IY5" s="133" t="n">
        <f aca="false">IF(OR(IY$4="",$B5=""),0,SUMIF('DADOS BRUTOS'!$A$3:$A$500,$B5,'DADOS BRUTOS'!FY$3:FY$500)+IF($C5="",0,SUMIF('DADOS BRUTOS'!$A$3:$A$500,$C5,'DADOS BRUTOS'!FY$3:FY$500)))</f>
        <v>0</v>
      </c>
      <c r="IZ5" s="133" t="n">
        <f aca="false">IF(OR(IZ$4="",$B5=""),0,SUMIF('DADOS BRUTOS'!$A$3:$A$500,$B5,'DADOS BRUTOS'!FZ$3:FZ$500)+IF($C5="",0,SUMIF('DADOS BRUTOS'!$A$3:$A$500,$C5,'DADOS BRUTOS'!FZ$3:FZ$500)))</f>
        <v>0</v>
      </c>
      <c r="JA5" s="133" t="n">
        <f aca="false">IF(OR(JA$4="",$B5=""),0,SUMIF('DADOS BRUTOS'!$A$3:$A$500,$B5,'DADOS BRUTOS'!GA$3:GA$500)+IF($C5="",0,SUMIF('DADOS BRUTOS'!$A$3:$A$500,$C5,'DADOS BRUTOS'!GA$3:GA$500)))</f>
        <v>0</v>
      </c>
      <c r="JB5" s="133" t="n">
        <f aca="false">IF(OR(JB$4="",$B5=""),0,SUMIF('DADOS BRUTOS'!$A$3:$A$500,$B5,'DADOS BRUTOS'!GB$3:GB$500)+IF($C5="",0,SUMIF('DADOS BRUTOS'!$A$3:$A$500,$C5,'DADOS BRUTOS'!GB$3:GB$500)))</f>
        <v>0</v>
      </c>
      <c r="JC5" s="133" t="n">
        <f aca="false">IF(OR(JC$4="",$B5=""),0,SUMIF('DADOS BRUTOS'!$A$3:$A$500,$B5,'DADOS BRUTOS'!GC$3:GC$500)+IF($C5="",0,SUMIF('DADOS BRUTOS'!$A$3:$A$500,$C5,'DADOS BRUTOS'!GC$3:GC$500)))</f>
        <v>0</v>
      </c>
      <c r="JD5" s="133" t="n">
        <f aca="false">IF(OR(JD$4="",$B5=""),0,SUMIF('DADOS BRUTOS'!$A$3:$A$500,$B5,'DADOS BRUTOS'!GD$3:GD$500)+IF($C5="",0,SUMIF('DADOS BRUTOS'!$A$3:$A$500,$C5,'DADOS BRUTOS'!GD$3:GD$500)))</f>
        <v>0</v>
      </c>
      <c r="JE5" s="133" t="n">
        <f aca="false">IF(OR(JE$4="",$B5=""),0,SUMIF('DADOS BRUTOS'!$A$3:$A$500,$B5,'DADOS BRUTOS'!GE$3:GE$500)+IF($C5="",0,SUMIF('DADOS BRUTOS'!$A$3:$A$500,$C5,'DADOS BRUTOS'!GE$3:GE$500)))</f>
        <v>0</v>
      </c>
      <c r="JF5" s="133" t="n">
        <f aca="false">IF(OR(JF$4="",$B5=""),0,SUMIF('DADOS BRUTOS'!$A$3:$A$500,$B5,'DADOS BRUTOS'!GF$3:GF$500)+IF($C5="",0,SUMIF('DADOS BRUTOS'!$A$3:$A$500,$C5,'DADOS BRUTOS'!GF$3:GF$500)))</f>
        <v>0</v>
      </c>
      <c r="JG5" s="133" t="n">
        <f aca="false">IF(OR(JG$4="",$B5=""),0,SUMIF('DADOS BRUTOS'!$A$3:$A$500,$B5,'DADOS BRUTOS'!GG$3:GG$500)+IF($C5="",0,SUMIF('DADOS BRUTOS'!$A$3:$A$500,$C5,'DADOS BRUTOS'!GG$3:GG$500)))</f>
        <v>0</v>
      </c>
      <c r="JH5" s="133" t="n">
        <f aca="false">IF(OR(JH$4="",$B5=""),0,SUMIF('DADOS BRUTOS'!$A$3:$A$500,$B5,'DADOS BRUTOS'!GH$3:GH$500)+IF($C5="",0,SUMIF('DADOS BRUTOS'!$A$3:$A$500,$C5,'DADOS BRUTOS'!GH$3:GH$500)))</f>
        <v>0</v>
      </c>
      <c r="JI5" s="133" t="n">
        <f aca="false">IF(OR(JI$4="",$B5=""),0,SUMIF('DADOS BRUTOS'!$A$3:$A$500,$B5,'DADOS BRUTOS'!GI$3:GI$500)+IF($C5="",0,SUMIF('DADOS BRUTOS'!$A$3:$A$500,$C5,'DADOS BRUTOS'!GI$3:GI$500)))</f>
        <v>0</v>
      </c>
      <c r="JJ5" s="133" t="n">
        <f aca="false">IF(OR(JJ$4="",$B5=""),0,SUMIF('DADOS BRUTOS'!$A$3:$A$500,$B5,'DADOS BRUTOS'!GJ$3:GJ$500)+IF($C5="",0,SUMIF('DADOS BRUTOS'!$A$3:$A$500,$C5,'DADOS BRUTOS'!GJ$3:GJ$500)))</f>
        <v>0</v>
      </c>
      <c r="JK5" s="133" t="n">
        <f aca="false">IF(OR(JK$4="",$B5=""),0,SUMIF('DADOS BRUTOS'!$A$3:$A$500,$B5,'DADOS BRUTOS'!GK$3:GK$500)+IF($C5="",0,SUMIF('DADOS BRUTOS'!$A$3:$A$500,$C5,'DADOS BRUTOS'!GK$3:GK$500)))</f>
        <v>0</v>
      </c>
      <c r="JL5" s="133" t="n">
        <f aca="false">IF(OR(JL$4="",$B5=""),0,SUMIF('DADOS BRUTOS'!$A$3:$A$500,$B5,'DADOS BRUTOS'!GL$3:GL$500)+IF($C5="",0,SUMIF('DADOS BRUTOS'!$A$3:$A$500,$C5,'DADOS BRUTOS'!GL$3:GL$500)))</f>
        <v>0</v>
      </c>
      <c r="JM5" s="133" t="n">
        <f aca="false">IF(OR(JM$4="",$B5=""),0,SUMIF('DADOS BRUTOS'!$A$3:$A$500,$B5,'DADOS BRUTOS'!GM$3:GM$500)+IF($C5="",0,SUMIF('DADOS BRUTOS'!$A$3:$A$500,$C5,'DADOS BRUTOS'!GM$3:GM$500)))</f>
        <v>0</v>
      </c>
      <c r="JN5" s="133" t="n">
        <f aca="false">IF(OR(JN$4="",$B5=""),0,SUMIF('DADOS BRUTOS'!$A$3:$A$500,$B5,'DADOS BRUTOS'!GN$3:GN$500)+IF($C5="",0,SUMIF('DADOS BRUTOS'!$A$3:$A$500,$C5,'DADOS BRUTOS'!GN$3:GN$500)))</f>
        <v>0</v>
      </c>
      <c r="JO5" s="133" t="n">
        <f aca="false">IF(OR(JO$4="",$B5=""),0,SUMIF('DADOS BRUTOS'!$A$3:$A$500,$B5,'DADOS BRUTOS'!GO$3:GO$500)+IF($C5="",0,SUMIF('DADOS BRUTOS'!$A$3:$A$500,$C5,'DADOS BRUTOS'!GO$3:GO$500)))</f>
        <v>0</v>
      </c>
      <c r="JP5" s="133" t="n">
        <f aca="false">IF(OR(JP$4="",$B5=""),0,SUMIF('DADOS BRUTOS'!$A$3:$A$500,$B5,'DADOS BRUTOS'!GP$3:GP$500)+IF($C5="",0,SUMIF('DADOS BRUTOS'!$A$3:$A$500,$C5,'DADOS BRUTOS'!GP$3:GP$500)))</f>
        <v>0</v>
      </c>
      <c r="JQ5" s="133" t="n">
        <f aca="false">IF(OR(JQ$4="",$B5=""),0,SUMIF('DADOS BRUTOS'!$A$3:$A$500,$B5,'DADOS BRUTOS'!GQ$3:GQ$500)+IF($C5="",0,SUMIF('DADOS BRUTOS'!$A$3:$A$500,$C5,'DADOS BRUTOS'!GQ$3:GQ$500)))</f>
        <v>0</v>
      </c>
      <c r="JR5" s="133" t="n">
        <f aca="false">IF(OR(JR$4="",$B5=""),0,SUMIF('DADOS BRUTOS'!$A$3:$A$500,$B5,'DADOS BRUTOS'!GR$3:GR$500)+IF($C5="",0,SUMIF('DADOS BRUTOS'!$A$3:$A$500,$C5,'DADOS BRUTOS'!GR$3:GR$500)))</f>
        <v>0</v>
      </c>
      <c r="JS5" s="133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0</v>
      </c>
      <c r="E6" s="50" t="n">
        <f aca="false">SUMIF($CB$4:$JS$4,E$4,$CB6:$JS6)</f>
        <v>0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29594.38</v>
      </c>
      <c r="N6" s="50" t="n">
        <f aca="false">SUMIF($CB$4:$JS$4,N$4,$CB6:$JS6)</f>
        <v>15763.13</v>
      </c>
      <c r="O6" s="50" t="n">
        <f aca="false">SUMIF($CB$4:$JS$4,O$4,$CB6:$JS6)</f>
        <v>1931.88</v>
      </c>
      <c r="P6" s="50" t="n">
        <f aca="false">SUMIF($CB$4:$JS$4,P$4,$CB6:$JS6)</f>
        <v>29895.53</v>
      </c>
      <c r="Q6" s="50" t="n">
        <f aca="false">SUMIF($CB$4:$JS$4,Q$4,$CB6:$JS6)</f>
        <v>16064.28</v>
      </c>
      <c r="R6" s="50" t="n">
        <f aca="false">SUMIF($CB$4:$JS$4,R$4,$CB6:$JS6)</f>
        <v>2233.03</v>
      </c>
      <c r="S6" s="50" t="n">
        <f aca="false">SUMIF($CB$4:$JS$4,S$4,$CB6:$JS6)</f>
        <v>29895.47</v>
      </c>
      <c r="T6" s="50" t="n">
        <f aca="false">SUMIF($CB$4:$JS$4,T$4,$CB6:$JS6)</f>
        <v>2232.98</v>
      </c>
      <c r="U6" s="50" t="n">
        <f aca="false">SUMIF($CB$4:$JS$4,U$4,$CB6:$JS6)</f>
        <v>301.15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18870.38</v>
      </c>
      <c r="AA6" s="50" t="n">
        <f aca="false">SUMIF($CB$4:$JS$4,AA$4,$CB6:$JS6)</f>
        <v>18870.38</v>
      </c>
      <c r="AB6" s="50" t="n">
        <f aca="false">SUMIF($CB$4:$JS$4,AB$4,$CB6:$JS6)</f>
        <v>18870.38</v>
      </c>
      <c r="AC6" s="50" t="n">
        <f aca="false">SUMIF($CB$4:$JS$4,AC$4,$CB6:$JS6)</f>
        <v>18870.38</v>
      </c>
      <c r="AD6" s="50" t="n">
        <f aca="false">SUMIF($CB$4:$JS$4,AD$4,$CB6:$JS6)</f>
        <v>18870.38</v>
      </c>
      <c r="AE6" s="50" t="n">
        <f aca="false">SUMIF($CB$4:$JS$4,AE$4,$CB6:$JS6)</f>
        <v>18871.43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241135.16</v>
      </c>
      <c r="BZ6" s="45" t="n">
        <f aca="false">SUMPRODUCT(($CB$4:$JS$4&lt;&gt;"")*($CB$4:$JS$4&lt;=$D$4),$CB6:$JS6,$CB$1:$JS$1)</f>
        <v>0</v>
      </c>
      <c r="CB6" s="133" t="n">
        <f aca="false">IF(OR(CB$4="",$B6=""),0,SUMIF('DADOS BRUTOS'!$A$3:$A$500,$B6,'DADOS BRUTOS'!B$3:B$500)+IF($C6="",0,SUMIF('DADOS BRUTOS'!$A$3:$A$500,$C6,'DADOS BRUTOS'!B$3:B$500)))</f>
        <v>0</v>
      </c>
      <c r="CC6" s="133" t="n">
        <f aca="false">IF(OR(CC$4="",$B6=""),0,SUMIF('DADOS BRUTOS'!$A$3:$A$500,$B6,'DADOS BRUTOS'!C$3:C$500)+IF($C6="",0,SUMIF('DADOS BRUTOS'!$A$3:$A$500,$C6,'DADOS BRUTOS'!C$3:C$500)))</f>
        <v>0</v>
      </c>
      <c r="CD6" s="133" t="n">
        <f aca="false">IF(OR(CD$4="",$B6=""),0,SUMIF('DADOS BRUTOS'!$A$3:$A$500,$B6,'DADOS BRUTOS'!D$3:D$500)+IF($C6="",0,SUMIF('DADOS BRUTOS'!$A$3:$A$500,$C6,'DADOS BRUTOS'!D$3:D$500)))</f>
        <v>0</v>
      </c>
      <c r="CE6" s="133" t="n">
        <f aca="false">IF(OR(CE$4="",$B6=""),0,SUMIF('DADOS BRUTOS'!$A$3:$A$500,$B6,'DADOS BRUTOS'!E$3:E$500)+IF($C6="",0,SUMIF('DADOS BRUTOS'!$A$3:$A$500,$C6,'DADOS BRUTOS'!E$3:E$500)))</f>
        <v>0</v>
      </c>
      <c r="CF6" s="133" t="n">
        <f aca="false">IF(OR(CF$4="",$B6=""),0,SUMIF('DADOS BRUTOS'!$A$3:$A$500,$B6,'DADOS BRUTOS'!F$3:F$500)+IF($C6="",0,SUMIF('DADOS BRUTOS'!$A$3:$A$500,$C6,'DADOS BRUTOS'!F$3:F$500)))</f>
        <v>0</v>
      </c>
      <c r="CG6" s="133" t="n">
        <f aca="false">IF(OR(CG$4="",$B6=""),0,SUMIF('DADOS BRUTOS'!$A$3:$A$500,$B6,'DADOS BRUTOS'!G$3:G$500)+IF($C6="",0,SUMIF('DADOS BRUTOS'!$A$3:$A$500,$C6,'DADOS BRUTOS'!G$3:G$500)))</f>
        <v>0</v>
      </c>
      <c r="CH6" s="133" t="n">
        <f aca="false">IF(OR(CH$4="",$B6=""),0,SUMIF('DADOS BRUTOS'!$A$3:$A$500,$B6,'DADOS BRUTOS'!H$3:H$500)+IF($C6="",0,SUMIF('DADOS BRUTOS'!$A$3:$A$500,$C6,'DADOS BRUTOS'!H$3:H$500)))</f>
        <v>0</v>
      </c>
      <c r="CI6" s="133" t="n">
        <f aca="false">IF(OR(CI$4="",$B6=""),0,SUMIF('DADOS BRUTOS'!$A$3:$A$500,$B6,'DADOS BRUTOS'!I$3:I$500)+IF($C6="",0,SUMIF('DADOS BRUTOS'!$A$3:$A$500,$C6,'DADOS BRUTOS'!I$3:I$500)))</f>
        <v>0</v>
      </c>
      <c r="CJ6" s="133" t="n">
        <f aca="false">IF(OR(CJ$4="",$B6=""),0,SUMIF('DADOS BRUTOS'!$A$3:$A$500,$B6,'DADOS BRUTOS'!J$3:J$500)+IF($C6="",0,SUMIF('DADOS BRUTOS'!$A$3:$A$500,$C6,'DADOS BRUTOS'!J$3:J$500)))</f>
        <v>0</v>
      </c>
      <c r="CK6" s="133" t="n">
        <f aca="false">IF(OR(CK$4="",$B6=""),0,SUMIF('DADOS BRUTOS'!$A$3:$A$500,$B6,'DADOS BRUTOS'!K$3:K$500)+IF($C6="",0,SUMIF('DADOS BRUTOS'!$A$3:$A$500,$C6,'DADOS BRUTOS'!K$3:K$500)))</f>
        <v>0</v>
      </c>
      <c r="CL6" s="133" t="n">
        <f aca="false">IF(OR(CL$4="",$B6=""),0,SUMIF('DADOS BRUTOS'!$A$3:$A$500,$B6,'DADOS BRUTOS'!L$3:L$500)+IF($C6="",0,SUMIF('DADOS BRUTOS'!$A$3:$A$500,$C6,'DADOS BRUTOS'!L$3:L$500)))</f>
        <v>0</v>
      </c>
      <c r="CM6" s="133" t="n">
        <f aca="false">IF(OR(CM$4="",$B6=""),0,SUMIF('DADOS BRUTOS'!$A$3:$A$500,$B6,'DADOS BRUTOS'!M$3:M$500)+IF($C6="",0,SUMIF('DADOS BRUTOS'!$A$3:$A$500,$C6,'DADOS BRUTOS'!M$3:M$500)))</f>
        <v>0</v>
      </c>
      <c r="CN6" s="133" t="n">
        <f aca="false">IF(OR(CN$4="",$B6=""),0,SUMIF('DADOS BRUTOS'!$A$3:$A$500,$B6,'DADOS BRUTOS'!N$3:N$500)+IF($C6="",0,SUMIF('DADOS BRUTOS'!$A$3:$A$500,$C6,'DADOS BRUTOS'!N$3:N$500)))</f>
        <v>0</v>
      </c>
      <c r="CO6" s="133" t="n">
        <f aca="false">IF(OR(CO$4="",$B6=""),0,SUMIF('DADOS BRUTOS'!$A$3:$A$500,$B6,'DADOS BRUTOS'!O$3:O$500)+IF($C6="",0,SUMIF('DADOS BRUTOS'!$A$3:$A$500,$C6,'DADOS BRUTOS'!O$3:O$500)))</f>
        <v>0</v>
      </c>
      <c r="CP6" s="133" t="n">
        <f aca="false">IF(OR(CP$4="",$B6=""),0,SUMIF('DADOS BRUTOS'!$A$3:$A$500,$B6,'DADOS BRUTOS'!P$3:P$500)+IF($C6="",0,SUMIF('DADOS BRUTOS'!$A$3:$A$500,$C6,'DADOS BRUTOS'!P$3:P$500)))</f>
        <v>0</v>
      </c>
      <c r="CQ6" s="133" t="n">
        <f aca="false">IF(OR(CQ$4="",$B6=""),0,SUMIF('DADOS BRUTOS'!$A$3:$A$500,$B6,'DADOS BRUTOS'!Q$3:Q$500)+IF($C6="",0,SUMIF('DADOS BRUTOS'!$A$3:$A$500,$C6,'DADOS BRUTOS'!Q$3:Q$500)))</f>
        <v>0</v>
      </c>
      <c r="CR6" s="133" t="n">
        <f aca="false">IF(OR(CR$4="",$B6=""),0,SUMIF('DADOS BRUTOS'!$A$3:$A$500,$B6,'DADOS BRUTOS'!R$3:R$500)+IF($C6="",0,SUMIF('DADOS BRUTOS'!$A$3:$A$500,$C6,'DADOS BRUTOS'!R$3:R$500)))</f>
        <v>0</v>
      </c>
      <c r="CS6" s="133" t="n">
        <f aca="false">IF(OR(CS$4="",$B6=""),0,SUMIF('DADOS BRUTOS'!$A$3:$A$500,$B6,'DADOS BRUTOS'!S$3:S$500)+IF($C6="",0,SUMIF('DADOS BRUTOS'!$A$3:$A$500,$C6,'DADOS BRUTOS'!S$3:S$500)))</f>
        <v>0</v>
      </c>
      <c r="CT6" s="133" t="n">
        <f aca="false">IF(OR(CT$4="",$B6=""),0,SUMIF('DADOS BRUTOS'!$A$3:$A$500,$B6,'DADOS BRUTOS'!T$3:T$500)+IF($C6="",0,SUMIF('DADOS BRUTOS'!$A$3:$A$500,$C6,'DADOS BRUTOS'!T$3:T$500)))</f>
        <v>0</v>
      </c>
      <c r="CU6" s="133" t="n">
        <f aca="false">IF(OR(CU$4="",$B6=""),0,SUMIF('DADOS BRUTOS'!$A$3:$A$500,$B6,'DADOS BRUTOS'!U$3:U$500)+IF($C6="",0,SUMIF('DADOS BRUTOS'!$A$3:$A$500,$C6,'DADOS BRUTOS'!U$3:U$500)))</f>
        <v>0</v>
      </c>
      <c r="CV6" s="133" t="n">
        <f aca="false">IF(OR(CV$4="",$B6=""),0,SUMIF('DADOS BRUTOS'!$A$3:$A$500,$B6,'DADOS BRUTOS'!V$3:V$500)+IF($C6="",0,SUMIF('DADOS BRUTOS'!$A$3:$A$500,$C6,'DADOS BRUTOS'!V$3:V$500)))</f>
        <v>0</v>
      </c>
      <c r="CW6" s="133" t="n">
        <f aca="false">IF(OR(CW$4="",$B6=""),0,SUMIF('DADOS BRUTOS'!$A$3:$A$500,$B6,'DADOS BRUTOS'!W$3:W$500)+IF($C6="",0,SUMIF('DADOS BRUTOS'!$A$3:$A$500,$C6,'DADOS BRUTOS'!W$3:W$500)))</f>
        <v>29594.38</v>
      </c>
      <c r="CX6" s="133" t="n">
        <f aca="false">IF(OR(CX$4="",$B6=""),0,SUMIF('DADOS BRUTOS'!$A$3:$A$500,$B6,'DADOS BRUTOS'!X$3:X$500)+IF($C6="",0,SUMIF('DADOS BRUTOS'!$A$3:$A$500,$C6,'DADOS BRUTOS'!X$3:X$500)))</f>
        <v>15763.13</v>
      </c>
      <c r="CY6" s="133" t="n">
        <f aca="false">IF(OR(CY$4="",$B6=""),0,SUMIF('DADOS BRUTOS'!$A$3:$A$500,$B6,'DADOS BRUTOS'!Y$3:Y$500)+IF($C6="",0,SUMIF('DADOS BRUTOS'!$A$3:$A$500,$C6,'DADOS BRUTOS'!Y$3:Y$500)))</f>
        <v>1931.88</v>
      </c>
      <c r="CZ6" s="133" t="n">
        <f aca="false">IF(OR(CZ$4="",$B6=""),0,SUMIF('DADOS BRUTOS'!$A$3:$A$500,$B6,'DADOS BRUTOS'!Z$3:Z$500)+IF($C6="",0,SUMIF('DADOS BRUTOS'!$A$3:$A$500,$C6,'DADOS BRUTOS'!Z$3:Z$500)))</f>
        <v>29895.53</v>
      </c>
      <c r="DA6" s="133" t="n">
        <f aca="false">IF(OR(DA$4="",$B6=""),0,SUMIF('DADOS BRUTOS'!$A$3:$A$500,$B6,'DADOS BRUTOS'!AA$3:AA$500)+IF($C6="",0,SUMIF('DADOS BRUTOS'!$A$3:$A$500,$C6,'DADOS BRUTOS'!AA$3:AA$500)))</f>
        <v>16064.28</v>
      </c>
      <c r="DB6" s="133" t="n">
        <f aca="false">IF(OR(DB$4="",$B6=""),0,SUMIF('DADOS BRUTOS'!$A$3:$A$500,$B6,'DADOS BRUTOS'!AB$3:AB$500)+IF($C6="",0,SUMIF('DADOS BRUTOS'!$A$3:$A$500,$C6,'DADOS BRUTOS'!AB$3:AB$500)))</f>
        <v>2233.03</v>
      </c>
      <c r="DC6" s="133" t="n">
        <f aca="false">IF(OR(DC$4="",$B6=""),0,SUMIF('DADOS BRUTOS'!$A$3:$A$500,$B6,'DADOS BRUTOS'!AC$3:AC$500)+IF($C6="",0,SUMIF('DADOS BRUTOS'!$A$3:$A$500,$C6,'DADOS BRUTOS'!AC$3:AC$500)))</f>
        <v>29895.47</v>
      </c>
      <c r="DD6" s="133" t="n">
        <f aca="false">IF(OR(DD$4="",$B6=""),0,SUMIF('DADOS BRUTOS'!$A$3:$A$500,$B6,'DADOS BRUTOS'!AD$3:AD$500)+IF($C6="",0,SUMIF('DADOS BRUTOS'!$A$3:$A$500,$C6,'DADOS BRUTOS'!AD$3:AD$500)))</f>
        <v>2232.98</v>
      </c>
      <c r="DE6" s="133" t="n">
        <f aca="false">IF(OR(DE$4="",$B6=""),0,SUMIF('DADOS BRUTOS'!$A$3:$A$500,$B6,'DADOS BRUTOS'!AE$3:AE$500)+IF($C6="",0,SUMIF('DADOS BRUTOS'!$A$3:$A$500,$C6,'DADOS BRUTOS'!AE$3:AE$500)))</f>
        <v>301.15</v>
      </c>
      <c r="DF6" s="133" t="n">
        <f aca="false">IF(OR(DF$4="",$B6=""),0,SUMIF('DADOS BRUTOS'!$A$3:$A$500,$B6,'DADOS BRUTOS'!AF$3:AF$500)+IF($C6="",0,SUMIF('DADOS BRUTOS'!$A$3:$A$500,$C6,'DADOS BRUTOS'!AF$3:AF$500)))</f>
        <v>0</v>
      </c>
      <c r="DG6" s="133" t="n">
        <f aca="false">IF(OR(DG$4="",$B6=""),0,SUMIF('DADOS BRUTOS'!$A$3:$A$500,$B6,'DADOS BRUTOS'!AG$3:AG$500)+IF($C6="",0,SUMIF('DADOS BRUTOS'!$A$3:$A$500,$C6,'DADOS BRUTOS'!AG$3:AG$500)))</f>
        <v>0</v>
      </c>
      <c r="DH6" s="133" t="n">
        <f aca="false">IF(OR(DH$4="",$B6=""),0,SUMIF('DADOS BRUTOS'!$A$3:$A$500,$B6,'DADOS BRUTOS'!AH$3:AH$500)+IF($C6="",0,SUMIF('DADOS BRUTOS'!$A$3:$A$500,$C6,'DADOS BRUTOS'!AH$3:AH$500)))</f>
        <v>0</v>
      </c>
      <c r="DI6" s="133" t="n">
        <f aca="false">IF(OR(DI$4="",$B6=""),0,SUMIF('DADOS BRUTOS'!$A$3:$A$500,$B6,'DADOS BRUTOS'!AI$3:AI$500)+IF($C6="",0,SUMIF('DADOS BRUTOS'!$A$3:$A$500,$C6,'DADOS BRUTOS'!AI$3:AI$500)))</f>
        <v>0</v>
      </c>
      <c r="DJ6" s="133" t="n">
        <f aca="false">IF(OR(DJ$4="",$B6=""),0,SUMIF('DADOS BRUTOS'!$A$3:$A$500,$B6,'DADOS BRUTOS'!AJ$3:AJ$500)+IF($C6="",0,SUMIF('DADOS BRUTOS'!$A$3:$A$500,$C6,'DADOS BRUTOS'!AJ$3:AJ$500)))</f>
        <v>18870.38</v>
      </c>
      <c r="DK6" s="133" t="n">
        <f aca="false">IF(OR(DK$4="",$B6=""),0,SUMIF('DADOS BRUTOS'!$A$3:$A$500,$B6,'DADOS BRUTOS'!AK$3:AK$500)+IF($C6="",0,SUMIF('DADOS BRUTOS'!$A$3:$A$500,$C6,'DADOS BRUTOS'!AK$3:AK$500)))</f>
        <v>18870.38</v>
      </c>
      <c r="DL6" s="133" t="n">
        <f aca="false">IF(OR(DL$4="",$B6=""),0,SUMIF('DADOS BRUTOS'!$A$3:$A$500,$B6,'DADOS BRUTOS'!AL$3:AL$500)+IF($C6="",0,SUMIF('DADOS BRUTOS'!$A$3:$A$500,$C6,'DADOS BRUTOS'!AL$3:AL$500)))</f>
        <v>18870.38</v>
      </c>
      <c r="DM6" s="133" t="n">
        <f aca="false">IF(OR(DM$4="",$B6=""),0,SUMIF('DADOS BRUTOS'!$A$3:$A$500,$B6,'DADOS BRUTOS'!AM$3:AM$500)+IF($C6="",0,SUMIF('DADOS BRUTOS'!$A$3:$A$500,$C6,'DADOS BRUTOS'!AM$3:AM$500)))</f>
        <v>18870.38</v>
      </c>
      <c r="DN6" s="133" t="n">
        <f aca="false">IF(OR(DN$4="",$B6=""),0,SUMIF('DADOS BRUTOS'!$A$3:$A$500,$B6,'DADOS BRUTOS'!AN$3:AN$500)+IF($C6="",0,SUMIF('DADOS BRUTOS'!$A$3:$A$500,$C6,'DADOS BRUTOS'!AN$3:AN$500)))</f>
        <v>18870.38</v>
      </c>
      <c r="DO6" s="133" t="n">
        <f aca="false">IF(OR(DO$4="",$B6=""),0,SUMIF('DADOS BRUTOS'!$A$3:$A$500,$B6,'DADOS BRUTOS'!AO$3:AO$500)+IF($C6="",0,SUMIF('DADOS BRUTOS'!$A$3:$A$500,$C6,'DADOS BRUTOS'!AO$3:AO$500)))</f>
        <v>18871.43</v>
      </c>
      <c r="DP6" s="133" t="n">
        <f aca="false">IF(OR(DP$4="",$B6=""),0,SUMIF('DADOS BRUTOS'!$A$3:$A$500,$B6,'DADOS BRUTOS'!AP$3:AP$500)+IF($C6="",0,SUMIF('DADOS BRUTOS'!$A$3:$A$500,$C6,'DADOS BRUTOS'!AP$3:AP$500)))</f>
        <v>0</v>
      </c>
      <c r="DQ6" s="133" t="n">
        <f aca="false">IF(OR(DQ$4="",$B6=""),0,SUMIF('DADOS BRUTOS'!$A$3:$A$500,$B6,'DADOS BRUTOS'!AQ$3:AQ$500)+IF($C6="",0,SUMIF('DADOS BRUTOS'!$A$3:$A$500,$C6,'DADOS BRUTOS'!AQ$3:AQ$500)))</f>
        <v>0</v>
      </c>
      <c r="DR6" s="133" t="n">
        <f aca="false">IF(OR(DR$4="",$B6=""),0,SUMIF('DADOS BRUTOS'!$A$3:$A$500,$B6,'DADOS BRUTOS'!AR$3:AR$500)+IF($C6="",0,SUMIF('DADOS BRUTOS'!$A$3:$A$500,$C6,'DADOS BRUTOS'!AR$3:AR$500)))</f>
        <v>0</v>
      </c>
      <c r="DS6" s="133" t="n">
        <f aca="false">IF(OR(DS$4="",$B6=""),0,SUMIF('DADOS BRUTOS'!$A$3:$A$500,$B6,'DADOS BRUTOS'!AS$3:AS$500)+IF($C6="",0,SUMIF('DADOS BRUTOS'!$A$3:$A$500,$C6,'DADOS BRUTOS'!AS$3:AS$500)))</f>
        <v>0</v>
      </c>
      <c r="DT6" s="133" t="n">
        <f aca="false">IF(OR(DT$4="",$B6=""),0,SUMIF('DADOS BRUTOS'!$A$3:$A$500,$B6,'DADOS BRUTOS'!AT$3:AT$500)+IF($C6="",0,SUMIF('DADOS BRUTOS'!$A$3:$A$500,$C6,'DADOS BRUTOS'!AT$3:AT$500)))</f>
        <v>0</v>
      </c>
      <c r="DU6" s="133" t="n">
        <f aca="false">IF(OR(DU$4="",$B6=""),0,SUMIF('DADOS BRUTOS'!$A$3:$A$500,$B6,'DADOS BRUTOS'!AU$3:AU$500)+IF($C6="",0,SUMIF('DADOS BRUTOS'!$A$3:$A$500,$C6,'DADOS BRUTOS'!AU$3:AU$500)))</f>
        <v>0</v>
      </c>
      <c r="DV6" s="133" t="n">
        <f aca="false">IF(OR(DV$4="",$B6=""),0,SUMIF('DADOS BRUTOS'!$A$3:$A$500,$B6,'DADOS BRUTOS'!AV$3:AV$500)+IF($C6="",0,SUMIF('DADOS BRUTOS'!$A$3:$A$500,$C6,'DADOS BRUTOS'!AV$3:AV$500)))</f>
        <v>0</v>
      </c>
      <c r="DW6" s="133" t="n">
        <f aca="false">IF(OR(DW$4="",$B6=""),0,SUMIF('DADOS BRUTOS'!$A$3:$A$500,$B6,'DADOS BRUTOS'!AW$3:AW$500)+IF($C6="",0,SUMIF('DADOS BRUTOS'!$A$3:$A$500,$C6,'DADOS BRUTOS'!AW$3:AW$500)))</f>
        <v>0</v>
      </c>
      <c r="DX6" s="133" t="n">
        <f aca="false">IF(OR(DX$4="",$B6=""),0,SUMIF('DADOS BRUTOS'!$A$3:$A$500,$B6,'DADOS BRUTOS'!AX$3:AX$500)+IF($C6="",0,SUMIF('DADOS BRUTOS'!$A$3:$A$500,$C6,'DADOS BRUTOS'!AX$3:AX$500)))</f>
        <v>0</v>
      </c>
      <c r="DY6" s="133" t="n">
        <f aca="false">IF(OR(DY$4="",$B6=""),0,SUMIF('DADOS BRUTOS'!$A$3:$A$500,$B6,'DADOS BRUTOS'!AY$3:AY$500)+IF($C6="",0,SUMIF('DADOS BRUTOS'!$A$3:$A$500,$C6,'DADOS BRUTOS'!AY$3:AY$500)))</f>
        <v>0</v>
      </c>
      <c r="DZ6" s="133" t="n">
        <f aca="false">IF(OR(DZ$4="",$B6=""),0,SUMIF('DADOS BRUTOS'!$A$3:$A$500,$B6,'DADOS BRUTOS'!AZ$3:AZ$500)+IF($C6="",0,SUMIF('DADOS BRUTOS'!$A$3:$A$500,$C6,'DADOS BRUTOS'!AZ$3:AZ$500)))</f>
        <v>0</v>
      </c>
      <c r="EA6" s="133" t="n">
        <f aca="false">IF(OR(EA$4="",$B6=""),0,SUMIF('DADOS BRUTOS'!$A$3:$A$500,$B6,'DADOS BRUTOS'!BA$3:BA$500)+IF($C6="",0,SUMIF('DADOS BRUTOS'!$A$3:$A$500,$C6,'DADOS BRUTOS'!BA$3:BA$500)))</f>
        <v>0</v>
      </c>
      <c r="EB6" s="133" t="n">
        <f aca="false">IF(OR(EB$4="",$B6=""),0,SUMIF('DADOS BRUTOS'!$A$3:$A$500,$B6,'DADOS BRUTOS'!BB$3:BB$500)+IF($C6="",0,SUMIF('DADOS BRUTOS'!$A$3:$A$500,$C6,'DADOS BRUTOS'!BB$3:BB$500)))</f>
        <v>0</v>
      </c>
      <c r="EC6" s="133" t="n">
        <f aca="false">IF(OR(EC$4="",$B6=""),0,SUMIF('DADOS BRUTOS'!$A$3:$A$500,$B6,'DADOS BRUTOS'!BC$3:BC$500)+IF($C6="",0,SUMIF('DADOS BRUTOS'!$A$3:$A$500,$C6,'DADOS BRUTOS'!BC$3:BC$500)))</f>
        <v>0</v>
      </c>
      <c r="ED6" s="133" t="n">
        <f aca="false">IF(OR(ED$4="",$B6=""),0,SUMIF('DADOS BRUTOS'!$A$3:$A$500,$B6,'DADOS BRUTOS'!BD$3:BD$500)+IF($C6="",0,SUMIF('DADOS BRUTOS'!$A$3:$A$500,$C6,'DADOS BRUTOS'!BD$3:BD$500)))</f>
        <v>0</v>
      </c>
      <c r="EE6" s="133" t="n">
        <f aca="false">IF(OR(EE$4="",$B6=""),0,SUMIF('DADOS BRUTOS'!$A$3:$A$500,$B6,'DADOS BRUTOS'!BE$3:BE$500)+IF($C6="",0,SUMIF('DADOS BRUTOS'!$A$3:$A$500,$C6,'DADOS BRUTOS'!BE$3:BE$500)))</f>
        <v>0</v>
      </c>
      <c r="EF6" s="133" t="n">
        <f aca="false">IF(OR(EF$4="",$B6=""),0,SUMIF('DADOS BRUTOS'!$A$3:$A$500,$B6,'DADOS BRUTOS'!BF$3:BF$500)+IF($C6="",0,SUMIF('DADOS BRUTOS'!$A$3:$A$500,$C6,'DADOS BRUTOS'!BF$3:BF$500)))</f>
        <v>0</v>
      </c>
      <c r="EG6" s="133" t="n">
        <f aca="false">IF(OR(EG$4="",$B6=""),0,SUMIF('DADOS BRUTOS'!$A$3:$A$500,$B6,'DADOS BRUTOS'!BG$3:BG$500)+IF($C6="",0,SUMIF('DADOS BRUTOS'!$A$3:$A$500,$C6,'DADOS BRUTOS'!BG$3:BG$500)))</f>
        <v>0</v>
      </c>
      <c r="EH6" s="133" t="n">
        <f aca="false">IF(OR(EH$4="",$B6=""),0,SUMIF('DADOS BRUTOS'!$A$3:$A$500,$B6,'DADOS BRUTOS'!BH$3:BH$500)+IF($C6="",0,SUMIF('DADOS BRUTOS'!$A$3:$A$500,$C6,'DADOS BRUTOS'!BH$3:BH$500)))</f>
        <v>0</v>
      </c>
      <c r="EI6" s="133" t="n">
        <f aca="false">IF(OR(EI$4="",$B6=""),0,SUMIF('DADOS BRUTOS'!$A$3:$A$500,$B6,'DADOS BRUTOS'!BI$3:BI$500)+IF($C6="",0,SUMIF('DADOS BRUTOS'!$A$3:$A$500,$C6,'DADOS BRUTOS'!BI$3:BI$500)))</f>
        <v>0</v>
      </c>
      <c r="EJ6" s="133" t="n">
        <f aca="false">IF(OR(EJ$4="",$B6=""),0,SUMIF('DADOS BRUTOS'!$A$3:$A$500,$B6,'DADOS BRUTOS'!BJ$3:BJ$500)+IF($C6="",0,SUMIF('DADOS BRUTOS'!$A$3:$A$500,$C6,'DADOS BRUTOS'!BJ$3:BJ$500)))</f>
        <v>0</v>
      </c>
      <c r="EK6" s="133" t="n">
        <f aca="false">IF(OR(EK$4="",$B6=""),0,SUMIF('DADOS BRUTOS'!$A$3:$A$500,$B6,'DADOS BRUTOS'!BK$3:BK$500)+IF($C6="",0,SUMIF('DADOS BRUTOS'!$A$3:$A$500,$C6,'DADOS BRUTOS'!BK$3:BK$500)))</f>
        <v>0</v>
      </c>
      <c r="EL6" s="133" t="n">
        <f aca="false">IF(OR(EL$4="",$B6=""),0,SUMIF('DADOS BRUTOS'!$A$3:$A$500,$B6,'DADOS BRUTOS'!BL$3:BL$500)+IF($C6="",0,SUMIF('DADOS BRUTOS'!$A$3:$A$500,$C6,'DADOS BRUTOS'!BL$3:BL$500)))</f>
        <v>0</v>
      </c>
      <c r="EM6" s="133" t="n">
        <f aca="false">IF(OR(EM$4="",$B6=""),0,SUMIF('DADOS BRUTOS'!$A$3:$A$500,$B6,'DADOS BRUTOS'!BM$3:BM$500)+IF($C6="",0,SUMIF('DADOS BRUTOS'!$A$3:$A$500,$C6,'DADOS BRUTOS'!BM$3:BM$500)))</f>
        <v>0</v>
      </c>
      <c r="EN6" s="133" t="n">
        <f aca="false">IF(OR(EN$4="",$B6=""),0,SUMIF('DADOS BRUTOS'!$A$3:$A$500,$B6,'DADOS BRUTOS'!BN$3:BN$500)+IF($C6="",0,SUMIF('DADOS BRUTOS'!$A$3:$A$500,$C6,'DADOS BRUTOS'!BN$3:BN$500)))</f>
        <v>0</v>
      </c>
      <c r="EO6" s="133" t="n">
        <f aca="false">IF(OR(EO$4="",$B6=""),0,SUMIF('DADOS BRUTOS'!$A$3:$A$500,$B6,'DADOS BRUTOS'!BO$3:BO$500)+IF($C6="",0,SUMIF('DADOS BRUTOS'!$A$3:$A$500,$C6,'DADOS BRUTOS'!BO$3:BO$500)))</f>
        <v>0</v>
      </c>
      <c r="EP6" s="133" t="n">
        <f aca="false">IF(OR(EP$4="",$B6=""),0,SUMIF('DADOS BRUTOS'!$A$3:$A$500,$B6,'DADOS BRUTOS'!BP$3:BP$500)+IF($C6="",0,SUMIF('DADOS BRUTOS'!$A$3:$A$500,$C6,'DADOS BRUTOS'!BP$3:BP$500)))</f>
        <v>0</v>
      </c>
      <c r="EQ6" s="133" t="n">
        <f aca="false">IF(OR(EQ$4="",$B6=""),0,SUMIF('DADOS BRUTOS'!$A$3:$A$500,$B6,'DADOS BRUTOS'!BQ$3:BQ$500)+IF($C6="",0,SUMIF('DADOS BRUTOS'!$A$3:$A$500,$C6,'DADOS BRUTOS'!BQ$3:BQ$500)))</f>
        <v>0</v>
      </c>
      <c r="ER6" s="133" t="n">
        <f aca="false">IF(OR(ER$4="",$B6=""),0,SUMIF('DADOS BRUTOS'!$A$3:$A$500,$B6,'DADOS BRUTOS'!BR$3:BR$500)+IF($C6="",0,SUMIF('DADOS BRUTOS'!$A$3:$A$500,$C6,'DADOS BRUTOS'!BR$3:BR$500)))</f>
        <v>0</v>
      </c>
      <c r="ES6" s="133" t="n">
        <f aca="false">IF(OR(ES$4="",$B6=""),0,SUMIF('DADOS BRUTOS'!$A$3:$A$500,$B6,'DADOS BRUTOS'!BS$3:BS$500)+IF($C6="",0,SUMIF('DADOS BRUTOS'!$A$3:$A$500,$C6,'DADOS BRUTOS'!BS$3:BS$500)))</f>
        <v>0</v>
      </c>
      <c r="ET6" s="133" t="n">
        <f aca="false">IF(OR(ET$4="",$B6=""),0,SUMIF('DADOS BRUTOS'!$A$3:$A$500,$B6,'DADOS BRUTOS'!BT$3:BT$500)+IF($C6="",0,SUMIF('DADOS BRUTOS'!$A$3:$A$500,$C6,'DADOS BRUTOS'!BT$3:BT$500)))</f>
        <v>0</v>
      </c>
      <c r="EU6" s="133" t="n">
        <f aca="false">IF(OR(EU$4="",$B6=""),0,SUMIF('DADOS BRUTOS'!$A$3:$A$500,$B6,'DADOS BRUTOS'!BU$3:BU$500)+IF($C6="",0,SUMIF('DADOS BRUTOS'!$A$3:$A$500,$C6,'DADOS BRUTOS'!BU$3:BU$500)))</f>
        <v>0</v>
      </c>
      <c r="EV6" s="133" t="n">
        <f aca="false">IF(OR(EV$4="",$B6=""),0,SUMIF('DADOS BRUTOS'!$A$3:$A$500,$B6,'DADOS BRUTOS'!BV$3:BV$500)+IF($C6="",0,SUMIF('DADOS BRUTOS'!$A$3:$A$500,$C6,'DADOS BRUTOS'!BV$3:BV$500)))</f>
        <v>0</v>
      </c>
      <c r="EW6" s="133" t="n">
        <f aca="false">IF(OR(EW$4="",$B6=""),0,SUMIF('DADOS BRUTOS'!$A$3:$A$500,$B6,'DADOS BRUTOS'!BW$3:BW$500)+IF($C6="",0,SUMIF('DADOS BRUTOS'!$A$3:$A$500,$C6,'DADOS BRUTOS'!BW$3:BW$500)))</f>
        <v>0</v>
      </c>
      <c r="EX6" s="133" t="n">
        <f aca="false">IF(OR(EX$4="",$B6=""),0,SUMIF('DADOS BRUTOS'!$A$3:$A$500,$B6,'DADOS BRUTOS'!BX$3:BX$500)+IF($C6="",0,SUMIF('DADOS BRUTOS'!$A$3:$A$500,$C6,'DADOS BRUTOS'!BX$3:BX$500)))</f>
        <v>0</v>
      </c>
      <c r="EY6" s="133" t="n">
        <f aca="false">IF(OR(EY$4="",$B6=""),0,SUMIF('DADOS BRUTOS'!$A$3:$A$500,$B6,'DADOS BRUTOS'!BY$3:BY$500)+IF($C6="",0,SUMIF('DADOS BRUTOS'!$A$3:$A$500,$C6,'DADOS BRUTOS'!BY$3:BY$500)))</f>
        <v>0</v>
      </c>
      <c r="EZ6" s="133" t="n">
        <f aca="false">IF(OR(EZ$4="",$B6=""),0,SUMIF('DADOS BRUTOS'!$A$3:$A$500,$B6,'DADOS BRUTOS'!BZ$3:BZ$500)+IF($C6="",0,SUMIF('DADOS BRUTOS'!$A$3:$A$500,$C6,'DADOS BRUTOS'!BZ$3:BZ$500)))</f>
        <v>0</v>
      </c>
      <c r="FA6" s="133" t="n">
        <f aca="false">IF(OR(FA$4="",$B6=""),0,SUMIF('DADOS BRUTOS'!$A$3:$A$500,$B6,'DADOS BRUTOS'!CA$3:CA$500)+IF($C6="",0,SUMIF('DADOS BRUTOS'!$A$3:$A$500,$C6,'DADOS BRUTOS'!CA$3:CA$500)))</f>
        <v>0</v>
      </c>
      <c r="FB6" s="133" t="n">
        <f aca="false">IF(OR(FB$4="",$B6=""),0,SUMIF('DADOS BRUTOS'!$A$3:$A$500,$B6,'DADOS BRUTOS'!CB$3:CB$500)+IF($C6="",0,SUMIF('DADOS BRUTOS'!$A$3:$A$500,$C6,'DADOS BRUTOS'!CB$3:CB$500)))</f>
        <v>0</v>
      </c>
      <c r="FC6" s="133" t="n">
        <f aca="false">IF(OR(FC$4="",$B6=""),0,SUMIF('DADOS BRUTOS'!$A$3:$A$500,$B6,'DADOS BRUTOS'!CC$3:CC$500)+IF($C6="",0,SUMIF('DADOS BRUTOS'!$A$3:$A$500,$C6,'DADOS BRUTOS'!CC$3:CC$500)))</f>
        <v>0</v>
      </c>
      <c r="FD6" s="133" t="n">
        <f aca="false">IF(OR(FD$4="",$B6=""),0,SUMIF('DADOS BRUTOS'!$A$3:$A$500,$B6,'DADOS BRUTOS'!CD$3:CD$500)+IF($C6="",0,SUMIF('DADOS BRUTOS'!$A$3:$A$500,$C6,'DADOS BRUTOS'!CD$3:CD$500)))</f>
        <v>0</v>
      </c>
      <c r="FE6" s="133" t="n">
        <f aca="false">IF(OR(FE$4="",$B6=""),0,SUMIF('DADOS BRUTOS'!$A$3:$A$500,$B6,'DADOS BRUTOS'!CE$3:CE$500)+IF($C6="",0,SUMIF('DADOS BRUTOS'!$A$3:$A$500,$C6,'DADOS BRUTOS'!CE$3:CE$500)))</f>
        <v>0</v>
      </c>
      <c r="FF6" s="133" t="n">
        <f aca="false">IF(OR(FF$4="",$B6=""),0,SUMIF('DADOS BRUTOS'!$A$3:$A$500,$B6,'DADOS BRUTOS'!CF$3:CF$500)+IF($C6="",0,SUMIF('DADOS BRUTOS'!$A$3:$A$500,$C6,'DADOS BRUTOS'!CF$3:CF$500)))</f>
        <v>0</v>
      </c>
      <c r="FG6" s="133" t="n">
        <f aca="false">IF(OR(FG$4="",$B6=""),0,SUMIF('DADOS BRUTOS'!$A$3:$A$500,$B6,'DADOS BRUTOS'!CG$3:CG$500)+IF($C6="",0,SUMIF('DADOS BRUTOS'!$A$3:$A$500,$C6,'DADOS BRUTOS'!CG$3:CG$500)))</f>
        <v>0</v>
      </c>
      <c r="FH6" s="133" t="n">
        <f aca="false">IF(OR(FH$4="",$B6=""),0,SUMIF('DADOS BRUTOS'!$A$3:$A$500,$B6,'DADOS BRUTOS'!CH$3:CH$500)+IF($C6="",0,SUMIF('DADOS BRUTOS'!$A$3:$A$500,$C6,'DADOS BRUTOS'!CH$3:CH$500)))</f>
        <v>0</v>
      </c>
      <c r="FI6" s="133" t="n">
        <f aca="false">IF(OR(FI$4="",$B6=""),0,SUMIF('DADOS BRUTOS'!$A$3:$A$500,$B6,'DADOS BRUTOS'!CI$3:CI$500)+IF($C6="",0,SUMIF('DADOS BRUTOS'!$A$3:$A$500,$C6,'DADOS BRUTOS'!CI$3:CI$500)))</f>
        <v>0</v>
      </c>
      <c r="FJ6" s="133" t="n">
        <f aca="false">IF(OR(FJ$4="",$B6=""),0,SUMIF('DADOS BRUTOS'!$A$3:$A$500,$B6,'DADOS BRUTOS'!CJ$3:CJ$500)+IF($C6="",0,SUMIF('DADOS BRUTOS'!$A$3:$A$500,$C6,'DADOS BRUTOS'!CJ$3:CJ$500)))</f>
        <v>0</v>
      </c>
      <c r="FK6" s="133" t="n">
        <f aca="false">IF(OR(FK$4="",$B6=""),0,SUMIF('DADOS BRUTOS'!$A$3:$A$500,$B6,'DADOS BRUTOS'!CK$3:CK$500)+IF($C6="",0,SUMIF('DADOS BRUTOS'!$A$3:$A$500,$C6,'DADOS BRUTOS'!CK$3:CK$500)))</f>
        <v>0</v>
      </c>
      <c r="FL6" s="133" t="n">
        <f aca="false">IF(OR(FL$4="",$B6=""),0,SUMIF('DADOS BRUTOS'!$A$3:$A$500,$B6,'DADOS BRUTOS'!CL$3:CL$500)+IF($C6="",0,SUMIF('DADOS BRUTOS'!$A$3:$A$500,$C6,'DADOS BRUTOS'!CL$3:CL$500)))</f>
        <v>0</v>
      </c>
      <c r="FM6" s="133" t="n">
        <f aca="false">IF(OR(FM$4="",$B6=""),0,SUMIF('DADOS BRUTOS'!$A$3:$A$500,$B6,'DADOS BRUTOS'!CM$3:CM$500)+IF($C6="",0,SUMIF('DADOS BRUTOS'!$A$3:$A$500,$C6,'DADOS BRUTOS'!CM$3:CM$500)))</f>
        <v>0</v>
      </c>
      <c r="FN6" s="133" t="n">
        <f aca="false">IF(OR(FN$4="",$B6=""),0,SUMIF('DADOS BRUTOS'!$A$3:$A$500,$B6,'DADOS BRUTOS'!CN$3:CN$500)+IF($C6="",0,SUMIF('DADOS BRUTOS'!$A$3:$A$500,$C6,'DADOS BRUTOS'!CN$3:CN$500)))</f>
        <v>0</v>
      </c>
      <c r="FO6" s="133" t="n">
        <f aca="false">IF(OR(FO$4="",$B6=""),0,SUMIF('DADOS BRUTOS'!$A$3:$A$500,$B6,'DADOS BRUTOS'!CO$3:CO$500)+IF($C6="",0,SUMIF('DADOS BRUTOS'!$A$3:$A$500,$C6,'DADOS BRUTOS'!CO$3:CO$500)))</f>
        <v>0</v>
      </c>
      <c r="FP6" s="133" t="n">
        <f aca="false">IF(OR(FP$4="",$B6=""),0,SUMIF('DADOS BRUTOS'!$A$3:$A$500,$B6,'DADOS BRUTOS'!CP$3:CP$500)+IF($C6="",0,SUMIF('DADOS BRUTOS'!$A$3:$A$500,$C6,'DADOS BRUTOS'!CP$3:CP$500)))</f>
        <v>0</v>
      </c>
      <c r="FQ6" s="133" t="n">
        <f aca="false">IF(OR(FQ$4="",$B6=""),0,SUMIF('DADOS BRUTOS'!$A$3:$A$500,$B6,'DADOS BRUTOS'!CQ$3:CQ$500)+IF($C6="",0,SUMIF('DADOS BRUTOS'!$A$3:$A$500,$C6,'DADOS BRUTOS'!CQ$3:CQ$500)))</f>
        <v>0</v>
      </c>
      <c r="FR6" s="133" t="n">
        <f aca="false">IF(OR(FR$4="",$B6=""),0,SUMIF('DADOS BRUTOS'!$A$3:$A$500,$B6,'DADOS BRUTOS'!CR$3:CR$500)+IF($C6="",0,SUMIF('DADOS BRUTOS'!$A$3:$A$500,$C6,'DADOS BRUTOS'!CR$3:CR$500)))</f>
        <v>0</v>
      </c>
      <c r="FS6" s="133" t="n">
        <f aca="false">IF(OR(FS$4="",$B6=""),0,SUMIF('DADOS BRUTOS'!$A$3:$A$500,$B6,'DADOS BRUTOS'!CS$3:CS$500)+IF($C6="",0,SUMIF('DADOS BRUTOS'!$A$3:$A$500,$C6,'DADOS BRUTOS'!CS$3:CS$500)))</f>
        <v>0</v>
      </c>
      <c r="FT6" s="133" t="n">
        <f aca="false">IF(OR(FT$4="",$B6=""),0,SUMIF('DADOS BRUTOS'!$A$3:$A$500,$B6,'DADOS BRUTOS'!CT$3:CT$500)+IF($C6="",0,SUMIF('DADOS BRUTOS'!$A$3:$A$500,$C6,'DADOS BRUTOS'!CT$3:CT$500)))</f>
        <v>0</v>
      </c>
      <c r="FU6" s="133" t="n">
        <f aca="false">IF(OR(FU$4="",$B6=""),0,SUMIF('DADOS BRUTOS'!$A$3:$A$500,$B6,'DADOS BRUTOS'!CU$3:CU$500)+IF($C6="",0,SUMIF('DADOS BRUTOS'!$A$3:$A$500,$C6,'DADOS BRUTOS'!CU$3:CU$500)))</f>
        <v>0</v>
      </c>
      <c r="FV6" s="133" t="n">
        <f aca="false">IF(OR(FV$4="",$B6=""),0,SUMIF('DADOS BRUTOS'!$A$3:$A$500,$B6,'DADOS BRUTOS'!CV$3:CV$500)+IF($C6="",0,SUMIF('DADOS BRUTOS'!$A$3:$A$500,$C6,'DADOS BRUTOS'!CV$3:CV$500)))</f>
        <v>0</v>
      </c>
      <c r="FW6" s="133" t="n">
        <f aca="false">IF(OR(FW$4="",$B6=""),0,SUMIF('DADOS BRUTOS'!$A$3:$A$500,$B6,'DADOS BRUTOS'!CW$3:CW$500)+IF($C6="",0,SUMIF('DADOS BRUTOS'!$A$3:$A$500,$C6,'DADOS BRUTOS'!CW$3:CW$500)))</f>
        <v>0</v>
      </c>
      <c r="FX6" s="133" t="n">
        <f aca="false">IF(OR(FX$4="",$B6=""),0,SUMIF('DADOS BRUTOS'!$A$3:$A$500,$B6,'DADOS BRUTOS'!CX$3:CX$500)+IF($C6="",0,SUMIF('DADOS BRUTOS'!$A$3:$A$500,$C6,'DADOS BRUTOS'!CX$3:CX$500)))</f>
        <v>0</v>
      </c>
      <c r="FY6" s="133" t="n">
        <f aca="false">IF(OR(FY$4="",$B6=""),0,SUMIF('DADOS BRUTOS'!$A$3:$A$500,$B6,'DADOS BRUTOS'!CY$3:CY$500)+IF($C6="",0,SUMIF('DADOS BRUTOS'!$A$3:$A$500,$C6,'DADOS BRUTOS'!CY$3:CY$500)))</f>
        <v>0</v>
      </c>
      <c r="FZ6" s="133" t="n">
        <f aca="false">IF(OR(FZ$4="",$B6=""),0,SUMIF('DADOS BRUTOS'!$A$3:$A$500,$B6,'DADOS BRUTOS'!CZ$3:CZ$500)+IF($C6="",0,SUMIF('DADOS BRUTOS'!$A$3:$A$500,$C6,'DADOS BRUTOS'!CZ$3:CZ$500)))</f>
        <v>0</v>
      </c>
      <c r="GA6" s="133" t="n">
        <f aca="false">IF(OR(GA$4="",$B6=""),0,SUMIF('DADOS BRUTOS'!$A$3:$A$500,$B6,'DADOS BRUTOS'!DA$3:DA$500)+IF($C6="",0,SUMIF('DADOS BRUTOS'!$A$3:$A$500,$C6,'DADOS BRUTOS'!DA$3:DA$500)))</f>
        <v>0</v>
      </c>
      <c r="GB6" s="133" t="n">
        <f aca="false">IF(OR(GB$4="",$B6=""),0,SUMIF('DADOS BRUTOS'!$A$3:$A$500,$B6,'DADOS BRUTOS'!DB$3:DB$500)+IF($C6="",0,SUMIF('DADOS BRUTOS'!$A$3:$A$500,$C6,'DADOS BRUTOS'!DB$3:DB$500)))</f>
        <v>0</v>
      </c>
      <c r="GC6" s="133" t="n">
        <f aca="false">IF(OR(GC$4="",$B6=""),0,SUMIF('DADOS BRUTOS'!$A$3:$A$500,$B6,'DADOS BRUTOS'!DC$3:DC$500)+IF($C6="",0,SUMIF('DADOS BRUTOS'!$A$3:$A$500,$C6,'DADOS BRUTOS'!DC$3:DC$500)))</f>
        <v>0</v>
      </c>
      <c r="GD6" s="133" t="n">
        <f aca="false">IF(OR(GD$4="",$B6=""),0,SUMIF('DADOS BRUTOS'!$A$3:$A$500,$B6,'DADOS BRUTOS'!DD$3:DD$500)+IF($C6="",0,SUMIF('DADOS BRUTOS'!$A$3:$A$500,$C6,'DADOS BRUTOS'!DD$3:DD$500)))</f>
        <v>0</v>
      </c>
      <c r="GE6" s="133" t="n">
        <f aca="false">IF(OR(GE$4="",$B6=""),0,SUMIF('DADOS BRUTOS'!$A$3:$A$500,$B6,'DADOS BRUTOS'!DE$3:DE$500)+IF($C6="",0,SUMIF('DADOS BRUTOS'!$A$3:$A$500,$C6,'DADOS BRUTOS'!DE$3:DE$500)))</f>
        <v>0</v>
      </c>
      <c r="GF6" s="133" t="n">
        <f aca="false">IF(OR(GF$4="",$B6=""),0,SUMIF('DADOS BRUTOS'!$A$3:$A$500,$B6,'DADOS BRUTOS'!DF$3:DF$500)+IF($C6="",0,SUMIF('DADOS BRUTOS'!$A$3:$A$500,$C6,'DADOS BRUTOS'!DF$3:DF$500)))</f>
        <v>0</v>
      </c>
      <c r="GG6" s="133" t="n">
        <f aca="false">IF(OR(GG$4="",$B6=""),0,SUMIF('DADOS BRUTOS'!$A$3:$A$500,$B6,'DADOS BRUTOS'!DG$3:DG$500)+IF($C6="",0,SUMIF('DADOS BRUTOS'!$A$3:$A$500,$C6,'DADOS BRUTOS'!DG$3:DG$500)))</f>
        <v>0</v>
      </c>
      <c r="GH6" s="133" t="n">
        <f aca="false">IF(OR(GH$4="",$B6=""),0,SUMIF('DADOS BRUTOS'!$A$3:$A$500,$B6,'DADOS BRUTOS'!DH$3:DH$500)+IF($C6="",0,SUMIF('DADOS BRUTOS'!$A$3:$A$500,$C6,'DADOS BRUTOS'!DH$3:DH$500)))</f>
        <v>0</v>
      </c>
      <c r="GI6" s="133" t="n">
        <f aca="false">IF(OR(GI$4="",$B6=""),0,SUMIF('DADOS BRUTOS'!$A$3:$A$500,$B6,'DADOS BRUTOS'!DI$3:DI$500)+IF($C6="",0,SUMIF('DADOS BRUTOS'!$A$3:$A$500,$C6,'DADOS BRUTOS'!DI$3:DI$500)))</f>
        <v>0</v>
      </c>
      <c r="GJ6" s="133" t="n">
        <f aca="false">IF(OR(GJ$4="",$B6=""),0,SUMIF('DADOS BRUTOS'!$A$3:$A$500,$B6,'DADOS BRUTOS'!DJ$3:DJ$500)+IF($C6="",0,SUMIF('DADOS BRUTOS'!$A$3:$A$500,$C6,'DADOS BRUTOS'!DJ$3:DJ$500)))</f>
        <v>0</v>
      </c>
      <c r="GK6" s="133" t="n">
        <f aca="false">IF(OR(GK$4="",$B6=""),0,SUMIF('DADOS BRUTOS'!$A$3:$A$500,$B6,'DADOS BRUTOS'!DK$3:DK$500)+IF($C6="",0,SUMIF('DADOS BRUTOS'!$A$3:$A$500,$C6,'DADOS BRUTOS'!DK$3:DK$500)))</f>
        <v>0</v>
      </c>
      <c r="GL6" s="133" t="n">
        <f aca="false">IF(OR(GL$4="",$B6=""),0,SUMIF('DADOS BRUTOS'!$A$3:$A$500,$B6,'DADOS BRUTOS'!DL$3:DL$500)+IF($C6="",0,SUMIF('DADOS BRUTOS'!$A$3:$A$500,$C6,'DADOS BRUTOS'!DL$3:DL$500)))</f>
        <v>0</v>
      </c>
      <c r="GM6" s="133" t="n">
        <f aca="false">IF(OR(GM$4="",$B6=""),0,SUMIF('DADOS BRUTOS'!$A$3:$A$500,$B6,'DADOS BRUTOS'!DM$3:DM$500)+IF($C6="",0,SUMIF('DADOS BRUTOS'!$A$3:$A$500,$C6,'DADOS BRUTOS'!DM$3:DM$500)))</f>
        <v>0</v>
      </c>
      <c r="GN6" s="133" t="n">
        <f aca="false">IF(OR(GN$4="",$B6=""),0,SUMIF('DADOS BRUTOS'!$A$3:$A$500,$B6,'DADOS BRUTOS'!DN$3:DN$500)+IF($C6="",0,SUMIF('DADOS BRUTOS'!$A$3:$A$500,$C6,'DADOS BRUTOS'!DN$3:DN$500)))</f>
        <v>0</v>
      </c>
      <c r="GO6" s="133" t="n">
        <f aca="false">IF(OR(GO$4="",$B6=""),0,SUMIF('DADOS BRUTOS'!$A$3:$A$500,$B6,'DADOS BRUTOS'!DO$3:DO$500)+IF($C6="",0,SUMIF('DADOS BRUTOS'!$A$3:$A$500,$C6,'DADOS BRUTOS'!DO$3:DO$500)))</f>
        <v>0</v>
      </c>
      <c r="GP6" s="133" t="n">
        <f aca="false">IF(OR(GP$4="",$B6=""),0,SUMIF('DADOS BRUTOS'!$A$3:$A$500,$B6,'DADOS BRUTOS'!DP$3:DP$500)+IF($C6="",0,SUMIF('DADOS BRUTOS'!$A$3:$A$500,$C6,'DADOS BRUTOS'!DP$3:DP$500)))</f>
        <v>0</v>
      </c>
      <c r="GQ6" s="133" t="n">
        <f aca="false">IF(OR(GQ$4="",$B6=""),0,SUMIF('DADOS BRUTOS'!$A$3:$A$500,$B6,'DADOS BRUTOS'!DQ$3:DQ$500)+IF($C6="",0,SUMIF('DADOS BRUTOS'!$A$3:$A$500,$C6,'DADOS BRUTOS'!DQ$3:DQ$500)))</f>
        <v>0</v>
      </c>
      <c r="GR6" s="133" t="n">
        <f aca="false">IF(OR(GR$4="",$B6=""),0,SUMIF('DADOS BRUTOS'!$A$3:$A$500,$B6,'DADOS BRUTOS'!DR$3:DR$500)+IF($C6="",0,SUMIF('DADOS BRUTOS'!$A$3:$A$500,$C6,'DADOS BRUTOS'!DR$3:DR$500)))</f>
        <v>0</v>
      </c>
      <c r="GS6" s="133" t="n">
        <f aca="false">IF(OR(GS$4="",$B6=""),0,SUMIF('DADOS BRUTOS'!$A$3:$A$500,$B6,'DADOS BRUTOS'!DS$3:DS$500)+IF($C6="",0,SUMIF('DADOS BRUTOS'!$A$3:$A$500,$C6,'DADOS BRUTOS'!DS$3:DS$500)))</f>
        <v>0</v>
      </c>
      <c r="GT6" s="133" t="n">
        <f aca="false">IF(OR(GT$4="",$B6=""),0,SUMIF('DADOS BRUTOS'!$A$3:$A$500,$B6,'DADOS BRUTOS'!DT$3:DT$500)+IF($C6="",0,SUMIF('DADOS BRUTOS'!$A$3:$A$500,$C6,'DADOS BRUTOS'!DT$3:DT$500)))</f>
        <v>0</v>
      </c>
      <c r="GU6" s="133" t="n">
        <f aca="false">IF(OR(GU$4="",$B6=""),0,SUMIF('DADOS BRUTOS'!$A$3:$A$500,$B6,'DADOS BRUTOS'!DU$3:DU$500)+IF($C6="",0,SUMIF('DADOS BRUTOS'!$A$3:$A$500,$C6,'DADOS BRUTOS'!DU$3:DU$500)))</f>
        <v>0</v>
      </c>
      <c r="GV6" s="133" t="n">
        <f aca="false">IF(OR(GV$4="",$B6=""),0,SUMIF('DADOS BRUTOS'!$A$3:$A$500,$B6,'DADOS BRUTOS'!DV$3:DV$500)+IF($C6="",0,SUMIF('DADOS BRUTOS'!$A$3:$A$500,$C6,'DADOS BRUTOS'!DV$3:DV$500)))</f>
        <v>0</v>
      </c>
      <c r="GW6" s="133" t="n">
        <f aca="false">IF(OR(GW$4="",$B6=""),0,SUMIF('DADOS BRUTOS'!$A$3:$A$500,$B6,'DADOS BRUTOS'!DW$3:DW$500)+IF($C6="",0,SUMIF('DADOS BRUTOS'!$A$3:$A$500,$C6,'DADOS BRUTOS'!DW$3:DW$500)))</f>
        <v>0</v>
      </c>
      <c r="GX6" s="133" t="n">
        <f aca="false">IF(OR(GX$4="",$B6=""),0,SUMIF('DADOS BRUTOS'!$A$3:$A$500,$B6,'DADOS BRUTOS'!DX$3:DX$500)+IF($C6="",0,SUMIF('DADOS BRUTOS'!$A$3:$A$500,$C6,'DADOS BRUTOS'!DX$3:DX$500)))</f>
        <v>0</v>
      </c>
      <c r="GY6" s="133" t="n">
        <f aca="false">IF(OR(GY$4="",$B6=""),0,SUMIF('DADOS BRUTOS'!$A$3:$A$500,$B6,'DADOS BRUTOS'!DY$3:DY$500)+IF($C6="",0,SUMIF('DADOS BRUTOS'!$A$3:$A$500,$C6,'DADOS BRUTOS'!DY$3:DY$500)))</f>
        <v>0</v>
      </c>
      <c r="GZ6" s="133" t="n">
        <f aca="false">IF(OR(GZ$4="",$B6=""),0,SUMIF('DADOS BRUTOS'!$A$3:$A$500,$B6,'DADOS BRUTOS'!DZ$3:DZ$500)+IF($C6="",0,SUMIF('DADOS BRUTOS'!$A$3:$A$500,$C6,'DADOS BRUTOS'!DZ$3:DZ$500)))</f>
        <v>0</v>
      </c>
      <c r="HA6" s="133" t="n">
        <f aca="false">IF(OR(HA$4="",$B6=""),0,SUMIF('DADOS BRUTOS'!$A$3:$A$500,$B6,'DADOS BRUTOS'!EA$3:EA$500)+IF($C6="",0,SUMIF('DADOS BRUTOS'!$A$3:$A$500,$C6,'DADOS BRUTOS'!EA$3:EA$500)))</f>
        <v>0</v>
      </c>
      <c r="HB6" s="133" t="n">
        <f aca="false">IF(OR(HB$4="",$B6=""),0,SUMIF('DADOS BRUTOS'!$A$3:$A$500,$B6,'DADOS BRUTOS'!EB$3:EB$500)+IF($C6="",0,SUMIF('DADOS BRUTOS'!$A$3:$A$500,$C6,'DADOS BRUTOS'!EB$3:EB$500)))</f>
        <v>0</v>
      </c>
      <c r="HC6" s="133" t="n">
        <f aca="false">IF(OR(HC$4="",$B6=""),0,SUMIF('DADOS BRUTOS'!$A$3:$A$500,$B6,'DADOS BRUTOS'!EC$3:EC$500)+IF($C6="",0,SUMIF('DADOS BRUTOS'!$A$3:$A$500,$C6,'DADOS BRUTOS'!EC$3:EC$500)))</f>
        <v>0</v>
      </c>
      <c r="HD6" s="133" t="n">
        <f aca="false">IF(OR(HD$4="",$B6=""),0,SUMIF('DADOS BRUTOS'!$A$3:$A$500,$B6,'DADOS BRUTOS'!ED$3:ED$500)+IF($C6="",0,SUMIF('DADOS BRUTOS'!$A$3:$A$500,$C6,'DADOS BRUTOS'!ED$3:ED$500)))</f>
        <v>0</v>
      </c>
      <c r="HE6" s="133" t="n">
        <f aca="false">IF(OR(HE$4="",$B6=""),0,SUMIF('DADOS BRUTOS'!$A$3:$A$500,$B6,'DADOS BRUTOS'!EE$3:EE$500)+IF($C6="",0,SUMIF('DADOS BRUTOS'!$A$3:$A$500,$C6,'DADOS BRUTOS'!EE$3:EE$500)))</f>
        <v>0</v>
      </c>
      <c r="HF6" s="133" t="n">
        <f aca="false">IF(OR(HF$4="",$B6=""),0,SUMIF('DADOS BRUTOS'!$A$3:$A$500,$B6,'DADOS BRUTOS'!EF$3:EF$500)+IF($C6="",0,SUMIF('DADOS BRUTOS'!$A$3:$A$500,$C6,'DADOS BRUTOS'!EF$3:EF$500)))</f>
        <v>0</v>
      </c>
      <c r="HG6" s="133" t="n">
        <f aca="false">IF(OR(HG$4="",$B6=""),0,SUMIF('DADOS BRUTOS'!$A$3:$A$500,$B6,'DADOS BRUTOS'!EG$3:EG$500)+IF($C6="",0,SUMIF('DADOS BRUTOS'!$A$3:$A$500,$C6,'DADOS BRUTOS'!EG$3:EG$500)))</f>
        <v>0</v>
      </c>
      <c r="HH6" s="133" t="n">
        <f aca="false">IF(OR(HH$4="",$B6=""),0,SUMIF('DADOS BRUTOS'!$A$3:$A$500,$B6,'DADOS BRUTOS'!EH$3:EH$500)+IF($C6="",0,SUMIF('DADOS BRUTOS'!$A$3:$A$500,$C6,'DADOS BRUTOS'!EH$3:EH$500)))</f>
        <v>0</v>
      </c>
      <c r="HI6" s="133" t="n">
        <f aca="false">IF(OR(HI$4="",$B6=""),0,SUMIF('DADOS BRUTOS'!$A$3:$A$500,$B6,'DADOS BRUTOS'!EI$3:EI$500)+IF($C6="",0,SUMIF('DADOS BRUTOS'!$A$3:$A$500,$C6,'DADOS BRUTOS'!EI$3:EI$500)))</f>
        <v>0</v>
      </c>
      <c r="HJ6" s="133" t="n">
        <f aca="false">IF(OR(HJ$4="",$B6=""),0,SUMIF('DADOS BRUTOS'!$A$3:$A$500,$B6,'DADOS BRUTOS'!EJ$3:EJ$500)+IF($C6="",0,SUMIF('DADOS BRUTOS'!$A$3:$A$500,$C6,'DADOS BRUTOS'!EJ$3:EJ$500)))</f>
        <v>0</v>
      </c>
      <c r="HK6" s="133" t="n">
        <f aca="false">IF(OR(HK$4="",$B6=""),0,SUMIF('DADOS BRUTOS'!$A$3:$A$500,$B6,'DADOS BRUTOS'!EK$3:EK$500)+IF($C6="",0,SUMIF('DADOS BRUTOS'!$A$3:$A$500,$C6,'DADOS BRUTOS'!EK$3:EK$500)))</f>
        <v>0</v>
      </c>
      <c r="HL6" s="133" t="n">
        <f aca="false">IF(OR(HL$4="",$B6=""),0,SUMIF('DADOS BRUTOS'!$A$3:$A$500,$B6,'DADOS BRUTOS'!EL$3:EL$500)+IF($C6="",0,SUMIF('DADOS BRUTOS'!$A$3:$A$500,$C6,'DADOS BRUTOS'!EL$3:EL$500)))</f>
        <v>0</v>
      </c>
      <c r="HM6" s="133" t="n">
        <f aca="false">IF(OR(HM$4="",$B6=""),0,SUMIF('DADOS BRUTOS'!$A$3:$A$500,$B6,'DADOS BRUTOS'!EM$3:EM$500)+IF($C6="",0,SUMIF('DADOS BRUTOS'!$A$3:$A$500,$C6,'DADOS BRUTOS'!EM$3:EM$500)))</f>
        <v>0</v>
      </c>
      <c r="HN6" s="133" t="n">
        <f aca="false">IF(OR(HN$4="",$B6=""),0,SUMIF('DADOS BRUTOS'!$A$3:$A$500,$B6,'DADOS BRUTOS'!EN$3:EN$500)+IF($C6="",0,SUMIF('DADOS BRUTOS'!$A$3:$A$500,$C6,'DADOS BRUTOS'!EN$3:EN$500)))</f>
        <v>0</v>
      </c>
      <c r="HO6" s="133" t="n">
        <f aca="false">IF(OR(HO$4="",$B6=""),0,SUMIF('DADOS BRUTOS'!$A$3:$A$500,$B6,'DADOS BRUTOS'!EO$3:EO$500)+IF($C6="",0,SUMIF('DADOS BRUTOS'!$A$3:$A$500,$C6,'DADOS BRUTOS'!EO$3:EO$500)))</f>
        <v>0</v>
      </c>
      <c r="HP6" s="133" t="n">
        <f aca="false">IF(OR(HP$4="",$B6=""),0,SUMIF('DADOS BRUTOS'!$A$3:$A$500,$B6,'DADOS BRUTOS'!EP$3:EP$500)+IF($C6="",0,SUMIF('DADOS BRUTOS'!$A$3:$A$500,$C6,'DADOS BRUTOS'!EP$3:EP$500)))</f>
        <v>0</v>
      </c>
      <c r="HQ6" s="133" t="n">
        <f aca="false">IF(OR(HQ$4="",$B6=""),0,SUMIF('DADOS BRUTOS'!$A$3:$A$500,$B6,'DADOS BRUTOS'!EQ$3:EQ$500)+IF($C6="",0,SUMIF('DADOS BRUTOS'!$A$3:$A$500,$C6,'DADOS BRUTOS'!EQ$3:EQ$500)))</f>
        <v>0</v>
      </c>
      <c r="HR6" s="133" t="n">
        <f aca="false">IF(OR(HR$4="",$B6=""),0,SUMIF('DADOS BRUTOS'!$A$3:$A$500,$B6,'DADOS BRUTOS'!ER$3:ER$500)+IF($C6="",0,SUMIF('DADOS BRUTOS'!$A$3:$A$500,$C6,'DADOS BRUTOS'!ER$3:ER$500)))</f>
        <v>0</v>
      </c>
      <c r="HS6" s="133" t="n">
        <f aca="false">IF(OR(HS$4="",$B6=""),0,SUMIF('DADOS BRUTOS'!$A$3:$A$500,$B6,'DADOS BRUTOS'!ES$3:ES$500)+IF($C6="",0,SUMIF('DADOS BRUTOS'!$A$3:$A$500,$C6,'DADOS BRUTOS'!ES$3:ES$500)))</f>
        <v>0</v>
      </c>
      <c r="HT6" s="133" t="n">
        <f aca="false">IF(OR(HT$4="",$B6=""),0,SUMIF('DADOS BRUTOS'!$A$3:$A$500,$B6,'DADOS BRUTOS'!ET$3:ET$500)+IF($C6="",0,SUMIF('DADOS BRUTOS'!$A$3:$A$500,$C6,'DADOS BRUTOS'!ET$3:ET$500)))</f>
        <v>0</v>
      </c>
      <c r="HU6" s="133" t="n">
        <f aca="false">IF(OR(HU$4="",$B6=""),0,SUMIF('DADOS BRUTOS'!$A$3:$A$500,$B6,'DADOS BRUTOS'!EU$3:EU$500)+IF($C6="",0,SUMIF('DADOS BRUTOS'!$A$3:$A$500,$C6,'DADOS BRUTOS'!EU$3:EU$500)))</f>
        <v>0</v>
      </c>
      <c r="HV6" s="133" t="n">
        <f aca="false">IF(OR(HV$4="",$B6=""),0,SUMIF('DADOS BRUTOS'!$A$3:$A$500,$B6,'DADOS BRUTOS'!EV$3:EV$500)+IF($C6="",0,SUMIF('DADOS BRUTOS'!$A$3:$A$500,$C6,'DADOS BRUTOS'!EV$3:EV$500)))</f>
        <v>0</v>
      </c>
      <c r="HW6" s="133" t="n">
        <f aca="false">IF(OR(HW$4="",$B6=""),0,SUMIF('DADOS BRUTOS'!$A$3:$A$500,$B6,'DADOS BRUTOS'!EW$3:EW$500)+IF($C6="",0,SUMIF('DADOS BRUTOS'!$A$3:$A$500,$C6,'DADOS BRUTOS'!EW$3:EW$500)))</f>
        <v>0</v>
      </c>
      <c r="HX6" s="133" t="n">
        <f aca="false">IF(OR(HX$4="",$B6=""),0,SUMIF('DADOS BRUTOS'!$A$3:$A$500,$B6,'DADOS BRUTOS'!EX$3:EX$500)+IF($C6="",0,SUMIF('DADOS BRUTOS'!$A$3:$A$500,$C6,'DADOS BRUTOS'!EX$3:EX$500)))</f>
        <v>0</v>
      </c>
      <c r="HY6" s="133" t="n">
        <f aca="false">IF(OR(HY$4="",$B6=""),0,SUMIF('DADOS BRUTOS'!$A$3:$A$500,$B6,'DADOS BRUTOS'!EY$3:EY$500)+IF($C6="",0,SUMIF('DADOS BRUTOS'!$A$3:$A$500,$C6,'DADOS BRUTOS'!EY$3:EY$500)))</f>
        <v>0</v>
      </c>
      <c r="HZ6" s="133" t="n">
        <f aca="false">IF(OR(HZ$4="",$B6=""),0,SUMIF('DADOS BRUTOS'!$A$3:$A$500,$B6,'DADOS BRUTOS'!EZ$3:EZ$500)+IF($C6="",0,SUMIF('DADOS BRUTOS'!$A$3:$A$500,$C6,'DADOS BRUTOS'!EZ$3:EZ$500)))</f>
        <v>0</v>
      </c>
      <c r="IA6" s="133" t="n">
        <f aca="false">IF(OR(IA$4="",$B6=""),0,SUMIF('DADOS BRUTOS'!$A$3:$A$500,$B6,'DADOS BRUTOS'!FA$3:FA$500)+IF($C6="",0,SUMIF('DADOS BRUTOS'!$A$3:$A$500,$C6,'DADOS BRUTOS'!FA$3:FA$500)))</f>
        <v>0</v>
      </c>
      <c r="IB6" s="133" t="n">
        <f aca="false">IF(OR(IB$4="",$B6=""),0,SUMIF('DADOS BRUTOS'!$A$3:$A$500,$B6,'DADOS BRUTOS'!FB$3:FB$500)+IF($C6="",0,SUMIF('DADOS BRUTOS'!$A$3:$A$500,$C6,'DADOS BRUTOS'!FB$3:FB$500)))</f>
        <v>0</v>
      </c>
      <c r="IC6" s="133" t="n">
        <f aca="false">IF(OR(IC$4="",$B6=""),0,SUMIF('DADOS BRUTOS'!$A$3:$A$500,$B6,'DADOS BRUTOS'!FC$3:FC$500)+IF($C6="",0,SUMIF('DADOS BRUTOS'!$A$3:$A$500,$C6,'DADOS BRUTOS'!FC$3:FC$500)))</f>
        <v>0</v>
      </c>
      <c r="ID6" s="133" t="n">
        <f aca="false">IF(OR(ID$4="",$B6=""),0,SUMIF('DADOS BRUTOS'!$A$3:$A$500,$B6,'DADOS BRUTOS'!FD$3:FD$500)+IF($C6="",0,SUMIF('DADOS BRUTOS'!$A$3:$A$500,$C6,'DADOS BRUTOS'!FD$3:FD$500)))</f>
        <v>0</v>
      </c>
      <c r="IE6" s="133" t="n">
        <f aca="false">IF(OR(IE$4="",$B6=""),0,SUMIF('DADOS BRUTOS'!$A$3:$A$500,$B6,'DADOS BRUTOS'!FE$3:FE$500)+IF($C6="",0,SUMIF('DADOS BRUTOS'!$A$3:$A$500,$C6,'DADOS BRUTOS'!FE$3:FE$500)))</f>
        <v>0</v>
      </c>
      <c r="IF6" s="133" t="n">
        <f aca="false">IF(OR(IF$4="",$B6=""),0,SUMIF('DADOS BRUTOS'!$A$3:$A$500,$B6,'DADOS BRUTOS'!FF$3:FF$500)+IF($C6="",0,SUMIF('DADOS BRUTOS'!$A$3:$A$500,$C6,'DADOS BRUTOS'!FF$3:FF$500)))</f>
        <v>0</v>
      </c>
      <c r="IG6" s="133" t="n">
        <f aca="false">IF(OR(IG$4="",$B6=""),0,SUMIF('DADOS BRUTOS'!$A$3:$A$500,$B6,'DADOS BRUTOS'!FG$3:FG$500)+IF($C6="",0,SUMIF('DADOS BRUTOS'!$A$3:$A$500,$C6,'DADOS BRUTOS'!FG$3:FG$500)))</f>
        <v>0</v>
      </c>
      <c r="IH6" s="133" t="n">
        <f aca="false">IF(OR(IH$4="",$B6=""),0,SUMIF('DADOS BRUTOS'!$A$3:$A$500,$B6,'DADOS BRUTOS'!FH$3:FH$500)+IF($C6="",0,SUMIF('DADOS BRUTOS'!$A$3:$A$500,$C6,'DADOS BRUTOS'!FH$3:FH$500)))</f>
        <v>0</v>
      </c>
      <c r="II6" s="133" t="n">
        <f aca="false">IF(OR(II$4="",$B6=""),0,SUMIF('DADOS BRUTOS'!$A$3:$A$500,$B6,'DADOS BRUTOS'!FI$3:FI$500)+IF($C6="",0,SUMIF('DADOS BRUTOS'!$A$3:$A$500,$C6,'DADOS BRUTOS'!FI$3:FI$500)))</f>
        <v>0</v>
      </c>
      <c r="IJ6" s="133" t="n">
        <f aca="false">IF(OR(IJ$4="",$B6=""),0,SUMIF('DADOS BRUTOS'!$A$3:$A$500,$B6,'DADOS BRUTOS'!FJ$3:FJ$500)+IF($C6="",0,SUMIF('DADOS BRUTOS'!$A$3:$A$500,$C6,'DADOS BRUTOS'!FJ$3:FJ$500)))</f>
        <v>0</v>
      </c>
      <c r="IK6" s="133" t="n">
        <f aca="false">IF(OR(IK$4="",$B6=""),0,SUMIF('DADOS BRUTOS'!$A$3:$A$500,$B6,'DADOS BRUTOS'!FK$3:FK$500)+IF($C6="",0,SUMIF('DADOS BRUTOS'!$A$3:$A$500,$C6,'DADOS BRUTOS'!FK$3:FK$500)))</f>
        <v>0</v>
      </c>
      <c r="IL6" s="133" t="n">
        <f aca="false">IF(OR(IL$4="",$B6=""),0,SUMIF('DADOS BRUTOS'!$A$3:$A$500,$B6,'DADOS BRUTOS'!FL$3:FL$500)+IF($C6="",0,SUMIF('DADOS BRUTOS'!$A$3:$A$500,$C6,'DADOS BRUTOS'!FL$3:FL$500)))</f>
        <v>0</v>
      </c>
      <c r="IM6" s="133" t="n">
        <f aca="false">IF(OR(IM$4="",$B6=""),0,SUMIF('DADOS BRUTOS'!$A$3:$A$500,$B6,'DADOS BRUTOS'!FM$3:FM$500)+IF($C6="",0,SUMIF('DADOS BRUTOS'!$A$3:$A$500,$C6,'DADOS BRUTOS'!FM$3:FM$500)))</f>
        <v>0</v>
      </c>
      <c r="IN6" s="133" t="n">
        <f aca="false">IF(OR(IN$4="",$B6=""),0,SUMIF('DADOS BRUTOS'!$A$3:$A$500,$B6,'DADOS BRUTOS'!FN$3:FN$500)+IF($C6="",0,SUMIF('DADOS BRUTOS'!$A$3:$A$500,$C6,'DADOS BRUTOS'!FN$3:FN$500)))</f>
        <v>0</v>
      </c>
      <c r="IO6" s="133" t="n">
        <f aca="false">IF(OR(IO$4="",$B6=""),0,SUMIF('DADOS BRUTOS'!$A$3:$A$500,$B6,'DADOS BRUTOS'!FO$3:FO$500)+IF($C6="",0,SUMIF('DADOS BRUTOS'!$A$3:$A$500,$C6,'DADOS BRUTOS'!FO$3:FO$500)))</f>
        <v>0</v>
      </c>
      <c r="IP6" s="133" t="n">
        <f aca="false">IF(OR(IP$4="",$B6=""),0,SUMIF('DADOS BRUTOS'!$A$3:$A$500,$B6,'DADOS BRUTOS'!FP$3:FP$500)+IF($C6="",0,SUMIF('DADOS BRUTOS'!$A$3:$A$500,$C6,'DADOS BRUTOS'!FP$3:FP$500)))</f>
        <v>0</v>
      </c>
      <c r="IQ6" s="133" t="n">
        <f aca="false">IF(OR(IQ$4="",$B6=""),0,SUMIF('DADOS BRUTOS'!$A$3:$A$500,$B6,'DADOS BRUTOS'!FQ$3:FQ$500)+IF($C6="",0,SUMIF('DADOS BRUTOS'!$A$3:$A$500,$C6,'DADOS BRUTOS'!FQ$3:FQ$500)))</f>
        <v>0</v>
      </c>
      <c r="IR6" s="133" t="n">
        <f aca="false">IF(OR(IR$4="",$B6=""),0,SUMIF('DADOS BRUTOS'!$A$3:$A$500,$B6,'DADOS BRUTOS'!FR$3:FR$500)+IF($C6="",0,SUMIF('DADOS BRUTOS'!$A$3:$A$500,$C6,'DADOS BRUTOS'!FR$3:FR$500)))</f>
        <v>0</v>
      </c>
      <c r="IS6" s="133" t="n">
        <f aca="false">IF(OR(IS$4="",$B6=""),0,SUMIF('DADOS BRUTOS'!$A$3:$A$500,$B6,'DADOS BRUTOS'!FS$3:FS$500)+IF($C6="",0,SUMIF('DADOS BRUTOS'!$A$3:$A$500,$C6,'DADOS BRUTOS'!FS$3:FS$500)))</f>
        <v>0</v>
      </c>
      <c r="IT6" s="133" t="n">
        <f aca="false">IF(OR(IT$4="",$B6=""),0,SUMIF('DADOS BRUTOS'!$A$3:$A$500,$B6,'DADOS BRUTOS'!FT$3:FT$500)+IF($C6="",0,SUMIF('DADOS BRUTOS'!$A$3:$A$500,$C6,'DADOS BRUTOS'!FT$3:FT$500)))</f>
        <v>0</v>
      </c>
      <c r="IU6" s="133" t="n">
        <f aca="false">IF(OR(IU$4="",$B6=""),0,SUMIF('DADOS BRUTOS'!$A$3:$A$500,$B6,'DADOS BRUTOS'!FU$3:FU$500)+IF($C6="",0,SUMIF('DADOS BRUTOS'!$A$3:$A$500,$C6,'DADOS BRUTOS'!FU$3:FU$500)))</f>
        <v>0</v>
      </c>
      <c r="IV6" s="133" t="n">
        <f aca="false">IF(OR(IV$4="",$B6=""),0,SUMIF('DADOS BRUTOS'!$A$3:$A$500,$B6,'DADOS BRUTOS'!FV$3:FV$500)+IF($C6="",0,SUMIF('DADOS BRUTOS'!$A$3:$A$500,$C6,'DADOS BRUTOS'!FV$3:FV$500)))</f>
        <v>0</v>
      </c>
      <c r="IW6" s="133" t="n">
        <f aca="false">IF(OR(IW$4="",$B6=""),0,SUMIF('DADOS BRUTOS'!$A$3:$A$500,$B6,'DADOS BRUTOS'!FW$3:FW$500)+IF($C6="",0,SUMIF('DADOS BRUTOS'!$A$3:$A$500,$C6,'DADOS BRUTOS'!FW$3:FW$500)))</f>
        <v>0</v>
      </c>
      <c r="IX6" s="133" t="n">
        <f aca="false">IF(OR(IX$4="",$B6=""),0,SUMIF('DADOS BRUTOS'!$A$3:$A$500,$B6,'DADOS BRUTOS'!FX$3:FX$500)+IF($C6="",0,SUMIF('DADOS BRUTOS'!$A$3:$A$500,$C6,'DADOS BRUTOS'!FX$3:FX$500)))</f>
        <v>0</v>
      </c>
      <c r="IY6" s="133" t="n">
        <f aca="false">IF(OR(IY$4="",$B6=""),0,SUMIF('DADOS BRUTOS'!$A$3:$A$500,$B6,'DADOS BRUTOS'!FY$3:FY$500)+IF($C6="",0,SUMIF('DADOS BRUTOS'!$A$3:$A$500,$C6,'DADOS BRUTOS'!FY$3:FY$500)))</f>
        <v>0</v>
      </c>
      <c r="IZ6" s="133" t="n">
        <f aca="false">IF(OR(IZ$4="",$B6=""),0,SUMIF('DADOS BRUTOS'!$A$3:$A$500,$B6,'DADOS BRUTOS'!FZ$3:FZ$500)+IF($C6="",0,SUMIF('DADOS BRUTOS'!$A$3:$A$500,$C6,'DADOS BRUTOS'!FZ$3:FZ$500)))</f>
        <v>0</v>
      </c>
      <c r="JA6" s="133" t="n">
        <f aca="false">IF(OR(JA$4="",$B6=""),0,SUMIF('DADOS BRUTOS'!$A$3:$A$500,$B6,'DADOS BRUTOS'!GA$3:GA$500)+IF($C6="",0,SUMIF('DADOS BRUTOS'!$A$3:$A$500,$C6,'DADOS BRUTOS'!GA$3:GA$500)))</f>
        <v>0</v>
      </c>
      <c r="JB6" s="133" t="n">
        <f aca="false">IF(OR(JB$4="",$B6=""),0,SUMIF('DADOS BRUTOS'!$A$3:$A$500,$B6,'DADOS BRUTOS'!GB$3:GB$500)+IF($C6="",0,SUMIF('DADOS BRUTOS'!$A$3:$A$500,$C6,'DADOS BRUTOS'!GB$3:GB$500)))</f>
        <v>0</v>
      </c>
      <c r="JC6" s="133" t="n">
        <f aca="false">IF(OR(JC$4="",$B6=""),0,SUMIF('DADOS BRUTOS'!$A$3:$A$500,$B6,'DADOS BRUTOS'!GC$3:GC$500)+IF($C6="",0,SUMIF('DADOS BRUTOS'!$A$3:$A$500,$C6,'DADOS BRUTOS'!GC$3:GC$500)))</f>
        <v>0</v>
      </c>
      <c r="JD6" s="133" t="n">
        <f aca="false">IF(OR(JD$4="",$B6=""),0,SUMIF('DADOS BRUTOS'!$A$3:$A$500,$B6,'DADOS BRUTOS'!GD$3:GD$500)+IF($C6="",0,SUMIF('DADOS BRUTOS'!$A$3:$A$500,$C6,'DADOS BRUTOS'!GD$3:GD$500)))</f>
        <v>0</v>
      </c>
      <c r="JE6" s="133" t="n">
        <f aca="false">IF(OR(JE$4="",$B6=""),0,SUMIF('DADOS BRUTOS'!$A$3:$A$500,$B6,'DADOS BRUTOS'!GE$3:GE$500)+IF($C6="",0,SUMIF('DADOS BRUTOS'!$A$3:$A$500,$C6,'DADOS BRUTOS'!GE$3:GE$500)))</f>
        <v>0</v>
      </c>
      <c r="JF6" s="133" t="n">
        <f aca="false">IF(OR(JF$4="",$B6=""),0,SUMIF('DADOS BRUTOS'!$A$3:$A$500,$B6,'DADOS BRUTOS'!GF$3:GF$500)+IF($C6="",0,SUMIF('DADOS BRUTOS'!$A$3:$A$500,$C6,'DADOS BRUTOS'!GF$3:GF$500)))</f>
        <v>0</v>
      </c>
      <c r="JG6" s="133" t="n">
        <f aca="false">IF(OR(JG$4="",$B6=""),0,SUMIF('DADOS BRUTOS'!$A$3:$A$500,$B6,'DADOS BRUTOS'!GG$3:GG$500)+IF($C6="",0,SUMIF('DADOS BRUTOS'!$A$3:$A$500,$C6,'DADOS BRUTOS'!GG$3:GG$500)))</f>
        <v>0</v>
      </c>
      <c r="JH6" s="133" t="n">
        <f aca="false">IF(OR(JH$4="",$B6=""),0,SUMIF('DADOS BRUTOS'!$A$3:$A$500,$B6,'DADOS BRUTOS'!GH$3:GH$500)+IF($C6="",0,SUMIF('DADOS BRUTOS'!$A$3:$A$500,$C6,'DADOS BRUTOS'!GH$3:GH$500)))</f>
        <v>0</v>
      </c>
      <c r="JI6" s="133" t="n">
        <f aca="false">IF(OR(JI$4="",$B6=""),0,SUMIF('DADOS BRUTOS'!$A$3:$A$500,$B6,'DADOS BRUTOS'!GI$3:GI$500)+IF($C6="",0,SUMIF('DADOS BRUTOS'!$A$3:$A$500,$C6,'DADOS BRUTOS'!GI$3:GI$500)))</f>
        <v>0</v>
      </c>
      <c r="JJ6" s="133" t="n">
        <f aca="false">IF(OR(JJ$4="",$B6=""),0,SUMIF('DADOS BRUTOS'!$A$3:$A$500,$B6,'DADOS BRUTOS'!GJ$3:GJ$500)+IF($C6="",0,SUMIF('DADOS BRUTOS'!$A$3:$A$500,$C6,'DADOS BRUTOS'!GJ$3:GJ$500)))</f>
        <v>0</v>
      </c>
      <c r="JK6" s="133" t="n">
        <f aca="false">IF(OR(JK$4="",$B6=""),0,SUMIF('DADOS BRUTOS'!$A$3:$A$500,$B6,'DADOS BRUTOS'!GK$3:GK$500)+IF($C6="",0,SUMIF('DADOS BRUTOS'!$A$3:$A$500,$C6,'DADOS BRUTOS'!GK$3:GK$500)))</f>
        <v>0</v>
      </c>
      <c r="JL6" s="133" t="n">
        <f aca="false">IF(OR(JL$4="",$B6=""),0,SUMIF('DADOS BRUTOS'!$A$3:$A$500,$B6,'DADOS BRUTOS'!GL$3:GL$500)+IF($C6="",0,SUMIF('DADOS BRUTOS'!$A$3:$A$500,$C6,'DADOS BRUTOS'!GL$3:GL$500)))</f>
        <v>0</v>
      </c>
      <c r="JM6" s="133" t="n">
        <f aca="false">IF(OR(JM$4="",$B6=""),0,SUMIF('DADOS BRUTOS'!$A$3:$A$500,$B6,'DADOS BRUTOS'!GM$3:GM$500)+IF($C6="",0,SUMIF('DADOS BRUTOS'!$A$3:$A$500,$C6,'DADOS BRUTOS'!GM$3:GM$500)))</f>
        <v>0</v>
      </c>
      <c r="JN6" s="133" t="n">
        <f aca="false">IF(OR(JN$4="",$B6=""),0,SUMIF('DADOS BRUTOS'!$A$3:$A$500,$B6,'DADOS BRUTOS'!GN$3:GN$500)+IF($C6="",0,SUMIF('DADOS BRUTOS'!$A$3:$A$500,$C6,'DADOS BRUTOS'!GN$3:GN$500)))</f>
        <v>0</v>
      </c>
      <c r="JO6" s="133" t="n">
        <f aca="false">IF(OR(JO$4="",$B6=""),0,SUMIF('DADOS BRUTOS'!$A$3:$A$500,$B6,'DADOS BRUTOS'!GO$3:GO$500)+IF($C6="",0,SUMIF('DADOS BRUTOS'!$A$3:$A$500,$C6,'DADOS BRUTOS'!GO$3:GO$500)))</f>
        <v>0</v>
      </c>
      <c r="JP6" s="133" t="n">
        <f aca="false">IF(OR(JP$4="",$B6=""),0,SUMIF('DADOS BRUTOS'!$A$3:$A$500,$B6,'DADOS BRUTOS'!GP$3:GP$500)+IF($C6="",0,SUMIF('DADOS BRUTOS'!$A$3:$A$500,$C6,'DADOS BRUTOS'!GP$3:GP$500)))</f>
        <v>0</v>
      </c>
      <c r="JQ6" s="133" t="n">
        <f aca="false">IF(OR(JQ$4="",$B6=""),0,SUMIF('DADOS BRUTOS'!$A$3:$A$500,$B6,'DADOS BRUTOS'!GQ$3:GQ$500)+IF($C6="",0,SUMIF('DADOS BRUTOS'!$A$3:$A$500,$C6,'DADOS BRUTOS'!GQ$3:GQ$500)))</f>
        <v>0</v>
      </c>
      <c r="JR6" s="133" t="n">
        <f aca="false">IF(OR(JR$4="",$B6=""),0,SUMIF('DADOS BRUTOS'!$A$3:$A$500,$B6,'DADOS BRUTOS'!GR$3:GR$500)+IF($C6="",0,SUMIF('DADOS BRUTOS'!$A$3:$A$500,$C6,'DADOS BRUTOS'!GR$3:GR$500)))</f>
        <v>0</v>
      </c>
      <c r="JS6" s="133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154.1</v>
      </c>
      <c r="E7" s="50" t="n">
        <f aca="false">SUMIF($CB$4:$JS$4,E$4,$CB7:$JS7)</f>
        <v>40.62</v>
      </c>
      <c r="F7" s="50" t="n">
        <f aca="false">SUMIF($CB$4:$JS$4,F$4,$CB7:$JS7)</f>
        <v>0</v>
      </c>
      <c r="G7" s="50" t="n">
        <f aca="false">SUMIF($CB$4:$JS$4,G$4,$CB7:$JS7)</f>
        <v>0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64.24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0</v>
      </c>
      <c r="N7" s="50" t="n">
        <f aca="false">SUMIF($CB$4:$JS$4,N$4,$CB7:$JS7)</f>
        <v>0</v>
      </c>
      <c r="O7" s="50" t="n">
        <f aca="false">SUMIF($CB$4:$JS$4,O$4,$CB7:$JS7)</f>
        <v>103.03</v>
      </c>
      <c r="P7" s="50" t="n">
        <f aca="false">SUMIF($CB$4:$JS$4,P$4,$CB7:$JS7)</f>
        <v>0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0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0</v>
      </c>
      <c r="X7" s="50" t="n">
        <f aca="false">SUMIF($CB$4:$JS$4,X$4,$CB7:$JS7)</f>
        <v>5543.2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5905.19</v>
      </c>
      <c r="BZ7" s="45" t="n">
        <f aca="false">SUMPRODUCT(($CB$4:$JS$4&lt;&gt;"")*($CB$4:$JS$4&lt;=$D$4),$CB7:$JS7,$CB$1:$JS$1)</f>
        <v>0.135797845387852</v>
      </c>
      <c r="CB7" s="133" t="n">
        <f aca="false">IF(OR(CB$4="",$B7=""),0,SUMIF('DADOS BRUTOS'!$A$3:$A$500,$B7,'DADOS BRUTOS'!B$3:B$500)+IF($C7="",0,SUMIF('DADOS BRUTOS'!$A$3:$A$500,$C7,'DADOS BRUTOS'!B$3:B$500)))</f>
        <v>0</v>
      </c>
      <c r="CC7" s="133" t="n">
        <f aca="false">IF(OR(CC$4="",$B7=""),0,SUMIF('DADOS BRUTOS'!$A$3:$A$500,$B7,'DADOS BRUTOS'!C$3:C$500)+IF($C7="",0,SUMIF('DADOS BRUTOS'!$A$3:$A$500,$C7,'DADOS BRUTOS'!C$3:C$500)))</f>
        <v>0</v>
      </c>
      <c r="CD7" s="133" t="n">
        <f aca="false">IF(OR(CD$4="",$B7=""),0,SUMIF('DADOS BRUTOS'!$A$3:$A$500,$B7,'DADOS BRUTOS'!D$3:D$500)+IF($C7="",0,SUMIF('DADOS BRUTOS'!$A$3:$A$500,$C7,'DADOS BRUTOS'!D$3:D$500)))</f>
        <v>0</v>
      </c>
      <c r="CE7" s="133" t="n">
        <f aca="false">IF(OR(CE$4="",$B7=""),0,SUMIF('DADOS BRUTOS'!$A$3:$A$500,$B7,'DADOS BRUTOS'!E$3:E$500)+IF($C7="",0,SUMIF('DADOS BRUTOS'!$A$3:$A$500,$C7,'DADOS BRUTOS'!E$3:E$500)))</f>
        <v>0</v>
      </c>
      <c r="CF7" s="133" t="n">
        <f aca="false">IF(OR(CF$4="",$B7=""),0,SUMIF('DADOS BRUTOS'!$A$3:$A$500,$B7,'DADOS BRUTOS'!F$3:F$500)+IF($C7="",0,SUMIF('DADOS BRUTOS'!$A$3:$A$500,$C7,'DADOS BRUTOS'!F$3:F$500)))</f>
        <v>0</v>
      </c>
      <c r="CG7" s="133" t="n">
        <f aca="false">IF(OR(CG$4="",$B7=""),0,SUMIF('DADOS BRUTOS'!$A$3:$A$500,$B7,'DADOS BRUTOS'!G$3:G$500)+IF($C7="",0,SUMIF('DADOS BRUTOS'!$A$3:$A$500,$C7,'DADOS BRUTOS'!G$3:G$500)))</f>
        <v>0</v>
      </c>
      <c r="CH7" s="133" t="n">
        <f aca="false">IF(OR(CH$4="",$B7=""),0,SUMIF('DADOS BRUTOS'!$A$3:$A$500,$B7,'DADOS BRUTOS'!H$3:H$500)+IF($C7="",0,SUMIF('DADOS BRUTOS'!$A$3:$A$500,$C7,'DADOS BRUTOS'!H$3:H$500)))</f>
        <v>0</v>
      </c>
      <c r="CI7" s="133" t="n">
        <f aca="false">IF(OR(CI$4="",$B7=""),0,SUMIF('DADOS BRUTOS'!$A$3:$A$500,$B7,'DADOS BRUTOS'!I$3:I$500)+IF($C7="",0,SUMIF('DADOS BRUTOS'!$A$3:$A$500,$C7,'DADOS BRUTOS'!I$3:I$500)))</f>
        <v>0</v>
      </c>
      <c r="CJ7" s="133" t="n">
        <f aca="false">IF(OR(CJ$4="",$B7=""),0,SUMIF('DADOS BRUTOS'!$A$3:$A$500,$B7,'DADOS BRUTOS'!J$3:J$500)+IF($C7="",0,SUMIF('DADOS BRUTOS'!$A$3:$A$500,$C7,'DADOS BRUTOS'!J$3:J$500)))</f>
        <v>154.1</v>
      </c>
      <c r="CK7" s="133" t="n">
        <f aca="false">IF(OR(CK$4="",$B7=""),0,SUMIF('DADOS BRUTOS'!$A$3:$A$500,$B7,'DADOS BRUTOS'!K$3:K$500)+IF($C7="",0,SUMIF('DADOS BRUTOS'!$A$3:$A$500,$C7,'DADOS BRUTOS'!K$3:K$500)))</f>
        <v>0</v>
      </c>
      <c r="CL7" s="133" t="n">
        <f aca="false">IF(OR(CL$4="",$B7=""),0,SUMIF('DADOS BRUTOS'!$A$3:$A$500,$B7,'DADOS BRUTOS'!L$3:L$500)+IF($C7="",0,SUMIF('DADOS BRUTOS'!$A$3:$A$500,$C7,'DADOS BRUTOS'!L$3:L$500)))</f>
        <v>0</v>
      </c>
      <c r="CM7" s="133" t="n">
        <f aca="false">IF(OR(CM$4="",$B7=""),0,SUMIF('DADOS BRUTOS'!$A$3:$A$500,$B7,'DADOS BRUTOS'!M$3:M$500)+IF($C7="",0,SUMIF('DADOS BRUTOS'!$A$3:$A$500,$C7,'DADOS BRUTOS'!M$3:M$500)))</f>
        <v>0</v>
      </c>
      <c r="CN7" s="133" t="n">
        <f aca="false">IF(OR(CN$4="",$B7=""),0,SUMIF('DADOS BRUTOS'!$A$3:$A$500,$B7,'DADOS BRUTOS'!N$3:N$500)+IF($C7="",0,SUMIF('DADOS BRUTOS'!$A$3:$A$500,$C7,'DADOS BRUTOS'!N$3:N$500)))</f>
        <v>0</v>
      </c>
      <c r="CO7" s="133" t="n">
        <f aca="false">IF(OR(CO$4="",$B7=""),0,SUMIF('DADOS BRUTOS'!$A$3:$A$500,$B7,'DADOS BRUTOS'!O$3:O$500)+IF($C7="",0,SUMIF('DADOS BRUTOS'!$A$3:$A$500,$C7,'DADOS BRUTOS'!O$3:O$500)))</f>
        <v>40.62</v>
      </c>
      <c r="CP7" s="133" t="n">
        <f aca="false">IF(OR(CP$4="",$B7=""),0,SUMIF('DADOS BRUTOS'!$A$3:$A$500,$B7,'DADOS BRUTOS'!P$3:P$500)+IF($C7="",0,SUMIF('DADOS BRUTOS'!$A$3:$A$500,$C7,'DADOS BRUTOS'!P$3:P$500)))</f>
        <v>0</v>
      </c>
      <c r="CQ7" s="133" t="n">
        <f aca="false">IF(OR(CQ$4="",$B7=""),0,SUMIF('DADOS BRUTOS'!$A$3:$A$500,$B7,'DADOS BRUTOS'!Q$3:Q$500)+IF($C7="",0,SUMIF('DADOS BRUTOS'!$A$3:$A$500,$C7,'DADOS BRUTOS'!Q$3:Q$500)))</f>
        <v>0</v>
      </c>
      <c r="CR7" s="133" t="n">
        <f aca="false">IF(OR(CR$4="",$B7=""),0,SUMIF('DADOS BRUTOS'!$A$3:$A$500,$B7,'DADOS BRUTOS'!R$3:R$500)+IF($C7="",0,SUMIF('DADOS BRUTOS'!$A$3:$A$500,$C7,'DADOS BRUTOS'!R$3:R$500)))</f>
        <v>0</v>
      </c>
      <c r="CS7" s="133" t="n">
        <f aca="false">IF(OR(CS$4="",$B7=""),0,SUMIF('DADOS BRUTOS'!$A$3:$A$500,$B7,'DADOS BRUTOS'!S$3:S$500)+IF($C7="",0,SUMIF('DADOS BRUTOS'!$A$3:$A$500,$C7,'DADOS BRUTOS'!S$3:S$500)))</f>
        <v>0</v>
      </c>
      <c r="CT7" s="133" t="n">
        <f aca="false">IF(OR(CT$4="",$B7=""),0,SUMIF('DADOS BRUTOS'!$A$3:$A$500,$B7,'DADOS BRUTOS'!T$3:T$500)+IF($C7="",0,SUMIF('DADOS BRUTOS'!$A$3:$A$500,$C7,'DADOS BRUTOS'!T$3:T$500)))</f>
        <v>64.24</v>
      </c>
      <c r="CU7" s="133" t="n">
        <f aca="false">IF(OR(CU$4="",$B7=""),0,SUMIF('DADOS BRUTOS'!$A$3:$A$500,$B7,'DADOS BRUTOS'!U$3:U$500)+IF($C7="",0,SUMIF('DADOS BRUTOS'!$A$3:$A$500,$C7,'DADOS BRUTOS'!U$3:U$500)))</f>
        <v>0</v>
      </c>
      <c r="CV7" s="133" t="n">
        <f aca="false">IF(OR(CV$4="",$B7=""),0,SUMIF('DADOS BRUTOS'!$A$3:$A$500,$B7,'DADOS BRUTOS'!V$3:V$500)+IF($C7="",0,SUMIF('DADOS BRUTOS'!$A$3:$A$500,$C7,'DADOS BRUTOS'!V$3:V$500)))</f>
        <v>0</v>
      </c>
      <c r="CW7" s="133" t="n">
        <f aca="false">IF(OR(CW$4="",$B7=""),0,SUMIF('DADOS BRUTOS'!$A$3:$A$500,$B7,'DADOS BRUTOS'!W$3:W$500)+IF($C7="",0,SUMIF('DADOS BRUTOS'!$A$3:$A$500,$C7,'DADOS BRUTOS'!W$3:W$500)))</f>
        <v>0</v>
      </c>
      <c r="CX7" s="133" t="n">
        <f aca="false">IF(OR(CX$4="",$B7=""),0,SUMIF('DADOS BRUTOS'!$A$3:$A$500,$B7,'DADOS BRUTOS'!X$3:X$500)+IF($C7="",0,SUMIF('DADOS BRUTOS'!$A$3:$A$500,$C7,'DADOS BRUTOS'!X$3:X$500)))</f>
        <v>0</v>
      </c>
      <c r="CY7" s="133" t="n">
        <f aca="false">IF(OR(CY$4="",$B7=""),0,SUMIF('DADOS BRUTOS'!$A$3:$A$500,$B7,'DADOS BRUTOS'!Y$3:Y$500)+IF($C7="",0,SUMIF('DADOS BRUTOS'!$A$3:$A$500,$C7,'DADOS BRUTOS'!Y$3:Y$500)))</f>
        <v>103.03</v>
      </c>
      <c r="CZ7" s="133" t="n">
        <f aca="false">IF(OR(CZ$4="",$B7=""),0,SUMIF('DADOS BRUTOS'!$A$3:$A$500,$B7,'DADOS BRUTOS'!Z$3:Z$500)+IF($C7="",0,SUMIF('DADOS BRUTOS'!$A$3:$A$500,$C7,'DADOS BRUTOS'!Z$3:Z$500)))</f>
        <v>0</v>
      </c>
      <c r="DA7" s="133" t="n">
        <f aca="false">IF(OR(DA$4="",$B7=""),0,SUMIF('DADOS BRUTOS'!$A$3:$A$500,$B7,'DADOS BRUTOS'!AA$3:AA$500)+IF($C7="",0,SUMIF('DADOS BRUTOS'!$A$3:$A$500,$C7,'DADOS BRUTOS'!AA$3:AA$500)))</f>
        <v>0</v>
      </c>
      <c r="DB7" s="133" t="n">
        <f aca="false">IF(OR(DB$4="",$B7=""),0,SUMIF('DADOS BRUTOS'!$A$3:$A$500,$B7,'DADOS BRUTOS'!AB$3:AB$500)+IF($C7="",0,SUMIF('DADOS BRUTOS'!$A$3:$A$500,$C7,'DADOS BRUTOS'!AB$3:AB$500)))</f>
        <v>0</v>
      </c>
      <c r="DC7" s="133" t="n">
        <f aca="false">IF(OR(DC$4="",$B7=""),0,SUMIF('DADOS BRUTOS'!$A$3:$A$500,$B7,'DADOS BRUTOS'!AC$3:AC$500)+IF($C7="",0,SUMIF('DADOS BRUTOS'!$A$3:$A$500,$C7,'DADOS BRUTOS'!AC$3:AC$500)))</f>
        <v>0</v>
      </c>
      <c r="DD7" s="133" t="n">
        <f aca="false">IF(OR(DD$4="",$B7=""),0,SUMIF('DADOS BRUTOS'!$A$3:$A$500,$B7,'DADOS BRUTOS'!AD$3:AD$500)+IF($C7="",0,SUMIF('DADOS BRUTOS'!$A$3:$A$500,$C7,'DADOS BRUTOS'!AD$3:AD$500)))</f>
        <v>0</v>
      </c>
      <c r="DE7" s="133" t="n">
        <f aca="false">IF(OR(DE$4="",$B7=""),0,SUMIF('DADOS BRUTOS'!$A$3:$A$500,$B7,'DADOS BRUTOS'!AE$3:AE$500)+IF($C7="",0,SUMIF('DADOS BRUTOS'!$A$3:$A$500,$C7,'DADOS BRUTOS'!AE$3:AE$500)))</f>
        <v>0</v>
      </c>
      <c r="DF7" s="133" t="n">
        <f aca="false">IF(OR(DF$4="",$B7=""),0,SUMIF('DADOS BRUTOS'!$A$3:$A$500,$B7,'DADOS BRUTOS'!AF$3:AF$500)+IF($C7="",0,SUMIF('DADOS BRUTOS'!$A$3:$A$500,$C7,'DADOS BRUTOS'!AF$3:AF$500)))</f>
        <v>0</v>
      </c>
      <c r="DG7" s="133" t="n">
        <f aca="false">IF(OR(DG$4="",$B7=""),0,SUMIF('DADOS BRUTOS'!$A$3:$A$500,$B7,'DADOS BRUTOS'!AG$3:AG$500)+IF($C7="",0,SUMIF('DADOS BRUTOS'!$A$3:$A$500,$C7,'DADOS BRUTOS'!AG$3:AG$500)))</f>
        <v>0</v>
      </c>
      <c r="DH7" s="133" t="n">
        <f aca="false">IF(OR(DH$4="",$B7=""),0,SUMIF('DADOS BRUTOS'!$A$3:$A$500,$B7,'DADOS BRUTOS'!AH$3:AH$500)+IF($C7="",0,SUMIF('DADOS BRUTOS'!$A$3:$A$500,$C7,'DADOS BRUTOS'!AH$3:AH$500)))</f>
        <v>5543.2</v>
      </c>
      <c r="DI7" s="133" t="n">
        <f aca="false">IF(OR(DI$4="",$B7=""),0,SUMIF('DADOS BRUTOS'!$A$3:$A$500,$B7,'DADOS BRUTOS'!AI$3:AI$500)+IF($C7="",0,SUMIF('DADOS BRUTOS'!$A$3:$A$500,$C7,'DADOS BRUTOS'!AI$3:AI$500)))</f>
        <v>0</v>
      </c>
      <c r="DJ7" s="133" t="n">
        <f aca="false">IF(OR(DJ$4="",$B7=""),0,SUMIF('DADOS BRUTOS'!$A$3:$A$500,$B7,'DADOS BRUTOS'!AJ$3:AJ$500)+IF($C7="",0,SUMIF('DADOS BRUTOS'!$A$3:$A$500,$C7,'DADOS BRUTOS'!AJ$3:AJ$500)))</f>
        <v>0</v>
      </c>
      <c r="DK7" s="133" t="n">
        <f aca="false">IF(OR(DK$4="",$B7=""),0,SUMIF('DADOS BRUTOS'!$A$3:$A$500,$B7,'DADOS BRUTOS'!AK$3:AK$500)+IF($C7="",0,SUMIF('DADOS BRUTOS'!$A$3:$A$500,$C7,'DADOS BRUTOS'!AK$3:AK$500)))</f>
        <v>0</v>
      </c>
      <c r="DL7" s="133" t="n">
        <f aca="false">IF(OR(DL$4="",$B7=""),0,SUMIF('DADOS BRUTOS'!$A$3:$A$500,$B7,'DADOS BRUTOS'!AL$3:AL$500)+IF($C7="",0,SUMIF('DADOS BRUTOS'!$A$3:$A$500,$C7,'DADOS BRUTOS'!AL$3:AL$500)))</f>
        <v>0</v>
      </c>
      <c r="DM7" s="133" t="n">
        <f aca="false">IF(OR(DM$4="",$B7=""),0,SUMIF('DADOS BRUTOS'!$A$3:$A$500,$B7,'DADOS BRUTOS'!AM$3:AM$500)+IF($C7="",0,SUMIF('DADOS BRUTOS'!$A$3:$A$500,$C7,'DADOS BRUTOS'!AM$3:AM$500)))</f>
        <v>0</v>
      </c>
      <c r="DN7" s="133" t="n">
        <f aca="false">IF(OR(DN$4="",$B7=""),0,SUMIF('DADOS BRUTOS'!$A$3:$A$500,$B7,'DADOS BRUTOS'!AN$3:AN$500)+IF($C7="",0,SUMIF('DADOS BRUTOS'!$A$3:$A$500,$C7,'DADOS BRUTOS'!AN$3:AN$500)))</f>
        <v>0</v>
      </c>
      <c r="DO7" s="133" t="n">
        <f aca="false">IF(OR(DO$4="",$B7=""),0,SUMIF('DADOS BRUTOS'!$A$3:$A$500,$B7,'DADOS BRUTOS'!AO$3:AO$500)+IF($C7="",0,SUMIF('DADOS BRUTOS'!$A$3:$A$500,$C7,'DADOS BRUTOS'!AO$3:AO$500)))</f>
        <v>0</v>
      </c>
      <c r="DP7" s="133" t="n">
        <f aca="false">IF(OR(DP$4="",$B7=""),0,SUMIF('DADOS BRUTOS'!$A$3:$A$500,$B7,'DADOS BRUTOS'!AP$3:AP$500)+IF($C7="",0,SUMIF('DADOS BRUTOS'!$A$3:$A$500,$C7,'DADOS BRUTOS'!AP$3:AP$500)))</f>
        <v>0</v>
      </c>
      <c r="DQ7" s="133" t="n">
        <f aca="false">IF(OR(DQ$4="",$B7=""),0,SUMIF('DADOS BRUTOS'!$A$3:$A$500,$B7,'DADOS BRUTOS'!AQ$3:AQ$500)+IF($C7="",0,SUMIF('DADOS BRUTOS'!$A$3:$A$500,$C7,'DADOS BRUTOS'!AQ$3:AQ$500)))</f>
        <v>0</v>
      </c>
      <c r="DR7" s="133" t="n">
        <f aca="false">IF(OR(DR$4="",$B7=""),0,SUMIF('DADOS BRUTOS'!$A$3:$A$500,$B7,'DADOS BRUTOS'!AR$3:AR$500)+IF($C7="",0,SUMIF('DADOS BRUTOS'!$A$3:$A$500,$C7,'DADOS BRUTOS'!AR$3:AR$500)))</f>
        <v>0</v>
      </c>
      <c r="DS7" s="133" t="n">
        <f aca="false">IF(OR(DS$4="",$B7=""),0,SUMIF('DADOS BRUTOS'!$A$3:$A$500,$B7,'DADOS BRUTOS'!AS$3:AS$500)+IF($C7="",0,SUMIF('DADOS BRUTOS'!$A$3:$A$500,$C7,'DADOS BRUTOS'!AS$3:AS$500)))</f>
        <v>0</v>
      </c>
      <c r="DT7" s="133" t="n">
        <f aca="false">IF(OR(DT$4="",$B7=""),0,SUMIF('DADOS BRUTOS'!$A$3:$A$500,$B7,'DADOS BRUTOS'!AT$3:AT$500)+IF($C7="",0,SUMIF('DADOS BRUTOS'!$A$3:$A$500,$C7,'DADOS BRUTOS'!AT$3:AT$500)))</f>
        <v>0</v>
      </c>
      <c r="DU7" s="133" t="n">
        <f aca="false">IF(OR(DU$4="",$B7=""),0,SUMIF('DADOS BRUTOS'!$A$3:$A$500,$B7,'DADOS BRUTOS'!AU$3:AU$500)+IF($C7="",0,SUMIF('DADOS BRUTOS'!$A$3:$A$500,$C7,'DADOS BRUTOS'!AU$3:AU$500)))</f>
        <v>0</v>
      </c>
      <c r="DV7" s="133" t="n">
        <f aca="false">IF(OR(DV$4="",$B7=""),0,SUMIF('DADOS BRUTOS'!$A$3:$A$500,$B7,'DADOS BRUTOS'!AV$3:AV$500)+IF($C7="",0,SUMIF('DADOS BRUTOS'!$A$3:$A$500,$C7,'DADOS BRUTOS'!AV$3:AV$500)))</f>
        <v>0</v>
      </c>
      <c r="DW7" s="133" t="n">
        <f aca="false">IF(OR(DW$4="",$B7=""),0,SUMIF('DADOS BRUTOS'!$A$3:$A$500,$B7,'DADOS BRUTOS'!AW$3:AW$500)+IF($C7="",0,SUMIF('DADOS BRUTOS'!$A$3:$A$500,$C7,'DADOS BRUTOS'!AW$3:AW$500)))</f>
        <v>0</v>
      </c>
      <c r="DX7" s="133" t="n">
        <f aca="false">IF(OR(DX$4="",$B7=""),0,SUMIF('DADOS BRUTOS'!$A$3:$A$500,$B7,'DADOS BRUTOS'!AX$3:AX$500)+IF($C7="",0,SUMIF('DADOS BRUTOS'!$A$3:$A$500,$C7,'DADOS BRUTOS'!AX$3:AX$500)))</f>
        <v>0</v>
      </c>
      <c r="DY7" s="133" t="n">
        <f aca="false">IF(OR(DY$4="",$B7=""),0,SUMIF('DADOS BRUTOS'!$A$3:$A$500,$B7,'DADOS BRUTOS'!AY$3:AY$500)+IF($C7="",0,SUMIF('DADOS BRUTOS'!$A$3:$A$500,$C7,'DADOS BRUTOS'!AY$3:AY$500)))</f>
        <v>0</v>
      </c>
      <c r="DZ7" s="133" t="n">
        <f aca="false">IF(OR(DZ$4="",$B7=""),0,SUMIF('DADOS BRUTOS'!$A$3:$A$500,$B7,'DADOS BRUTOS'!AZ$3:AZ$500)+IF($C7="",0,SUMIF('DADOS BRUTOS'!$A$3:$A$500,$C7,'DADOS BRUTOS'!AZ$3:AZ$500)))</f>
        <v>0</v>
      </c>
      <c r="EA7" s="133" t="n">
        <f aca="false">IF(OR(EA$4="",$B7=""),0,SUMIF('DADOS BRUTOS'!$A$3:$A$500,$B7,'DADOS BRUTOS'!BA$3:BA$500)+IF($C7="",0,SUMIF('DADOS BRUTOS'!$A$3:$A$500,$C7,'DADOS BRUTOS'!BA$3:BA$500)))</f>
        <v>0</v>
      </c>
      <c r="EB7" s="133" t="n">
        <f aca="false">IF(OR(EB$4="",$B7=""),0,SUMIF('DADOS BRUTOS'!$A$3:$A$500,$B7,'DADOS BRUTOS'!BB$3:BB$500)+IF($C7="",0,SUMIF('DADOS BRUTOS'!$A$3:$A$500,$C7,'DADOS BRUTOS'!BB$3:BB$500)))</f>
        <v>0</v>
      </c>
      <c r="EC7" s="133" t="n">
        <f aca="false">IF(OR(EC$4="",$B7=""),0,SUMIF('DADOS BRUTOS'!$A$3:$A$500,$B7,'DADOS BRUTOS'!BC$3:BC$500)+IF($C7="",0,SUMIF('DADOS BRUTOS'!$A$3:$A$500,$C7,'DADOS BRUTOS'!BC$3:BC$500)))</f>
        <v>0</v>
      </c>
      <c r="ED7" s="133" t="n">
        <f aca="false">IF(OR(ED$4="",$B7=""),0,SUMIF('DADOS BRUTOS'!$A$3:$A$500,$B7,'DADOS BRUTOS'!BD$3:BD$500)+IF($C7="",0,SUMIF('DADOS BRUTOS'!$A$3:$A$500,$C7,'DADOS BRUTOS'!BD$3:BD$500)))</f>
        <v>0</v>
      </c>
      <c r="EE7" s="133" t="n">
        <f aca="false">IF(OR(EE$4="",$B7=""),0,SUMIF('DADOS BRUTOS'!$A$3:$A$500,$B7,'DADOS BRUTOS'!BE$3:BE$500)+IF($C7="",0,SUMIF('DADOS BRUTOS'!$A$3:$A$500,$C7,'DADOS BRUTOS'!BE$3:BE$500)))</f>
        <v>0</v>
      </c>
      <c r="EF7" s="133" t="n">
        <f aca="false">IF(OR(EF$4="",$B7=""),0,SUMIF('DADOS BRUTOS'!$A$3:$A$500,$B7,'DADOS BRUTOS'!BF$3:BF$500)+IF($C7="",0,SUMIF('DADOS BRUTOS'!$A$3:$A$500,$C7,'DADOS BRUTOS'!BF$3:BF$500)))</f>
        <v>0</v>
      </c>
      <c r="EG7" s="133" t="n">
        <f aca="false">IF(OR(EG$4="",$B7=""),0,SUMIF('DADOS BRUTOS'!$A$3:$A$500,$B7,'DADOS BRUTOS'!BG$3:BG$500)+IF($C7="",0,SUMIF('DADOS BRUTOS'!$A$3:$A$500,$C7,'DADOS BRUTOS'!BG$3:BG$500)))</f>
        <v>0</v>
      </c>
      <c r="EH7" s="133" t="n">
        <f aca="false">IF(OR(EH$4="",$B7=""),0,SUMIF('DADOS BRUTOS'!$A$3:$A$500,$B7,'DADOS BRUTOS'!BH$3:BH$500)+IF($C7="",0,SUMIF('DADOS BRUTOS'!$A$3:$A$500,$C7,'DADOS BRUTOS'!BH$3:BH$500)))</f>
        <v>0</v>
      </c>
      <c r="EI7" s="133" t="n">
        <f aca="false">IF(OR(EI$4="",$B7=""),0,SUMIF('DADOS BRUTOS'!$A$3:$A$500,$B7,'DADOS BRUTOS'!BI$3:BI$500)+IF($C7="",0,SUMIF('DADOS BRUTOS'!$A$3:$A$500,$C7,'DADOS BRUTOS'!BI$3:BI$500)))</f>
        <v>0</v>
      </c>
      <c r="EJ7" s="133" t="n">
        <f aca="false">IF(OR(EJ$4="",$B7=""),0,SUMIF('DADOS BRUTOS'!$A$3:$A$500,$B7,'DADOS BRUTOS'!BJ$3:BJ$500)+IF($C7="",0,SUMIF('DADOS BRUTOS'!$A$3:$A$500,$C7,'DADOS BRUTOS'!BJ$3:BJ$500)))</f>
        <v>0</v>
      </c>
      <c r="EK7" s="133" t="n">
        <f aca="false">IF(OR(EK$4="",$B7=""),0,SUMIF('DADOS BRUTOS'!$A$3:$A$500,$B7,'DADOS BRUTOS'!BK$3:BK$500)+IF($C7="",0,SUMIF('DADOS BRUTOS'!$A$3:$A$500,$C7,'DADOS BRUTOS'!BK$3:BK$500)))</f>
        <v>0</v>
      </c>
      <c r="EL7" s="133" t="n">
        <f aca="false">IF(OR(EL$4="",$B7=""),0,SUMIF('DADOS BRUTOS'!$A$3:$A$500,$B7,'DADOS BRUTOS'!BL$3:BL$500)+IF($C7="",0,SUMIF('DADOS BRUTOS'!$A$3:$A$500,$C7,'DADOS BRUTOS'!BL$3:BL$500)))</f>
        <v>0</v>
      </c>
      <c r="EM7" s="133" t="n">
        <f aca="false">IF(OR(EM$4="",$B7=""),0,SUMIF('DADOS BRUTOS'!$A$3:$A$500,$B7,'DADOS BRUTOS'!BM$3:BM$500)+IF($C7="",0,SUMIF('DADOS BRUTOS'!$A$3:$A$500,$C7,'DADOS BRUTOS'!BM$3:BM$500)))</f>
        <v>0</v>
      </c>
      <c r="EN7" s="133" t="n">
        <f aca="false">IF(OR(EN$4="",$B7=""),0,SUMIF('DADOS BRUTOS'!$A$3:$A$500,$B7,'DADOS BRUTOS'!BN$3:BN$500)+IF($C7="",0,SUMIF('DADOS BRUTOS'!$A$3:$A$500,$C7,'DADOS BRUTOS'!BN$3:BN$500)))</f>
        <v>0</v>
      </c>
      <c r="EO7" s="133" t="n">
        <f aca="false">IF(OR(EO$4="",$B7=""),0,SUMIF('DADOS BRUTOS'!$A$3:$A$500,$B7,'DADOS BRUTOS'!BO$3:BO$500)+IF($C7="",0,SUMIF('DADOS BRUTOS'!$A$3:$A$500,$C7,'DADOS BRUTOS'!BO$3:BO$500)))</f>
        <v>0</v>
      </c>
      <c r="EP7" s="133" t="n">
        <f aca="false">IF(OR(EP$4="",$B7=""),0,SUMIF('DADOS BRUTOS'!$A$3:$A$500,$B7,'DADOS BRUTOS'!BP$3:BP$500)+IF($C7="",0,SUMIF('DADOS BRUTOS'!$A$3:$A$500,$C7,'DADOS BRUTOS'!BP$3:BP$500)))</f>
        <v>0</v>
      </c>
      <c r="EQ7" s="133" t="n">
        <f aca="false">IF(OR(EQ$4="",$B7=""),0,SUMIF('DADOS BRUTOS'!$A$3:$A$500,$B7,'DADOS BRUTOS'!BQ$3:BQ$500)+IF($C7="",0,SUMIF('DADOS BRUTOS'!$A$3:$A$500,$C7,'DADOS BRUTOS'!BQ$3:BQ$500)))</f>
        <v>0</v>
      </c>
      <c r="ER7" s="133" t="n">
        <f aca="false">IF(OR(ER$4="",$B7=""),0,SUMIF('DADOS BRUTOS'!$A$3:$A$500,$B7,'DADOS BRUTOS'!BR$3:BR$500)+IF($C7="",0,SUMIF('DADOS BRUTOS'!$A$3:$A$500,$C7,'DADOS BRUTOS'!BR$3:BR$500)))</f>
        <v>0</v>
      </c>
      <c r="ES7" s="133" t="n">
        <f aca="false">IF(OR(ES$4="",$B7=""),0,SUMIF('DADOS BRUTOS'!$A$3:$A$500,$B7,'DADOS BRUTOS'!BS$3:BS$500)+IF($C7="",0,SUMIF('DADOS BRUTOS'!$A$3:$A$500,$C7,'DADOS BRUTOS'!BS$3:BS$500)))</f>
        <v>0</v>
      </c>
      <c r="ET7" s="133" t="n">
        <f aca="false">IF(OR(ET$4="",$B7=""),0,SUMIF('DADOS BRUTOS'!$A$3:$A$500,$B7,'DADOS BRUTOS'!BT$3:BT$500)+IF($C7="",0,SUMIF('DADOS BRUTOS'!$A$3:$A$500,$C7,'DADOS BRUTOS'!BT$3:BT$500)))</f>
        <v>0</v>
      </c>
      <c r="EU7" s="133" t="n">
        <f aca="false">IF(OR(EU$4="",$B7=""),0,SUMIF('DADOS BRUTOS'!$A$3:$A$500,$B7,'DADOS BRUTOS'!BU$3:BU$500)+IF($C7="",0,SUMIF('DADOS BRUTOS'!$A$3:$A$500,$C7,'DADOS BRUTOS'!BU$3:BU$500)))</f>
        <v>0</v>
      </c>
      <c r="EV7" s="133" t="n">
        <f aca="false">IF(OR(EV$4="",$B7=""),0,SUMIF('DADOS BRUTOS'!$A$3:$A$500,$B7,'DADOS BRUTOS'!BV$3:BV$500)+IF($C7="",0,SUMIF('DADOS BRUTOS'!$A$3:$A$500,$C7,'DADOS BRUTOS'!BV$3:BV$500)))</f>
        <v>0</v>
      </c>
      <c r="EW7" s="133" t="n">
        <f aca="false">IF(OR(EW$4="",$B7=""),0,SUMIF('DADOS BRUTOS'!$A$3:$A$500,$B7,'DADOS BRUTOS'!BW$3:BW$500)+IF($C7="",0,SUMIF('DADOS BRUTOS'!$A$3:$A$500,$C7,'DADOS BRUTOS'!BW$3:BW$500)))</f>
        <v>0</v>
      </c>
      <c r="EX7" s="133" t="n">
        <f aca="false">IF(OR(EX$4="",$B7=""),0,SUMIF('DADOS BRUTOS'!$A$3:$A$500,$B7,'DADOS BRUTOS'!BX$3:BX$500)+IF($C7="",0,SUMIF('DADOS BRUTOS'!$A$3:$A$500,$C7,'DADOS BRUTOS'!BX$3:BX$500)))</f>
        <v>0</v>
      </c>
      <c r="EY7" s="133" t="n">
        <f aca="false">IF(OR(EY$4="",$B7=""),0,SUMIF('DADOS BRUTOS'!$A$3:$A$500,$B7,'DADOS BRUTOS'!BY$3:BY$500)+IF($C7="",0,SUMIF('DADOS BRUTOS'!$A$3:$A$500,$C7,'DADOS BRUTOS'!BY$3:BY$500)))</f>
        <v>0</v>
      </c>
      <c r="EZ7" s="133" t="n">
        <f aca="false">IF(OR(EZ$4="",$B7=""),0,SUMIF('DADOS BRUTOS'!$A$3:$A$500,$B7,'DADOS BRUTOS'!BZ$3:BZ$500)+IF($C7="",0,SUMIF('DADOS BRUTOS'!$A$3:$A$500,$C7,'DADOS BRUTOS'!BZ$3:BZ$500)))</f>
        <v>0</v>
      </c>
      <c r="FA7" s="133" t="n">
        <f aca="false">IF(OR(FA$4="",$B7=""),0,SUMIF('DADOS BRUTOS'!$A$3:$A$500,$B7,'DADOS BRUTOS'!CA$3:CA$500)+IF($C7="",0,SUMIF('DADOS BRUTOS'!$A$3:$A$500,$C7,'DADOS BRUTOS'!CA$3:CA$500)))</f>
        <v>0</v>
      </c>
      <c r="FB7" s="133" t="n">
        <f aca="false">IF(OR(FB$4="",$B7=""),0,SUMIF('DADOS BRUTOS'!$A$3:$A$500,$B7,'DADOS BRUTOS'!CB$3:CB$500)+IF($C7="",0,SUMIF('DADOS BRUTOS'!$A$3:$A$500,$C7,'DADOS BRUTOS'!CB$3:CB$500)))</f>
        <v>0</v>
      </c>
      <c r="FC7" s="133" t="n">
        <f aca="false">IF(OR(FC$4="",$B7=""),0,SUMIF('DADOS BRUTOS'!$A$3:$A$500,$B7,'DADOS BRUTOS'!CC$3:CC$500)+IF($C7="",0,SUMIF('DADOS BRUTOS'!$A$3:$A$500,$C7,'DADOS BRUTOS'!CC$3:CC$500)))</f>
        <v>0</v>
      </c>
      <c r="FD7" s="133" t="n">
        <f aca="false">IF(OR(FD$4="",$B7=""),0,SUMIF('DADOS BRUTOS'!$A$3:$A$500,$B7,'DADOS BRUTOS'!CD$3:CD$500)+IF($C7="",0,SUMIF('DADOS BRUTOS'!$A$3:$A$500,$C7,'DADOS BRUTOS'!CD$3:CD$500)))</f>
        <v>0</v>
      </c>
      <c r="FE7" s="133" t="n">
        <f aca="false">IF(OR(FE$4="",$B7=""),0,SUMIF('DADOS BRUTOS'!$A$3:$A$500,$B7,'DADOS BRUTOS'!CE$3:CE$500)+IF($C7="",0,SUMIF('DADOS BRUTOS'!$A$3:$A$500,$C7,'DADOS BRUTOS'!CE$3:CE$500)))</f>
        <v>0</v>
      </c>
      <c r="FF7" s="133" t="n">
        <f aca="false">IF(OR(FF$4="",$B7=""),0,SUMIF('DADOS BRUTOS'!$A$3:$A$500,$B7,'DADOS BRUTOS'!CF$3:CF$500)+IF($C7="",0,SUMIF('DADOS BRUTOS'!$A$3:$A$500,$C7,'DADOS BRUTOS'!CF$3:CF$500)))</f>
        <v>0</v>
      </c>
      <c r="FG7" s="133" t="n">
        <f aca="false">IF(OR(FG$4="",$B7=""),0,SUMIF('DADOS BRUTOS'!$A$3:$A$500,$B7,'DADOS BRUTOS'!CG$3:CG$500)+IF($C7="",0,SUMIF('DADOS BRUTOS'!$A$3:$A$500,$C7,'DADOS BRUTOS'!CG$3:CG$500)))</f>
        <v>0</v>
      </c>
      <c r="FH7" s="133" t="n">
        <f aca="false">IF(OR(FH$4="",$B7=""),0,SUMIF('DADOS BRUTOS'!$A$3:$A$500,$B7,'DADOS BRUTOS'!CH$3:CH$500)+IF($C7="",0,SUMIF('DADOS BRUTOS'!$A$3:$A$500,$C7,'DADOS BRUTOS'!CH$3:CH$500)))</f>
        <v>0</v>
      </c>
      <c r="FI7" s="133" t="n">
        <f aca="false">IF(OR(FI$4="",$B7=""),0,SUMIF('DADOS BRUTOS'!$A$3:$A$500,$B7,'DADOS BRUTOS'!CI$3:CI$500)+IF($C7="",0,SUMIF('DADOS BRUTOS'!$A$3:$A$500,$C7,'DADOS BRUTOS'!CI$3:CI$500)))</f>
        <v>0</v>
      </c>
      <c r="FJ7" s="133" t="n">
        <f aca="false">IF(OR(FJ$4="",$B7=""),0,SUMIF('DADOS BRUTOS'!$A$3:$A$500,$B7,'DADOS BRUTOS'!CJ$3:CJ$500)+IF($C7="",0,SUMIF('DADOS BRUTOS'!$A$3:$A$500,$C7,'DADOS BRUTOS'!CJ$3:CJ$500)))</f>
        <v>0</v>
      </c>
      <c r="FK7" s="133" t="n">
        <f aca="false">IF(OR(FK$4="",$B7=""),0,SUMIF('DADOS BRUTOS'!$A$3:$A$500,$B7,'DADOS BRUTOS'!CK$3:CK$500)+IF($C7="",0,SUMIF('DADOS BRUTOS'!$A$3:$A$500,$C7,'DADOS BRUTOS'!CK$3:CK$500)))</f>
        <v>0</v>
      </c>
      <c r="FL7" s="133" t="n">
        <f aca="false">IF(OR(FL$4="",$B7=""),0,SUMIF('DADOS BRUTOS'!$A$3:$A$500,$B7,'DADOS BRUTOS'!CL$3:CL$500)+IF($C7="",0,SUMIF('DADOS BRUTOS'!$A$3:$A$500,$C7,'DADOS BRUTOS'!CL$3:CL$500)))</f>
        <v>0</v>
      </c>
      <c r="FM7" s="133" t="n">
        <f aca="false">IF(OR(FM$4="",$B7=""),0,SUMIF('DADOS BRUTOS'!$A$3:$A$500,$B7,'DADOS BRUTOS'!CM$3:CM$500)+IF($C7="",0,SUMIF('DADOS BRUTOS'!$A$3:$A$500,$C7,'DADOS BRUTOS'!CM$3:CM$500)))</f>
        <v>0</v>
      </c>
      <c r="FN7" s="133" t="n">
        <f aca="false">IF(OR(FN$4="",$B7=""),0,SUMIF('DADOS BRUTOS'!$A$3:$A$500,$B7,'DADOS BRUTOS'!CN$3:CN$500)+IF($C7="",0,SUMIF('DADOS BRUTOS'!$A$3:$A$500,$C7,'DADOS BRUTOS'!CN$3:CN$500)))</f>
        <v>0</v>
      </c>
      <c r="FO7" s="133" t="n">
        <f aca="false">IF(OR(FO$4="",$B7=""),0,SUMIF('DADOS BRUTOS'!$A$3:$A$500,$B7,'DADOS BRUTOS'!CO$3:CO$500)+IF($C7="",0,SUMIF('DADOS BRUTOS'!$A$3:$A$500,$C7,'DADOS BRUTOS'!CO$3:CO$500)))</f>
        <v>0</v>
      </c>
      <c r="FP7" s="133" t="n">
        <f aca="false">IF(OR(FP$4="",$B7=""),0,SUMIF('DADOS BRUTOS'!$A$3:$A$500,$B7,'DADOS BRUTOS'!CP$3:CP$500)+IF($C7="",0,SUMIF('DADOS BRUTOS'!$A$3:$A$500,$C7,'DADOS BRUTOS'!CP$3:CP$500)))</f>
        <v>0</v>
      </c>
      <c r="FQ7" s="133" t="n">
        <f aca="false">IF(OR(FQ$4="",$B7=""),0,SUMIF('DADOS BRUTOS'!$A$3:$A$500,$B7,'DADOS BRUTOS'!CQ$3:CQ$500)+IF($C7="",0,SUMIF('DADOS BRUTOS'!$A$3:$A$500,$C7,'DADOS BRUTOS'!CQ$3:CQ$500)))</f>
        <v>0</v>
      </c>
      <c r="FR7" s="133" t="n">
        <f aca="false">IF(OR(FR$4="",$B7=""),0,SUMIF('DADOS BRUTOS'!$A$3:$A$500,$B7,'DADOS BRUTOS'!CR$3:CR$500)+IF($C7="",0,SUMIF('DADOS BRUTOS'!$A$3:$A$500,$C7,'DADOS BRUTOS'!CR$3:CR$500)))</f>
        <v>0</v>
      </c>
      <c r="FS7" s="133" t="n">
        <f aca="false">IF(OR(FS$4="",$B7=""),0,SUMIF('DADOS BRUTOS'!$A$3:$A$500,$B7,'DADOS BRUTOS'!CS$3:CS$500)+IF($C7="",0,SUMIF('DADOS BRUTOS'!$A$3:$A$500,$C7,'DADOS BRUTOS'!CS$3:CS$500)))</f>
        <v>0</v>
      </c>
      <c r="FT7" s="133" t="n">
        <f aca="false">IF(OR(FT$4="",$B7=""),0,SUMIF('DADOS BRUTOS'!$A$3:$A$500,$B7,'DADOS BRUTOS'!CT$3:CT$500)+IF($C7="",0,SUMIF('DADOS BRUTOS'!$A$3:$A$500,$C7,'DADOS BRUTOS'!CT$3:CT$500)))</f>
        <v>0</v>
      </c>
      <c r="FU7" s="133" t="n">
        <f aca="false">IF(OR(FU$4="",$B7=""),0,SUMIF('DADOS BRUTOS'!$A$3:$A$500,$B7,'DADOS BRUTOS'!CU$3:CU$500)+IF($C7="",0,SUMIF('DADOS BRUTOS'!$A$3:$A$500,$C7,'DADOS BRUTOS'!CU$3:CU$500)))</f>
        <v>0</v>
      </c>
      <c r="FV7" s="133" t="n">
        <f aca="false">IF(OR(FV$4="",$B7=""),0,SUMIF('DADOS BRUTOS'!$A$3:$A$500,$B7,'DADOS BRUTOS'!CV$3:CV$500)+IF($C7="",0,SUMIF('DADOS BRUTOS'!$A$3:$A$500,$C7,'DADOS BRUTOS'!CV$3:CV$500)))</f>
        <v>0</v>
      </c>
      <c r="FW7" s="133" t="n">
        <f aca="false">IF(OR(FW$4="",$B7=""),0,SUMIF('DADOS BRUTOS'!$A$3:$A$500,$B7,'DADOS BRUTOS'!CW$3:CW$500)+IF($C7="",0,SUMIF('DADOS BRUTOS'!$A$3:$A$500,$C7,'DADOS BRUTOS'!CW$3:CW$500)))</f>
        <v>0</v>
      </c>
      <c r="FX7" s="133" t="n">
        <f aca="false">IF(OR(FX$4="",$B7=""),0,SUMIF('DADOS BRUTOS'!$A$3:$A$500,$B7,'DADOS BRUTOS'!CX$3:CX$500)+IF($C7="",0,SUMIF('DADOS BRUTOS'!$A$3:$A$500,$C7,'DADOS BRUTOS'!CX$3:CX$500)))</f>
        <v>0</v>
      </c>
      <c r="FY7" s="133" t="n">
        <f aca="false">IF(OR(FY$4="",$B7=""),0,SUMIF('DADOS BRUTOS'!$A$3:$A$500,$B7,'DADOS BRUTOS'!CY$3:CY$500)+IF($C7="",0,SUMIF('DADOS BRUTOS'!$A$3:$A$500,$C7,'DADOS BRUTOS'!CY$3:CY$500)))</f>
        <v>0</v>
      </c>
      <c r="FZ7" s="133" t="n">
        <f aca="false">IF(OR(FZ$4="",$B7=""),0,SUMIF('DADOS BRUTOS'!$A$3:$A$500,$B7,'DADOS BRUTOS'!CZ$3:CZ$500)+IF($C7="",0,SUMIF('DADOS BRUTOS'!$A$3:$A$500,$C7,'DADOS BRUTOS'!CZ$3:CZ$500)))</f>
        <v>0</v>
      </c>
      <c r="GA7" s="133" t="n">
        <f aca="false">IF(OR(GA$4="",$B7=""),0,SUMIF('DADOS BRUTOS'!$A$3:$A$500,$B7,'DADOS BRUTOS'!DA$3:DA$500)+IF($C7="",0,SUMIF('DADOS BRUTOS'!$A$3:$A$500,$C7,'DADOS BRUTOS'!DA$3:DA$500)))</f>
        <v>0</v>
      </c>
      <c r="GB7" s="133" t="n">
        <f aca="false">IF(OR(GB$4="",$B7=""),0,SUMIF('DADOS BRUTOS'!$A$3:$A$500,$B7,'DADOS BRUTOS'!DB$3:DB$500)+IF($C7="",0,SUMIF('DADOS BRUTOS'!$A$3:$A$500,$C7,'DADOS BRUTOS'!DB$3:DB$500)))</f>
        <v>0</v>
      </c>
      <c r="GC7" s="133" t="n">
        <f aca="false">IF(OR(GC$4="",$B7=""),0,SUMIF('DADOS BRUTOS'!$A$3:$A$500,$B7,'DADOS BRUTOS'!DC$3:DC$500)+IF($C7="",0,SUMIF('DADOS BRUTOS'!$A$3:$A$500,$C7,'DADOS BRUTOS'!DC$3:DC$500)))</f>
        <v>0</v>
      </c>
      <c r="GD7" s="133" t="n">
        <f aca="false">IF(OR(GD$4="",$B7=""),0,SUMIF('DADOS BRUTOS'!$A$3:$A$500,$B7,'DADOS BRUTOS'!DD$3:DD$500)+IF($C7="",0,SUMIF('DADOS BRUTOS'!$A$3:$A$500,$C7,'DADOS BRUTOS'!DD$3:DD$500)))</f>
        <v>0</v>
      </c>
      <c r="GE7" s="133" t="n">
        <f aca="false">IF(OR(GE$4="",$B7=""),0,SUMIF('DADOS BRUTOS'!$A$3:$A$500,$B7,'DADOS BRUTOS'!DE$3:DE$500)+IF($C7="",0,SUMIF('DADOS BRUTOS'!$A$3:$A$500,$C7,'DADOS BRUTOS'!DE$3:DE$500)))</f>
        <v>0</v>
      </c>
      <c r="GF7" s="133" t="n">
        <f aca="false">IF(OR(GF$4="",$B7=""),0,SUMIF('DADOS BRUTOS'!$A$3:$A$500,$B7,'DADOS BRUTOS'!DF$3:DF$500)+IF($C7="",0,SUMIF('DADOS BRUTOS'!$A$3:$A$500,$C7,'DADOS BRUTOS'!DF$3:DF$500)))</f>
        <v>0</v>
      </c>
      <c r="GG7" s="133" t="n">
        <f aca="false">IF(OR(GG$4="",$B7=""),0,SUMIF('DADOS BRUTOS'!$A$3:$A$500,$B7,'DADOS BRUTOS'!DG$3:DG$500)+IF($C7="",0,SUMIF('DADOS BRUTOS'!$A$3:$A$500,$C7,'DADOS BRUTOS'!DG$3:DG$500)))</f>
        <v>0</v>
      </c>
      <c r="GH7" s="133" t="n">
        <f aca="false">IF(OR(GH$4="",$B7=""),0,SUMIF('DADOS BRUTOS'!$A$3:$A$500,$B7,'DADOS BRUTOS'!DH$3:DH$500)+IF($C7="",0,SUMIF('DADOS BRUTOS'!$A$3:$A$500,$C7,'DADOS BRUTOS'!DH$3:DH$500)))</f>
        <v>0</v>
      </c>
      <c r="GI7" s="133" t="n">
        <f aca="false">IF(OR(GI$4="",$B7=""),0,SUMIF('DADOS BRUTOS'!$A$3:$A$500,$B7,'DADOS BRUTOS'!DI$3:DI$500)+IF($C7="",0,SUMIF('DADOS BRUTOS'!$A$3:$A$500,$C7,'DADOS BRUTOS'!DI$3:DI$500)))</f>
        <v>0</v>
      </c>
      <c r="GJ7" s="133" t="n">
        <f aca="false">IF(OR(GJ$4="",$B7=""),0,SUMIF('DADOS BRUTOS'!$A$3:$A$500,$B7,'DADOS BRUTOS'!DJ$3:DJ$500)+IF($C7="",0,SUMIF('DADOS BRUTOS'!$A$3:$A$500,$C7,'DADOS BRUTOS'!DJ$3:DJ$500)))</f>
        <v>0</v>
      </c>
      <c r="GK7" s="133" t="n">
        <f aca="false">IF(OR(GK$4="",$B7=""),0,SUMIF('DADOS BRUTOS'!$A$3:$A$500,$B7,'DADOS BRUTOS'!DK$3:DK$500)+IF($C7="",0,SUMIF('DADOS BRUTOS'!$A$3:$A$500,$C7,'DADOS BRUTOS'!DK$3:DK$500)))</f>
        <v>0</v>
      </c>
      <c r="GL7" s="133" t="n">
        <f aca="false">IF(OR(GL$4="",$B7=""),0,SUMIF('DADOS BRUTOS'!$A$3:$A$500,$B7,'DADOS BRUTOS'!DL$3:DL$500)+IF($C7="",0,SUMIF('DADOS BRUTOS'!$A$3:$A$500,$C7,'DADOS BRUTOS'!DL$3:DL$500)))</f>
        <v>0</v>
      </c>
      <c r="GM7" s="133" t="n">
        <f aca="false">IF(OR(GM$4="",$B7=""),0,SUMIF('DADOS BRUTOS'!$A$3:$A$500,$B7,'DADOS BRUTOS'!DM$3:DM$500)+IF($C7="",0,SUMIF('DADOS BRUTOS'!$A$3:$A$500,$C7,'DADOS BRUTOS'!DM$3:DM$500)))</f>
        <v>0</v>
      </c>
      <c r="GN7" s="133" t="n">
        <f aca="false">IF(OR(GN$4="",$B7=""),0,SUMIF('DADOS BRUTOS'!$A$3:$A$500,$B7,'DADOS BRUTOS'!DN$3:DN$500)+IF($C7="",0,SUMIF('DADOS BRUTOS'!$A$3:$A$500,$C7,'DADOS BRUTOS'!DN$3:DN$500)))</f>
        <v>0</v>
      </c>
      <c r="GO7" s="133" t="n">
        <f aca="false">IF(OR(GO$4="",$B7=""),0,SUMIF('DADOS BRUTOS'!$A$3:$A$500,$B7,'DADOS BRUTOS'!DO$3:DO$500)+IF($C7="",0,SUMIF('DADOS BRUTOS'!$A$3:$A$500,$C7,'DADOS BRUTOS'!DO$3:DO$500)))</f>
        <v>0</v>
      </c>
      <c r="GP7" s="133" t="n">
        <f aca="false">IF(OR(GP$4="",$B7=""),0,SUMIF('DADOS BRUTOS'!$A$3:$A$500,$B7,'DADOS BRUTOS'!DP$3:DP$500)+IF($C7="",0,SUMIF('DADOS BRUTOS'!$A$3:$A$500,$C7,'DADOS BRUTOS'!DP$3:DP$500)))</f>
        <v>0</v>
      </c>
      <c r="GQ7" s="133" t="n">
        <f aca="false">IF(OR(GQ$4="",$B7=""),0,SUMIF('DADOS BRUTOS'!$A$3:$A$500,$B7,'DADOS BRUTOS'!DQ$3:DQ$500)+IF($C7="",0,SUMIF('DADOS BRUTOS'!$A$3:$A$500,$C7,'DADOS BRUTOS'!DQ$3:DQ$500)))</f>
        <v>0</v>
      </c>
      <c r="GR7" s="133" t="n">
        <f aca="false">IF(OR(GR$4="",$B7=""),0,SUMIF('DADOS BRUTOS'!$A$3:$A$500,$B7,'DADOS BRUTOS'!DR$3:DR$500)+IF($C7="",0,SUMIF('DADOS BRUTOS'!$A$3:$A$500,$C7,'DADOS BRUTOS'!DR$3:DR$500)))</f>
        <v>0</v>
      </c>
      <c r="GS7" s="133" t="n">
        <f aca="false">IF(OR(GS$4="",$B7=""),0,SUMIF('DADOS BRUTOS'!$A$3:$A$500,$B7,'DADOS BRUTOS'!DS$3:DS$500)+IF($C7="",0,SUMIF('DADOS BRUTOS'!$A$3:$A$500,$C7,'DADOS BRUTOS'!DS$3:DS$500)))</f>
        <v>0</v>
      </c>
      <c r="GT7" s="133" t="n">
        <f aca="false">IF(OR(GT$4="",$B7=""),0,SUMIF('DADOS BRUTOS'!$A$3:$A$500,$B7,'DADOS BRUTOS'!DT$3:DT$500)+IF($C7="",0,SUMIF('DADOS BRUTOS'!$A$3:$A$500,$C7,'DADOS BRUTOS'!DT$3:DT$500)))</f>
        <v>0</v>
      </c>
      <c r="GU7" s="133" t="n">
        <f aca="false">IF(OR(GU$4="",$B7=""),0,SUMIF('DADOS BRUTOS'!$A$3:$A$500,$B7,'DADOS BRUTOS'!DU$3:DU$500)+IF($C7="",0,SUMIF('DADOS BRUTOS'!$A$3:$A$500,$C7,'DADOS BRUTOS'!DU$3:DU$500)))</f>
        <v>0</v>
      </c>
      <c r="GV7" s="133" t="n">
        <f aca="false">IF(OR(GV$4="",$B7=""),0,SUMIF('DADOS BRUTOS'!$A$3:$A$500,$B7,'DADOS BRUTOS'!DV$3:DV$500)+IF($C7="",0,SUMIF('DADOS BRUTOS'!$A$3:$A$500,$C7,'DADOS BRUTOS'!DV$3:DV$500)))</f>
        <v>0</v>
      </c>
      <c r="GW7" s="133" t="n">
        <f aca="false">IF(OR(GW$4="",$B7=""),0,SUMIF('DADOS BRUTOS'!$A$3:$A$500,$B7,'DADOS BRUTOS'!DW$3:DW$500)+IF($C7="",0,SUMIF('DADOS BRUTOS'!$A$3:$A$500,$C7,'DADOS BRUTOS'!DW$3:DW$500)))</f>
        <v>0</v>
      </c>
      <c r="GX7" s="133" t="n">
        <f aca="false">IF(OR(GX$4="",$B7=""),0,SUMIF('DADOS BRUTOS'!$A$3:$A$500,$B7,'DADOS BRUTOS'!DX$3:DX$500)+IF($C7="",0,SUMIF('DADOS BRUTOS'!$A$3:$A$500,$C7,'DADOS BRUTOS'!DX$3:DX$500)))</f>
        <v>0</v>
      </c>
      <c r="GY7" s="133" t="n">
        <f aca="false">IF(OR(GY$4="",$B7=""),0,SUMIF('DADOS BRUTOS'!$A$3:$A$500,$B7,'DADOS BRUTOS'!DY$3:DY$500)+IF($C7="",0,SUMIF('DADOS BRUTOS'!$A$3:$A$500,$C7,'DADOS BRUTOS'!DY$3:DY$500)))</f>
        <v>0</v>
      </c>
      <c r="GZ7" s="133" t="n">
        <f aca="false">IF(OR(GZ$4="",$B7=""),0,SUMIF('DADOS BRUTOS'!$A$3:$A$500,$B7,'DADOS BRUTOS'!DZ$3:DZ$500)+IF($C7="",0,SUMIF('DADOS BRUTOS'!$A$3:$A$500,$C7,'DADOS BRUTOS'!DZ$3:DZ$500)))</f>
        <v>0</v>
      </c>
      <c r="HA7" s="133" t="n">
        <f aca="false">IF(OR(HA$4="",$B7=""),0,SUMIF('DADOS BRUTOS'!$A$3:$A$500,$B7,'DADOS BRUTOS'!EA$3:EA$500)+IF($C7="",0,SUMIF('DADOS BRUTOS'!$A$3:$A$500,$C7,'DADOS BRUTOS'!EA$3:EA$500)))</f>
        <v>0</v>
      </c>
      <c r="HB7" s="133" t="n">
        <f aca="false">IF(OR(HB$4="",$B7=""),0,SUMIF('DADOS BRUTOS'!$A$3:$A$500,$B7,'DADOS BRUTOS'!EB$3:EB$500)+IF($C7="",0,SUMIF('DADOS BRUTOS'!$A$3:$A$500,$C7,'DADOS BRUTOS'!EB$3:EB$500)))</f>
        <v>0</v>
      </c>
      <c r="HC7" s="133" t="n">
        <f aca="false">IF(OR(HC$4="",$B7=""),0,SUMIF('DADOS BRUTOS'!$A$3:$A$500,$B7,'DADOS BRUTOS'!EC$3:EC$500)+IF($C7="",0,SUMIF('DADOS BRUTOS'!$A$3:$A$500,$C7,'DADOS BRUTOS'!EC$3:EC$500)))</f>
        <v>0</v>
      </c>
      <c r="HD7" s="133" t="n">
        <f aca="false">IF(OR(HD$4="",$B7=""),0,SUMIF('DADOS BRUTOS'!$A$3:$A$500,$B7,'DADOS BRUTOS'!ED$3:ED$500)+IF($C7="",0,SUMIF('DADOS BRUTOS'!$A$3:$A$500,$C7,'DADOS BRUTOS'!ED$3:ED$500)))</f>
        <v>0</v>
      </c>
      <c r="HE7" s="133" t="n">
        <f aca="false">IF(OR(HE$4="",$B7=""),0,SUMIF('DADOS BRUTOS'!$A$3:$A$500,$B7,'DADOS BRUTOS'!EE$3:EE$500)+IF($C7="",0,SUMIF('DADOS BRUTOS'!$A$3:$A$500,$C7,'DADOS BRUTOS'!EE$3:EE$500)))</f>
        <v>0</v>
      </c>
      <c r="HF7" s="133" t="n">
        <f aca="false">IF(OR(HF$4="",$B7=""),0,SUMIF('DADOS BRUTOS'!$A$3:$A$500,$B7,'DADOS BRUTOS'!EF$3:EF$500)+IF($C7="",0,SUMIF('DADOS BRUTOS'!$A$3:$A$500,$C7,'DADOS BRUTOS'!EF$3:EF$500)))</f>
        <v>0</v>
      </c>
      <c r="HG7" s="133" t="n">
        <f aca="false">IF(OR(HG$4="",$B7=""),0,SUMIF('DADOS BRUTOS'!$A$3:$A$500,$B7,'DADOS BRUTOS'!EG$3:EG$500)+IF($C7="",0,SUMIF('DADOS BRUTOS'!$A$3:$A$500,$C7,'DADOS BRUTOS'!EG$3:EG$500)))</f>
        <v>0</v>
      </c>
      <c r="HH7" s="133" t="n">
        <f aca="false">IF(OR(HH$4="",$B7=""),0,SUMIF('DADOS BRUTOS'!$A$3:$A$500,$B7,'DADOS BRUTOS'!EH$3:EH$500)+IF($C7="",0,SUMIF('DADOS BRUTOS'!$A$3:$A$500,$C7,'DADOS BRUTOS'!EH$3:EH$500)))</f>
        <v>0</v>
      </c>
      <c r="HI7" s="133" t="n">
        <f aca="false">IF(OR(HI$4="",$B7=""),0,SUMIF('DADOS BRUTOS'!$A$3:$A$500,$B7,'DADOS BRUTOS'!EI$3:EI$500)+IF($C7="",0,SUMIF('DADOS BRUTOS'!$A$3:$A$500,$C7,'DADOS BRUTOS'!EI$3:EI$500)))</f>
        <v>0</v>
      </c>
      <c r="HJ7" s="133" t="n">
        <f aca="false">IF(OR(HJ$4="",$B7=""),0,SUMIF('DADOS BRUTOS'!$A$3:$A$500,$B7,'DADOS BRUTOS'!EJ$3:EJ$500)+IF($C7="",0,SUMIF('DADOS BRUTOS'!$A$3:$A$500,$C7,'DADOS BRUTOS'!EJ$3:EJ$500)))</f>
        <v>0</v>
      </c>
      <c r="HK7" s="133" t="n">
        <f aca="false">IF(OR(HK$4="",$B7=""),0,SUMIF('DADOS BRUTOS'!$A$3:$A$500,$B7,'DADOS BRUTOS'!EK$3:EK$500)+IF($C7="",0,SUMIF('DADOS BRUTOS'!$A$3:$A$500,$C7,'DADOS BRUTOS'!EK$3:EK$500)))</f>
        <v>0</v>
      </c>
      <c r="HL7" s="133" t="n">
        <f aca="false">IF(OR(HL$4="",$B7=""),0,SUMIF('DADOS BRUTOS'!$A$3:$A$500,$B7,'DADOS BRUTOS'!EL$3:EL$500)+IF($C7="",0,SUMIF('DADOS BRUTOS'!$A$3:$A$500,$C7,'DADOS BRUTOS'!EL$3:EL$500)))</f>
        <v>0</v>
      </c>
      <c r="HM7" s="133" t="n">
        <f aca="false">IF(OR(HM$4="",$B7=""),0,SUMIF('DADOS BRUTOS'!$A$3:$A$500,$B7,'DADOS BRUTOS'!EM$3:EM$500)+IF($C7="",0,SUMIF('DADOS BRUTOS'!$A$3:$A$500,$C7,'DADOS BRUTOS'!EM$3:EM$500)))</f>
        <v>0</v>
      </c>
      <c r="HN7" s="133" t="n">
        <f aca="false">IF(OR(HN$4="",$B7=""),0,SUMIF('DADOS BRUTOS'!$A$3:$A$500,$B7,'DADOS BRUTOS'!EN$3:EN$500)+IF($C7="",0,SUMIF('DADOS BRUTOS'!$A$3:$A$500,$C7,'DADOS BRUTOS'!EN$3:EN$500)))</f>
        <v>0</v>
      </c>
      <c r="HO7" s="133" t="n">
        <f aca="false">IF(OR(HO$4="",$B7=""),0,SUMIF('DADOS BRUTOS'!$A$3:$A$500,$B7,'DADOS BRUTOS'!EO$3:EO$500)+IF($C7="",0,SUMIF('DADOS BRUTOS'!$A$3:$A$500,$C7,'DADOS BRUTOS'!EO$3:EO$500)))</f>
        <v>0</v>
      </c>
      <c r="HP7" s="133" t="n">
        <f aca="false">IF(OR(HP$4="",$B7=""),0,SUMIF('DADOS BRUTOS'!$A$3:$A$500,$B7,'DADOS BRUTOS'!EP$3:EP$500)+IF($C7="",0,SUMIF('DADOS BRUTOS'!$A$3:$A$500,$C7,'DADOS BRUTOS'!EP$3:EP$500)))</f>
        <v>0</v>
      </c>
      <c r="HQ7" s="133" t="n">
        <f aca="false">IF(OR(HQ$4="",$B7=""),0,SUMIF('DADOS BRUTOS'!$A$3:$A$500,$B7,'DADOS BRUTOS'!EQ$3:EQ$500)+IF($C7="",0,SUMIF('DADOS BRUTOS'!$A$3:$A$500,$C7,'DADOS BRUTOS'!EQ$3:EQ$500)))</f>
        <v>0</v>
      </c>
      <c r="HR7" s="133" t="n">
        <f aca="false">IF(OR(HR$4="",$B7=""),0,SUMIF('DADOS BRUTOS'!$A$3:$A$500,$B7,'DADOS BRUTOS'!ER$3:ER$500)+IF($C7="",0,SUMIF('DADOS BRUTOS'!$A$3:$A$500,$C7,'DADOS BRUTOS'!ER$3:ER$500)))</f>
        <v>0</v>
      </c>
      <c r="HS7" s="133" t="n">
        <f aca="false">IF(OR(HS$4="",$B7=""),0,SUMIF('DADOS BRUTOS'!$A$3:$A$500,$B7,'DADOS BRUTOS'!ES$3:ES$500)+IF($C7="",0,SUMIF('DADOS BRUTOS'!$A$3:$A$500,$C7,'DADOS BRUTOS'!ES$3:ES$500)))</f>
        <v>0</v>
      </c>
      <c r="HT7" s="133" t="n">
        <f aca="false">IF(OR(HT$4="",$B7=""),0,SUMIF('DADOS BRUTOS'!$A$3:$A$500,$B7,'DADOS BRUTOS'!ET$3:ET$500)+IF($C7="",0,SUMIF('DADOS BRUTOS'!$A$3:$A$500,$C7,'DADOS BRUTOS'!ET$3:ET$500)))</f>
        <v>0</v>
      </c>
      <c r="HU7" s="133" t="n">
        <f aca="false">IF(OR(HU$4="",$B7=""),0,SUMIF('DADOS BRUTOS'!$A$3:$A$500,$B7,'DADOS BRUTOS'!EU$3:EU$500)+IF($C7="",0,SUMIF('DADOS BRUTOS'!$A$3:$A$500,$C7,'DADOS BRUTOS'!EU$3:EU$500)))</f>
        <v>0</v>
      </c>
      <c r="HV7" s="133" t="n">
        <f aca="false">IF(OR(HV$4="",$B7=""),0,SUMIF('DADOS BRUTOS'!$A$3:$A$500,$B7,'DADOS BRUTOS'!EV$3:EV$500)+IF($C7="",0,SUMIF('DADOS BRUTOS'!$A$3:$A$500,$C7,'DADOS BRUTOS'!EV$3:EV$500)))</f>
        <v>0</v>
      </c>
      <c r="HW7" s="133" t="n">
        <f aca="false">IF(OR(HW$4="",$B7=""),0,SUMIF('DADOS BRUTOS'!$A$3:$A$500,$B7,'DADOS BRUTOS'!EW$3:EW$500)+IF($C7="",0,SUMIF('DADOS BRUTOS'!$A$3:$A$500,$C7,'DADOS BRUTOS'!EW$3:EW$500)))</f>
        <v>0</v>
      </c>
      <c r="HX7" s="133" t="n">
        <f aca="false">IF(OR(HX$4="",$B7=""),0,SUMIF('DADOS BRUTOS'!$A$3:$A$500,$B7,'DADOS BRUTOS'!EX$3:EX$500)+IF($C7="",0,SUMIF('DADOS BRUTOS'!$A$3:$A$500,$C7,'DADOS BRUTOS'!EX$3:EX$500)))</f>
        <v>0</v>
      </c>
      <c r="HY7" s="133" t="n">
        <f aca="false">IF(OR(HY$4="",$B7=""),0,SUMIF('DADOS BRUTOS'!$A$3:$A$500,$B7,'DADOS BRUTOS'!EY$3:EY$500)+IF($C7="",0,SUMIF('DADOS BRUTOS'!$A$3:$A$500,$C7,'DADOS BRUTOS'!EY$3:EY$500)))</f>
        <v>0</v>
      </c>
      <c r="HZ7" s="133" t="n">
        <f aca="false">IF(OR(HZ$4="",$B7=""),0,SUMIF('DADOS BRUTOS'!$A$3:$A$500,$B7,'DADOS BRUTOS'!EZ$3:EZ$500)+IF($C7="",0,SUMIF('DADOS BRUTOS'!$A$3:$A$500,$C7,'DADOS BRUTOS'!EZ$3:EZ$500)))</f>
        <v>0</v>
      </c>
      <c r="IA7" s="133" t="n">
        <f aca="false">IF(OR(IA$4="",$B7=""),0,SUMIF('DADOS BRUTOS'!$A$3:$A$500,$B7,'DADOS BRUTOS'!FA$3:FA$500)+IF($C7="",0,SUMIF('DADOS BRUTOS'!$A$3:$A$500,$C7,'DADOS BRUTOS'!FA$3:FA$500)))</f>
        <v>0</v>
      </c>
      <c r="IB7" s="133" t="n">
        <f aca="false">IF(OR(IB$4="",$B7=""),0,SUMIF('DADOS BRUTOS'!$A$3:$A$500,$B7,'DADOS BRUTOS'!FB$3:FB$500)+IF($C7="",0,SUMIF('DADOS BRUTOS'!$A$3:$A$500,$C7,'DADOS BRUTOS'!FB$3:FB$500)))</f>
        <v>0</v>
      </c>
      <c r="IC7" s="133" t="n">
        <f aca="false">IF(OR(IC$4="",$B7=""),0,SUMIF('DADOS BRUTOS'!$A$3:$A$500,$B7,'DADOS BRUTOS'!FC$3:FC$500)+IF($C7="",0,SUMIF('DADOS BRUTOS'!$A$3:$A$500,$C7,'DADOS BRUTOS'!FC$3:FC$500)))</f>
        <v>0</v>
      </c>
      <c r="ID7" s="133" t="n">
        <f aca="false">IF(OR(ID$4="",$B7=""),0,SUMIF('DADOS BRUTOS'!$A$3:$A$500,$B7,'DADOS BRUTOS'!FD$3:FD$500)+IF($C7="",0,SUMIF('DADOS BRUTOS'!$A$3:$A$500,$C7,'DADOS BRUTOS'!FD$3:FD$500)))</f>
        <v>0</v>
      </c>
      <c r="IE7" s="133" t="n">
        <f aca="false">IF(OR(IE$4="",$B7=""),0,SUMIF('DADOS BRUTOS'!$A$3:$A$500,$B7,'DADOS BRUTOS'!FE$3:FE$500)+IF($C7="",0,SUMIF('DADOS BRUTOS'!$A$3:$A$500,$C7,'DADOS BRUTOS'!FE$3:FE$500)))</f>
        <v>0</v>
      </c>
      <c r="IF7" s="133" t="n">
        <f aca="false">IF(OR(IF$4="",$B7=""),0,SUMIF('DADOS BRUTOS'!$A$3:$A$500,$B7,'DADOS BRUTOS'!FF$3:FF$500)+IF($C7="",0,SUMIF('DADOS BRUTOS'!$A$3:$A$500,$C7,'DADOS BRUTOS'!FF$3:FF$500)))</f>
        <v>0</v>
      </c>
      <c r="IG7" s="133" t="n">
        <f aca="false">IF(OR(IG$4="",$B7=""),0,SUMIF('DADOS BRUTOS'!$A$3:$A$500,$B7,'DADOS BRUTOS'!FG$3:FG$500)+IF($C7="",0,SUMIF('DADOS BRUTOS'!$A$3:$A$500,$C7,'DADOS BRUTOS'!FG$3:FG$500)))</f>
        <v>0</v>
      </c>
      <c r="IH7" s="133" t="n">
        <f aca="false">IF(OR(IH$4="",$B7=""),0,SUMIF('DADOS BRUTOS'!$A$3:$A$500,$B7,'DADOS BRUTOS'!FH$3:FH$500)+IF($C7="",0,SUMIF('DADOS BRUTOS'!$A$3:$A$500,$C7,'DADOS BRUTOS'!FH$3:FH$500)))</f>
        <v>0</v>
      </c>
      <c r="II7" s="133" t="n">
        <f aca="false">IF(OR(II$4="",$B7=""),0,SUMIF('DADOS BRUTOS'!$A$3:$A$500,$B7,'DADOS BRUTOS'!FI$3:FI$500)+IF($C7="",0,SUMIF('DADOS BRUTOS'!$A$3:$A$500,$C7,'DADOS BRUTOS'!FI$3:FI$500)))</f>
        <v>0</v>
      </c>
      <c r="IJ7" s="133" t="n">
        <f aca="false">IF(OR(IJ$4="",$B7=""),0,SUMIF('DADOS BRUTOS'!$A$3:$A$500,$B7,'DADOS BRUTOS'!FJ$3:FJ$500)+IF($C7="",0,SUMIF('DADOS BRUTOS'!$A$3:$A$500,$C7,'DADOS BRUTOS'!FJ$3:FJ$500)))</f>
        <v>0</v>
      </c>
      <c r="IK7" s="133" t="n">
        <f aca="false">IF(OR(IK$4="",$B7=""),0,SUMIF('DADOS BRUTOS'!$A$3:$A$500,$B7,'DADOS BRUTOS'!FK$3:FK$500)+IF($C7="",0,SUMIF('DADOS BRUTOS'!$A$3:$A$500,$C7,'DADOS BRUTOS'!FK$3:FK$500)))</f>
        <v>0</v>
      </c>
      <c r="IL7" s="133" t="n">
        <f aca="false">IF(OR(IL$4="",$B7=""),0,SUMIF('DADOS BRUTOS'!$A$3:$A$500,$B7,'DADOS BRUTOS'!FL$3:FL$500)+IF($C7="",0,SUMIF('DADOS BRUTOS'!$A$3:$A$500,$C7,'DADOS BRUTOS'!FL$3:FL$500)))</f>
        <v>0</v>
      </c>
      <c r="IM7" s="133" t="n">
        <f aca="false">IF(OR(IM$4="",$B7=""),0,SUMIF('DADOS BRUTOS'!$A$3:$A$500,$B7,'DADOS BRUTOS'!FM$3:FM$500)+IF($C7="",0,SUMIF('DADOS BRUTOS'!$A$3:$A$500,$C7,'DADOS BRUTOS'!FM$3:FM$500)))</f>
        <v>0</v>
      </c>
      <c r="IN7" s="133" t="n">
        <f aca="false">IF(OR(IN$4="",$B7=""),0,SUMIF('DADOS BRUTOS'!$A$3:$A$500,$B7,'DADOS BRUTOS'!FN$3:FN$500)+IF($C7="",0,SUMIF('DADOS BRUTOS'!$A$3:$A$500,$C7,'DADOS BRUTOS'!FN$3:FN$500)))</f>
        <v>0</v>
      </c>
      <c r="IO7" s="133" t="n">
        <f aca="false">IF(OR(IO$4="",$B7=""),0,SUMIF('DADOS BRUTOS'!$A$3:$A$500,$B7,'DADOS BRUTOS'!FO$3:FO$500)+IF($C7="",0,SUMIF('DADOS BRUTOS'!$A$3:$A$500,$C7,'DADOS BRUTOS'!FO$3:FO$500)))</f>
        <v>0</v>
      </c>
      <c r="IP7" s="133" t="n">
        <f aca="false">IF(OR(IP$4="",$B7=""),0,SUMIF('DADOS BRUTOS'!$A$3:$A$500,$B7,'DADOS BRUTOS'!FP$3:FP$500)+IF($C7="",0,SUMIF('DADOS BRUTOS'!$A$3:$A$500,$C7,'DADOS BRUTOS'!FP$3:FP$500)))</f>
        <v>0</v>
      </c>
      <c r="IQ7" s="133" t="n">
        <f aca="false">IF(OR(IQ$4="",$B7=""),0,SUMIF('DADOS BRUTOS'!$A$3:$A$500,$B7,'DADOS BRUTOS'!FQ$3:FQ$500)+IF($C7="",0,SUMIF('DADOS BRUTOS'!$A$3:$A$500,$C7,'DADOS BRUTOS'!FQ$3:FQ$500)))</f>
        <v>0</v>
      </c>
      <c r="IR7" s="133" t="n">
        <f aca="false">IF(OR(IR$4="",$B7=""),0,SUMIF('DADOS BRUTOS'!$A$3:$A$500,$B7,'DADOS BRUTOS'!FR$3:FR$500)+IF($C7="",0,SUMIF('DADOS BRUTOS'!$A$3:$A$500,$C7,'DADOS BRUTOS'!FR$3:FR$500)))</f>
        <v>0</v>
      </c>
      <c r="IS7" s="133" t="n">
        <f aca="false">IF(OR(IS$4="",$B7=""),0,SUMIF('DADOS BRUTOS'!$A$3:$A$500,$B7,'DADOS BRUTOS'!FS$3:FS$500)+IF($C7="",0,SUMIF('DADOS BRUTOS'!$A$3:$A$500,$C7,'DADOS BRUTOS'!FS$3:FS$500)))</f>
        <v>0</v>
      </c>
      <c r="IT7" s="133" t="n">
        <f aca="false">IF(OR(IT$4="",$B7=""),0,SUMIF('DADOS BRUTOS'!$A$3:$A$500,$B7,'DADOS BRUTOS'!FT$3:FT$500)+IF($C7="",0,SUMIF('DADOS BRUTOS'!$A$3:$A$500,$C7,'DADOS BRUTOS'!FT$3:FT$500)))</f>
        <v>0</v>
      </c>
      <c r="IU7" s="133" t="n">
        <f aca="false">IF(OR(IU$4="",$B7=""),0,SUMIF('DADOS BRUTOS'!$A$3:$A$500,$B7,'DADOS BRUTOS'!FU$3:FU$500)+IF($C7="",0,SUMIF('DADOS BRUTOS'!$A$3:$A$500,$C7,'DADOS BRUTOS'!FU$3:FU$500)))</f>
        <v>0</v>
      </c>
      <c r="IV7" s="133" t="n">
        <f aca="false">IF(OR(IV$4="",$B7=""),0,SUMIF('DADOS BRUTOS'!$A$3:$A$500,$B7,'DADOS BRUTOS'!FV$3:FV$500)+IF($C7="",0,SUMIF('DADOS BRUTOS'!$A$3:$A$500,$C7,'DADOS BRUTOS'!FV$3:FV$500)))</f>
        <v>0</v>
      </c>
      <c r="IW7" s="133" t="n">
        <f aca="false">IF(OR(IW$4="",$B7=""),0,SUMIF('DADOS BRUTOS'!$A$3:$A$500,$B7,'DADOS BRUTOS'!FW$3:FW$500)+IF($C7="",0,SUMIF('DADOS BRUTOS'!$A$3:$A$500,$C7,'DADOS BRUTOS'!FW$3:FW$500)))</f>
        <v>0</v>
      </c>
      <c r="IX7" s="133" t="n">
        <f aca="false">IF(OR(IX$4="",$B7=""),0,SUMIF('DADOS BRUTOS'!$A$3:$A$500,$B7,'DADOS BRUTOS'!FX$3:FX$500)+IF($C7="",0,SUMIF('DADOS BRUTOS'!$A$3:$A$500,$C7,'DADOS BRUTOS'!FX$3:FX$500)))</f>
        <v>0</v>
      </c>
      <c r="IY7" s="133" t="n">
        <f aca="false">IF(OR(IY$4="",$B7=""),0,SUMIF('DADOS BRUTOS'!$A$3:$A$500,$B7,'DADOS BRUTOS'!FY$3:FY$500)+IF($C7="",0,SUMIF('DADOS BRUTOS'!$A$3:$A$500,$C7,'DADOS BRUTOS'!FY$3:FY$500)))</f>
        <v>0</v>
      </c>
      <c r="IZ7" s="133" t="n">
        <f aca="false">IF(OR(IZ$4="",$B7=""),0,SUMIF('DADOS BRUTOS'!$A$3:$A$500,$B7,'DADOS BRUTOS'!FZ$3:FZ$500)+IF($C7="",0,SUMIF('DADOS BRUTOS'!$A$3:$A$500,$C7,'DADOS BRUTOS'!FZ$3:FZ$500)))</f>
        <v>0</v>
      </c>
      <c r="JA7" s="133" t="n">
        <f aca="false">IF(OR(JA$4="",$B7=""),0,SUMIF('DADOS BRUTOS'!$A$3:$A$500,$B7,'DADOS BRUTOS'!GA$3:GA$500)+IF($C7="",0,SUMIF('DADOS BRUTOS'!$A$3:$A$500,$C7,'DADOS BRUTOS'!GA$3:GA$500)))</f>
        <v>0</v>
      </c>
      <c r="JB7" s="133" t="n">
        <f aca="false">IF(OR(JB$4="",$B7=""),0,SUMIF('DADOS BRUTOS'!$A$3:$A$500,$B7,'DADOS BRUTOS'!GB$3:GB$500)+IF($C7="",0,SUMIF('DADOS BRUTOS'!$A$3:$A$500,$C7,'DADOS BRUTOS'!GB$3:GB$500)))</f>
        <v>0</v>
      </c>
      <c r="JC7" s="133" t="n">
        <f aca="false">IF(OR(JC$4="",$B7=""),0,SUMIF('DADOS BRUTOS'!$A$3:$A$500,$B7,'DADOS BRUTOS'!GC$3:GC$500)+IF($C7="",0,SUMIF('DADOS BRUTOS'!$A$3:$A$500,$C7,'DADOS BRUTOS'!GC$3:GC$500)))</f>
        <v>0</v>
      </c>
      <c r="JD7" s="133" t="n">
        <f aca="false">IF(OR(JD$4="",$B7=""),0,SUMIF('DADOS BRUTOS'!$A$3:$A$500,$B7,'DADOS BRUTOS'!GD$3:GD$500)+IF($C7="",0,SUMIF('DADOS BRUTOS'!$A$3:$A$500,$C7,'DADOS BRUTOS'!GD$3:GD$500)))</f>
        <v>0</v>
      </c>
      <c r="JE7" s="133" t="n">
        <f aca="false">IF(OR(JE$4="",$B7=""),0,SUMIF('DADOS BRUTOS'!$A$3:$A$500,$B7,'DADOS BRUTOS'!GE$3:GE$500)+IF($C7="",0,SUMIF('DADOS BRUTOS'!$A$3:$A$500,$C7,'DADOS BRUTOS'!GE$3:GE$500)))</f>
        <v>0</v>
      </c>
      <c r="JF7" s="133" t="n">
        <f aca="false">IF(OR(JF$4="",$B7=""),0,SUMIF('DADOS BRUTOS'!$A$3:$A$500,$B7,'DADOS BRUTOS'!GF$3:GF$500)+IF($C7="",0,SUMIF('DADOS BRUTOS'!$A$3:$A$500,$C7,'DADOS BRUTOS'!GF$3:GF$500)))</f>
        <v>0</v>
      </c>
      <c r="JG7" s="133" t="n">
        <f aca="false">IF(OR(JG$4="",$B7=""),0,SUMIF('DADOS BRUTOS'!$A$3:$A$500,$B7,'DADOS BRUTOS'!GG$3:GG$500)+IF($C7="",0,SUMIF('DADOS BRUTOS'!$A$3:$A$500,$C7,'DADOS BRUTOS'!GG$3:GG$500)))</f>
        <v>0</v>
      </c>
      <c r="JH7" s="133" t="n">
        <f aca="false">IF(OR(JH$4="",$B7=""),0,SUMIF('DADOS BRUTOS'!$A$3:$A$500,$B7,'DADOS BRUTOS'!GH$3:GH$500)+IF($C7="",0,SUMIF('DADOS BRUTOS'!$A$3:$A$500,$C7,'DADOS BRUTOS'!GH$3:GH$500)))</f>
        <v>0</v>
      </c>
      <c r="JI7" s="133" t="n">
        <f aca="false">IF(OR(JI$4="",$B7=""),0,SUMIF('DADOS BRUTOS'!$A$3:$A$500,$B7,'DADOS BRUTOS'!GI$3:GI$500)+IF($C7="",0,SUMIF('DADOS BRUTOS'!$A$3:$A$500,$C7,'DADOS BRUTOS'!GI$3:GI$500)))</f>
        <v>0</v>
      </c>
      <c r="JJ7" s="133" t="n">
        <f aca="false">IF(OR(JJ$4="",$B7=""),0,SUMIF('DADOS BRUTOS'!$A$3:$A$500,$B7,'DADOS BRUTOS'!GJ$3:GJ$500)+IF($C7="",0,SUMIF('DADOS BRUTOS'!$A$3:$A$500,$C7,'DADOS BRUTOS'!GJ$3:GJ$500)))</f>
        <v>0</v>
      </c>
      <c r="JK7" s="133" t="n">
        <f aca="false">IF(OR(JK$4="",$B7=""),0,SUMIF('DADOS BRUTOS'!$A$3:$A$500,$B7,'DADOS BRUTOS'!GK$3:GK$500)+IF($C7="",0,SUMIF('DADOS BRUTOS'!$A$3:$A$500,$C7,'DADOS BRUTOS'!GK$3:GK$500)))</f>
        <v>0</v>
      </c>
      <c r="JL7" s="133" t="n">
        <f aca="false">IF(OR(JL$4="",$B7=""),0,SUMIF('DADOS BRUTOS'!$A$3:$A$500,$B7,'DADOS BRUTOS'!GL$3:GL$500)+IF($C7="",0,SUMIF('DADOS BRUTOS'!$A$3:$A$500,$C7,'DADOS BRUTOS'!GL$3:GL$500)))</f>
        <v>0</v>
      </c>
      <c r="JM7" s="133" t="n">
        <f aca="false">IF(OR(JM$4="",$B7=""),0,SUMIF('DADOS BRUTOS'!$A$3:$A$500,$B7,'DADOS BRUTOS'!GM$3:GM$500)+IF($C7="",0,SUMIF('DADOS BRUTOS'!$A$3:$A$500,$C7,'DADOS BRUTOS'!GM$3:GM$500)))</f>
        <v>0</v>
      </c>
      <c r="JN7" s="133" t="n">
        <f aca="false">IF(OR(JN$4="",$B7=""),0,SUMIF('DADOS BRUTOS'!$A$3:$A$500,$B7,'DADOS BRUTOS'!GN$3:GN$500)+IF($C7="",0,SUMIF('DADOS BRUTOS'!$A$3:$A$500,$C7,'DADOS BRUTOS'!GN$3:GN$500)))</f>
        <v>0</v>
      </c>
      <c r="JO7" s="133" t="n">
        <f aca="false">IF(OR(JO$4="",$B7=""),0,SUMIF('DADOS BRUTOS'!$A$3:$A$500,$B7,'DADOS BRUTOS'!GO$3:GO$500)+IF($C7="",0,SUMIF('DADOS BRUTOS'!$A$3:$A$500,$C7,'DADOS BRUTOS'!GO$3:GO$500)))</f>
        <v>0</v>
      </c>
      <c r="JP7" s="133" t="n">
        <f aca="false">IF(OR(JP$4="",$B7=""),0,SUMIF('DADOS BRUTOS'!$A$3:$A$500,$B7,'DADOS BRUTOS'!GP$3:GP$500)+IF($C7="",0,SUMIF('DADOS BRUTOS'!$A$3:$A$500,$C7,'DADOS BRUTOS'!GP$3:GP$500)))</f>
        <v>0</v>
      </c>
      <c r="JQ7" s="133" t="n">
        <f aca="false">IF(OR(JQ$4="",$B7=""),0,SUMIF('DADOS BRUTOS'!$A$3:$A$500,$B7,'DADOS BRUTOS'!GQ$3:GQ$500)+IF($C7="",0,SUMIF('DADOS BRUTOS'!$A$3:$A$500,$C7,'DADOS BRUTOS'!GQ$3:GQ$500)))</f>
        <v>0</v>
      </c>
      <c r="JR7" s="133" t="n">
        <f aca="false">IF(OR(JR$4="",$B7=""),0,SUMIF('DADOS BRUTOS'!$A$3:$A$500,$B7,'DADOS BRUTOS'!GR$3:GR$500)+IF($C7="",0,SUMIF('DADOS BRUTOS'!$A$3:$A$500,$C7,'DADOS BRUTOS'!GR$3:GR$500)))</f>
        <v>0</v>
      </c>
      <c r="JS7" s="133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61380.97</v>
      </c>
      <c r="E8" s="50" t="n">
        <f aca="false">SUMIF($CB$4:$JS$4,E$4,$CB8:$JS8)</f>
        <v>0</v>
      </c>
      <c r="F8" s="50" t="n">
        <f aca="false">SUMIF($CB$4:$JS$4,F$4,$CB8:$JS8)</f>
        <v>0</v>
      </c>
      <c r="G8" s="50" t="n">
        <f aca="false">SUMIF($CB$4:$JS$4,G$4,$CB8:$JS8)</f>
        <v>0</v>
      </c>
      <c r="H8" s="50" t="n">
        <f aca="false">SUMIF($CB$4:$JS$4,H$4,$CB8:$JS8)</f>
        <v>0</v>
      </c>
      <c r="I8" s="50" t="n">
        <f aca="false">SUMIF($CB$4:$JS$4,I$4,$CB8:$JS8)</f>
        <v>0</v>
      </c>
      <c r="J8" s="50" t="n">
        <f aca="false">SUMIF($CB$4:$JS$4,J$4,$CB8:$JS8)</f>
        <v>61557.78</v>
      </c>
      <c r="K8" s="50" t="n">
        <f aca="false">SUMIF($CB$4:$JS$4,K$4,$CB8:$JS8)</f>
        <v>70633.03</v>
      </c>
      <c r="L8" s="50" t="n">
        <f aca="false">SUMIF($CB$4:$JS$4,L$4,$CB8:$JS8)</f>
        <v>66792.52</v>
      </c>
      <c r="M8" s="50" t="n">
        <f aca="false">SUMIF($CB$4:$JS$4,M$4,$CB8:$JS8)</f>
        <v>71201.4</v>
      </c>
      <c r="N8" s="50" t="n">
        <f aca="false">SUMIF($CB$4:$JS$4,N$4,$CB8:$JS8)</f>
        <v>59244.3</v>
      </c>
      <c r="O8" s="50" t="n">
        <f aca="false">SUMIF($CB$4:$JS$4,O$4,$CB8:$JS8)</f>
        <v>40715.62</v>
      </c>
      <c r="P8" s="50" t="n">
        <f aca="false">SUMIF($CB$4:$JS$4,P$4,$CB8:$JS8)</f>
        <v>51460.01</v>
      </c>
      <c r="Q8" s="50" t="n">
        <f aca="false">SUMIF($CB$4:$JS$4,Q$4,$CB8:$JS8)</f>
        <v>22683.91</v>
      </c>
      <c r="R8" s="50" t="n">
        <f aca="false">SUMIF($CB$4:$JS$4,R$4,$CB8:$JS8)</f>
        <v>17563.67</v>
      </c>
      <c r="S8" s="50" t="n">
        <f aca="false">SUMIF($CB$4:$JS$4,S$4,$CB8:$JS8)</f>
        <v>14403.47</v>
      </c>
      <c r="T8" s="50" t="n">
        <f aca="false">SUMIF($CB$4:$JS$4,T$4,$CB8:$JS8)</f>
        <v>13639.33</v>
      </c>
      <c r="U8" s="50" t="n">
        <f aca="false">SUMIF($CB$4:$JS$4,U$4,$CB8:$JS8)</f>
        <v>19885.18</v>
      </c>
      <c r="V8" s="50" t="n">
        <f aca="false">SUMIF($CB$4:$JS$4,V$4,$CB8:$JS8)</f>
        <v>14872.41</v>
      </c>
      <c r="W8" s="50" t="n">
        <f aca="false">SUMIF($CB$4:$JS$4,W$4,$CB8:$JS8)</f>
        <v>28641.88</v>
      </c>
      <c r="X8" s="50" t="n">
        <f aca="false">SUMIF($CB$4:$JS$4,X$4,$CB8:$JS8)</f>
        <v>16434.13</v>
      </c>
      <c r="Y8" s="50" t="n">
        <f aca="false">SUMIF($CB$4:$JS$4,Y$4,$CB8:$JS8)</f>
        <v>19390.05</v>
      </c>
      <c r="Z8" s="50" t="n">
        <f aca="false">SUMIF($CB$4:$JS$4,Z$4,$CB8:$JS8)</f>
        <v>10528.99</v>
      </c>
      <c r="AA8" s="50" t="n">
        <f aca="false">SUMIF($CB$4:$JS$4,AA$4,$CB8:$JS8)</f>
        <v>3994.37</v>
      </c>
      <c r="AB8" s="50" t="n">
        <f aca="false">SUMIF($CB$4:$JS$4,AB$4,$CB8:$JS8)</f>
        <v>3526.47</v>
      </c>
      <c r="AC8" s="50" t="n">
        <f aca="false">SUMIF($CB$4:$JS$4,AC$4,$CB8:$JS8)</f>
        <v>0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3700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672914.49</v>
      </c>
      <c r="BZ8" s="45" t="n">
        <f aca="false">SUMPRODUCT(($CB$4:$JS$4&lt;&gt;"")*($CB$4:$JS$4&lt;=$D$4),$CB8:$JS8,$CB$1:$JS$1)</f>
        <v>53.8981367600457</v>
      </c>
      <c r="CB8" s="133" t="n">
        <f aca="false">IF(OR(CB$4="",$B8=""),0,SUMIF('DADOS BRUTOS'!$A$3:$A$500,$B8,'DADOS BRUTOS'!B$3:B$500)+IF($C8="",0,SUMIF('DADOS BRUTOS'!$A$3:$A$500,$C8,'DADOS BRUTOS'!B$3:B$500)))</f>
        <v>0</v>
      </c>
      <c r="CC8" s="133" t="n">
        <f aca="false">IF(OR(CC$4="",$B8=""),0,SUMIF('DADOS BRUTOS'!$A$3:$A$500,$B8,'DADOS BRUTOS'!C$3:C$500)+IF($C8="",0,SUMIF('DADOS BRUTOS'!$A$3:$A$500,$C8,'DADOS BRUTOS'!C$3:C$500)))</f>
        <v>0</v>
      </c>
      <c r="CD8" s="133" t="n">
        <f aca="false">IF(OR(CD$4="",$B8=""),0,SUMIF('DADOS BRUTOS'!$A$3:$A$500,$B8,'DADOS BRUTOS'!D$3:D$500)+IF($C8="",0,SUMIF('DADOS BRUTOS'!$A$3:$A$500,$C8,'DADOS BRUTOS'!D$3:D$500)))</f>
        <v>0</v>
      </c>
      <c r="CE8" s="133" t="n">
        <f aca="false">IF(OR(CE$4="",$B8=""),0,SUMIF('DADOS BRUTOS'!$A$3:$A$500,$B8,'DADOS BRUTOS'!E$3:E$500)+IF($C8="",0,SUMIF('DADOS BRUTOS'!$A$3:$A$500,$C8,'DADOS BRUTOS'!E$3:E$500)))</f>
        <v>0</v>
      </c>
      <c r="CF8" s="133" t="n">
        <f aca="false">IF(OR(CF$4="",$B8=""),0,SUMIF('DADOS BRUTOS'!$A$3:$A$500,$B8,'DADOS BRUTOS'!F$3:F$500)+IF($C8="",0,SUMIF('DADOS BRUTOS'!$A$3:$A$500,$C8,'DADOS BRUTOS'!F$3:F$500)))</f>
        <v>0</v>
      </c>
      <c r="CG8" s="133" t="n">
        <f aca="false">IF(OR(CG$4="",$B8=""),0,SUMIF('DADOS BRUTOS'!$A$3:$A$500,$B8,'DADOS BRUTOS'!G$3:G$500)+IF($C8="",0,SUMIF('DADOS BRUTOS'!$A$3:$A$500,$C8,'DADOS BRUTOS'!G$3:G$500)))</f>
        <v>0</v>
      </c>
      <c r="CH8" s="133" t="n">
        <f aca="false">IF(OR(CH$4="",$B8=""),0,SUMIF('DADOS BRUTOS'!$A$3:$A$500,$B8,'DADOS BRUTOS'!H$3:H$500)+IF($C8="",0,SUMIF('DADOS BRUTOS'!$A$3:$A$500,$C8,'DADOS BRUTOS'!H$3:H$500)))</f>
        <v>0</v>
      </c>
      <c r="CI8" s="133" t="n">
        <f aca="false">IF(OR(CI$4="",$B8=""),0,SUMIF('DADOS BRUTOS'!$A$3:$A$500,$B8,'DADOS BRUTOS'!I$3:I$500)+IF($C8="",0,SUMIF('DADOS BRUTOS'!$A$3:$A$500,$C8,'DADOS BRUTOS'!I$3:I$500)))</f>
        <v>1566.87</v>
      </c>
      <c r="CJ8" s="133" t="n">
        <f aca="false">IF(OR(CJ$4="",$B8=""),0,SUMIF('DADOS BRUTOS'!$A$3:$A$500,$B8,'DADOS BRUTOS'!J$3:J$500)+IF($C8="",0,SUMIF('DADOS BRUTOS'!$A$3:$A$500,$C8,'DADOS BRUTOS'!J$3:J$500)))</f>
        <v>22290.15</v>
      </c>
      <c r="CK8" s="133" t="n">
        <f aca="false">IF(OR(CK$4="",$B8=""),0,SUMIF('DADOS BRUTOS'!$A$3:$A$500,$B8,'DADOS BRUTOS'!K$3:K$500)+IF($C8="",0,SUMIF('DADOS BRUTOS'!$A$3:$A$500,$C8,'DADOS BRUTOS'!K$3:K$500)))</f>
        <v>36188.25</v>
      </c>
      <c r="CL8" s="133" t="n">
        <f aca="false">IF(OR(CL$4="",$B8=""),0,SUMIF('DADOS BRUTOS'!$A$3:$A$500,$B8,'DADOS BRUTOS'!L$3:L$500)+IF($C8="",0,SUMIF('DADOS BRUTOS'!$A$3:$A$500,$C8,'DADOS BRUTOS'!L$3:L$500)))</f>
        <v>585.7</v>
      </c>
      <c r="CM8" s="133" t="n">
        <f aca="false">IF(OR(CM$4="",$B8=""),0,SUMIF('DADOS BRUTOS'!$A$3:$A$500,$B8,'DADOS BRUTOS'!M$3:M$500)+IF($C8="",0,SUMIF('DADOS BRUTOS'!$A$3:$A$500,$C8,'DADOS BRUTOS'!M$3:M$500)))</f>
        <v>750</v>
      </c>
      <c r="CN8" s="133" t="n">
        <f aca="false">IF(OR(CN$4="",$B8=""),0,SUMIF('DADOS BRUTOS'!$A$3:$A$500,$B8,'DADOS BRUTOS'!N$3:N$500)+IF($C8="",0,SUMIF('DADOS BRUTOS'!$A$3:$A$500,$C8,'DADOS BRUTOS'!N$3:N$500)))</f>
        <v>0</v>
      </c>
      <c r="CO8" s="133" t="n">
        <f aca="false">IF(OR(CO$4="",$B8=""),0,SUMIF('DADOS BRUTOS'!$A$3:$A$500,$B8,'DADOS BRUTOS'!O$3:O$500)+IF($C8="",0,SUMIF('DADOS BRUTOS'!$A$3:$A$500,$C8,'DADOS BRUTOS'!O$3:O$500)))</f>
        <v>0</v>
      </c>
      <c r="CP8" s="133" t="n">
        <f aca="false">IF(OR(CP$4="",$B8=""),0,SUMIF('DADOS BRUTOS'!$A$3:$A$500,$B8,'DADOS BRUTOS'!P$3:P$500)+IF($C8="",0,SUMIF('DADOS BRUTOS'!$A$3:$A$500,$C8,'DADOS BRUTOS'!P$3:P$500)))</f>
        <v>0</v>
      </c>
      <c r="CQ8" s="133" t="n">
        <f aca="false">IF(OR(CQ$4="",$B8=""),0,SUMIF('DADOS BRUTOS'!$A$3:$A$500,$B8,'DADOS BRUTOS'!Q$3:Q$500)+IF($C8="",0,SUMIF('DADOS BRUTOS'!$A$3:$A$500,$C8,'DADOS BRUTOS'!Q$3:Q$500)))</f>
        <v>0</v>
      </c>
      <c r="CR8" s="133" t="n">
        <f aca="false">IF(OR(CR$4="",$B8=""),0,SUMIF('DADOS BRUTOS'!$A$3:$A$500,$B8,'DADOS BRUTOS'!R$3:R$500)+IF($C8="",0,SUMIF('DADOS BRUTOS'!$A$3:$A$500,$C8,'DADOS BRUTOS'!R$3:R$500)))</f>
        <v>0</v>
      </c>
      <c r="CS8" s="133" t="n">
        <f aca="false">IF(OR(CS$4="",$B8=""),0,SUMIF('DADOS BRUTOS'!$A$3:$A$500,$B8,'DADOS BRUTOS'!S$3:S$500)+IF($C8="",0,SUMIF('DADOS BRUTOS'!$A$3:$A$500,$C8,'DADOS BRUTOS'!S$3:S$500)))</f>
        <v>0</v>
      </c>
      <c r="CT8" s="133" t="n">
        <f aca="false">IF(OR(CT$4="",$B8=""),0,SUMIF('DADOS BRUTOS'!$A$3:$A$500,$B8,'DADOS BRUTOS'!T$3:T$500)+IF($C8="",0,SUMIF('DADOS BRUTOS'!$A$3:$A$500,$C8,'DADOS BRUTOS'!T$3:T$500)))</f>
        <v>61557.78</v>
      </c>
      <c r="CU8" s="133" t="n">
        <f aca="false">IF(OR(CU$4="",$B8=""),0,SUMIF('DADOS BRUTOS'!$A$3:$A$500,$B8,'DADOS BRUTOS'!U$3:U$500)+IF($C8="",0,SUMIF('DADOS BRUTOS'!$A$3:$A$500,$C8,'DADOS BRUTOS'!U$3:U$500)))</f>
        <v>70633.03</v>
      </c>
      <c r="CV8" s="133" t="n">
        <f aca="false">IF(OR(CV$4="",$B8=""),0,SUMIF('DADOS BRUTOS'!$A$3:$A$500,$B8,'DADOS BRUTOS'!V$3:V$500)+IF($C8="",0,SUMIF('DADOS BRUTOS'!$A$3:$A$500,$C8,'DADOS BRUTOS'!V$3:V$500)))</f>
        <v>66792.52</v>
      </c>
      <c r="CW8" s="133" t="n">
        <f aca="false">IF(OR(CW$4="",$B8=""),0,SUMIF('DADOS BRUTOS'!$A$3:$A$500,$B8,'DADOS BRUTOS'!W$3:W$500)+IF($C8="",0,SUMIF('DADOS BRUTOS'!$A$3:$A$500,$C8,'DADOS BRUTOS'!W$3:W$500)))</f>
        <v>71201.4</v>
      </c>
      <c r="CX8" s="133" t="n">
        <f aca="false">IF(OR(CX$4="",$B8=""),0,SUMIF('DADOS BRUTOS'!$A$3:$A$500,$B8,'DADOS BRUTOS'!X$3:X$500)+IF($C8="",0,SUMIF('DADOS BRUTOS'!$A$3:$A$500,$C8,'DADOS BRUTOS'!X$3:X$500)))</f>
        <v>59244.3</v>
      </c>
      <c r="CY8" s="133" t="n">
        <f aca="false">IF(OR(CY$4="",$B8=""),0,SUMIF('DADOS BRUTOS'!$A$3:$A$500,$B8,'DADOS BRUTOS'!Y$3:Y$500)+IF($C8="",0,SUMIF('DADOS BRUTOS'!$A$3:$A$500,$C8,'DADOS BRUTOS'!Y$3:Y$500)))</f>
        <v>40715.62</v>
      </c>
      <c r="CZ8" s="133" t="n">
        <f aca="false">IF(OR(CZ$4="",$B8=""),0,SUMIF('DADOS BRUTOS'!$A$3:$A$500,$B8,'DADOS BRUTOS'!Z$3:Z$500)+IF($C8="",0,SUMIF('DADOS BRUTOS'!$A$3:$A$500,$C8,'DADOS BRUTOS'!Z$3:Z$500)))</f>
        <v>51460.01</v>
      </c>
      <c r="DA8" s="133" t="n">
        <f aca="false">IF(OR(DA$4="",$B8=""),0,SUMIF('DADOS BRUTOS'!$A$3:$A$500,$B8,'DADOS BRUTOS'!AA$3:AA$500)+IF($C8="",0,SUMIF('DADOS BRUTOS'!$A$3:$A$500,$C8,'DADOS BRUTOS'!AA$3:AA$500)))</f>
        <v>22683.91</v>
      </c>
      <c r="DB8" s="133" t="n">
        <f aca="false">IF(OR(DB$4="",$B8=""),0,SUMIF('DADOS BRUTOS'!$A$3:$A$500,$B8,'DADOS BRUTOS'!AB$3:AB$500)+IF($C8="",0,SUMIF('DADOS BRUTOS'!$A$3:$A$500,$C8,'DADOS BRUTOS'!AB$3:AB$500)))</f>
        <v>17563.67</v>
      </c>
      <c r="DC8" s="133" t="n">
        <f aca="false">IF(OR(DC$4="",$B8=""),0,SUMIF('DADOS BRUTOS'!$A$3:$A$500,$B8,'DADOS BRUTOS'!AC$3:AC$500)+IF($C8="",0,SUMIF('DADOS BRUTOS'!$A$3:$A$500,$C8,'DADOS BRUTOS'!AC$3:AC$500)))</f>
        <v>14403.47</v>
      </c>
      <c r="DD8" s="133" t="n">
        <f aca="false">IF(OR(DD$4="",$B8=""),0,SUMIF('DADOS BRUTOS'!$A$3:$A$500,$B8,'DADOS BRUTOS'!AD$3:AD$500)+IF($C8="",0,SUMIF('DADOS BRUTOS'!$A$3:$A$500,$C8,'DADOS BRUTOS'!AD$3:AD$500)))</f>
        <v>13639.33</v>
      </c>
      <c r="DE8" s="133" t="n">
        <f aca="false">IF(OR(DE$4="",$B8=""),0,SUMIF('DADOS BRUTOS'!$A$3:$A$500,$B8,'DADOS BRUTOS'!AE$3:AE$500)+IF($C8="",0,SUMIF('DADOS BRUTOS'!$A$3:$A$500,$C8,'DADOS BRUTOS'!AE$3:AE$500)))</f>
        <v>19885.18</v>
      </c>
      <c r="DF8" s="133" t="n">
        <f aca="false">IF(OR(DF$4="",$B8=""),0,SUMIF('DADOS BRUTOS'!$A$3:$A$500,$B8,'DADOS BRUTOS'!AF$3:AF$500)+IF($C8="",0,SUMIF('DADOS BRUTOS'!$A$3:$A$500,$C8,'DADOS BRUTOS'!AF$3:AF$500)))</f>
        <v>14872.41</v>
      </c>
      <c r="DG8" s="133" t="n">
        <f aca="false">IF(OR(DG$4="",$B8=""),0,SUMIF('DADOS BRUTOS'!$A$3:$A$500,$B8,'DADOS BRUTOS'!AG$3:AG$500)+IF($C8="",0,SUMIF('DADOS BRUTOS'!$A$3:$A$500,$C8,'DADOS BRUTOS'!AG$3:AG$500)))</f>
        <v>28641.88</v>
      </c>
      <c r="DH8" s="133" t="n">
        <f aca="false">IF(OR(DH$4="",$B8=""),0,SUMIF('DADOS BRUTOS'!$A$3:$A$500,$B8,'DADOS BRUTOS'!AH$3:AH$500)+IF($C8="",0,SUMIF('DADOS BRUTOS'!$A$3:$A$500,$C8,'DADOS BRUTOS'!AH$3:AH$500)))</f>
        <v>16434.13</v>
      </c>
      <c r="DI8" s="133" t="n">
        <f aca="false">IF(OR(DI$4="",$B8=""),0,SUMIF('DADOS BRUTOS'!$A$3:$A$500,$B8,'DADOS BRUTOS'!AI$3:AI$500)+IF($C8="",0,SUMIF('DADOS BRUTOS'!$A$3:$A$500,$C8,'DADOS BRUTOS'!AI$3:AI$500)))</f>
        <v>19390.05</v>
      </c>
      <c r="DJ8" s="133" t="n">
        <f aca="false">IF(OR(DJ$4="",$B8=""),0,SUMIF('DADOS BRUTOS'!$A$3:$A$500,$B8,'DADOS BRUTOS'!AJ$3:AJ$500)+IF($C8="",0,SUMIF('DADOS BRUTOS'!$A$3:$A$500,$C8,'DADOS BRUTOS'!AJ$3:AJ$500)))</f>
        <v>10528.99</v>
      </c>
      <c r="DK8" s="133" t="n">
        <f aca="false">IF(OR(DK$4="",$B8=""),0,SUMIF('DADOS BRUTOS'!$A$3:$A$500,$B8,'DADOS BRUTOS'!AK$3:AK$500)+IF($C8="",0,SUMIF('DADOS BRUTOS'!$A$3:$A$500,$C8,'DADOS BRUTOS'!AK$3:AK$500)))</f>
        <v>3994.37</v>
      </c>
      <c r="DL8" s="133" t="n">
        <f aca="false">IF(OR(DL$4="",$B8=""),0,SUMIF('DADOS BRUTOS'!$A$3:$A$500,$B8,'DADOS BRUTOS'!AL$3:AL$500)+IF($C8="",0,SUMIF('DADOS BRUTOS'!$A$3:$A$500,$C8,'DADOS BRUTOS'!AL$3:AL$500)))</f>
        <v>3526.47</v>
      </c>
      <c r="DM8" s="133" t="n">
        <f aca="false">IF(OR(DM$4="",$B8=""),0,SUMIF('DADOS BRUTOS'!$A$3:$A$500,$B8,'DADOS BRUTOS'!AM$3:AM$500)+IF($C8="",0,SUMIF('DADOS BRUTOS'!$A$3:$A$500,$C8,'DADOS BRUTOS'!AM$3:AM$500)))</f>
        <v>0</v>
      </c>
      <c r="DN8" s="133" t="n">
        <f aca="false">IF(OR(DN$4="",$B8=""),0,SUMIF('DADOS BRUTOS'!$A$3:$A$500,$B8,'DADOS BRUTOS'!AN$3:AN$500)+IF($C8="",0,SUMIF('DADOS BRUTOS'!$A$3:$A$500,$C8,'DADOS BRUTOS'!AN$3:AN$500)))</f>
        <v>0</v>
      </c>
      <c r="DO8" s="133" t="n">
        <f aca="false">IF(OR(DO$4="",$B8=""),0,SUMIF('DADOS BRUTOS'!$A$3:$A$500,$B8,'DADOS BRUTOS'!AO$3:AO$500)+IF($C8="",0,SUMIF('DADOS BRUTOS'!$A$3:$A$500,$C8,'DADOS BRUTOS'!AO$3:AO$500)))</f>
        <v>665</v>
      </c>
      <c r="DP8" s="133" t="n">
        <f aca="false">IF(OR(DP$4="",$B8=""),0,SUMIF('DADOS BRUTOS'!$A$3:$A$500,$B8,'DADOS BRUTOS'!AP$3:AP$500)+IF($C8="",0,SUMIF('DADOS BRUTOS'!$A$3:$A$500,$C8,'DADOS BRUTOS'!AP$3:AP$500)))</f>
        <v>0</v>
      </c>
      <c r="DQ8" s="133" t="n">
        <f aca="false">IF(OR(DQ$4="",$B8=""),0,SUMIF('DADOS BRUTOS'!$A$3:$A$500,$B8,'DADOS BRUTOS'!AQ$3:AQ$500)+IF($C8="",0,SUMIF('DADOS BRUTOS'!$A$3:$A$500,$C8,'DADOS BRUTOS'!AQ$3:AQ$500)))</f>
        <v>0</v>
      </c>
      <c r="DR8" s="133" t="n">
        <f aca="false">IF(OR(DR$4="",$B8=""),0,SUMIF('DADOS BRUTOS'!$A$3:$A$500,$B8,'DADOS BRUTOS'!AR$3:AR$500)+IF($C8="",0,SUMIF('DADOS BRUTOS'!$A$3:$A$500,$C8,'DADOS BRUTOS'!AR$3:AR$500)))</f>
        <v>0</v>
      </c>
      <c r="DS8" s="133" t="n">
        <f aca="false">IF(OR(DS$4="",$B8=""),0,SUMIF('DADOS BRUTOS'!$A$3:$A$500,$B8,'DADOS BRUTOS'!AS$3:AS$500)+IF($C8="",0,SUMIF('DADOS BRUTOS'!$A$3:$A$500,$C8,'DADOS BRUTOS'!AS$3:AS$500)))</f>
        <v>0</v>
      </c>
      <c r="DT8" s="133" t="n">
        <f aca="false">IF(OR(DT$4="",$B8=""),0,SUMIF('DADOS BRUTOS'!$A$3:$A$500,$B8,'DADOS BRUTOS'!AT$3:AT$500)+IF($C8="",0,SUMIF('DADOS BRUTOS'!$A$3:$A$500,$C8,'DADOS BRUTOS'!AT$3:AT$500)))</f>
        <v>0</v>
      </c>
      <c r="DU8" s="133" t="n">
        <f aca="false">IF(OR(DU$4="",$B8=""),0,SUMIF('DADOS BRUTOS'!$A$3:$A$500,$B8,'DADOS BRUTOS'!AU$3:AU$500)+IF($C8="",0,SUMIF('DADOS BRUTOS'!$A$3:$A$500,$C8,'DADOS BRUTOS'!AU$3:AU$500)))</f>
        <v>3700</v>
      </c>
      <c r="DV8" s="133" t="n">
        <f aca="false">IF(OR(DV$4="",$B8=""),0,SUMIF('DADOS BRUTOS'!$A$3:$A$500,$B8,'DADOS BRUTOS'!AV$3:AV$500)+IF($C8="",0,SUMIF('DADOS BRUTOS'!$A$3:$A$500,$C8,'DADOS BRUTOS'!AV$3:AV$500)))</f>
        <v>0</v>
      </c>
      <c r="DW8" s="133" t="n">
        <f aca="false">IF(OR(DW$4="",$B8=""),0,SUMIF('DADOS BRUTOS'!$A$3:$A$500,$B8,'DADOS BRUTOS'!AW$3:AW$500)+IF($C8="",0,SUMIF('DADOS BRUTOS'!$A$3:$A$500,$C8,'DADOS BRUTOS'!AW$3:AW$500)))</f>
        <v>0</v>
      </c>
      <c r="DX8" s="133" t="n">
        <f aca="false">IF(OR(DX$4="",$B8=""),0,SUMIF('DADOS BRUTOS'!$A$3:$A$500,$B8,'DADOS BRUTOS'!AX$3:AX$500)+IF($C8="",0,SUMIF('DADOS BRUTOS'!$A$3:$A$500,$C8,'DADOS BRUTOS'!AX$3:AX$500)))</f>
        <v>0</v>
      </c>
      <c r="DY8" s="133" t="n">
        <f aca="false">IF(OR(DY$4="",$B8=""),0,SUMIF('DADOS BRUTOS'!$A$3:$A$500,$B8,'DADOS BRUTOS'!AY$3:AY$500)+IF($C8="",0,SUMIF('DADOS BRUTOS'!$A$3:$A$500,$C8,'DADOS BRUTOS'!AY$3:AY$500)))</f>
        <v>0</v>
      </c>
      <c r="DZ8" s="133" t="n">
        <f aca="false">IF(OR(DZ$4="",$B8=""),0,SUMIF('DADOS BRUTOS'!$A$3:$A$500,$B8,'DADOS BRUTOS'!AZ$3:AZ$500)+IF($C8="",0,SUMIF('DADOS BRUTOS'!$A$3:$A$500,$C8,'DADOS BRUTOS'!AZ$3:AZ$500)))</f>
        <v>0</v>
      </c>
      <c r="EA8" s="133" t="n">
        <f aca="false">IF(OR(EA$4="",$B8=""),0,SUMIF('DADOS BRUTOS'!$A$3:$A$500,$B8,'DADOS BRUTOS'!BA$3:BA$500)+IF($C8="",0,SUMIF('DADOS BRUTOS'!$A$3:$A$500,$C8,'DADOS BRUTOS'!BA$3:BA$500)))</f>
        <v>0</v>
      </c>
      <c r="EB8" s="133" t="n">
        <f aca="false">IF(OR(EB$4="",$B8=""),0,SUMIF('DADOS BRUTOS'!$A$3:$A$500,$B8,'DADOS BRUTOS'!BB$3:BB$500)+IF($C8="",0,SUMIF('DADOS BRUTOS'!$A$3:$A$500,$C8,'DADOS BRUTOS'!BB$3:BB$500)))</f>
        <v>0</v>
      </c>
      <c r="EC8" s="133" t="n">
        <f aca="false">IF(OR(EC$4="",$B8=""),0,SUMIF('DADOS BRUTOS'!$A$3:$A$500,$B8,'DADOS BRUTOS'!BC$3:BC$500)+IF($C8="",0,SUMIF('DADOS BRUTOS'!$A$3:$A$500,$C8,'DADOS BRUTOS'!BC$3:BC$500)))</f>
        <v>0</v>
      </c>
      <c r="ED8" s="133" t="n">
        <f aca="false">IF(OR(ED$4="",$B8=""),0,SUMIF('DADOS BRUTOS'!$A$3:$A$500,$B8,'DADOS BRUTOS'!BD$3:BD$500)+IF($C8="",0,SUMIF('DADOS BRUTOS'!$A$3:$A$500,$C8,'DADOS BRUTOS'!BD$3:BD$500)))</f>
        <v>0</v>
      </c>
      <c r="EE8" s="133" t="n">
        <f aca="false">IF(OR(EE$4="",$B8=""),0,SUMIF('DADOS BRUTOS'!$A$3:$A$500,$B8,'DADOS BRUTOS'!BE$3:BE$500)+IF($C8="",0,SUMIF('DADOS BRUTOS'!$A$3:$A$500,$C8,'DADOS BRUTOS'!BE$3:BE$500)))</f>
        <v>0</v>
      </c>
      <c r="EF8" s="133" t="n">
        <f aca="false">IF(OR(EF$4="",$B8=""),0,SUMIF('DADOS BRUTOS'!$A$3:$A$500,$B8,'DADOS BRUTOS'!BF$3:BF$500)+IF($C8="",0,SUMIF('DADOS BRUTOS'!$A$3:$A$500,$C8,'DADOS BRUTOS'!BF$3:BF$500)))</f>
        <v>0</v>
      </c>
      <c r="EG8" s="133" t="n">
        <f aca="false">IF(OR(EG$4="",$B8=""),0,SUMIF('DADOS BRUTOS'!$A$3:$A$500,$B8,'DADOS BRUTOS'!BG$3:BG$500)+IF($C8="",0,SUMIF('DADOS BRUTOS'!$A$3:$A$500,$C8,'DADOS BRUTOS'!BG$3:BG$500)))</f>
        <v>0</v>
      </c>
      <c r="EH8" s="133" t="n">
        <f aca="false">IF(OR(EH$4="",$B8=""),0,SUMIF('DADOS BRUTOS'!$A$3:$A$500,$B8,'DADOS BRUTOS'!BH$3:BH$500)+IF($C8="",0,SUMIF('DADOS BRUTOS'!$A$3:$A$500,$C8,'DADOS BRUTOS'!BH$3:BH$500)))</f>
        <v>0</v>
      </c>
      <c r="EI8" s="133" t="n">
        <f aca="false">IF(OR(EI$4="",$B8=""),0,SUMIF('DADOS BRUTOS'!$A$3:$A$500,$B8,'DADOS BRUTOS'!BI$3:BI$500)+IF($C8="",0,SUMIF('DADOS BRUTOS'!$A$3:$A$500,$C8,'DADOS BRUTOS'!BI$3:BI$500)))</f>
        <v>0</v>
      </c>
      <c r="EJ8" s="133" t="n">
        <f aca="false">IF(OR(EJ$4="",$B8=""),0,SUMIF('DADOS BRUTOS'!$A$3:$A$500,$B8,'DADOS BRUTOS'!BJ$3:BJ$500)+IF($C8="",0,SUMIF('DADOS BRUTOS'!$A$3:$A$500,$C8,'DADOS BRUTOS'!BJ$3:BJ$500)))</f>
        <v>0</v>
      </c>
      <c r="EK8" s="133" t="n">
        <f aca="false">IF(OR(EK$4="",$B8=""),0,SUMIF('DADOS BRUTOS'!$A$3:$A$500,$B8,'DADOS BRUTOS'!BK$3:BK$500)+IF($C8="",0,SUMIF('DADOS BRUTOS'!$A$3:$A$500,$C8,'DADOS BRUTOS'!BK$3:BK$500)))</f>
        <v>0</v>
      </c>
      <c r="EL8" s="133" t="n">
        <f aca="false">IF(OR(EL$4="",$B8=""),0,SUMIF('DADOS BRUTOS'!$A$3:$A$500,$B8,'DADOS BRUTOS'!BL$3:BL$500)+IF($C8="",0,SUMIF('DADOS BRUTOS'!$A$3:$A$500,$C8,'DADOS BRUTOS'!BL$3:BL$500)))</f>
        <v>0</v>
      </c>
      <c r="EM8" s="133" t="n">
        <f aca="false">IF(OR(EM$4="",$B8=""),0,SUMIF('DADOS BRUTOS'!$A$3:$A$500,$B8,'DADOS BRUTOS'!BM$3:BM$500)+IF($C8="",0,SUMIF('DADOS BRUTOS'!$A$3:$A$500,$C8,'DADOS BRUTOS'!BM$3:BM$500)))</f>
        <v>0</v>
      </c>
      <c r="EN8" s="133" t="n">
        <f aca="false">IF(OR(EN$4="",$B8=""),0,SUMIF('DADOS BRUTOS'!$A$3:$A$500,$B8,'DADOS BRUTOS'!BN$3:BN$500)+IF($C8="",0,SUMIF('DADOS BRUTOS'!$A$3:$A$500,$C8,'DADOS BRUTOS'!BN$3:BN$500)))</f>
        <v>0</v>
      </c>
      <c r="EO8" s="133" t="n">
        <f aca="false">IF(OR(EO$4="",$B8=""),0,SUMIF('DADOS BRUTOS'!$A$3:$A$500,$B8,'DADOS BRUTOS'!BO$3:BO$500)+IF($C8="",0,SUMIF('DADOS BRUTOS'!$A$3:$A$500,$C8,'DADOS BRUTOS'!BO$3:BO$500)))</f>
        <v>0</v>
      </c>
      <c r="EP8" s="133" t="n">
        <f aca="false">IF(OR(EP$4="",$B8=""),0,SUMIF('DADOS BRUTOS'!$A$3:$A$500,$B8,'DADOS BRUTOS'!BP$3:BP$500)+IF($C8="",0,SUMIF('DADOS BRUTOS'!$A$3:$A$500,$C8,'DADOS BRUTOS'!BP$3:BP$500)))</f>
        <v>0</v>
      </c>
      <c r="EQ8" s="133" t="n">
        <f aca="false">IF(OR(EQ$4="",$B8=""),0,SUMIF('DADOS BRUTOS'!$A$3:$A$500,$B8,'DADOS BRUTOS'!BQ$3:BQ$500)+IF($C8="",0,SUMIF('DADOS BRUTOS'!$A$3:$A$500,$C8,'DADOS BRUTOS'!BQ$3:BQ$500)))</f>
        <v>0</v>
      </c>
      <c r="ER8" s="133" t="n">
        <f aca="false">IF(OR(ER$4="",$B8=""),0,SUMIF('DADOS BRUTOS'!$A$3:$A$500,$B8,'DADOS BRUTOS'!BR$3:BR$500)+IF($C8="",0,SUMIF('DADOS BRUTOS'!$A$3:$A$500,$C8,'DADOS BRUTOS'!BR$3:BR$500)))</f>
        <v>0</v>
      </c>
      <c r="ES8" s="133" t="n">
        <f aca="false">IF(OR(ES$4="",$B8=""),0,SUMIF('DADOS BRUTOS'!$A$3:$A$500,$B8,'DADOS BRUTOS'!BS$3:BS$500)+IF($C8="",0,SUMIF('DADOS BRUTOS'!$A$3:$A$500,$C8,'DADOS BRUTOS'!BS$3:BS$500)))</f>
        <v>0</v>
      </c>
      <c r="ET8" s="133" t="n">
        <f aca="false">IF(OR(ET$4="",$B8=""),0,SUMIF('DADOS BRUTOS'!$A$3:$A$500,$B8,'DADOS BRUTOS'!BT$3:BT$500)+IF($C8="",0,SUMIF('DADOS BRUTOS'!$A$3:$A$500,$C8,'DADOS BRUTOS'!BT$3:BT$500)))</f>
        <v>0</v>
      </c>
      <c r="EU8" s="133" t="n">
        <f aca="false">IF(OR(EU$4="",$B8=""),0,SUMIF('DADOS BRUTOS'!$A$3:$A$500,$B8,'DADOS BRUTOS'!BU$3:BU$500)+IF($C8="",0,SUMIF('DADOS BRUTOS'!$A$3:$A$500,$C8,'DADOS BRUTOS'!BU$3:BU$500)))</f>
        <v>0</v>
      </c>
      <c r="EV8" s="133" t="n">
        <f aca="false">IF(OR(EV$4="",$B8=""),0,SUMIF('DADOS BRUTOS'!$A$3:$A$500,$B8,'DADOS BRUTOS'!BV$3:BV$500)+IF($C8="",0,SUMIF('DADOS BRUTOS'!$A$3:$A$500,$C8,'DADOS BRUTOS'!BV$3:BV$500)))</f>
        <v>0</v>
      </c>
      <c r="EW8" s="133" t="n">
        <f aca="false">IF(OR(EW$4="",$B8=""),0,SUMIF('DADOS BRUTOS'!$A$3:$A$500,$B8,'DADOS BRUTOS'!BW$3:BW$500)+IF($C8="",0,SUMIF('DADOS BRUTOS'!$A$3:$A$500,$C8,'DADOS BRUTOS'!BW$3:BW$500)))</f>
        <v>0</v>
      </c>
      <c r="EX8" s="133" t="n">
        <f aca="false">IF(OR(EX$4="",$B8=""),0,SUMIF('DADOS BRUTOS'!$A$3:$A$500,$B8,'DADOS BRUTOS'!BX$3:BX$500)+IF($C8="",0,SUMIF('DADOS BRUTOS'!$A$3:$A$500,$C8,'DADOS BRUTOS'!BX$3:BX$500)))</f>
        <v>0</v>
      </c>
      <c r="EY8" s="133" t="n">
        <f aca="false">IF(OR(EY$4="",$B8=""),0,SUMIF('DADOS BRUTOS'!$A$3:$A$500,$B8,'DADOS BRUTOS'!BY$3:BY$500)+IF($C8="",0,SUMIF('DADOS BRUTOS'!$A$3:$A$500,$C8,'DADOS BRUTOS'!BY$3:BY$500)))</f>
        <v>0</v>
      </c>
      <c r="EZ8" s="133" t="n">
        <f aca="false">IF(OR(EZ$4="",$B8=""),0,SUMIF('DADOS BRUTOS'!$A$3:$A$500,$B8,'DADOS BRUTOS'!BZ$3:BZ$500)+IF($C8="",0,SUMIF('DADOS BRUTOS'!$A$3:$A$500,$C8,'DADOS BRUTOS'!BZ$3:BZ$500)))</f>
        <v>0</v>
      </c>
      <c r="FA8" s="133" t="n">
        <f aca="false">IF(OR(FA$4="",$B8=""),0,SUMIF('DADOS BRUTOS'!$A$3:$A$500,$B8,'DADOS BRUTOS'!CA$3:CA$500)+IF($C8="",0,SUMIF('DADOS BRUTOS'!$A$3:$A$500,$C8,'DADOS BRUTOS'!CA$3:CA$500)))</f>
        <v>0</v>
      </c>
      <c r="FB8" s="133" t="n">
        <f aca="false">IF(OR(FB$4="",$B8=""),0,SUMIF('DADOS BRUTOS'!$A$3:$A$500,$B8,'DADOS BRUTOS'!CB$3:CB$500)+IF($C8="",0,SUMIF('DADOS BRUTOS'!$A$3:$A$500,$C8,'DADOS BRUTOS'!CB$3:CB$500)))</f>
        <v>0</v>
      </c>
      <c r="FC8" s="133" t="n">
        <f aca="false">IF(OR(FC$4="",$B8=""),0,SUMIF('DADOS BRUTOS'!$A$3:$A$500,$B8,'DADOS BRUTOS'!CC$3:CC$500)+IF($C8="",0,SUMIF('DADOS BRUTOS'!$A$3:$A$500,$C8,'DADOS BRUTOS'!CC$3:CC$500)))</f>
        <v>0</v>
      </c>
      <c r="FD8" s="133" t="n">
        <f aca="false">IF(OR(FD$4="",$B8=""),0,SUMIF('DADOS BRUTOS'!$A$3:$A$500,$B8,'DADOS BRUTOS'!CD$3:CD$500)+IF($C8="",0,SUMIF('DADOS BRUTOS'!$A$3:$A$500,$C8,'DADOS BRUTOS'!CD$3:CD$500)))</f>
        <v>0</v>
      </c>
      <c r="FE8" s="133" t="n">
        <f aca="false">IF(OR(FE$4="",$B8=""),0,SUMIF('DADOS BRUTOS'!$A$3:$A$500,$B8,'DADOS BRUTOS'!CE$3:CE$500)+IF($C8="",0,SUMIF('DADOS BRUTOS'!$A$3:$A$500,$C8,'DADOS BRUTOS'!CE$3:CE$500)))</f>
        <v>0</v>
      </c>
      <c r="FF8" s="133" t="n">
        <f aca="false">IF(OR(FF$4="",$B8=""),0,SUMIF('DADOS BRUTOS'!$A$3:$A$500,$B8,'DADOS BRUTOS'!CF$3:CF$500)+IF($C8="",0,SUMIF('DADOS BRUTOS'!$A$3:$A$500,$C8,'DADOS BRUTOS'!CF$3:CF$500)))</f>
        <v>0</v>
      </c>
      <c r="FG8" s="133" t="n">
        <f aca="false">IF(OR(FG$4="",$B8=""),0,SUMIF('DADOS BRUTOS'!$A$3:$A$500,$B8,'DADOS BRUTOS'!CG$3:CG$500)+IF($C8="",0,SUMIF('DADOS BRUTOS'!$A$3:$A$500,$C8,'DADOS BRUTOS'!CG$3:CG$500)))</f>
        <v>0</v>
      </c>
      <c r="FH8" s="133" t="n">
        <f aca="false">IF(OR(FH$4="",$B8=""),0,SUMIF('DADOS BRUTOS'!$A$3:$A$500,$B8,'DADOS BRUTOS'!CH$3:CH$500)+IF($C8="",0,SUMIF('DADOS BRUTOS'!$A$3:$A$500,$C8,'DADOS BRUTOS'!CH$3:CH$500)))</f>
        <v>0</v>
      </c>
      <c r="FI8" s="133" t="n">
        <f aca="false">IF(OR(FI$4="",$B8=""),0,SUMIF('DADOS BRUTOS'!$A$3:$A$500,$B8,'DADOS BRUTOS'!CI$3:CI$500)+IF($C8="",0,SUMIF('DADOS BRUTOS'!$A$3:$A$500,$C8,'DADOS BRUTOS'!CI$3:CI$500)))</f>
        <v>0</v>
      </c>
      <c r="FJ8" s="133" t="n">
        <f aca="false">IF(OR(FJ$4="",$B8=""),0,SUMIF('DADOS BRUTOS'!$A$3:$A$500,$B8,'DADOS BRUTOS'!CJ$3:CJ$500)+IF($C8="",0,SUMIF('DADOS BRUTOS'!$A$3:$A$500,$C8,'DADOS BRUTOS'!CJ$3:CJ$500)))</f>
        <v>0</v>
      </c>
      <c r="FK8" s="133" t="n">
        <f aca="false">IF(OR(FK$4="",$B8=""),0,SUMIF('DADOS BRUTOS'!$A$3:$A$500,$B8,'DADOS BRUTOS'!CK$3:CK$500)+IF($C8="",0,SUMIF('DADOS BRUTOS'!$A$3:$A$500,$C8,'DADOS BRUTOS'!CK$3:CK$500)))</f>
        <v>0</v>
      </c>
      <c r="FL8" s="133" t="n">
        <f aca="false">IF(OR(FL$4="",$B8=""),0,SUMIF('DADOS BRUTOS'!$A$3:$A$500,$B8,'DADOS BRUTOS'!CL$3:CL$500)+IF($C8="",0,SUMIF('DADOS BRUTOS'!$A$3:$A$500,$C8,'DADOS BRUTOS'!CL$3:CL$500)))</f>
        <v>0</v>
      </c>
      <c r="FM8" s="133" t="n">
        <f aca="false">IF(OR(FM$4="",$B8=""),0,SUMIF('DADOS BRUTOS'!$A$3:$A$500,$B8,'DADOS BRUTOS'!CM$3:CM$500)+IF($C8="",0,SUMIF('DADOS BRUTOS'!$A$3:$A$500,$C8,'DADOS BRUTOS'!CM$3:CM$500)))</f>
        <v>0</v>
      </c>
      <c r="FN8" s="133" t="n">
        <f aca="false">IF(OR(FN$4="",$B8=""),0,SUMIF('DADOS BRUTOS'!$A$3:$A$500,$B8,'DADOS BRUTOS'!CN$3:CN$500)+IF($C8="",0,SUMIF('DADOS BRUTOS'!$A$3:$A$500,$C8,'DADOS BRUTOS'!CN$3:CN$500)))</f>
        <v>0</v>
      </c>
      <c r="FO8" s="133" t="n">
        <f aca="false">IF(OR(FO$4="",$B8=""),0,SUMIF('DADOS BRUTOS'!$A$3:$A$500,$B8,'DADOS BRUTOS'!CO$3:CO$500)+IF($C8="",0,SUMIF('DADOS BRUTOS'!$A$3:$A$500,$C8,'DADOS BRUTOS'!CO$3:CO$500)))</f>
        <v>0</v>
      </c>
      <c r="FP8" s="133" t="n">
        <f aca="false">IF(OR(FP$4="",$B8=""),0,SUMIF('DADOS BRUTOS'!$A$3:$A$500,$B8,'DADOS BRUTOS'!CP$3:CP$500)+IF($C8="",0,SUMIF('DADOS BRUTOS'!$A$3:$A$500,$C8,'DADOS BRUTOS'!CP$3:CP$500)))</f>
        <v>0</v>
      </c>
      <c r="FQ8" s="133" t="n">
        <f aca="false">IF(OR(FQ$4="",$B8=""),0,SUMIF('DADOS BRUTOS'!$A$3:$A$500,$B8,'DADOS BRUTOS'!CQ$3:CQ$500)+IF($C8="",0,SUMIF('DADOS BRUTOS'!$A$3:$A$500,$C8,'DADOS BRUTOS'!CQ$3:CQ$500)))</f>
        <v>0</v>
      </c>
      <c r="FR8" s="133" t="n">
        <f aca="false">IF(OR(FR$4="",$B8=""),0,SUMIF('DADOS BRUTOS'!$A$3:$A$500,$B8,'DADOS BRUTOS'!CR$3:CR$500)+IF($C8="",0,SUMIF('DADOS BRUTOS'!$A$3:$A$500,$C8,'DADOS BRUTOS'!CR$3:CR$500)))</f>
        <v>0</v>
      </c>
      <c r="FS8" s="133" t="n">
        <f aca="false">IF(OR(FS$4="",$B8=""),0,SUMIF('DADOS BRUTOS'!$A$3:$A$500,$B8,'DADOS BRUTOS'!CS$3:CS$500)+IF($C8="",0,SUMIF('DADOS BRUTOS'!$A$3:$A$500,$C8,'DADOS BRUTOS'!CS$3:CS$500)))</f>
        <v>0</v>
      </c>
      <c r="FT8" s="133" t="n">
        <f aca="false">IF(OR(FT$4="",$B8=""),0,SUMIF('DADOS BRUTOS'!$A$3:$A$500,$B8,'DADOS BRUTOS'!CT$3:CT$500)+IF($C8="",0,SUMIF('DADOS BRUTOS'!$A$3:$A$500,$C8,'DADOS BRUTOS'!CT$3:CT$500)))</f>
        <v>0</v>
      </c>
      <c r="FU8" s="133" t="n">
        <f aca="false">IF(OR(FU$4="",$B8=""),0,SUMIF('DADOS BRUTOS'!$A$3:$A$500,$B8,'DADOS BRUTOS'!CU$3:CU$500)+IF($C8="",0,SUMIF('DADOS BRUTOS'!$A$3:$A$500,$C8,'DADOS BRUTOS'!CU$3:CU$500)))</f>
        <v>0</v>
      </c>
      <c r="FV8" s="133" t="n">
        <f aca="false">IF(OR(FV$4="",$B8=""),0,SUMIF('DADOS BRUTOS'!$A$3:$A$500,$B8,'DADOS BRUTOS'!CV$3:CV$500)+IF($C8="",0,SUMIF('DADOS BRUTOS'!$A$3:$A$500,$C8,'DADOS BRUTOS'!CV$3:CV$500)))</f>
        <v>0</v>
      </c>
      <c r="FW8" s="133" t="n">
        <f aca="false">IF(OR(FW$4="",$B8=""),0,SUMIF('DADOS BRUTOS'!$A$3:$A$500,$B8,'DADOS BRUTOS'!CW$3:CW$500)+IF($C8="",0,SUMIF('DADOS BRUTOS'!$A$3:$A$500,$C8,'DADOS BRUTOS'!CW$3:CW$500)))</f>
        <v>0</v>
      </c>
      <c r="FX8" s="133" t="n">
        <f aca="false">IF(OR(FX$4="",$B8=""),0,SUMIF('DADOS BRUTOS'!$A$3:$A$500,$B8,'DADOS BRUTOS'!CX$3:CX$500)+IF($C8="",0,SUMIF('DADOS BRUTOS'!$A$3:$A$500,$C8,'DADOS BRUTOS'!CX$3:CX$500)))</f>
        <v>0</v>
      </c>
      <c r="FY8" s="133" t="n">
        <f aca="false">IF(OR(FY$4="",$B8=""),0,SUMIF('DADOS BRUTOS'!$A$3:$A$500,$B8,'DADOS BRUTOS'!CY$3:CY$500)+IF($C8="",0,SUMIF('DADOS BRUTOS'!$A$3:$A$500,$C8,'DADOS BRUTOS'!CY$3:CY$500)))</f>
        <v>0</v>
      </c>
      <c r="FZ8" s="133" t="n">
        <f aca="false">IF(OR(FZ$4="",$B8=""),0,SUMIF('DADOS BRUTOS'!$A$3:$A$500,$B8,'DADOS BRUTOS'!CZ$3:CZ$500)+IF($C8="",0,SUMIF('DADOS BRUTOS'!$A$3:$A$500,$C8,'DADOS BRUTOS'!CZ$3:CZ$500)))</f>
        <v>0</v>
      </c>
      <c r="GA8" s="133" t="n">
        <f aca="false">IF(OR(GA$4="",$B8=""),0,SUMIF('DADOS BRUTOS'!$A$3:$A$500,$B8,'DADOS BRUTOS'!DA$3:DA$500)+IF($C8="",0,SUMIF('DADOS BRUTOS'!$A$3:$A$500,$C8,'DADOS BRUTOS'!DA$3:DA$500)))</f>
        <v>0</v>
      </c>
      <c r="GB8" s="133" t="n">
        <f aca="false">IF(OR(GB$4="",$B8=""),0,SUMIF('DADOS BRUTOS'!$A$3:$A$500,$B8,'DADOS BRUTOS'!DB$3:DB$500)+IF($C8="",0,SUMIF('DADOS BRUTOS'!$A$3:$A$500,$C8,'DADOS BRUTOS'!DB$3:DB$500)))</f>
        <v>0</v>
      </c>
      <c r="GC8" s="133" t="n">
        <f aca="false">IF(OR(GC$4="",$B8=""),0,SUMIF('DADOS BRUTOS'!$A$3:$A$500,$B8,'DADOS BRUTOS'!DC$3:DC$500)+IF($C8="",0,SUMIF('DADOS BRUTOS'!$A$3:$A$500,$C8,'DADOS BRUTOS'!DC$3:DC$500)))</f>
        <v>0</v>
      </c>
      <c r="GD8" s="133" t="n">
        <f aca="false">IF(OR(GD$4="",$B8=""),0,SUMIF('DADOS BRUTOS'!$A$3:$A$500,$B8,'DADOS BRUTOS'!DD$3:DD$500)+IF($C8="",0,SUMIF('DADOS BRUTOS'!$A$3:$A$500,$C8,'DADOS BRUTOS'!DD$3:DD$500)))</f>
        <v>0</v>
      </c>
      <c r="GE8" s="133" t="n">
        <f aca="false">IF(OR(GE$4="",$B8=""),0,SUMIF('DADOS BRUTOS'!$A$3:$A$500,$B8,'DADOS BRUTOS'!DE$3:DE$500)+IF($C8="",0,SUMIF('DADOS BRUTOS'!$A$3:$A$500,$C8,'DADOS BRUTOS'!DE$3:DE$500)))</f>
        <v>0</v>
      </c>
      <c r="GF8" s="133" t="n">
        <f aca="false">IF(OR(GF$4="",$B8=""),0,SUMIF('DADOS BRUTOS'!$A$3:$A$500,$B8,'DADOS BRUTOS'!DF$3:DF$500)+IF($C8="",0,SUMIF('DADOS BRUTOS'!$A$3:$A$500,$C8,'DADOS BRUTOS'!DF$3:DF$500)))</f>
        <v>0</v>
      </c>
      <c r="GG8" s="133" t="n">
        <f aca="false">IF(OR(GG$4="",$B8=""),0,SUMIF('DADOS BRUTOS'!$A$3:$A$500,$B8,'DADOS BRUTOS'!DG$3:DG$500)+IF($C8="",0,SUMIF('DADOS BRUTOS'!$A$3:$A$500,$C8,'DADOS BRUTOS'!DG$3:DG$500)))</f>
        <v>0</v>
      </c>
      <c r="GH8" s="133" t="n">
        <f aca="false">IF(OR(GH$4="",$B8=""),0,SUMIF('DADOS BRUTOS'!$A$3:$A$500,$B8,'DADOS BRUTOS'!DH$3:DH$500)+IF($C8="",0,SUMIF('DADOS BRUTOS'!$A$3:$A$500,$C8,'DADOS BRUTOS'!DH$3:DH$500)))</f>
        <v>0</v>
      </c>
      <c r="GI8" s="133" t="n">
        <f aca="false">IF(OR(GI$4="",$B8=""),0,SUMIF('DADOS BRUTOS'!$A$3:$A$500,$B8,'DADOS BRUTOS'!DI$3:DI$500)+IF($C8="",0,SUMIF('DADOS BRUTOS'!$A$3:$A$500,$C8,'DADOS BRUTOS'!DI$3:DI$500)))</f>
        <v>0</v>
      </c>
      <c r="GJ8" s="133" t="n">
        <f aca="false">IF(OR(GJ$4="",$B8=""),0,SUMIF('DADOS BRUTOS'!$A$3:$A$500,$B8,'DADOS BRUTOS'!DJ$3:DJ$500)+IF($C8="",0,SUMIF('DADOS BRUTOS'!$A$3:$A$500,$C8,'DADOS BRUTOS'!DJ$3:DJ$500)))</f>
        <v>0</v>
      </c>
      <c r="GK8" s="133" t="n">
        <f aca="false">IF(OR(GK$4="",$B8=""),0,SUMIF('DADOS BRUTOS'!$A$3:$A$500,$B8,'DADOS BRUTOS'!DK$3:DK$500)+IF($C8="",0,SUMIF('DADOS BRUTOS'!$A$3:$A$500,$C8,'DADOS BRUTOS'!DK$3:DK$500)))</f>
        <v>0</v>
      </c>
      <c r="GL8" s="133" t="n">
        <f aca="false">IF(OR(GL$4="",$B8=""),0,SUMIF('DADOS BRUTOS'!$A$3:$A$500,$B8,'DADOS BRUTOS'!DL$3:DL$500)+IF($C8="",0,SUMIF('DADOS BRUTOS'!$A$3:$A$500,$C8,'DADOS BRUTOS'!DL$3:DL$500)))</f>
        <v>0</v>
      </c>
      <c r="GM8" s="133" t="n">
        <f aca="false">IF(OR(GM$4="",$B8=""),0,SUMIF('DADOS BRUTOS'!$A$3:$A$500,$B8,'DADOS BRUTOS'!DM$3:DM$500)+IF($C8="",0,SUMIF('DADOS BRUTOS'!$A$3:$A$500,$C8,'DADOS BRUTOS'!DM$3:DM$500)))</f>
        <v>0</v>
      </c>
      <c r="GN8" s="133" t="n">
        <f aca="false">IF(OR(GN$4="",$B8=""),0,SUMIF('DADOS BRUTOS'!$A$3:$A$500,$B8,'DADOS BRUTOS'!DN$3:DN$500)+IF($C8="",0,SUMIF('DADOS BRUTOS'!$A$3:$A$500,$C8,'DADOS BRUTOS'!DN$3:DN$500)))</f>
        <v>0</v>
      </c>
      <c r="GO8" s="133" t="n">
        <f aca="false">IF(OR(GO$4="",$B8=""),0,SUMIF('DADOS BRUTOS'!$A$3:$A$500,$B8,'DADOS BRUTOS'!DO$3:DO$500)+IF($C8="",0,SUMIF('DADOS BRUTOS'!$A$3:$A$500,$C8,'DADOS BRUTOS'!DO$3:DO$500)))</f>
        <v>0</v>
      </c>
      <c r="GP8" s="133" t="n">
        <f aca="false">IF(OR(GP$4="",$B8=""),0,SUMIF('DADOS BRUTOS'!$A$3:$A$500,$B8,'DADOS BRUTOS'!DP$3:DP$500)+IF($C8="",0,SUMIF('DADOS BRUTOS'!$A$3:$A$500,$C8,'DADOS BRUTOS'!DP$3:DP$500)))</f>
        <v>0</v>
      </c>
      <c r="GQ8" s="133" t="n">
        <f aca="false">IF(OR(GQ$4="",$B8=""),0,SUMIF('DADOS BRUTOS'!$A$3:$A$500,$B8,'DADOS BRUTOS'!DQ$3:DQ$500)+IF($C8="",0,SUMIF('DADOS BRUTOS'!$A$3:$A$500,$C8,'DADOS BRUTOS'!DQ$3:DQ$500)))</f>
        <v>0</v>
      </c>
      <c r="GR8" s="133" t="n">
        <f aca="false">IF(OR(GR$4="",$B8=""),0,SUMIF('DADOS BRUTOS'!$A$3:$A$500,$B8,'DADOS BRUTOS'!DR$3:DR$500)+IF($C8="",0,SUMIF('DADOS BRUTOS'!$A$3:$A$500,$C8,'DADOS BRUTOS'!DR$3:DR$500)))</f>
        <v>0</v>
      </c>
      <c r="GS8" s="133" t="n">
        <f aca="false">IF(OR(GS$4="",$B8=""),0,SUMIF('DADOS BRUTOS'!$A$3:$A$500,$B8,'DADOS BRUTOS'!DS$3:DS$500)+IF($C8="",0,SUMIF('DADOS BRUTOS'!$A$3:$A$500,$C8,'DADOS BRUTOS'!DS$3:DS$500)))</f>
        <v>0</v>
      </c>
      <c r="GT8" s="133" t="n">
        <f aca="false">IF(OR(GT$4="",$B8=""),0,SUMIF('DADOS BRUTOS'!$A$3:$A$500,$B8,'DADOS BRUTOS'!DT$3:DT$500)+IF($C8="",0,SUMIF('DADOS BRUTOS'!$A$3:$A$500,$C8,'DADOS BRUTOS'!DT$3:DT$500)))</f>
        <v>0</v>
      </c>
      <c r="GU8" s="133" t="n">
        <f aca="false">IF(OR(GU$4="",$B8=""),0,SUMIF('DADOS BRUTOS'!$A$3:$A$500,$B8,'DADOS BRUTOS'!DU$3:DU$500)+IF($C8="",0,SUMIF('DADOS BRUTOS'!$A$3:$A$500,$C8,'DADOS BRUTOS'!DU$3:DU$500)))</f>
        <v>0</v>
      </c>
      <c r="GV8" s="133" t="n">
        <f aca="false">IF(OR(GV$4="",$B8=""),0,SUMIF('DADOS BRUTOS'!$A$3:$A$500,$B8,'DADOS BRUTOS'!DV$3:DV$500)+IF($C8="",0,SUMIF('DADOS BRUTOS'!$A$3:$A$500,$C8,'DADOS BRUTOS'!DV$3:DV$500)))</f>
        <v>0</v>
      </c>
      <c r="GW8" s="133" t="n">
        <f aca="false">IF(OR(GW$4="",$B8=""),0,SUMIF('DADOS BRUTOS'!$A$3:$A$500,$B8,'DADOS BRUTOS'!DW$3:DW$500)+IF($C8="",0,SUMIF('DADOS BRUTOS'!$A$3:$A$500,$C8,'DADOS BRUTOS'!DW$3:DW$500)))</f>
        <v>0</v>
      </c>
      <c r="GX8" s="133" t="n">
        <f aca="false">IF(OR(GX$4="",$B8=""),0,SUMIF('DADOS BRUTOS'!$A$3:$A$500,$B8,'DADOS BRUTOS'!DX$3:DX$500)+IF($C8="",0,SUMIF('DADOS BRUTOS'!$A$3:$A$500,$C8,'DADOS BRUTOS'!DX$3:DX$500)))</f>
        <v>0</v>
      </c>
      <c r="GY8" s="133" t="n">
        <f aca="false">IF(OR(GY$4="",$B8=""),0,SUMIF('DADOS BRUTOS'!$A$3:$A$500,$B8,'DADOS BRUTOS'!DY$3:DY$500)+IF($C8="",0,SUMIF('DADOS BRUTOS'!$A$3:$A$500,$C8,'DADOS BRUTOS'!DY$3:DY$500)))</f>
        <v>0</v>
      </c>
      <c r="GZ8" s="133" t="n">
        <f aca="false">IF(OR(GZ$4="",$B8=""),0,SUMIF('DADOS BRUTOS'!$A$3:$A$500,$B8,'DADOS BRUTOS'!DZ$3:DZ$500)+IF($C8="",0,SUMIF('DADOS BRUTOS'!$A$3:$A$500,$C8,'DADOS BRUTOS'!DZ$3:DZ$500)))</f>
        <v>0</v>
      </c>
      <c r="HA8" s="133" t="n">
        <f aca="false">IF(OR(HA$4="",$B8=""),0,SUMIF('DADOS BRUTOS'!$A$3:$A$500,$B8,'DADOS BRUTOS'!EA$3:EA$500)+IF($C8="",0,SUMIF('DADOS BRUTOS'!$A$3:$A$500,$C8,'DADOS BRUTOS'!EA$3:EA$500)))</f>
        <v>0</v>
      </c>
      <c r="HB8" s="133" t="n">
        <f aca="false">IF(OR(HB$4="",$B8=""),0,SUMIF('DADOS BRUTOS'!$A$3:$A$500,$B8,'DADOS BRUTOS'!EB$3:EB$500)+IF($C8="",0,SUMIF('DADOS BRUTOS'!$A$3:$A$500,$C8,'DADOS BRUTOS'!EB$3:EB$500)))</f>
        <v>0</v>
      </c>
      <c r="HC8" s="133" t="n">
        <f aca="false">IF(OR(HC$4="",$B8=""),0,SUMIF('DADOS BRUTOS'!$A$3:$A$500,$B8,'DADOS BRUTOS'!EC$3:EC$500)+IF($C8="",0,SUMIF('DADOS BRUTOS'!$A$3:$A$500,$C8,'DADOS BRUTOS'!EC$3:EC$500)))</f>
        <v>0</v>
      </c>
      <c r="HD8" s="133" t="n">
        <f aca="false">IF(OR(HD$4="",$B8=""),0,SUMIF('DADOS BRUTOS'!$A$3:$A$500,$B8,'DADOS BRUTOS'!ED$3:ED$500)+IF($C8="",0,SUMIF('DADOS BRUTOS'!$A$3:$A$500,$C8,'DADOS BRUTOS'!ED$3:ED$500)))</f>
        <v>0</v>
      </c>
      <c r="HE8" s="133" t="n">
        <f aca="false">IF(OR(HE$4="",$B8=""),0,SUMIF('DADOS BRUTOS'!$A$3:$A$500,$B8,'DADOS BRUTOS'!EE$3:EE$500)+IF($C8="",0,SUMIF('DADOS BRUTOS'!$A$3:$A$500,$C8,'DADOS BRUTOS'!EE$3:EE$500)))</f>
        <v>0</v>
      </c>
      <c r="HF8" s="133" t="n">
        <f aca="false">IF(OR(HF$4="",$B8=""),0,SUMIF('DADOS BRUTOS'!$A$3:$A$500,$B8,'DADOS BRUTOS'!EF$3:EF$500)+IF($C8="",0,SUMIF('DADOS BRUTOS'!$A$3:$A$500,$C8,'DADOS BRUTOS'!EF$3:EF$500)))</f>
        <v>0</v>
      </c>
      <c r="HG8" s="133" t="n">
        <f aca="false">IF(OR(HG$4="",$B8=""),0,SUMIF('DADOS BRUTOS'!$A$3:$A$500,$B8,'DADOS BRUTOS'!EG$3:EG$500)+IF($C8="",0,SUMIF('DADOS BRUTOS'!$A$3:$A$500,$C8,'DADOS BRUTOS'!EG$3:EG$500)))</f>
        <v>0</v>
      </c>
      <c r="HH8" s="133" t="n">
        <f aca="false">IF(OR(HH$4="",$B8=""),0,SUMIF('DADOS BRUTOS'!$A$3:$A$500,$B8,'DADOS BRUTOS'!EH$3:EH$500)+IF($C8="",0,SUMIF('DADOS BRUTOS'!$A$3:$A$500,$C8,'DADOS BRUTOS'!EH$3:EH$500)))</f>
        <v>0</v>
      </c>
      <c r="HI8" s="133" t="n">
        <f aca="false">IF(OR(HI$4="",$B8=""),0,SUMIF('DADOS BRUTOS'!$A$3:$A$500,$B8,'DADOS BRUTOS'!EI$3:EI$500)+IF($C8="",0,SUMIF('DADOS BRUTOS'!$A$3:$A$500,$C8,'DADOS BRUTOS'!EI$3:EI$500)))</f>
        <v>0</v>
      </c>
      <c r="HJ8" s="133" t="n">
        <f aca="false">IF(OR(HJ$4="",$B8=""),0,SUMIF('DADOS BRUTOS'!$A$3:$A$500,$B8,'DADOS BRUTOS'!EJ$3:EJ$500)+IF($C8="",0,SUMIF('DADOS BRUTOS'!$A$3:$A$500,$C8,'DADOS BRUTOS'!EJ$3:EJ$500)))</f>
        <v>0</v>
      </c>
      <c r="HK8" s="133" t="n">
        <f aca="false">IF(OR(HK$4="",$B8=""),0,SUMIF('DADOS BRUTOS'!$A$3:$A$500,$B8,'DADOS BRUTOS'!EK$3:EK$500)+IF($C8="",0,SUMIF('DADOS BRUTOS'!$A$3:$A$500,$C8,'DADOS BRUTOS'!EK$3:EK$500)))</f>
        <v>0</v>
      </c>
      <c r="HL8" s="133" t="n">
        <f aca="false">IF(OR(HL$4="",$B8=""),0,SUMIF('DADOS BRUTOS'!$A$3:$A$500,$B8,'DADOS BRUTOS'!EL$3:EL$500)+IF($C8="",0,SUMIF('DADOS BRUTOS'!$A$3:$A$500,$C8,'DADOS BRUTOS'!EL$3:EL$500)))</f>
        <v>0</v>
      </c>
      <c r="HM8" s="133" t="n">
        <f aca="false">IF(OR(HM$4="",$B8=""),0,SUMIF('DADOS BRUTOS'!$A$3:$A$500,$B8,'DADOS BRUTOS'!EM$3:EM$500)+IF($C8="",0,SUMIF('DADOS BRUTOS'!$A$3:$A$500,$C8,'DADOS BRUTOS'!EM$3:EM$500)))</f>
        <v>0</v>
      </c>
      <c r="HN8" s="133" t="n">
        <f aca="false">IF(OR(HN$4="",$B8=""),0,SUMIF('DADOS BRUTOS'!$A$3:$A$500,$B8,'DADOS BRUTOS'!EN$3:EN$500)+IF($C8="",0,SUMIF('DADOS BRUTOS'!$A$3:$A$500,$C8,'DADOS BRUTOS'!EN$3:EN$500)))</f>
        <v>0</v>
      </c>
      <c r="HO8" s="133" t="n">
        <f aca="false">IF(OR(HO$4="",$B8=""),0,SUMIF('DADOS BRUTOS'!$A$3:$A$500,$B8,'DADOS BRUTOS'!EO$3:EO$500)+IF($C8="",0,SUMIF('DADOS BRUTOS'!$A$3:$A$500,$C8,'DADOS BRUTOS'!EO$3:EO$500)))</f>
        <v>0</v>
      </c>
      <c r="HP8" s="133" t="n">
        <f aca="false">IF(OR(HP$4="",$B8=""),0,SUMIF('DADOS BRUTOS'!$A$3:$A$500,$B8,'DADOS BRUTOS'!EP$3:EP$500)+IF($C8="",0,SUMIF('DADOS BRUTOS'!$A$3:$A$500,$C8,'DADOS BRUTOS'!EP$3:EP$500)))</f>
        <v>0</v>
      </c>
      <c r="HQ8" s="133" t="n">
        <f aca="false">IF(OR(HQ$4="",$B8=""),0,SUMIF('DADOS BRUTOS'!$A$3:$A$500,$B8,'DADOS BRUTOS'!EQ$3:EQ$500)+IF($C8="",0,SUMIF('DADOS BRUTOS'!$A$3:$A$500,$C8,'DADOS BRUTOS'!EQ$3:EQ$500)))</f>
        <v>0</v>
      </c>
      <c r="HR8" s="133" t="n">
        <f aca="false">IF(OR(HR$4="",$B8=""),0,SUMIF('DADOS BRUTOS'!$A$3:$A$500,$B8,'DADOS BRUTOS'!ER$3:ER$500)+IF($C8="",0,SUMIF('DADOS BRUTOS'!$A$3:$A$500,$C8,'DADOS BRUTOS'!ER$3:ER$500)))</f>
        <v>0</v>
      </c>
      <c r="HS8" s="133" t="n">
        <f aca="false">IF(OR(HS$4="",$B8=""),0,SUMIF('DADOS BRUTOS'!$A$3:$A$500,$B8,'DADOS BRUTOS'!ES$3:ES$500)+IF($C8="",0,SUMIF('DADOS BRUTOS'!$A$3:$A$500,$C8,'DADOS BRUTOS'!ES$3:ES$500)))</f>
        <v>0</v>
      </c>
      <c r="HT8" s="133" t="n">
        <f aca="false">IF(OR(HT$4="",$B8=""),0,SUMIF('DADOS BRUTOS'!$A$3:$A$500,$B8,'DADOS BRUTOS'!ET$3:ET$500)+IF($C8="",0,SUMIF('DADOS BRUTOS'!$A$3:$A$500,$C8,'DADOS BRUTOS'!ET$3:ET$500)))</f>
        <v>0</v>
      </c>
      <c r="HU8" s="133" t="n">
        <f aca="false">IF(OR(HU$4="",$B8=""),0,SUMIF('DADOS BRUTOS'!$A$3:$A$500,$B8,'DADOS BRUTOS'!EU$3:EU$500)+IF($C8="",0,SUMIF('DADOS BRUTOS'!$A$3:$A$500,$C8,'DADOS BRUTOS'!EU$3:EU$500)))</f>
        <v>0</v>
      </c>
      <c r="HV8" s="133" t="n">
        <f aca="false">IF(OR(HV$4="",$B8=""),0,SUMIF('DADOS BRUTOS'!$A$3:$A$500,$B8,'DADOS BRUTOS'!EV$3:EV$500)+IF($C8="",0,SUMIF('DADOS BRUTOS'!$A$3:$A$500,$C8,'DADOS BRUTOS'!EV$3:EV$500)))</f>
        <v>0</v>
      </c>
      <c r="HW8" s="133" t="n">
        <f aca="false">IF(OR(HW$4="",$B8=""),0,SUMIF('DADOS BRUTOS'!$A$3:$A$500,$B8,'DADOS BRUTOS'!EW$3:EW$500)+IF($C8="",0,SUMIF('DADOS BRUTOS'!$A$3:$A$500,$C8,'DADOS BRUTOS'!EW$3:EW$500)))</f>
        <v>0</v>
      </c>
      <c r="HX8" s="133" t="n">
        <f aca="false">IF(OR(HX$4="",$B8=""),0,SUMIF('DADOS BRUTOS'!$A$3:$A$500,$B8,'DADOS BRUTOS'!EX$3:EX$500)+IF($C8="",0,SUMIF('DADOS BRUTOS'!$A$3:$A$500,$C8,'DADOS BRUTOS'!EX$3:EX$500)))</f>
        <v>0</v>
      </c>
      <c r="HY8" s="133" t="n">
        <f aca="false">IF(OR(HY$4="",$B8=""),0,SUMIF('DADOS BRUTOS'!$A$3:$A$500,$B8,'DADOS BRUTOS'!EY$3:EY$500)+IF($C8="",0,SUMIF('DADOS BRUTOS'!$A$3:$A$500,$C8,'DADOS BRUTOS'!EY$3:EY$500)))</f>
        <v>0</v>
      </c>
      <c r="HZ8" s="133" t="n">
        <f aca="false">IF(OR(HZ$4="",$B8=""),0,SUMIF('DADOS BRUTOS'!$A$3:$A$500,$B8,'DADOS BRUTOS'!EZ$3:EZ$500)+IF($C8="",0,SUMIF('DADOS BRUTOS'!$A$3:$A$500,$C8,'DADOS BRUTOS'!EZ$3:EZ$500)))</f>
        <v>0</v>
      </c>
      <c r="IA8" s="133" t="n">
        <f aca="false">IF(OR(IA$4="",$B8=""),0,SUMIF('DADOS BRUTOS'!$A$3:$A$500,$B8,'DADOS BRUTOS'!FA$3:FA$500)+IF($C8="",0,SUMIF('DADOS BRUTOS'!$A$3:$A$500,$C8,'DADOS BRUTOS'!FA$3:FA$500)))</f>
        <v>0</v>
      </c>
      <c r="IB8" s="133" t="n">
        <f aca="false">IF(OR(IB$4="",$B8=""),0,SUMIF('DADOS BRUTOS'!$A$3:$A$500,$B8,'DADOS BRUTOS'!FB$3:FB$500)+IF($C8="",0,SUMIF('DADOS BRUTOS'!$A$3:$A$500,$C8,'DADOS BRUTOS'!FB$3:FB$500)))</f>
        <v>0</v>
      </c>
      <c r="IC8" s="133" t="n">
        <f aca="false">IF(OR(IC$4="",$B8=""),0,SUMIF('DADOS BRUTOS'!$A$3:$A$500,$B8,'DADOS BRUTOS'!FC$3:FC$500)+IF($C8="",0,SUMIF('DADOS BRUTOS'!$A$3:$A$500,$C8,'DADOS BRUTOS'!FC$3:FC$500)))</f>
        <v>0</v>
      </c>
      <c r="ID8" s="133" t="n">
        <f aca="false">IF(OR(ID$4="",$B8=""),0,SUMIF('DADOS BRUTOS'!$A$3:$A$500,$B8,'DADOS BRUTOS'!FD$3:FD$500)+IF($C8="",0,SUMIF('DADOS BRUTOS'!$A$3:$A$500,$C8,'DADOS BRUTOS'!FD$3:FD$500)))</f>
        <v>0</v>
      </c>
      <c r="IE8" s="133" t="n">
        <f aca="false">IF(OR(IE$4="",$B8=""),0,SUMIF('DADOS BRUTOS'!$A$3:$A$500,$B8,'DADOS BRUTOS'!FE$3:FE$500)+IF($C8="",0,SUMIF('DADOS BRUTOS'!$A$3:$A$500,$C8,'DADOS BRUTOS'!FE$3:FE$500)))</f>
        <v>0</v>
      </c>
      <c r="IF8" s="133" t="n">
        <f aca="false">IF(OR(IF$4="",$B8=""),0,SUMIF('DADOS BRUTOS'!$A$3:$A$500,$B8,'DADOS BRUTOS'!FF$3:FF$500)+IF($C8="",0,SUMIF('DADOS BRUTOS'!$A$3:$A$500,$C8,'DADOS BRUTOS'!FF$3:FF$500)))</f>
        <v>0</v>
      </c>
      <c r="IG8" s="133" t="n">
        <f aca="false">IF(OR(IG$4="",$B8=""),0,SUMIF('DADOS BRUTOS'!$A$3:$A$500,$B8,'DADOS BRUTOS'!FG$3:FG$500)+IF($C8="",0,SUMIF('DADOS BRUTOS'!$A$3:$A$500,$C8,'DADOS BRUTOS'!FG$3:FG$500)))</f>
        <v>0</v>
      </c>
      <c r="IH8" s="133" t="n">
        <f aca="false">IF(OR(IH$4="",$B8=""),0,SUMIF('DADOS BRUTOS'!$A$3:$A$500,$B8,'DADOS BRUTOS'!FH$3:FH$500)+IF($C8="",0,SUMIF('DADOS BRUTOS'!$A$3:$A$500,$C8,'DADOS BRUTOS'!FH$3:FH$500)))</f>
        <v>0</v>
      </c>
      <c r="II8" s="133" t="n">
        <f aca="false">IF(OR(II$4="",$B8=""),0,SUMIF('DADOS BRUTOS'!$A$3:$A$500,$B8,'DADOS BRUTOS'!FI$3:FI$500)+IF($C8="",0,SUMIF('DADOS BRUTOS'!$A$3:$A$500,$C8,'DADOS BRUTOS'!FI$3:FI$500)))</f>
        <v>0</v>
      </c>
      <c r="IJ8" s="133" t="n">
        <f aca="false">IF(OR(IJ$4="",$B8=""),0,SUMIF('DADOS BRUTOS'!$A$3:$A$500,$B8,'DADOS BRUTOS'!FJ$3:FJ$500)+IF($C8="",0,SUMIF('DADOS BRUTOS'!$A$3:$A$500,$C8,'DADOS BRUTOS'!FJ$3:FJ$500)))</f>
        <v>0</v>
      </c>
      <c r="IK8" s="133" t="n">
        <f aca="false">IF(OR(IK$4="",$B8=""),0,SUMIF('DADOS BRUTOS'!$A$3:$A$500,$B8,'DADOS BRUTOS'!FK$3:FK$500)+IF($C8="",0,SUMIF('DADOS BRUTOS'!$A$3:$A$500,$C8,'DADOS BRUTOS'!FK$3:FK$500)))</f>
        <v>0</v>
      </c>
      <c r="IL8" s="133" t="n">
        <f aca="false">IF(OR(IL$4="",$B8=""),0,SUMIF('DADOS BRUTOS'!$A$3:$A$500,$B8,'DADOS BRUTOS'!FL$3:FL$500)+IF($C8="",0,SUMIF('DADOS BRUTOS'!$A$3:$A$500,$C8,'DADOS BRUTOS'!FL$3:FL$500)))</f>
        <v>0</v>
      </c>
      <c r="IM8" s="133" t="n">
        <f aca="false">IF(OR(IM$4="",$B8=""),0,SUMIF('DADOS BRUTOS'!$A$3:$A$500,$B8,'DADOS BRUTOS'!FM$3:FM$500)+IF($C8="",0,SUMIF('DADOS BRUTOS'!$A$3:$A$500,$C8,'DADOS BRUTOS'!FM$3:FM$500)))</f>
        <v>0</v>
      </c>
      <c r="IN8" s="133" t="n">
        <f aca="false">IF(OR(IN$4="",$B8=""),0,SUMIF('DADOS BRUTOS'!$A$3:$A$500,$B8,'DADOS BRUTOS'!FN$3:FN$500)+IF($C8="",0,SUMIF('DADOS BRUTOS'!$A$3:$A$500,$C8,'DADOS BRUTOS'!FN$3:FN$500)))</f>
        <v>0</v>
      </c>
      <c r="IO8" s="133" t="n">
        <f aca="false">IF(OR(IO$4="",$B8=""),0,SUMIF('DADOS BRUTOS'!$A$3:$A$500,$B8,'DADOS BRUTOS'!FO$3:FO$500)+IF($C8="",0,SUMIF('DADOS BRUTOS'!$A$3:$A$500,$C8,'DADOS BRUTOS'!FO$3:FO$500)))</f>
        <v>0</v>
      </c>
      <c r="IP8" s="133" t="n">
        <f aca="false">IF(OR(IP$4="",$B8=""),0,SUMIF('DADOS BRUTOS'!$A$3:$A$500,$B8,'DADOS BRUTOS'!FP$3:FP$500)+IF($C8="",0,SUMIF('DADOS BRUTOS'!$A$3:$A$500,$C8,'DADOS BRUTOS'!FP$3:FP$500)))</f>
        <v>0</v>
      </c>
      <c r="IQ8" s="133" t="n">
        <f aca="false">IF(OR(IQ$4="",$B8=""),0,SUMIF('DADOS BRUTOS'!$A$3:$A$500,$B8,'DADOS BRUTOS'!FQ$3:FQ$500)+IF($C8="",0,SUMIF('DADOS BRUTOS'!$A$3:$A$500,$C8,'DADOS BRUTOS'!FQ$3:FQ$500)))</f>
        <v>0</v>
      </c>
      <c r="IR8" s="133" t="n">
        <f aca="false">IF(OR(IR$4="",$B8=""),0,SUMIF('DADOS BRUTOS'!$A$3:$A$500,$B8,'DADOS BRUTOS'!FR$3:FR$500)+IF($C8="",0,SUMIF('DADOS BRUTOS'!$A$3:$A$500,$C8,'DADOS BRUTOS'!FR$3:FR$500)))</f>
        <v>0</v>
      </c>
      <c r="IS8" s="133" t="n">
        <f aca="false">IF(OR(IS$4="",$B8=""),0,SUMIF('DADOS BRUTOS'!$A$3:$A$500,$B8,'DADOS BRUTOS'!FS$3:FS$500)+IF($C8="",0,SUMIF('DADOS BRUTOS'!$A$3:$A$500,$C8,'DADOS BRUTOS'!FS$3:FS$500)))</f>
        <v>0</v>
      </c>
      <c r="IT8" s="133" t="n">
        <f aca="false">IF(OR(IT$4="",$B8=""),0,SUMIF('DADOS BRUTOS'!$A$3:$A$500,$B8,'DADOS BRUTOS'!FT$3:FT$500)+IF($C8="",0,SUMIF('DADOS BRUTOS'!$A$3:$A$500,$C8,'DADOS BRUTOS'!FT$3:FT$500)))</f>
        <v>0</v>
      </c>
      <c r="IU8" s="133" t="n">
        <f aca="false">IF(OR(IU$4="",$B8=""),0,SUMIF('DADOS BRUTOS'!$A$3:$A$500,$B8,'DADOS BRUTOS'!FU$3:FU$500)+IF($C8="",0,SUMIF('DADOS BRUTOS'!$A$3:$A$500,$C8,'DADOS BRUTOS'!FU$3:FU$500)))</f>
        <v>0</v>
      </c>
      <c r="IV8" s="133" t="n">
        <f aca="false">IF(OR(IV$4="",$B8=""),0,SUMIF('DADOS BRUTOS'!$A$3:$A$500,$B8,'DADOS BRUTOS'!FV$3:FV$500)+IF($C8="",0,SUMIF('DADOS BRUTOS'!$A$3:$A$500,$C8,'DADOS BRUTOS'!FV$3:FV$500)))</f>
        <v>0</v>
      </c>
      <c r="IW8" s="133" t="n">
        <f aca="false">IF(OR(IW$4="",$B8=""),0,SUMIF('DADOS BRUTOS'!$A$3:$A$500,$B8,'DADOS BRUTOS'!FW$3:FW$500)+IF($C8="",0,SUMIF('DADOS BRUTOS'!$A$3:$A$500,$C8,'DADOS BRUTOS'!FW$3:FW$500)))</f>
        <v>0</v>
      </c>
      <c r="IX8" s="133" t="n">
        <f aca="false">IF(OR(IX$4="",$B8=""),0,SUMIF('DADOS BRUTOS'!$A$3:$A$500,$B8,'DADOS BRUTOS'!FX$3:FX$500)+IF($C8="",0,SUMIF('DADOS BRUTOS'!$A$3:$A$500,$C8,'DADOS BRUTOS'!FX$3:FX$500)))</f>
        <v>0</v>
      </c>
      <c r="IY8" s="133" t="n">
        <f aca="false">IF(OR(IY$4="",$B8=""),0,SUMIF('DADOS BRUTOS'!$A$3:$A$500,$B8,'DADOS BRUTOS'!FY$3:FY$500)+IF($C8="",0,SUMIF('DADOS BRUTOS'!$A$3:$A$500,$C8,'DADOS BRUTOS'!FY$3:FY$500)))</f>
        <v>0</v>
      </c>
      <c r="IZ8" s="133" t="n">
        <f aca="false">IF(OR(IZ$4="",$B8=""),0,SUMIF('DADOS BRUTOS'!$A$3:$A$500,$B8,'DADOS BRUTOS'!FZ$3:FZ$500)+IF($C8="",0,SUMIF('DADOS BRUTOS'!$A$3:$A$500,$C8,'DADOS BRUTOS'!FZ$3:FZ$500)))</f>
        <v>0</v>
      </c>
      <c r="JA8" s="133" t="n">
        <f aca="false">IF(OR(JA$4="",$B8=""),0,SUMIF('DADOS BRUTOS'!$A$3:$A$500,$B8,'DADOS BRUTOS'!GA$3:GA$500)+IF($C8="",0,SUMIF('DADOS BRUTOS'!$A$3:$A$500,$C8,'DADOS BRUTOS'!GA$3:GA$500)))</f>
        <v>0</v>
      </c>
      <c r="JB8" s="133" t="n">
        <f aca="false">IF(OR(JB$4="",$B8=""),0,SUMIF('DADOS BRUTOS'!$A$3:$A$500,$B8,'DADOS BRUTOS'!GB$3:GB$500)+IF($C8="",0,SUMIF('DADOS BRUTOS'!$A$3:$A$500,$C8,'DADOS BRUTOS'!GB$3:GB$500)))</f>
        <v>0</v>
      </c>
      <c r="JC8" s="133" t="n">
        <f aca="false">IF(OR(JC$4="",$B8=""),0,SUMIF('DADOS BRUTOS'!$A$3:$A$500,$B8,'DADOS BRUTOS'!GC$3:GC$500)+IF($C8="",0,SUMIF('DADOS BRUTOS'!$A$3:$A$500,$C8,'DADOS BRUTOS'!GC$3:GC$500)))</f>
        <v>0</v>
      </c>
      <c r="JD8" s="133" t="n">
        <f aca="false">IF(OR(JD$4="",$B8=""),0,SUMIF('DADOS BRUTOS'!$A$3:$A$500,$B8,'DADOS BRUTOS'!GD$3:GD$500)+IF($C8="",0,SUMIF('DADOS BRUTOS'!$A$3:$A$500,$C8,'DADOS BRUTOS'!GD$3:GD$500)))</f>
        <v>0</v>
      </c>
      <c r="JE8" s="133" t="n">
        <f aca="false">IF(OR(JE$4="",$B8=""),0,SUMIF('DADOS BRUTOS'!$A$3:$A$500,$B8,'DADOS BRUTOS'!GE$3:GE$500)+IF($C8="",0,SUMIF('DADOS BRUTOS'!$A$3:$A$500,$C8,'DADOS BRUTOS'!GE$3:GE$500)))</f>
        <v>0</v>
      </c>
      <c r="JF8" s="133" t="n">
        <f aca="false">IF(OR(JF$4="",$B8=""),0,SUMIF('DADOS BRUTOS'!$A$3:$A$500,$B8,'DADOS BRUTOS'!GF$3:GF$500)+IF($C8="",0,SUMIF('DADOS BRUTOS'!$A$3:$A$500,$C8,'DADOS BRUTOS'!GF$3:GF$500)))</f>
        <v>0</v>
      </c>
      <c r="JG8" s="133" t="n">
        <f aca="false">IF(OR(JG$4="",$B8=""),0,SUMIF('DADOS BRUTOS'!$A$3:$A$500,$B8,'DADOS BRUTOS'!GG$3:GG$500)+IF($C8="",0,SUMIF('DADOS BRUTOS'!$A$3:$A$500,$C8,'DADOS BRUTOS'!GG$3:GG$500)))</f>
        <v>0</v>
      </c>
      <c r="JH8" s="133" t="n">
        <f aca="false">IF(OR(JH$4="",$B8=""),0,SUMIF('DADOS BRUTOS'!$A$3:$A$500,$B8,'DADOS BRUTOS'!GH$3:GH$500)+IF($C8="",0,SUMIF('DADOS BRUTOS'!$A$3:$A$500,$C8,'DADOS BRUTOS'!GH$3:GH$500)))</f>
        <v>0</v>
      </c>
      <c r="JI8" s="133" t="n">
        <f aca="false">IF(OR(JI$4="",$B8=""),0,SUMIF('DADOS BRUTOS'!$A$3:$A$500,$B8,'DADOS BRUTOS'!GI$3:GI$500)+IF($C8="",0,SUMIF('DADOS BRUTOS'!$A$3:$A$500,$C8,'DADOS BRUTOS'!GI$3:GI$500)))</f>
        <v>0</v>
      </c>
      <c r="JJ8" s="133" t="n">
        <f aca="false">IF(OR(JJ$4="",$B8=""),0,SUMIF('DADOS BRUTOS'!$A$3:$A$500,$B8,'DADOS BRUTOS'!GJ$3:GJ$500)+IF($C8="",0,SUMIF('DADOS BRUTOS'!$A$3:$A$500,$C8,'DADOS BRUTOS'!GJ$3:GJ$500)))</f>
        <v>0</v>
      </c>
      <c r="JK8" s="133" t="n">
        <f aca="false">IF(OR(JK$4="",$B8=""),0,SUMIF('DADOS BRUTOS'!$A$3:$A$500,$B8,'DADOS BRUTOS'!GK$3:GK$500)+IF($C8="",0,SUMIF('DADOS BRUTOS'!$A$3:$A$500,$C8,'DADOS BRUTOS'!GK$3:GK$500)))</f>
        <v>0</v>
      </c>
      <c r="JL8" s="133" t="n">
        <f aca="false">IF(OR(JL$4="",$B8=""),0,SUMIF('DADOS BRUTOS'!$A$3:$A$500,$B8,'DADOS BRUTOS'!GL$3:GL$500)+IF($C8="",0,SUMIF('DADOS BRUTOS'!$A$3:$A$500,$C8,'DADOS BRUTOS'!GL$3:GL$500)))</f>
        <v>0</v>
      </c>
      <c r="JM8" s="133" t="n">
        <f aca="false">IF(OR(JM$4="",$B8=""),0,SUMIF('DADOS BRUTOS'!$A$3:$A$500,$B8,'DADOS BRUTOS'!GM$3:GM$500)+IF($C8="",0,SUMIF('DADOS BRUTOS'!$A$3:$A$500,$C8,'DADOS BRUTOS'!GM$3:GM$500)))</f>
        <v>0</v>
      </c>
      <c r="JN8" s="133" t="n">
        <f aca="false">IF(OR(JN$4="",$B8=""),0,SUMIF('DADOS BRUTOS'!$A$3:$A$500,$B8,'DADOS BRUTOS'!GN$3:GN$500)+IF($C8="",0,SUMIF('DADOS BRUTOS'!$A$3:$A$500,$C8,'DADOS BRUTOS'!GN$3:GN$500)))</f>
        <v>0</v>
      </c>
      <c r="JO8" s="133" t="n">
        <f aca="false">IF(OR(JO$4="",$B8=""),0,SUMIF('DADOS BRUTOS'!$A$3:$A$500,$B8,'DADOS BRUTOS'!GO$3:GO$500)+IF($C8="",0,SUMIF('DADOS BRUTOS'!$A$3:$A$500,$C8,'DADOS BRUTOS'!GO$3:GO$500)))</f>
        <v>0</v>
      </c>
      <c r="JP8" s="133" t="n">
        <f aca="false">IF(OR(JP$4="",$B8=""),0,SUMIF('DADOS BRUTOS'!$A$3:$A$500,$B8,'DADOS BRUTOS'!GP$3:GP$500)+IF($C8="",0,SUMIF('DADOS BRUTOS'!$A$3:$A$500,$C8,'DADOS BRUTOS'!GP$3:GP$500)))</f>
        <v>0</v>
      </c>
      <c r="JQ8" s="133" t="n">
        <f aca="false">IF(OR(JQ$4="",$B8=""),0,SUMIF('DADOS BRUTOS'!$A$3:$A$500,$B8,'DADOS BRUTOS'!GQ$3:GQ$500)+IF($C8="",0,SUMIF('DADOS BRUTOS'!$A$3:$A$500,$C8,'DADOS BRUTOS'!GQ$3:GQ$500)))</f>
        <v>0</v>
      </c>
      <c r="JR8" s="133" t="n">
        <f aca="false">IF(OR(JR$4="",$B8=""),0,SUMIF('DADOS BRUTOS'!$A$3:$A$500,$B8,'DADOS BRUTOS'!GR$3:GR$500)+IF($C8="",0,SUMIF('DADOS BRUTOS'!$A$3:$A$500,$C8,'DADOS BRUTOS'!GR$3:GR$500)))</f>
        <v>0</v>
      </c>
      <c r="JS8" s="133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625.36</v>
      </c>
      <c r="L9" s="50" t="n">
        <f aca="false">SUMIF($CB$4:$JS$4,L$4,$CB9:$JS9)</f>
        <v>357.65</v>
      </c>
      <c r="M9" s="50" t="n">
        <f aca="false">SUMIF($CB$4:$JS$4,M$4,$CB9:$JS9)</f>
        <v>1634.25</v>
      </c>
      <c r="N9" s="50" t="n">
        <f aca="false">SUMIF($CB$4:$JS$4,N$4,$CB9:$JS9)</f>
        <v>14678.51</v>
      </c>
      <c r="O9" s="50" t="n">
        <f aca="false">SUMIF($CB$4:$JS$4,O$4,$CB9:$JS9)</f>
        <v>8642.57</v>
      </c>
      <c r="P9" s="50" t="n">
        <f aca="false">SUMIF($CB$4:$JS$4,P$4,$CB9:$JS9)</f>
        <v>1681.62</v>
      </c>
      <c r="Q9" s="50" t="n">
        <f aca="false">SUMIF($CB$4:$JS$4,Q$4,$CB9:$JS9)</f>
        <v>525.75</v>
      </c>
      <c r="R9" s="50" t="n">
        <f aca="false">SUMIF($CB$4:$JS$4,R$4,$CB9:$JS9)</f>
        <v>5117.4</v>
      </c>
      <c r="S9" s="50" t="n">
        <f aca="false">SUMIF($CB$4:$JS$4,S$4,$CB9:$JS9)</f>
        <v>0</v>
      </c>
      <c r="T9" s="50" t="n">
        <f aca="false">SUMIF($CB$4:$JS$4,T$4,$CB9:$JS9)</f>
        <v>6926.87</v>
      </c>
      <c r="U9" s="50" t="n">
        <f aca="false">SUMIF($CB$4:$JS$4,U$4,$CB9:$JS9)</f>
        <v>18523.32</v>
      </c>
      <c r="V9" s="50" t="n">
        <f aca="false">SUMIF($CB$4:$JS$4,V$4,$CB9:$JS9)</f>
        <v>20.75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620.4</v>
      </c>
      <c r="AA9" s="50" t="n">
        <f aca="false">SUMIF($CB$4:$JS$4,AA$4,$CB9:$JS9)</f>
        <v>167.05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59521.5</v>
      </c>
      <c r="BZ9" s="45" t="n">
        <f aca="false">SUMPRODUCT(($CB$4:$JS$4&lt;&gt;"")*($CB$4:$JS$4&lt;=$D$4),$CB9:$JS9,$CB$1:$JS$1)</f>
        <v>0</v>
      </c>
      <c r="CB9" s="133" t="n">
        <f aca="false">IF(OR(CB$4="",$B9=""),0,SUMIF('DADOS BRUTOS'!$A$3:$A$500,$B9,'DADOS BRUTOS'!B$3:B$500)+IF($C9="",0,SUMIF('DADOS BRUTOS'!$A$3:$A$500,$C9,'DADOS BRUTOS'!B$3:B$500)))</f>
        <v>0</v>
      </c>
      <c r="CC9" s="133" t="n">
        <f aca="false">IF(OR(CC$4="",$B9=""),0,SUMIF('DADOS BRUTOS'!$A$3:$A$500,$B9,'DADOS BRUTOS'!C$3:C$500)+IF($C9="",0,SUMIF('DADOS BRUTOS'!$A$3:$A$500,$C9,'DADOS BRUTOS'!C$3:C$500)))</f>
        <v>0</v>
      </c>
      <c r="CD9" s="133" t="n">
        <f aca="false">IF(OR(CD$4="",$B9=""),0,SUMIF('DADOS BRUTOS'!$A$3:$A$500,$B9,'DADOS BRUTOS'!D$3:D$500)+IF($C9="",0,SUMIF('DADOS BRUTOS'!$A$3:$A$500,$C9,'DADOS BRUTOS'!D$3:D$500)))</f>
        <v>0</v>
      </c>
      <c r="CE9" s="133" t="n">
        <f aca="false">IF(OR(CE$4="",$B9=""),0,SUMIF('DADOS BRUTOS'!$A$3:$A$500,$B9,'DADOS BRUTOS'!E$3:E$500)+IF($C9="",0,SUMIF('DADOS BRUTOS'!$A$3:$A$500,$C9,'DADOS BRUTOS'!E$3:E$500)))</f>
        <v>0</v>
      </c>
      <c r="CF9" s="133" t="n">
        <f aca="false">IF(OR(CF$4="",$B9=""),0,SUMIF('DADOS BRUTOS'!$A$3:$A$500,$B9,'DADOS BRUTOS'!F$3:F$500)+IF($C9="",0,SUMIF('DADOS BRUTOS'!$A$3:$A$500,$C9,'DADOS BRUTOS'!F$3:F$500)))</f>
        <v>0</v>
      </c>
      <c r="CG9" s="133" t="n">
        <f aca="false">IF(OR(CG$4="",$B9=""),0,SUMIF('DADOS BRUTOS'!$A$3:$A$500,$B9,'DADOS BRUTOS'!G$3:G$500)+IF($C9="",0,SUMIF('DADOS BRUTOS'!$A$3:$A$500,$C9,'DADOS BRUTOS'!G$3:G$500)))</f>
        <v>0</v>
      </c>
      <c r="CH9" s="133" t="n">
        <f aca="false">IF(OR(CH$4="",$B9=""),0,SUMIF('DADOS BRUTOS'!$A$3:$A$500,$B9,'DADOS BRUTOS'!H$3:H$500)+IF($C9="",0,SUMIF('DADOS BRUTOS'!$A$3:$A$500,$C9,'DADOS BRUTOS'!H$3:H$500)))</f>
        <v>0</v>
      </c>
      <c r="CI9" s="133" t="n">
        <f aca="false">IF(OR(CI$4="",$B9=""),0,SUMIF('DADOS BRUTOS'!$A$3:$A$500,$B9,'DADOS BRUTOS'!I$3:I$500)+IF($C9="",0,SUMIF('DADOS BRUTOS'!$A$3:$A$500,$C9,'DADOS BRUTOS'!I$3:I$500)))</f>
        <v>0</v>
      </c>
      <c r="CJ9" s="133" t="n">
        <f aca="false">IF(OR(CJ$4="",$B9=""),0,SUMIF('DADOS BRUTOS'!$A$3:$A$500,$B9,'DADOS BRUTOS'!J$3:J$500)+IF($C9="",0,SUMIF('DADOS BRUTOS'!$A$3:$A$500,$C9,'DADOS BRUTOS'!J$3:J$500)))</f>
        <v>0</v>
      </c>
      <c r="CK9" s="133" t="n">
        <f aca="false">IF(OR(CK$4="",$B9=""),0,SUMIF('DADOS BRUTOS'!$A$3:$A$500,$B9,'DADOS BRUTOS'!K$3:K$500)+IF($C9="",0,SUMIF('DADOS BRUTOS'!$A$3:$A$500,$C9,'DADOS BRUTOS'!K$3:K$500)))</f>
        <v>0</v>
      </c>
      <c r="CL9" s="133" t="n">
        <f aca="false">IF(OR(CL$4="",$B9=""),0,SUMIF('DADOS BRUTOS'!$A$3:$A$500,$B9,'DADOS BRUTOS'!L$3:L$500)+IF($C9="",0,SUMIF('DADOS BRUTOS'!$A$3:$A$500,$C9,'DADOS BRUTOS'!L$3:L$500)))</f>
        <v>0</v>
      </c>
      <c r="CM9" s="133" t="n">
        <f aca="false">IF(OR(CM$4="",$B9=""),0,SUMIF('DADOS BRUTOS'!$A$3:$A$500,$B9,'DADOS BRUTOS'!M$3:M$500)+IF($C9="",0,SUMIF('DADOS BRUTOS'!$A$3:$A$500,$C9,'DADOS BRUTOS'!M$3:M$500)))</f>
        <v>0</v>
      </c>
      <c r="CN9" s="133" t="n">
        <f aca="false">IF(OR(CN$4="",$B9=""),0,SUMIF('DADOS BRUTOS'!$A$3:$A$500,$B9,'DADOS BRUTOS'!N$3:N$500)+IF($C9="",0,SUMIF('DADOS BRUTOS'!$A$3:$A$500,$C9,'DADOS BRUTOS'!N$3:N$500)))</f>
        <v>0</v>
      </c>
      <c r="CO9" s="133" t="n">
        <f aca="false">IF(OR(CO$4="",$B9=""),0,SUMIF('DADOS BRUTOS'!$A$3:$A$500,$B9,'DADOS BRUTOS'!O$3:O$500)+IF($C9="",0,SUMIF('DADOS BRUTOS'!$A$3:$A$500,$C9,'DADOS BRUTOS'!O$3:O$500)))</f>
        <v>0</v>
      </c>
      <c r="CP9" s="133" t="n">
        <f aca="false">IF(OR(CP$4="",$B9=""),0,SUMIF('DADOS BRUTOS'!$A$3:$A$500,$B9,'DADOS BRUTOS'!P$3:P$500)+IF($C9="",0,SUMIF('DADOS BRUTOS'!$A$3:$A$500,$C9,'DADOS BRUTOS'!P$3:P$500)))</f>
        <v>0</v>
      </c>
      <c r="CQ9" s="133" t="n">
        <f aca="false">IF(OR(CQ$4="",$B9=""),0,SUMIF('DADOS BRUTOS'!$A$3:$A$500,$B9,'DADOS BRUTOS'!Q$3:Q$500)+IF($C9="",0,SUMIF('DADOS BRUTOS'!$A$3:$A$500,$C9,'DADOS BRUTOS'!Q$3:Q$500)))</f>
        <v>0</v>
      </c>
      <c r="CR9" s="133" t="n">
        <f aca="false">IF(OR(CR$4="",$B9=""),0,SUMIF('DADOS BRUTOS'!$A$3:$A$500,$B9,'DADOS BRUTOS'!R$3:R$500)+IF($C9="",0,SUMIF('DADOS BRUTOS'!$A$3:$A$500,$C9,'DADOS BRUTOS'!R$3:R$500)))</f>
        <v>0</v>
      </c>
      <c r="CS9" s="133" t="n">
        <f aca="false">IF(OR(CS$4="",$B9=""),0,SUMIF('DADOS BRUTOS'!$A$3:$A$500,$B9,'DADOS BRUTOS'!S$3:S$500)+IF($C9="",0,SUMIF('DADOS BRUTOS'!$A$3:$A$500,$C9,'DADOS BRUTOS'!S$3:S$500)))</f>
        <v>0</v>
      </c>
      <c r="CT9" s="133" t="n">
        <f aca="false">IF(OR(CT$4="",$B9=""),0,SUMIF('DADOS BRUTOS'!$A$3:$A$500,$B9,'DADOS BRUTOS'!T$3:T$500)+IF($C9="",0,SUMIF('DADOS BRUTOS'!$A$3:$A$500,$C9,'DADOS BRUTOS'!T$3:T$500)))</f>
        <v>0</v>
      </c>
      <c r="CU9" s="133" t="n">
        <f aca="false">IF(OR(CU$4="",$B9=""),0,SUMIF('DADOS BRUTOS'!$A$3:$A$500,$B9,'DADOS BRUTOS'!U$3:U$500)+IF($C9="",0,SUMIF('DADOS BRUTOS'!$A$3:$A$500,$C9,'DADOS BRUTOS'!U$3:U$500)))</f>
        <v>625.36</v>
      </c>
      <c r="CV9" s="133" t="n">
        <f aca="false">IF(OR(CV$4="",$B9=""),0,SUMIF('DADOS BRUTOS'!$A$3:$A$500,$B9,'DADOS BRUTOS'!V$3:V$500)+IF($C9="",0,SUMIF('DADOS BRUTOS'!$A$3:$A$500,$C9,'DADOS BRUTOS'!V$3:V$500)))</f>
        <v>357.65</v>
      </c>
      <c r="CW9" s="133" t="n">
        <f aca="false">IF(OR(CW$4="",$B9=""),0,SUMIF('DADOS BRUTOS'!$A$3:$A$500,$B9,'DADOS BRUTOS'!W$3:W$500)+IF($C9="",0,SUMIF('DADOS BRUTOS'!$A$3:$A$500,$C9,'DADOS BRUTOS'!W$3:W$500)))</f>
        <v>1634.25</v>
      </c>
      <c r="CX9" s="133" t="n">
        <f aca="false">IF(OR(CX$4="",$B9=""),0,SUMIF('DADOS BRUTOS'!$A$3:$A$500,$B9,'DADOS BRUTOS'!X$3:X$500)+IF($C9="",0,SUMIF('DADOS BRUTOS'!$A$3:$A$500,$C9,'DADOS BRUTOS'!X$3:X$500)))</f>
        <v>14678.51</v>
      </c>
      <c r="CY9" s="133" t="n">
        <f aca="false">IF(OR(CY$4="",$B9=""),0,SUMIF('DADOS BRUTOS'!$A$3:$A$500,$B9,'DADOS BRUTOS'!Y$3:Y$500)+IF($C9="",0,SUMIF('DADOS BRUTOS'!$A$3:$A$500,$C9,'DADOS BRUTOS'!Y$3:Y$500)))</f>
        <v>8642.57</v>
      </c>
      <c r="CZ9" s="133" t="n">
        <f aca="false">IF(OR(CZ$4="",$B9=""),0,SUMIF('DADOS BRUTOS'!$A$3:$A$500,$B9,'DADOS BRUTOS'!Z$3:Z$500)+IF($C9="",0,SUMIF('DADOS BRUTOS'!$A$3:$A$500,$C9,'DADOS BRUTOS'!Z$3:Z$500)))</f>
        <v>1681.62</v>
      </c>
      <c r="DA9" s="133" t="n">
        <f aca="false">IF(OR(DA$4="",$B9=""),0,SUMIF('DADOS BRUTOS'!$A$3:$A$500,$B9,'DADOS BRUTOS'!AA$3:AA$500)+IF($C9="",0,SUMIF('DADOS BRUTOS'!$A$3:$A$500,$C9,'DADOS BRUTOS'!AA$3:AA$500)))</f>
        <v>525.75</v>
      </c>
      <c r="DB9" s="133" t="n">
        <f aca="false">IF(OR(DB$4="",$B9=""),0,SUMIF('DADOS BRUTOS'!$A$3:$A$500,$B9,'DADOS BRUTOS'!AB$3:AB$500)+IF($C9="",0,SUMIF('DADOS BRUTOS'!$A$3:$A$500,$C9,'DADOS BRUTOS'!AB$3:AB$500)))</f>
        <v>5117.4</v>
      </c>
      <c r="DC9" s="133" t="n">
        <f aca="false">IF(OR(DC$4="",$B9=""),0,SUMIF('DADOS BRUTOS'!$A$3:$A$500,$B9,'DADOS BRUTOS'!AC$3:AC$500)+IF($C9="",0,SUMIF('DADOS BRUTOS'!$A$3:$A$500,$C9,'DADOS BRUTOS'!AC$3:AC$500)))</f>
        <v>0</v>
      </c>
      <c r="DD9" s="133" t="n">
        <f aca="false">IF(OR(DD$4="",$B9=""),0,SUMIF('DADOS BRUTOS'!$A$3:$A$500,$B9,'DADOS BRUTOS'!AD$3:AD$500)+IF($C9="",0,SUMIF('DADOS BRUTOS'!$A$3:$A$500,$C9,'DADOS BRUTOS'!AD$3:AD$500)))</f>
        <v>6926.87</v>
      </c>
      <c r="DE9" s="133" t="n">
        <f aca="false">IF(OR(DE$4="",$B9=""),0,SUMIF('DADOS BRUTOS'!$A$3:$A$500,$B9,'DADOS BRUTOS'!AE$3:AE$500)+IF($C9="",0,SUMIF('DADOS BRUTOS'!$A$3:$A$500,$C9,'DADOS BRUTOS'!AE$3:AE$500)))</f>
        <v>18523.32</v>
      </c>
      <c r="DF9" s="133" t="n">
        <f aca="false">IF(OR(DF$4="",$B9=""),0,SUMIF('DADOS BRUTOS'!$A$3:$A$500,$B9,'DADOS BRUTOS'!AF$3:AF$500)+IF($C9="",0,SUMIF('DADOS BRUTOS'!$A$3:$A$500,$C9,'DADOS BRUTOS'!AF$3:AF$500)))</f>
        <v>20.75</v>
      </c>
      <c r="DG9" s="133" t="n">
        <f aca="false">IF(OR(DG$4="",$B9=""),0,SUMIF('DADOS BRUTOS'!$A$3:$A$500,$B9,'DADOS BRUTOS'!AG$3:AG$500)+IF($C9="",0,SUMIF('DADOS BRUTOS'!$A$3:$A$500,$C9,'DADOS BRUTOS'!AG$3:AG$500)))</f>
        <v>0</v>
      </c>
      <c r="DH9" s="133" t="n">
        <f aca="false">IF(OR(DH$4="",$B9=""),0,SUMIF('DADOS BRUTOS'!$A$3:$A$500,$B9,'DADOS BRUTOS'!AH$3:AH$500)+IF($C9="",0,SUMIF('DADOS BRUTOS'!$A$3:$A$500,$C9,'DADOS BRUTOS'!AH$3:AH$500)))</f>
        <v>0</v>
      </c>
      <c r="DI9" s="133" t="n">
        <f aca="false">IF(OR(DI$4="",$B9=""),0,SUMIF('DADOS BRUTOS'!$A$3:$A$500,$B9,'DADOS BRUTOS'!AI$3:AI$500)+IF($C9="",0,SUMIF('DADOS BRUTOS'!$A$3:$A$500,$C9,'DADOS BRUTOS'!AI$3:AI$500)))</f>
        <v>0</v>
      </c>
      <c r="DJ9" s="133" t="n">
        <f aca="false">IF(OR(DJ$4="",$B9=""),0,SUMIF('DADOS BRUTOS'!$A$3:$A$500,$B9,'DADOS BRUTOS'!AJ$3:AJ$500)+IF($C9="",0,SUMIF('DADOS BRUTOS'!$A$3:$A$500,$C9,'DADOS BRUTOS'!AJ$3:AJ$500)))</f>
        <v>620.4</v>
      </c>
      <c r="DK9" s="133" t="n">
        <f aca="false">IF(OR(DK$4="",$B9=""),0,SUMIF('DADOS BRUTOS'!$A$3:$A$500,$B9,'DADOS BRUTOS'!AK$3:AK$500)+IF($C9="",0,SUMIF('DADOS BRUTOS'!$A$3:$A$500,$C9,'DADOS BRUTOS'!AK$3:AK$500)))</f>
        <v>167.05</v>
      </c>
      <c r="DL9" s="133" t="n">
        <f aca="false">IF(OR(DL$4="",$B9=""),0,SUMIF('DADOS BRUTOS'!$A$3:$A$500,$B9,'DADOS BRUTOS'!AL$3:AL$500)+IF($C9="",0,SUMIF('DADOS BRUTOS'!$A$3:$A$500,$C9,'DADOS BRUTOS'!AL$3:AL$500)))</f>
        <v>0</v>
      </c>
      <c r="DM9" s="133" t="n">
        <f aca="false">IF(OR(DM$4="",$B9=""),0,SUMIF('DADOS BRUTOS'!$A$3:$A$500,$B9,'DADOS BRUTOS'!AM$3:AM$500)+IF($C9="",0,SUMIF('DADOS BRUTOS'!$A$3:$A$500,$C9,'DADOS BRUTOS'!AM$3:AM$500)))</f>
        <v>0</v>
      </c>
      <c r="DN9" s="133" t="n">
        <f aca="false">IF(OR(DN$4="",$B9=""),0,SUMIF('DADOS BRUTOS'!$A$3:$A$500,$B9,'DADOS BRUTOS'!AN$3:AN$500)+IF($C9="",0,SUMIF('DADOS BRUTOS'!$A$3:$A$500,$C9,'DADOS BRUTOS'!AN$3:AN$500)))</f>
        <v>0</v>
      </c>
      <c r="DO9" s="133" t="n">
        <f aca="false">IF(OR(DO$4="",$B9=""),0,SUMIF('DADOS BRUTOS'!$A$3:$A$500,$B9,'DADOS BRUTOS'!AO$3:AO$500)+IF($C9="",0,SUMIF('DADOS BRUTOS'!$A$3:$A$500,$C9,'DADOS BRUTOS'!AO$3:AO$500)))</f>
        <v>0</v>
      </c>
      <c r="DP9" s="133" t="n">
        <f aca="false">IF(OR(DP$4="",$B9=""),0,SUMIF('DADOS BRUTOS'!$A$3:$A$500,$B9,'DADOS BRUTOS'!AP$3:AP$500)+IF($C9="",0,SUMIF('DADOS BRUTOS'!$A$3:$A$500,$C9,'DADOS BRUTOS'!AP$3:AP$500)))</f>
        <v>0</v>
      </c>
      <c r="DQ9" s="133" t="n">
        <f aca="false">IF(OR(DQ$4="",$B9=""),0,SUMIF('DADOS BRUTOS'!$A$3:$A$500,$B9,'DADOS BRUTOS'!AQ$3:AQ$500)+IF($C9="",0,SUMIF('DADOS BRUTOS'!$A$3:$A$500,$C9,'DADOS BRUTOS'!AQ$3:AQ$500)))</f>
        <v>0</v>
      </c>
      <c r="DR9" s="133" t="n">
        <f aca="false">IF(OR(DR$4="",$B9=""),0,SUMIF('DADOS BRUTOS'!$A$3:$A$500,$B9,'DADOS BRUTOS'!AR$3:AR$500)+IF($C9="",0,SUMIF('DADOS BRUTOS'!$A$3:$A$500,$C9,'DADOS BRUTOS'!AR$3:AR$500)))</f>
        <v>0</v>
      </c>
      <c r="DS9" s="133" t="n">
        <f aca="false">IF(OR(DS$4="",$B9=""),0,SUMIF('DADOS BRUTOS'!$A$3:$A$500,$B9,'DADOS BRUTOS'!AS$3:AS$500)+IF($C9="",0,SUMIF('DADOS BRUTOS'!$A$3:$A$500,$C9,'DADOS BRUTOS'!AS$3:AS$500)))</f>
        <v>0</v>
      </c>
      <c r="DT9" s="133" t="n">
        <f aca="false">IF(OR(DT$4="",$B9=""),0,SUMIF('DADOS BRUTOS'!$A$3:$A$500,$B9,'DADOS BRUTOS'!AT$3:AT$500)+IF($C9="",0,SUMIF('DADOS BRUTOS'!$A$3:$A$500,$C9,'DADOS BRUTOS'!AT$3:AT$500)))</f>
        <v>0</v>
      </c>
      <c r="DU9" s="133" t="n">
        <f aca="false">IF(OR(DU$4="",$B9=""),0,SUMIF('DADOS BRUTOS'!$A$3:$A$500,$B9,'DADOS BRUTOS'!AU$3:AU$500)+IF($C9="",0,SUMIF('DADOS BRUTOS'!$A$3:$A$500,$C9,'DADOS BRUTOS'!AU$3:AU$500)))</f>
        <v>0</v>
      </c>
      <c r="DV9" s="133" t="n">
        <f aca="false">IF(OR(DV$4="",$B9=""),0,SUMIF('DADOS BRUTOS'!$A$3:$A$500,$B9,'DADOS BRUTOS'!AV$3:AV$500)+IF($C9="",0,SUMIF('DADOS BRUTOS'!$A$3:$A$500,$C9,'DADOS BRUTOS'!AV$3:AV$500)))</f>
        <v>0</v>
      </c>
      <c r="DW9" s="133" t="n">
        <f aca="false">IF(OR(DW$4="",$B9=""),0,SUMIF('DADOS BRUTOS'!$A$3:$A$500,$B9,'DADOS BRUTOS'!AW$3:AW$500)+IF($C9="",0,SUMIF('DADOS BRUTOS'!$A$3:$A$500,$C9,'DADOS BRUTOS'!AW$3:AW$500)))</f>
        <v>0</v>
      </c>
      <c r="DX9" s="133" t="n">
        <f aca="false">IF(OR(DX$4="",$B9=""),0,SUMIF('DADOS BRUTOS'!$A$3:$A$500,$B9,'DADOS BRUTOS'!AX$3:AX$500)+IF($C9="",0,SUMIF('DADOS BRUTOS'!$A$3:$A$500,$C9,'DADOS BRUTOS'!AX$3:AX$500)))</f>
        <v>0</v>
      </c>
      <c r="DY9" s="133" t="n">
        <f aca="false">IF(OR(DY$4="",$B9=""),0,SUMIF('DADOS BRUTOS'!$A$3:$A$500,$B9,'DADOS BRUTOS'!AY$3:AY$500)+IF($C9="",0,SUMIF('DADOS BRUTOS'!$A$3:$A$500,$C9,'DADOS BRUTOS'!AY$3:AY$500)))</f>
        <v>0</v>
      </c>
      <c r="DZ9" s="133" t="n">
        <f aca="false">IF(OR(DZ$4="",$B9=""),0,SUMIF('DADOS BRUTOS'!$A$3:$A$500,$B9,'DADOS BRUTOS'!AZ$3:AZ$500)+IF($C9="",0,SUMIF('DADOS BRUTOS'!$A$3:$A$500,$C9,'DADOS BRUTOS'!AZ$3:AZ$500)))</f>
        <v>0</v>
      </c>
      <c r="EA9" s="133" t="n">
        <f aca="false">IF(OR(EA$4="",$B9=""),0,SUMIF('DADOS BRUTOS'!$A$3:$A$500,$B9,'DADOS BRUTOS'!BA$3:BA$500)+IF($C9="",0,SUMIF('DADOS BRUTOS'!$A$3:$A$500,$C9,'DADOS BRUTOS'!BA$3:BA$500)))</f>
        <v>0</v>
      </c>
      <c r="EB9" s="133" t="n">
        <f aca="false">IF(OR(EB$4="",$B9=""),0,SUMIF('DADOS BRUTOS'!$A$3:$A$500,$B9,'DADOS BRUTOS'!BB$3:BB$500)+IF($C9="",0,SUMIF('DADOS BRUTOS'!$A$3:$A$500,$C9,'DADOS BRUTOS'!BB$3:BB$500)))</f>
        <v>0</v>
      </c>
      <c r="EC9" s="133" t="n">
        <f aca="false">IF(OR(EC$4="",$B9=""),0,SUMIF('DADOS BRUTOS'!$A$3:$A$500,$B9,'DADOS BRUTOS'!BC$3:BC$500)+IF($C9="",0,SUMIF('DADOS BRUTOS'!$A$3:$A$500,$C9,'DADOS BRUTOS'!BC$3:BC$500)))</f>
        <v>0</v>
      </c>
      <c r="ED9" s="133" t="n">
        <f aca="false">IF(OR(ED$4="",$B9=""),0,SUMIF('DADOS BRUTOS'!$A$3:$A$500,$B9,'DADOS BRUTOS'!BD$3:BD$500)+IF($C9="",0,SUMIF('DADOS BRUTOS'!$A$3:$A$500,$C9,'DADOS BRUTOS'!BD$3:BD$500)))</f>
        <v>0</v>
      </c>
      <c r="EE9" s="133" t="n">
        <f aca="false">IF(OR(EE$4="",$B9=""),0,SUMIF('DADOS BRUTOS'!$A$3:$A$500,$B9,'DADOS BRUTOS'!BE$3:BE$500)+IF($C9="",0,SUMIF('DADOS BRUTOS'!$A$3:$A$500,$C9,'DADOS BRUTOS'!BE$3:BE$500)))</f>
        <v>0</v>
      </c>
      <c r="EF9" s="133" t="n">
        <f aca="false">IF(OR(EF$4="",$B9=""),0,SUMIF('DADOS BRUTOS'!$A$3:$A$500,$B9,'DADOS BRUTOS'!BF$3:BF$500)+IF($C9="",0,SUMIF('DADOS BRUTOS'!$A$3:$A$500,$C9,'DADOS BRUTOS'!BF$3:BF$500)))</f>
        <v>0</v>
      </c>
      <c r="EG9" s="133" t="n">
        <f aca="false">IF(OR(EG$4="",$B9=""),0,SUMIF('DADOS BRUTOS'!$A$3:$A$500,$B9,'DADOS BRUTOS'!BG$3:BG$500)+IF($C9="",0,SUMIF('DADOS BRUTOS'!$A$3:$A$500,$C9,'DADOS BRUTOS'!BG$3:BG$500)))</f>
        <v>0</v>
      </c>
      <c r="EH9" s="133" t="n">
        <f aca="false">IF(OR(EH$4="",$B9=""),0,SUMIF('DADOS BRUTOS'!$A$3:$A$500,$B9,'DADOS BRUTOS'!BH$3:BH$500)+IF($C9="",0,SUMIF('DADOS BRUTOS'!$A$3:$A$500,$C9,'DADOS BRUTOS'!BH$3:BH$500)))</f>
        <v>0</v>
      </c>
      <c r="EI9" s="133" t="n">
        <f aca="false">IF(OR(EI$4="",$B9=""),0,SUMIF('DADOS BRUTOS'!$A$3:$A$500,$B9,'DADOS BRUTOS'!BI$3:BI$500)+IF($C9="",0,SUMIF('DADOS BRUTOS'!$A$3:$A$500,$C9,'DADOS BRUTOS'!BI$3:BI$500)))</f>
        <v>0</v>
      </c>
      <c r="EJ9" s="133" t="n">
        <f aca="false">IF(OR(EJ$4="",$B9=""),0,SUMIF('DADOS BRUTOS'!$A$3:$A$500,$B9,'DADOS BRUTOS'!BJ$3:BJ$500)+IF($C9="",0,SUMIF('DADOS BRUTOS'!$A$3:$A$500,$C9,'DADOS BRUTOS'!BJ$3:BJ$500)))</f>
        <v>0</v>
      </c>
      <c r="EK9" s="133" t="n">
        <f aca="false">IF(OR(EK$4="",$B9=""),0,SUMIF('DADOS BRUTOS'!$A$3:$A$500,$B9,'DADOS BRUTOS'!BK$3:BK$500)+IF($C9="",0,SUMIF('DADOS BRUTOS'!$A$3:$A$500,$C9,'DADOS BRUTOS'!BK$3:BK$500)))</f>
        <v>0</v>
      </c>
      <c r="EL9" s="133" t="n">
        <f aca="false">IF(OR(EL$4="",$B9=""),0,SUMIF('DADOS BRUTOS'!$A$3:$A$500,$B9,'DADOS BRUTOS'!BL$3:BL$500)+IF($C9="",0,SUMIF('DADOS BRUTOS'!$A$3:$A$500,$C9,'DADOS BRUTOS'!BL$3:BL$500)))</f>
        <v>0</v>
      </c>
      <c r="EM9" s="133" t="n">
        <f aca="false">IF(OR(EM$4="",$B9=""),0,SUMIF('DADOS BRUTOS'!$A$3:$A$500,$B9,'DADOS BRUTOS'!BM$3:BM$500)+IF($C9="",0,SUMIF('DADOS BRUTOS'!$A$3:$A$500,$C9,'DADOS BRUTOS'!BM$3:BM$500)))</f>
        <v>0</v>
      </c>
      <c r="EN9" s="133" t="n">
        <f aca="false">IF(OR(EN$4="",$B9=""),0,SUMIF('DADOS BRUTOS'!$A$3:$A$500,$B9,'DADOS BRUTOS'!BN$3:BN$500)+IF($C9="",0,SUMIF('DADOS BRUTOS'!$A$3:$A$500,$C9,'DADOS BRUTOS'!BN$3:BN$500)))</f>
        <v>0</v>
      </c>
      <c r="EO9" s="133" t="n">
        <f aca="false">IF(OR(EO$4="",$B9=""),0,SUMIF('DADOS BRUTOS'!$A$3:$A$500,$B9,'DADOS BRUTOS'!BO$3:BO$500)+IF($C9="",0,SUMIF('DADOS BRUTOS'!$A$3:$A$500,$C9,'DADOS BRUTOS'!BO$3:BO$500)))</f>
        <v>0</v>
      </c>
      <c r="EP9" s="133" t="n">
        <f aca="false">IF(OR(EP$4="",$B9=""),0,SUMIF('DADOS BRUTOS'!$A$3:$A$500,$B9,'DADOS BRUTOS'!BP$3:BP$500)+IF($C9="",0,SUMIF('DADOS BRUTOS'!$A$3:$A$500,$C9,'DADOS BRUTOS'!BP$3:BP$500)))</f>
        <v>0</v>
      </c>
      <c r="EQ9" s="133" t="n">
        <f aca="false">IF(OR(EQ$4="",$B9=""),0,SUMIF('DADOS BRUTOS'!$A$3:$A$500,$B9,'DADOS BRUTOS'!BQ$3:BQ$500)+IF($C9="",0,SUMIF('DADOS BRUTOS'!$A$3:$A$500,$C9,'DADOS BRUTOS'!BQ$3:BQ$500)))</f>
        <v>0</v>
      </c>
      <c r="ER9" s="133" t="n">
        <f aca="false">IF(OR(ER$4="",$B9=""),0,SUMIF('DADOS BRUTOS'!$A$3:$A$500,$B9,'DADOS BRUTOS'!BR$3:BR$500)+IF($C9="",0,SUMIF('DADOS BRUTOS'!$A$3:$A$500,$C9,'DADOS BRUTOS'!BR$3:BR$500)))</f>
        <v>0</v>
      </c>
      <c r="ES9" s="133" t="n">
        <f aca="false">IF(OR(ES$4="",$B9=""),0,SUMIF('DADOS BRUTOS'!$A$3:$A$500,$B9,'DADOS BRUTOS'!BS$3:BS$500)+IF($C9="",0,SUMIF('DADOS BRUTOS'!$A$3:$A$500,$C9,'DADOS BRUTOS'!BS$3:BS$500)))</f>
        <v>0</v>
      </c>
      <c r="ET9" s="133" t="n">
        <f aca="false">IF(OR(ET$4="",$B9=""),0,SUMIF('DADOS BRUTOS'!$A$3:$A$500,$B9,'DADOS BRUTOS'!BT$3:BT$500)+IF($C9="",0,SUMIF('DADOS BRUTOS'!$A$3:$A$500,$C9,'DADOS BRUTOS'!BT$3:BT$500)))</f>
        <v>0</v>
      </c>
      <c r="EU9" s="133" t="n">
        <f aca="false">IF(OR(EU$4="",$B9=""),0,SUMIF('DADOS BRUTOS'!$A$3:$A$500,$B9,'DADOS BRUTOS'!BU$3:BU$500)+IF($C9="",0,SUMIF('DADOS BRUTOS'!$A$3:$A$500,$C9,'DADOS BRUTOS'!BU$3:BU$500)))</f>
        <v>0</v>
      </c>
      <c r="EV9" s="133" t="n">
        <f aca="false">IF(OR(EV$4="",$B9=""),0,SUMIF('DADOS BRUTOS'!$A$3:$A$500,$B9,'DADOS BRUTOS'!BV$3:BV$500)+IF($C9="",0,SUMIF('DADOS BRUTOS'!$A$3:$A$500,$C9,'DADOS BRUTOS'!BV$3:BV$500)))</f>
        <v>0</v>
      </c>
      <c r="EW9" s="133" t="n">
        <f aca="false">IF(OR(EW$4="",$B9=""),0,SUMIF('DADOS BRUTOS'!$A$3:$A$500,$B9,'DADOS BRUTOS'!BW$3:BW$500)+IF($C9="",0,SUMIF('DADOS BRUTOS'!$A$3:$A$500,$C9,'DADOS BRUTOS'!BW$3:BW$500)))</f>
        <v>0</v>
      </c>
      <c r="EX9" s="133" t="n">
        <f aca="false">IF(OR(EX$4="",$B9=""),0,SUMIF('DADOS BRUTOS'!$A$3:$A$500,$B9,'DADOS BRUTOS'!BX$3:BX$500)+IF($C9="",0,SUMIF('DADOS BRUTOS'!$A$3:$A$500,$C9,'DADOS BRUTOS'!BX$3:BX$500)))</f>
        <v>0</v>
      </c>
      <c r="EY9" s="133" t="n">
        <f aca="false">IF(OR(EY$4="",$B9=""),0,SUMIF('DADOS BRUTOS'!$A$3:$A$500,$B9,'DADOS BRUTOS'!BY$3:BY$500)+IF($C9="",0,SUMIF('DADOS BRUTOS'!$A$3:$A$500,$C9,'DADOS BRUTOS'!BY$3:BY$500)))</f>
        <v>0</v>
      </c>
      <c r="EZ9" s="133" t="n">
        <f aca="false">IF(OR(EZ$4="",$B9=""),0,SUMIF('DADOS BRUTOS'!$A$3:$A$500,$B9,'DADOS BRUTOS'!BZ$3:BZ$500)+IF($C9="",0,SUMIF('DADOS BRUTOS'!$A$3:$A$500,$C9,'DADOS BRUTOS'!BZ$3:BZ$500)))</f>
        <v>0</v>
      </c>
      <c r="FA9" s="133" t="n">
        <f aca="false">IF(OR(FA$4="",$B9=""),0,SUMIF('DADOS BRUTOS'!$A$3:$A$500,$B9,'DADOS BRUTOS'!CA$3:CA$500)+IF($C9="",0,SUMIF('DADOS BRUTOS'!$A$3:$A$500,$C9,'DADOS BRUTOS'!CA$3:CA$500)))</f>
        <v>0</v>
      </c>
      <c r="FB9" s="133" t="n">
        <f aca="false">IF(OR(FB$4="",$B9=""),0,SUMIF('DADOS BRUTOS'!$A$3:$A$500,$B9,'DADOS BRUTOS'!CB$3:CB$500)+IF($C9="",0,SUMIF('DADOS BRUTOS'!$A$3:$A$500,$C9,'DADOS BRUTOS'!CB$3:CB$500)))</f>
        <v>0</v>
      </c>
      <c r="FC9" s="133" t="n">
        <f aca="false">IF(OR(FC$4="",$B9=""),0,SUMIF('DADOS BRUTOS'!$A$3:$A$500,$B9,'DADOS BRUTOS'!CC$3:CC$500)+IF($C9="",0,SUMIF('DADOS BRUTOS'!$A$3:$A$500,$C9,'DADOS BRUTOS'!CC$3:CC$500)))</f>
        <v>0</v>
      </c>
      <c r="FD9" s="133" t="n">
        <f aca="false">IF(OR(FD$4="",$B9=""),0,SUMIF('DADOS BRUTOS'!$A$3:$A$500,$B9,'DADOS BRUTOS'!CD$3:CD$500)+IF($C9="",0,SUMIF('DADOS BRUTOS'!$A$3:$A$500,$C9,'DADOS BRUTOS'!CD$3:CD$500)))</f>
        <v>0</v>
      </c>
      <c r="FE9" s="133" t="n">
        <f aca="false">IF(OR(FE$4="",$B9=""),0,SUMIF('DADOS BRUTOS'!$A$3:$A$500,$B9,'DADOS BRUTOS'!CE$3:CE$500)+IF($C9="",0,SUMIF('DADOS BRUTOS'!$A$3:$A$500,$C9,'DADOS BRUTOS'!CE$3:CE$500)))</f>
        <v>0</v>
      </c>
      <c r="FF9" s="133" t="n">
        <f aca="false">IF(OR(FF$4="",$B9=""),0,SUMIF('DADOS BRUTOS'!$A$3:$A$500,$B9,'DADOS BRUTOS'!CF$3:CF$500)+IF($C9="",0,SUMIF('DADOS BRUTOS'!$A$3:$A$500,$C9,'DADOS BRUTOS'!CF$3:CF$500)))</f>
        <v>0</v>
      </c>
      <c r="FG9" s="133" t="n">
        <f aca="false">IF(OR(FG$4="",$B9=""),0,SUMIF('DADOS BRUTOS'!$A$3:$A$500,$B9,'DADOS BRUTOS'!CG$3:CG$500)+IF($C9="",0,SUMIF('DADOS BRUTOS'!$A$3:$A$500,$C9,'DADOS BRUTOS'!CG$3:CG$500)))</f>
        <v>0</v>
      </c>
      <c r="FH9" s="133" t="n">
        <f aca="false">IF(OR(FH$4="",$B9=""),0,SUMIF('DADOS BRUTOS'!$A$3:$A$500,$B9,'DADOS BRUTOS'!CH$3:CH$500)+IF($C9="",0,SUMIF('DADOS BRUTOS'!$A$3:$A$500,$C9,'DADOS BRUTOS'!CH$3:CH$500)))</f>
        <v>0</v>
      </c>
      <c r="FI9" s="133" t="n">
        <f aca="false">IF(OR(FI$4="",$B9=""),0,SUMIF('DADOS BRUTOS'!$A$3:$A$500,$B9,'DADOS BRUTOS'!CI$3:CI$500)+IF($C9="",0,SUMIF('DADOS BRUTOS'!$A$3:$A$500,$C9,'DADOS BRUTOS'!CI$3:CI$500)))</f>
        <v>0</v>
      </c>
      <c r="FJ9" s="133" t="n">
        <f aca="false">IF(OR(FJ$4="",$B9=""),0,SUMIF('DADOS BRUTOS'!$A$3:$A$500,$B9,'DADOS BRUTOS'!CJ$3:CJ$500)+IF($C9="",0,SUMIF('DADOS BRUTOS'!$A$3:$A$500,$C9,'DADOS BRUTOS'!CJ$3:CJ$500)))</f>
        <v>0</v>
      </c>
      <c r="FK9" s="133" t="n">
        <f aca="false">IF(OR(FK$4="",$B9=""),0,SUMIF('DADOS BRUTOS'!$A$3:$A$500,$B9,'DADOS BRUTOS'!CK$3:CK$500)+IF($C9="",0,SUMIF('DADOS BRUTOS'!$A$3:$A$500,$C9,'DADOS BRUTOS'!CK$3:CK$500)))</f>
        <v>0</v>
      </c>
      <c r="FL9" s="133" t="n">
        <f aca="false">IF(OR(FL$4="",$B9=""),0,SUMIF('DADOS BRUTOS'!$A$3:$A$500,$B9,'DADOS BRUTOS'!CL$3:CL$500)+IF($C9="",0,SUMIF('DADOS BRUTOS'!$A$3:$A$500,$C9,'DADOS BRUTOS'!CL$3:CL$500)))</f>
        <v>0</v>
      </c>
      <c r="FM9" s="133" t="n">
        <f aca="false">IF(OR(FM$4="",$B9=""),0,SUMIF('DADOS BRUTOS'!$A$3:$A$500,$B9,'DADOS BRUTOS'!CM$3:CM$500)+IF($C9="",0,SUMIF('DADOS BRUTOS'!$A$3:$A$500,$C9,'DADOS BRUTOS'!CM$3:CM$500)))</f>
        <v>0</v>
      </c>
      <c r="FN9" s="133" t="n">
        <f aca="false">IF(OR(FN$4="",$B9=""),0,SUMIF('DADOS BRUTOS'!$A$3:$A$500,$B9,'DADOS BRUTOS'!CN$3:CN$500)+IF($C9="",0,SUMIF('DADOS BRUTOS'!$A$3:$A$500,$C9,'DADOS BRUTOS'!CN$3:CN$500)))</f>
        <v>0</v>
      </c>
      <c r="FO9" s="133" t="n">
        <f aca="false">IF(OR(FO$4="",$B9=""),0,SUMIF('DADOS BRUTOS'!$A$3:$A$500,$B9,'DADOS BRUTOS'!CO$3:CO$500)+IF($C9="",0,SUMIF('DADOS BRUTOS'!$A$3:$A$500,$C9,'DADOS BRUTOS'!CO$3:CO$500)))</f>
        <v>0</v>
      </c>
      <c r="FP9" s="133" t="n">
        <f aca="false">IF(OR(FP$4="",$B9=""),0,SUMIF('DADOS BRUTOS'!$A$3:$A$500,$B9,'DADOS BRUTOS'!CP$3:CP$500)+IF($C9="",0,SUMIF('DADOS BRUTOS'!$A$3:$A$500,$C9,'DADOS BRUTOS'!CP$3:CP$500)))</f>
        <v>0</v>
      </c>
      <c r="FQ9" s="133" t="n">
        <f aca="false">IF(OR(FQ$4="",$B9=""),0,SUMIF('DADOS BRUTOS'!$A$3:$A$500,$B9,'DADOS BRUTOS'!CQ$3:CQ$500)+IF($C9="",0,SUMIF('DADOS BRUTOS'!$A$3:$A$500,$C9,'DADOS BRUTOS'!CQ$3:CQ$500)))</f>
        <v>0</v>
      </c>
      <c r="FR9" s="133" t="n">
        <f aca="false">IF(OR(FR$4="",$B9=""),0,SUMIF('DADOS BRUTOS'!$A$3:$A$500,$B9,'DADOS BRUTOS'!CR$3:CR$500)+IF($C9="",0,SUMIF('DADOS BRUTOS'!$A$3:$A$500,$C9,'DADOS BRUTOS'!CR$3:CR$500)))</f>
        <v>0</v>
      </c>
      <c r="FS9" s="133" t="n">
        <f aca="false">IF(OR(FS$4="",$B9=""),0,SUMIF('DADOS BRUTOS'!$A$3:$A$500,$B9,'DADOS BRUTOS'!CS$3:CS$500)+IF($C9="",0,SUMIF('DADOS BRUTOS'!$A$3:$A$500,$C9,'DADOS BRUTOS'!CS$3:CS$500)))</f>
        <v>0</v>
      </c>
      <c r="FT9" s="133" t="n">
        <f aca="false">IF(OR(FT$4="",$B9=""),0,SUMIF('DADOS BRUTOS'!$A$3:$A$500,$B9,'DADOS BRUTOS'!CT$3:CT$500)+IF($C9="",0,SUMIF('DADOS BRUTOS'!$A$3:$A$500,$C9,'DADOS BRUTOS'!CT$3:CT$500)))</f>
        <v>0</v>
      </c>
      <c r="FU9" s="133" t="n">
        <f aca="false">IF(OR(FU$4="",$B9=""),0,SUMIF('DADOS BRUTOS'!$A$3:$A$500,$B9,'DADOS BRUTOS'!CU$3:CU$500)+IF($C9="",0,SUMIF('DADOS BRUTOS'!$A$3:$A$500,$C9,'DADOS BRUTOS'!CU$3:CU$500)))</f>
        <v>0</v>
      </c>
      <c r="FV9" s="133" t="n">
        <f aca="false">IF(OR(FV$4="",$B9=""),0,SUMIF('DADOS BRUTOS'!$A$3:$A$500,$B9,'DADOS BRUTOS'!CV$3:CV$500)+IF($C9="",0,SUMIF('DADOS BRUTOS'!$A$3:$A$500,$C9,'DADOS BRUTOS'!CV$3:CV$500)))</f>
        <v>0</v>
      </c>
      <c r="FW9" s="133" t="n">
        <f aca="false">IF(OR(FW$4="",$B9=""),0,SUMIF('DADOS BRUTOS'!$A$3:$A$500,$B9,'DADOS BRUTOS'!CW$3:CW$500)+IF($C9="",0,SUMIF('DADOS BRUTOS'!$A$3:$A$500,$C9,'DADOS BRUTOS'!CW$3:CW$500)))</f>
        <v>0</v>
      </c>
      <c r="FX9" s="133" t="n">
        <f aca="false">IF(OR(FX$4="",$B9=""),0,SUMIF('DADOS BRUTOS'!$A$3:$A$500,$B9,'DADOS BRUTOS'!CX$3:CX$500)+IF($C9="",0,SUMIF('DADOS BRUTOS'!$A$3:$A$500,$C9,'DADOS BRUTOS'!CX$3:CX$500)))</f>
        <v>0</v>
      </c>
      <c r="FY9" s="133" t="n">
        <f aca="false">IF(OR(FY$4="",$B9=""),0,SUMIF('DADOS BRUTOS'!$A$3:$A$500,$B9,'DADOS BRUTOS'!CY$3:CY$500)+IF($C9="",0,SUMIF('DADOS BRUTOS'!$A$3:$A$500,$C9,'DADOS BRUTOS'!CY$3:CY$500)))</f>
        <v>0</v>
      </c>
      <c r="FZ9" s="133" t="n">
        <f aca="false">IF(OR(FZ$4="",$B9=""),0,SUMIF('DADOS BRUTOS'!$A$3:$A$500,$B9,'DADOS BRUTOS'!CZ$3:CZ$500)+IF($C9="",0,SUMIF('DADOS BRUTOS'!$A$3:$A$500,$C9,'DADOS BRUTOS'!CZ$3:CZ$500)))</f>
        <v>0</v>
      </c>
      <c r="GA9" s="133" t="n">
        <f aca="false">IF(OR(GA$4="",$B9=""),0,SUMIF('DADOS BRUTOS'!$A$3:$A$500,$B9,'DADOS BRUTOS'!DA$3:DA$500)+IF($C9="",0,SUMIF('DADOS BRUTOS'!$A$3:$A$500,$C9,'DADOS BRUTOS'!DA$3:DA$500)))</f>
        <v>0</v>
      </c>
      <c r="GB9" s="133" t="n">
        <f aca="false">IF(OR(GB$4="",$B9=""),0,SUMIF('DADOS BRUTOS'!$A$3:$A$500,$B9,'DADOS BRUTOS'!DB$3:DB$500)+IF($C9="",0,SUMIF('DADOS BRUTOS'!$A$3:$A$500,$C9,'DADOS BRUTOS'!DB$3:DB$500)))</f>
        <v>0</v>
      </c>
      <c r="GC9" s="133" t="n">
        <f aca="false">IF(OR(GC$4="",$B9=""),0,SUMIF('DADOS BRUTOS'!$A$3:$A$500,$B9,'DADOS BRUTOS'!DC$3:DC$500)+IF($C9="",0,SUMIF('DADOS BRUTOS'!$A$3:$A$500,$C9,'DADOS BRUTOS'!DC$3:DC$500)))</f>
        <v>0</v>
      </c>
      <c r="GD9" s="133" t="n">
        <f aca="false">IF(OR(GD$4="",$B9=""),0,SUMIF('DADOS BRUTOS'!$A$3:$A$500,$B9,'DADOS BRUTOS'!DD$3:DD$500)+IF($C9="",0,SUMIF('DADOS BRUTOS'!$A$3:$A$500,$C9,'DADOS BRUTOS'!DD$3:DD$500)))</f>
        <v>0</v>
      </c>
      <c r="GE9" s="133" t="n">
        <f aca="false">IF(OR(GE$4="",$B9=""),0,SUMIF('DADOS BRUTOS'!$A$3:$A$500,$B9,'DADOS BRUTOS'!DE$3:DE$500)+IF($C9="",0,SUMIF('DADOS BRUTOS'!$A$3:$A$500,$C9,'DADOS BRUTOS'!DE$3:DE$500)))</f>
        <v>0</v>
      </c>
      <c r="GF9" s="133" t="n">
        <f aca="false">IF(OR(GF$4="",$B9=""),0,SUMIF('DADOS BRUTOS'!$A$3:$A$500,$B9,'DADOS BRUTOS'!DF$3:DF$500)+IF($C9="",0,SUMIF('DADOS BRUTOS'!$A$3:$A$500,$C9,'DADOS BRUTOS'!DF$3:DF$500)))</f>
        <v>0</v>
      </c>
      <c r="GG9" s="133" t="n">
        <f aca="false">IF(OR(GG$4="",$B9=""),0,SUMIF('DADOS BRUTOS'!$A$3:$A$500,$B9,'DADOS BRUTOS'!DG$3:DG$500)+IF($C9="",0,SUMIF('DADOS BRUTOS'!$A$3:$A$500,$C9,'DADOS BRUTOS'!DG$3:DG$500)))</f>
        <v>0</v>
      </c>
      <c r="GH9" s="133" t="n">
        <f aca="false">IF(OR(GH$4="",$B9=""),0,SUMIF('DADOS BRUTOS'!$A$3:$A$500,$B9,'DADOS BRUTOS'!DH$3:DH$500)+IF($C9="",0,SUMIF('DADOS BRUTOS'!$A$3:$A$500,$C9,'DADOS BRUTOS'!DH$3:DH$500)))</f>
        <v>0</v>
      </c>
      <c r="GI9" s="133" t="n">
        <f aca="false">IF(OR(GI$4="",$B9=""),0,SUMIF('DADOS BRUTOS'!$A$3:$A$500,$B9,'DADOS BRUTOS'!DI$3:DI$500)+IF($C9="",0,SUMIF('DADOS BRUTOS'!$A$3:$A$500,$C9,'DADOS BRUTOS'!DI$3:DI$500)))</f>
        <v>0</v>
      </c>
      <c r="GJ9" s="133" t="n">
        <f aca="false">IF(OR(GJ$4="",$B9=""),0,SUMIF('DADOS BRUTOS'!$A$3:$A$500,$B9,'DADOS BRUTOS'!DJ$3:DJ$500)+IF($C9="",0,SUMIF('DADOS BRUTOS'!$A$3:$A$500,$C9,'DADOS BRUTOS'!DJ$3:DJ$500)))</f>
        <v>0</v>
      </c>
      <c r="GK9" s="133" t="n">
        <f aca="false">IF(OR(GK$4="",$B9=""),0,SUMIF('DADOS BRUTOS'!$A$3:$A$500,$B9,'DADOS BRUTOS'!DK$3:DK$500)+IF($C9="",0,SUMIF('DADOS BRUTOS'!$A$3:$A$500,$C9,'DADOS BRUTOS'!DK$3:DK$500)))</f>
        <v>0</v>
      </c>
      <c r="GL9" s="133" t="n">
        <f aca="false">IF(OR(GL$4="",$B9=""),0,SUMIF('DADOS BRUTOS'!$A$3:$A$500,$B9,'DADOS BRUTOS'!DL$3:DL$500)+IF($C9="",0,SUMIF('DADOS BRUTOS'!$A$3:$A$500,$C9,'DADOS BRUTOS'!DL$3:DL$500)))</f>
        <v>0</v>
      </c>
      <c r="GM9" s="133" t="n">
        <f aca="false">IF(OR(GM$4="",$B9=""),0,SUMIF('DADOS BRUTOS'!$A$3:$A$500,$B9,'DADOS BRUTOS'!DM$3:DM$500)+IF($C9="",0,SUMIF('DADOS BRUTOS'!$A$3:$A$500,$C9,'DADOS BRUTOS'!DM$3:DM$500)))</f>
        <v>0</v>
      </c>
      <c r="GN9" s="133" t="n">
        <f aca="false">IF(OR(GN$4="",$B9=""),0,SUMIF('DADOS BRUTOS'!$A$3:$A$500,$B9,'DADOS BRUTOS'!DN$3:DN$500)+IF($C9="",0,SUMIF('DADOS BRUTOS'!$A$3:$A$500,$C9,'DADOS BRUTOS'!DN$3:DN$500)))</f>
        <v>0</v>
      </c>
      <c r="GO9" s="133" t="n">
        <f aca="false">IF(OR(GO$4="",$B9=""),0,SUMIF('DADOS BRUTOS'!$A$3:$A$500,$B9,'DADOS BRUTOS'!DO$3:DO$500)+IF($C9="",0,SUMIF('DADOS BRUTOS'!$A$3:$A$500,$C9,'DADOS BRUTOS'!DO$3:DO$500)))</f>
        <v>0</v>
      </c>
      <c r="GP9" s="133" t="n">
        <f aca="false">IF(OR(GP$4="",$B9=""),0,SUMIF('DADOS BRUTOS'!$A$3:$A$500,$B9,'DADOS BRUTOS'!DP$3:DP$500)+IF($C9="",0,SUMIF('DADOS BRUTOS'!$A$3:$A$500,$C9,'DADOS BRUTOS'!DP$3:DP$500)))</f>
        <v>0</v>
      </c>
      <c r="GQ9" s="133" t="n">
        <f aca="false">IF(OR(GQ$4="",$B9=""),0,SUMIF('DADOS BRUTOS'!$A$3:$A$500,$B9,'DADOS BRUTOS'!DQ$3:DQ$500)+IF($C9="",0,SUMIF('DADOS BRUTOS'!$A$3:$A$500,$C9,'DADOS BRUTOS'!DQ$3:DQ$500)))</f>
        <v>0</v>
      </c>
      <c r="GR9" s="133" t="n">
        <f aca="false">IF(OR(GR$4="",$B9=""),0,SUMIF('DADOS BRUTOS'!$A$3:$A$500,$B9,'DADOS BRUTOS'!DR$3:DR$500)+IF($C9="",0,SUMIF('DADOS BRUTOS'!$A$3:$A$500,$C9,'DADOS BRUTOS'!DR$3:DR$500)))</f>
        <v>0</v>
      </c>
      <c r="GS9" s="133" t="n">
        <f aca="false">IF(OR(GS$4="",$B9=""),0,SUMIF('DADOS BRUTOS'!$A$3:$A$500,$B9,'DADOS BRUTOS'!DS$3:DS$500)+IF($C9="",0,SUMIF('DADOS BRUTOS'!$A$3:$A$500,$C9,'DADOS BRUTOS'!DS$3:DS$500)))</f>
        <v>0</v>
      </c>
      <c r="GT9" s="133" t="n">
        <f aca="false">IF(OR(GT$4="",$B9=""),0,SUMIF('DADOS BRUTOS'!$A$3:$A$500,$B9,'DADOS BRUTOS'!DT$3:DT$500)+IF($C9="",0,SUMIF('DADOS BRUTOS'!$A$3:$A$500,$C9,'DADOS BRUTOS'!DT$3:DT$500)))</f>
        <v>0</v>
      </c>
      <c r="GU9" s="133" t="n">
        <f aca="false">IF(OR(GU$4="",$B9=""),0,SUMIF('DADOS BRUTOS'!$A$3:$A$500,$B9,'DADOS BRUTOS'!DU$3:DU$500)+IF($C9="",0,SUMIF('DADOS BRUTOS'!$A$3:$A$500,$C9,'DADOS BRUTOS'!DU$3:DU$500)))</f>
        <v>0</v>
      </c>
      <c r="GV9" s="133" t="n">
        <f aca="false">IF(OR(GV$4="",$B9=""),0,SUMIF('DADOS BRUTOS'!$A$3:$A$500,$B9,'DADOS BRUTOS'!DV$3:DV$500)+IF($C9="",0,SUMIF('DADOS BRUTOS'!$A$3:$A$500,$C9,'DADOS BRUTOS'!DV$3:DV$500)))</f>
        <v>0</v>
      </c>
      <c r="GW9" s="133" t="n">
        <f aca="false">IF(OR(GW$4="",$B9=""),0,SUMIF('DADOS BRUTOS'!$A$3:$A$500,$B9,'DADOS BRUTOS'!DW$3:DW$500)+IF($C9="",0,SUMIF('DADOS BRUTOS'!$A$3:$A$500,$C9,'DADOS BRUTOS'!DW$3:DW$500)))</f>
        <v>0</v>
      </c>
      <c r="GX9" s="133" t="n">
        <f aca="false">IF(OR(GX$4="",$B9=""),0,SUMIF('DADOS BRUTOS'!$A$3:$A$500,$B9,'DADOS BRUTOS'!DX$3:DX$500)+IF($C9="",0,SUMIF('DADOS BRUTOS'!$A$3:$A$500,$C9,'DADOS BRUTOS'!DX$3:DX$500)))</f>
        <v>0</v>
      </c>
      <c r="GY9" s="133" t="n">
        <f aca="false">IF(OR(GY$4="",$B9=""),0,SUMIF('DADOS BRUTOS'!$A$3:$A$500,$B9,'DADOS BRUTOS'!DY$3:DY$500)+IF($C9="",0,SUMIF('DADOS BRUTOS'!$A$3:$A$500,$C9,'DADOS BRUTOS'!DY$3:DY$500)))</f>
        <v>0</v>
      </c>
      <c r="GZ9" s="133" t="n">
        <f aca="false">IF(OR(GZ$4="",$B9=""),0,SUMIF('DADOS BRUTOS'!$A$3:$A$500,$B9,'DADOS BRUTOS'!DZ$3:DZ$500)+IF($C9="",0,SUMIF('DADOS BRUTOS'!$A$3:$A$500,$C9,'DADOS BRUTOS'!DZ$3:DZ$500)))</f>
        <v>0</v>
      </c>
      <c r="HA9" s="133" t="n">
        <f aca="false">IF(OR(HA$4="",$B9=""),0,SUMIF('DADOS BRUTOS'!$A$3:$A$500,$B9,'DADOS BRUTOS'!EA$3:EA$500)+IF($C9="",0,SUMIF('DADOS BRUTOS'!$A$3:$A$500,$C9,'DADOS BRUTOS'!EA$3:EA$500)))</f>
        <v>0</v>
      </c>
      <c r="HB9" s="133" t="n">
        <f aca="false">IF(OR(HB$4="",$B9=""),0,SUMIF('DADOS BRUTOS'!$A$3:$A$500,$B9,'DADOS BRUTOS'!EB$3:EB$500)+IF($C9="",0,SUMIF('DADOS BRUTOS'!$A$3:$A$500,$C9,'DADOS BRUTOS'!EB$3:EB$500)))</f>
        <v>0</v>
      </c>
      <c r="HC9" s="133" t="n">
        <f aca="false">IF(OR(HC$4="",$B9=""),0,SUMIF('DADOS BRUTOS'!$A$3:$A$500,$B9,'DADOS BRUTOS'!EC$3:EC$500)+IF($C9="",0,SUMIF('DADOS BRUTOS'!$A$3:$A$500,$C9,'DADOS BRUTOS'!EC$3:EC$500)))</f>
        <v>0</v>
      </c>
      <c r="HD9" s="133" t="n">
        <f aca="false">IF(OR(HD$4="",$B9=""),0,SUMIF('DADOS BRUTOS'!$A$3:$A$500,$B9,'DADOS BRUTOS'!ED$3:ED$500)+IF($C9="",0,SUMIF('DADOS BRUTOS'!$A$3:$A$500,$C9,'DADOS BRUTOS'!ED$3:ED$500)))</f>
        <v>0</v>
      </c>
      <c r="HE9" s="133" t="n">
        <f aca="false">IF(OR(HE$4="",$B9=""),0,SUMIF('DADOS BRUTOS'!$A$3:$A$500,$B9,'DADOS BRUTOS'!EE$3:EE$500)+IF($C9="",0,SUMIF('DADOS BRUTOS'!$A$3:$A$500,$C9,'DADOS BRUTOS'!EE$3:EE$500)))</f>
        <v>0</v>
      </c>
      <c r="HF9" s="133" t="n">
        <f aca="false">IF(OR(HF$4="",$B9=""),0,SUMIF('DADOS BRUTOS'!$A$3:$A$500,$B9,'DADOS BRUTOS'!EF$3:EF$500)+IF($C9="",0,SUMIF('DADOS BRUTOS'!$A$3:$A$500,$C9,'DADOS BRUTOS'!EF$3:EF$500)))</f>
        <v>0</v>
      </c>
      <c r="HG9" s="133" t="n">
        <f aca="false">IF(OR(HG$4="",$B9=""),0,SUMIF('DADOS BRUTOS'!$A$3:$A$500,$B9,'DADOS BRUTOS'!EG$3:EG$500)+IF($C9="",0,SUMIF('DADOS BRUTOS'!$A$3:$A$500,$C9,'DADOS BRUTOS'!EG$3:EG$500)))</f>
        <v>0</v>
      </c>
      <c r="HH9" s="133" t="n">
        <f aca="false">IF(OR(HH$4="",$B9=""),0,SUMIF('DADOS BRUTOS'!$A$3:$A$500,$B9,'DADOS BRUTOS'!EH$3:EH$500)+IF($C9="",0,SUMIF('DADOS BRUTOS'!$A$3:$A$500,$C9,'DADOS BRUTOS'!EH$3:EH$500)))</f>
        <v>0</v>
      </c>
      <c r="HI9" s="133" t="n">
        <f aca="false">IF(OR(HI$4="",$B9=""),0,SUMIF('DADOS BRUTOS'!$A$3:$A$500,$B9,'DADOS BRUTOS'!EI$3:EI$500)+IF($C9="",0,SUMIF('DADOS BRUTOS'!$A$3:$A$500,$C9,'DADOS BRUTOS'!EI$3:EI$500)))</f>
        <v>0</v>
      </c>
      <c r="HJ9" s="133" t="n">
        <f aca="false">IF(OR(HJ$4="",$B9=""),0,SUMIF('DADOS BRUTOS'!$A$3:$A$500,$B9,'DADOS BRUTOS'!EJ$3:EJ$500)+IF($C9="",0,SUMIF('DADOS BRUTOS'!$A$3:$A$500,$C9,'DADOS BRUTOS'!EJ$3:EJ$500)))</f>
        <v>0</v>
      </c>
      <c r="HK9" s="133" t="n">
        <f aca="false">IF(OR(HK$4="",$B9=""),0,SUMIF('DADOS BRUTOS'!$A$3:$A$500,$B9,'DADOS BRUTOS'!EK$3:EK$500)+IF($C9="",0,SUMIF('DADOS BRUTOS'!$A$3:$A$500,$C9,'DADOS BRUTOS'!EK$3:EK$500)))</f>
        <v>0</v>
      </c>
      <c r="HL9" s="133" t="n">
        <f aca="false">IF(OR(HL$4="",$B9=""),0,SUMIF('DADOS BRUTOS'!$A$3:$A$500,$B9,'DADOS BRUTOS'!EL$3:EL$500)+IF($C9="",0,SUMIF('DADOS BRUTOS'!$A$3:$A$500,$C9,'DADOS BRUTOS'!EL$3:EL$500)))</f>
        <v>0</v>
      </c>
      <c r="HM9" s="133" t="n">
        <f aca="false">IF(OR(HM$4="",$B9=""),0,SUMIF('DADOS BRUTOS'!$A$3:$A$500,$B9,'DADOS BRUTOS'!EM$3:EM$500)+IF($C9="",0,SUMIF('DADOS BRUTOS'!$A$3:$A$500,$C9,'DADOS BRUTOS'!EM$3:EM$500)))</f>
        <v>0</v>
      </c>
      <c r="HN9" s="133" t="n">
        <f aca="false">IF(OR(HN$4="",$B9=""),0,SUMIF('DADOS BRUTOS'!$A$3:$A$500,$B9,'DADOS BRUTOS'!EN$3:EN$500)+IF($C9="",0,SUMIF('DADOS BRUTOS'!$A$3:$A$500,$C9,'DADOS BRUTOS'!EN$3:EN$500)))</f>
        <v>0</v>
      </c>
      <c r="HO9" s="133" t="n">
        <f aca="false">IF(OR(HO$4="",$B9=""),0,SUMIF('DADOS BRUTOS'!$A$3:$A$500,$B9,'DADOS BRUTOS'!EO$3:EO$500)+IF($C9="",0,SUMIF('DADOS BRUTOS'!$A$3:$A$500,$C9,'DADOS BRUTOS'!EO$3:EO$500)))</f>
        <v>0</v>
      </c>
      <c r="HP9" s="133" t="n">
        <f aca="false">IF(OR(HP$4="",$B9=""),0,SUMIF('DADOS BRUTOS'!$A$3:$A$500,$B9,'DADOS BRUTOS'!EP$3:EP$500)+IF($C9="",0,SUMIF('DADOS BRUTOS'!$A$3:$A$500,$C9,'DADOS BRUTOS'!EP$3:EP$500)))</f>
        <v>0</v>
      </c>
      <c r="HQ9" s="133" t="n">
        <f aca="false">IF(OR(HQ$4="",$B9=""),0,SUMIF('DADOS BRUTOS'!$A$3:$A$500,$B9,'DADOS BRUTOS'!EQ$3:EQ$500)+IF($C9="",0,SUMIF('DADOS BRUTOS'!$A$3:$A$500,$C9,'DADOS BRUTOS'!EQ$3:EQ$500)))</f>
        <v>0</v>
      </c>
      <c r="HR9" s="133" t="n">
        <f aca="false">IF(OR(HR$4="",$B9=""),0,SUMIF('DADOS BRUTOS'!$A$3:$A$500,$B9,'DADOS BRUTOS'!ER$3:ER$500)+IF($C9="",0,SUMIF('DADOS BRUTOS'!$A$3:$A$500,$C9,'DADOS BRUTOS'!ER$3:ER$500)))</f>
        <v>0</v>
      </c>
      <c r="HS9" s="133" t="n">
        <f aca="false">IF(OR(HS$4="",$B9=""),0,SUMIF('DADOS BRUTOS'!$A$3:$A$500,$B9,'DADOS BRUTOS'!ES$3:ES$500)+IF($C9="",0,SUMIF('DADOS BRUTOS'!$A$3:$A$500,$C9,'DADOS BRUTOS'!ES$3:ES$500)))</f>
        <v>0</v>
      </c>
      <c r="HT9" s="133" t="n">
        <f aca="false">IF(OR(HT$4="",$B9=""),0,SUMIF('DADOS BRUTOS'!$A$3:$A$500,$B9,'DADOS BRUTOS'!ET$3:ET$500)+IF($C9="",0,SUMIF('DADOS BRUTOS'!$A$3:$A$500,$C9,'DADOS BRUTOS'!ET$3:ET$500)))</f>
        <v>0</v>
      </c>
      <c r="HU9" s="133" t="n">
        <f aca="false">IF(OR(HU$4="",$B9=""),0,SUMIF('DADOS BRUTOS'!$A$3:$A$500,$B9,'DADOS BRUTOS'!EU$3:EU$500)+IF($C9="",0,SUMIF('DADOS BRUTOS'!$A$3:$A$500,$C9,'DADOS BRUTOS'!EU$3:EU$500)))</f>
        <v>0</v>
      </c>
      <c r="HV9" s="133" t="n">
        <f aca="false">IF(OR(HV$4="",$B9=""),0,SUMIF('DADOS BRUTOS'!$A$3:$A$500,$B9,'DADOS BRUTOS'!EV$3:EV$500)+IF($C9="",0,SUMIF('DADOS BRUTOS'!$A$3:$A$500,$C9,'DADOS BRUTOS'!EV$3:EV$500)))</f>
        <v>0</v>
      </c>
      <c r="HW9" s="133" t="n">
        <f aca="false">IF(OR(HW$4="",$B9=""),0,SUMIF('DADOS BRUTOS'!$A$3:$A$500,$B9,'DADOS BRUTOS'!EW$3:EW$500)+IF($C9="",0,SUMIF('DADOS BRUTOS'!$A$3:$A$500,$C9,'DADOS BRUTOS'!EW$3:EW$500)))</f>
        <v>0</v>
      </c>
      <c r="HX9" s="133" t="n">
        <f aca="false">IF(OR(HX$4="",$B9=""),0,SUMIF('DADOS BRUTOS'!$A$3:$A$500,$B9,'DADOS BRUTOS'!EX$3:EX$500)+IF($C9="",0,SUMIF('DADOS BRUTOS'!$A$3:$A$500,$C9,'DADOS BRUTOS'!EX$3:EX$500)))</f>
        <v>0</v>
      </c>
      <c r="HY9" s="133" t="n">
        <f aca="false">IF(OR(HY$4="",$B9=""),0,SUMIF('DADOS BRUTOS'!$A$3:$A$500,$B9,'DADOS BRUTOS'!EY$3:EY$500)+IF($C9="",0,SUMIF('DADOS BRUTOS'!$A$3:$A$500,$C9,'DADOS BRUTOS'!EY$3:EY$500)))</f>
        <v>0</v>
      </c>
      <c r="HZ9" s="133" t="n">
        <f aca="false">IF(OR(HZ$4="",$B9=""),0,SUMIF('DADOS BRUTOS'!$A$3:$A$500,$B9,'DADOS BRUTOS'!EZ$3:EZ$500)+IF($C9="",0,SUMIF('DADOS BRUTOS'!$A$3:$A$500,$C9,'DADOS BRUTOS'!EZ$3:EZ$500)))</f>
        <v>0</v>
      </c>
      <c r="IA9" s="133" t="n">
        <f aca="false">IF(OR(IA$4="",$B9=""),0,SUMIF('DADOS BRUTOS'!$A$3:$A$500,$B9,'DADOS BRUTOS'!FA$3:FA$500)+IF($C9="",0,SUMIF('DADOS BRUTOS'!$A$3:$A$500,$C9,'DADOS BRUTOS'!FA$3:FA$500)))</f>
        <v>0</v>
      </c>
      <c r="IB9" s="133" t="n">
        <f aca="false">IF(OR(IB$4="",$B9=""),0,SUMIF('DADOS BRUTOS'!$A$3:$A$500,$B9,'DADOS BRUTOS'!FB$3:FB$500)+IF($C9="",0,SUMIF('DADOS BRUTOS'!$A$3:$A$500,$C9,'DADOS BRUTOS'!FB$3:FB$500)))</f>
        <v>0</v>
      </c>
      <c r="IC9" s="133" t="n">
        <f aca="false">IF(OR(IC$4="",$B9=""),0,SUMIF('DADOS BRUTOS'!$A$3:$A$500,$B9,'DADOS BRUTOS'!FC$3:FC$500)+IF($C9="",0,SUMIF('DADOS BRUTOS'!$A$3:$A$500,$C9,'DADOS BRUTOS'!FC$3:FC$500)))</f>
        <v>0</v>
      </c>
      <c r="ID9" s="133" t="n">
        <f aca="false">IF(OR(ID$4="",$B9=""),0,SUMIF('DADOS BRUTOS'!$A$3:$A$500,$B9,'DADOS BRUTOS'!FD$3:FD$500)+IF($C9="",0,SUMIF('DADOS BRUTOS'!$A$3:$A$500,$C9,'DADOS BRUTOS'!FD$3:FD$500)))</f>
        <v>0</v>
      </c>
      <c r="IE9" s="133" t="n">
        <f aca="false">IF(OR(IE$4="",$B9=""),0,SUMIF('DADOS BRUTOS'!$A$3:$A$500,$B9,'DADOS BRUTOS'!FE$3:FE$500)+IF($C9="",0,SUMIF('DADOS BRUTOS'!$A$3:$A$500,$C9,'DADOS BRUTOS'!FE$3:FE$500)))</f>
        <v>0</v>
      </c>
      <c r="IF9" s="133" t="n">
        <f aca="false">IF(OR(IF$4="",$B9=""),0,SUMIF('DADOS BRUTOS'!$A$3:$A$500,$B9,'DADOS BRUTOS'!FF$3:FF$500)+IF($C9="",0,SUMIF('DADOS BRUTOS'!$A$3:$A$500,$C9,'DADOS BRUTOS'!FF$3:FF$500)))</f>
        <v>0</v>
      </c>
      <c r="IG9" s="133" t="n">
        <f aca="false">IF(OR(IG$4="",$B9=""),0,SUMIF('DADOS BRUTOS'!$A$3:$A$500,$B9,'DADOS BRUTOS'!FG$3:FG$500)+IF($C9="",0,SUMIF('DADOS BRUTOS'!$A$3:$A$500,$C9,'DADOS BRUTOS'!FG$3:FG$500)))</f>
        <v>0</v>
      </c>
      <c r="IH9" s="133" t="n">
        <f aca="false">IF(OR(IH$4="",$B9=""),0,SUMIF('DADOS BRUTOS'!$A$3:$A$500,$B9,'DADOS BRUTOS'!FH$3:FH$500)+IF($C9="",0,SUMIF('DADOS BRUTOS'!$A$3:$A$500,$C9,'DADOS BRUTOS'!FH$3:FH$500)))</f>
        <v>0</v>
      </c>
      <c r="II9" s="133" t="n">
        <f aca="false">IF(OR(II$4="",$B9=""),0,SUMIF('DADOS BRUTOS'!$A$3:$A$500,$B9,'DADOS BRUTOS'!FI$3:FI$500)+IF($C9="",0,SUMIF('DADOS BRUTOS'!$A$3:$A$500,$C9,'DADOS BRUTOS'!FI$3:FI$500)))</f>
        <v>0</v>
      </c>
      <c r="IJ9" s="133" t="n">
        <f aca="false">IF(OR(IJ$4="",$B9=""),0,SUMIF('DADOS BRUTOS'!$A$3:$A$500,$B9,'DADOS BRUTOS'!FJ$3:FJ$500)+IF($C9="",0,SUMIF('DADOS BRUTOS'!$A$3:$A$500,$C9,'DADOS BRUTOS'!FJ$3:FJ$500)))</f>
        <v>0</v>
      </c>
      <c r="IK9" s="133" t="n">
        <f aca="false">IF(OR(IK$4="",$B9=""),0,SUMIF('DADOS BRUTOS'!$A$3:$A$500,$B9,'DADOS BRUTOS'!FK$3:FK$500)+IF($C9="",0,SUMIF('DADOS BRUTOS'!$A$3:$A$500,$C9,'DADOS BRUTOS'!FK$3:FK$500)))</f>
        <v>0</v>
      </c>
      <c r="IL9" s="133" t="n">
        <f aca="false">IF(OR(IL$4="",$B9=""),0,SUMIF('DADOS BRUTOS'!$A$3:$A$500,$B9,'DADOS BRUTOS'!FL$3:FL$500)+IF($C9="",0,SUMIF('DADOS BRUTOS'!$A$3:$A$500,$C9,'DADOS BRUTOS'!FL$3:FL$500)))</f>
        <v>0</v>
      </c>
      <c r="IM9" s="133" t="n">
        <f aca="false">IF(OR(IM$4="",$B9=""),0,SUMIF('DADOS BRUTOS'!$A$3:$A$500,$B9,'DADOS BRUTOS'!FM$3:FM$500)+IF($C9="",0,SUMIF('DADOS BRUTOS'!$A$3:$A$500,$C9,'DADOS BRUTOS'!FM$3:FM$500)))</f>
        <v>0</v>
      </c>
      <c r="IN9" s="133" t="n">
        <f aca="false">IF(OR(IN$4="",$B9=""),0,SUMIF('DADOS BRUTOS'!$A$3:$A$500,$B9,'DADOS BRUTOS'!FN$3:FN$500)+IF($C9="",0,SUMIF('DADOS BRUTOS'!$A$3:$A$500,$C9,'DADOS BRUTOS'!FN$3:FN$500)))</f>
        <v>0</v>
      </c>
      <c r="IO9" s="133" t="n">
        <f aca="false">IF(OR(IO$4="",$B9=""),0,SUMIF('DADOS BRUTOS'!$A$3:$A$500,$B9,'DADOS BRUTOS'!FO$3:FO$500)+IF($C9="",0,SUMIF('DADOS BRUTOS'!$A$3:$A$500,$C9,'DADOS BRUTOS'!FO$3:FO$500)))</f>
        <v>0</v>
      </c>
      <c r="IP9" s="133" t="n">
        <f aca="false">IF(OR(IP$4="",$B9=""),0,SUMIF('DADOS BRUTOS'!$A$3:$A$500,$B9,'DADOS BRUTOS'!FP$3:FP$500)+IF($C9="",0,SUMIF('DADOS BRUTOS'!$A$3:$A$500,$C9,'DADOS BRUTOS'!FP$3:FP$500)))</f>
        <v>0</v>
      </c>
      <c r="IQ9" s="133" t="n">
        <f aca="false">IF(OR(IQ$4="",$B9=""),0,SUMIF('DADOS BRUTOS'!$A$3:$A$500,$B9,'DADOS BRUTOS'!FQ$3:FQ$500)+IF($C9="",0,SUMIF('DADOS BRUTOS'!$A$3:$A$500,$C9,'DADOS BRUTOS'!FQ$3:FQ$500)))</f>
        <v>0</v>
      </c>
      <c r="IR9" s="133" t="n">
        <f aca="false">IF(OR(IR$4="",$B9=""),0,SUMIF('DADOS BRUTOS'!$A$3:$A$500,$B9,'DADOS BRUTOS'!FR$3:FR$500)+IF($C9="",0,SUMIF('DADOS BRUTOS'!$A$3:$A$500,$C9,'DADOS BRUTOS'!FR$3:FR$500)))</f>
        <v>0</v>
      </c>
      <c r="IS9" s="133" t="n">
        <f aca="false">IF(OR(IS$4="",$B9=""),0,SUMIF('DADOS BRUTOS'!$A$3:$A$500,$B9,'DADOS BRUTOS'!FS$3:FS$500)+IF($C9="",0,SUMIF('DADOS BRUTOS'!$A$3:$A$500,$C9,'DADOS BRUTOS'!FS$3:FS$500)))</f>
        <v>0</v>
      </c>
      <c r="IT9" s="133" t="n">
        <f aca="false">IF(OR(IT$4="",$B9=""),0,SUMIF('DADOS BRUTOS'!$A$3:$A$500,$B9,'DADOS BRUTOS'!FT$3:FT$500)+IF($C9="",0,SUMIF('DADOS BRUTOS'!$A$3:$A$500,$C9,'DADOS BRUTOS'!FT$3:FT$500)))</f>
        <v>0</v>
      </c>
      <c r="IU9" s="133" t="n">
        <f aca="false">IF(OR(IU$4="",$B9=""),0,SUMIF('DADOS BRUTOS'!$A$3:$A$500,$B9,'DADOS BRUTOS'!FU$3:FU$500)+IF($C9="",0,SUMIF('DADOS BRUTOS'!$A$3:$A$500,$C9,'DADOS BRUTOS'!FU$3:FU$500)))</f>
        <v>0</v>
      </c>
      <c r="IV9" s="133" t="n">
        <f aca="false">IF(OR(IV$4="",$B9=""),0,SUMIF('DADOS BRUTOS'!$A$3:$A$500,$B9,'DADOS BRUTOS'!FV$3:FV$500)+IF($C9="",0,SUMIF('DADOS BRUTOS'!$A$3:$A$500,$C9,'DADOS BRUTOS'!FV$3:FV$500)))</f>
        <v>0</v>
      </c>
      <c r="IW9" s="133" t="n">
        <f aca="false">IF(OR(IW$4="",$B9=""),0,SUMIF('DADOS BRUTOS'!$A$3:$A$500,$B9,'DADOS BRUTOS'!FW$3:FW$500)+IF($C9="",0,SUMIF('DADOS BRUTOS'!$A$3:$A$500,$C9,'DADOS BRUTOS'!FW$3:FW$500)))</f>
        <v>0</v>
      </c>
      <c r="IX9" s="133" t="n">
        <f aca="false">IF(OR(IX$4="",$B9=""),0,SUMIF('DADOS BRUTOS'!$A$3:$A$500,$B9,'DADOS BRUTOS'!FX$3:FX$500)+IF($C9="",0,SUMIF('DADOS BRUTOS'!$A$3:$A$500,$C9,'DADOS BRUTOS'!FX$3:FX$500)))</f>
        <v>0</v>
      </c>
      <c r="IY9" s="133" t="n">
        <f aca="false">IF(OR(IY$4="",$B9=""),0,SUMIF('DADOS BRUTOS'!$A$3:$A$500,$B9,'DADOS BRUTOS'!FY$3:FY$500)+IF($C9="",0,SUMIF('DADOS BRUTOS'!$A$3:$A$500,$C9,'DADOS BRUTOS'!FY$3:FY$500)))</f>
        <v>0</v>
      </c>
      <c r="IZ9" s="133" t="n">
        <f aca="false">IF(OR(IZ$4="",$B9=""),0,SUMIF('DADOS BRUTOS'!$A$3:$A$500,$B9,'DADOS BRUTOS'!FZ$3:FZ$500)+IF($C9="",0,SUMIF('DADOS BRUTOS'!$A$3:$A$500,$C9,'DADOS BRUTOS'!FZ$3:FZ$500)))</f>
        <v>0</v>
      </c>
      <c r="JA9" s="133" t="n">
        <f aca="false">IF(OR(JA$4="",$B9=""),0,SUMIF('DADOS BRUTOS'!$A$3:$A$500,$B9,'DADOS BRUTOS'!GA$3:GA$500)+IF($C9="",0,SUMIF('DADOS BRUTOS'!$A$3:$A$500,$C9,'DADOS BRUTOS'!GA$3:GA$500)))</f>
        <v>0</v>
      </c>
      <c r="JB9" s="133" t="n">
        <f aca="false">IF(OR(JB$4="",$B9=""),0,SUMIF('DADOS BRUTOS'!$A$3:$A$500,$B9,'DADOS BRUTOS'!GB$3:GB$500)+IF($C9="",0,SUMIF('DADOS BRUTOS'!$A$3:$A$500,$C9,'DADOS BRUTOS'!GB$3:GB$500)))</f>
        <v>0</v>
      </c>
      <c r="JC9" s="133" t="n">
        <f aca="false">IF(OR(JC$4="",$B9=""),0,SUMIF('DADOS BRUTOS'!$A$3:$A$500,$B9,'DADOS BRUTOS'!GC$3:GC$500)+IF($C9="",0,SUMIF('DADOS BRUTOS'!$A$3:$A$500,$C9,'DADOS BRUTOS'!GC$3:GC$500)))</f>
        <v>0</v>
      </c>
      <c r="JD9" s="133" t="n">
        <f aca="false">IF(OR(JD$4="",$B9=""),0,SUMIF('DADOS BRUTOS'!$A$3:$A$500,$B9,'DADOS BRUTOS'!GD$3:GD$500)+IF($C9="",0,SUMIF('DADOS BRUTOS'!$A$3:$A$500,$C9,'DADOS BRUTOS'!GD$3:GD$500)))</f>
        <v>0</v>
      </c>
      <c r="JE9" s="133" t="n">
        <f aca="false">IF(OR(JE$4="",$B9=""),0,SUMIF('DADOS BRUTOS'!$A$3:$A$500,$B9,'DADOS BRUTOS'!GE$3:GE$500)+IF($C9="",0,SUMIF('DADOS BRUTOS'!$A$3:$A$500,$C9,'DADOS BRUTOS'!GE$3:GE$500)))</f>
        <v>0</v>
      </c>
      <c r="JF9" s="133" t="n">
        <f aca="false">IF(OR(JF$4="",$B9=""),0,SUMIF('DADOS BRUTOS'!$A$3:$A$500,$B9,'DADOS BRUTOS'!GF$3:GF$500)+IF($C9="",0,SUMIF('DADOS BRUTOS'!$A$3:$A$500,$C9,'DADOS BRUTOS'!GF$3:GF$500)))</f>
        <v>0</v>
      </c>
      <c r="JG9" s="133" t="n">
        <f aca="false">IF(OR(JG$4="",$B9=""),0,SUMIF('DADOS BRUTOS'!$A$3:$A$500,$B9,'DADOS BRUTOS'!GG$3:GG$500)+IF($C9="",0,SUMIF('DADOS BRUTOS'!$A$3:$A$500,$C9,'DADOS BRUTOS'!GG$3:GG$500)))</f>
        <v>0</v>
      </c>
      <c r="JH9" s="133" t="n">
        <f aca="false">IF(OR(JH$4="",$B9=""),0,SUMIF('DADOS BRUTOS'!$A$3:$A$500,$B9,'DADOS BRUTOS'!GH$3:GH$500)+IF($C9="",0,SUMIF('DADOS BRUTOS'!$A$3:$A$500,$C9,'DADOS BRUTOS'!GH$3:GH$500)))</f>
        <v>0</v>
      </c>
      <c r="JI9" s="133" t="n">
        <f aca="false">IF(OR(JI$4="",$B9=""),0,SUMIF('DADOS BRUTOS'!$A$3:$A$500,$B9,'DADOS BRUTOS'!GI$3:GI$500)+IF($C9="",0,SUMIF('DADOS BRUTOS'!$A$3:$A$500,$C9,'DADOS BRUTOS'!GI$3:GI$500)))</f>
        <v>0</v>
      </c>
      <c r="JJ9" s="133" t="n">
        <f aca="false">IF(OR(JJ$4="",$B9=""),0,SUMIF('DADOS BRUTOS'!$A$3:$A$500,$B9,'DADOS BRUTOS'!GJ$3:GJ$500)+IF($C9="",0,SUMIF('DADOS BRUTOS'!$A$3:$A$500,$C9,'DADOS BRUTOS'!GJ$3:GJ$500)))</f>
        <v>0</v>
      </c>
      <c r="JK9" s="133" t="n">
        <f aca="false">IF(OR(JK$4="",$B9=""),0,SUMIF('DADOS BRUTOS'!$A$3:$A$500,$B9,'DADOS BRUTOS'!GK$3:GK$500)+IF($C9="",0,SUMIF('DADOS BRUTOS'!$A$3:$A$500,$C9,'DADOS BRUTOS'!GK$3:GK$500)))</f>
        <v>0</v>
      </c>
      <c r="JL9" s="133" t="n">
        <f aca="false">IF(OR(JL$4="",$B9=""),0,SUMIF('DADOS BRUTOS'!$A$3:$A$500,$B9,'DADOS BRUTOS'!GL$3:GL$500)+IF($C9="",0,SUMIF('DADOS BRUTOS'!$A$3:$A$500,$C9,'DADOS BRUTOS'!GL$3:GL$500)))</f>
        <v>0</v>
      </c>
      <c r="JM9" s="133" t="n">
        <f aca="false">IF(OR(JM$4="",$B9=""),0,SUMIF('DADOS BRUTOS'!$A$3:$A$500,$B9,'DADOS BRUTOS'!GM$3:GM$500)+IF($C9="",0,SUMIF('DADOS BRUTOS'!$A$3:$A$500,$C9,'DADOS BRUTOS'!GM$3:GM$500)))</f>
        <v>0</v>
      </c>
      <c r="JN9" s="133" t="n">
        <f aca="false">IF(OR(JN$4="",$B9=""),0,SUMIF('DADOS BRUTOS'!$A$3:$A$500,$B9,'DADOS BRUTOS'!GN$3:GN$500)+IF($C9="",0,SUMIF('DADOS BRUTOS'!$A$3:$A$500,$C9,'DADOS BRUTOS'!GN$3:GN$500)))</f>
        <v>0</v>
      </c>
      <c r="JO9" s="133" t="n">
        <f aca="false">IF(OR(JO$4="",$B9=""),0,SUMIF('DADOS BRUTOS'!$A$3:$A$500,$B9,'DADOS BRUTOS'!GO$3:GO$500)+IF($C9="",0,SUMIF('DADOS BRUTOS'!$A$3:$A$500,$C9,'DADOS BRUTOS'!GO$3:GO$500)))</f>
        <v>0</v>
      </c>
      <c r="JP9" s="133" t="n">
        <f aca="false">IF(OR(JP$4="",$B9=""),0,SUMIF('DADOS BRUTOS'!$A$3:$A$500,$B9,'DADOS BRUTOS'!GP$3:GP$500)+IF($C9="",0,SUMIF('DADOS BRUTOS'!$A$3:$A$500,$C9,'DADOS BRUTOS'!GP$3:GP$500)))</f>
        <v>0</v>
      </c>
      <c r="JQ9" s="133" t="n">
        <f aca="false">IF(OR(JQ$4="",$B9=""),0,SUMIF('DADOS BRUTOS'!$A$3:$A$500,$B9,'DADOS BRUTOS'!GQ$3:GQ$500)+IF($C9="",0,SUMIF('DADOS BRUTOS'!$A$3:$A$500,$C9,'DADOS BRUTOS'!GQ$3:GQ$500)))</f>
        <v>0</v>
      </c>
      <c r="JR9" s="133" t="n">
        <f aca="false">IF(OR(JR$4="",$B9=""),0,SUMIF('DADOS BRUTOS'!$A$3:$A$500,$B9,'DADOS BRUTOS'!GR$3:GR$500)+IF($C9="",0,SUMIF('DADOS BRUTOS'!$A$3:$A$500,$C9,'DADOS BRUTOS'!GR$3:GR$500)))</f>
        <v>0</v>
      </c>
      <c r="JS9" s="133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0</v>
      </c>
      <c r="E10" s="50" t="n">
        <f aca="false">SUMIF($CB$4:$JS$4,E$4,$CB10:$JS10)</f>
        <v>0</v>
      </c>
      <c r="F10" s="50" t="n">
        <f aca="false">SUMIF($CB$4:$JS$4,F$4,$CB10:$JS10)</f>
        <v>0</v>
      </c>
      <c r="G10" s="50" t="n">
        <f aca="false">SUMIF($CB$4:$JS$4,G$4,$CB10:$JS10)</f>
        <v>0</v>
      </c>
      <c r="H10" s="50" t="n">
        <f aca="false">SUMIF($CB$4:$JS$4,H$4,$CB10:$JS10)</f>
        <v>0</v>
      </c>
      <c r="I10" s="50" t="n">
        <f aca="false">SUMIF($CB$4:$JS$4,I$4,$CB10:$JS10)</f>
        <v>0</v>
      </c>
      <c r="J10" s="50" t="n">
        <f aca="false">SUMIF($CB$4:$JS$4,J$4,$CB10:$JS10)</f>
        <v>0</v>
      </c>
      <c r="K10" s="50" t="n">
        <f aca="false">SUMIF($CB$4:$JS$4,K$4,$CB10:$JS10)</f>
        <v>0</v>
      </c>
      <c r="L10" s="50" t="n">
        <f aca="false">SUMIF($CB$4:$JS$4,L$4,$CB10:$JS10)</f>
        <v>0</v>
      </c>
      <c r="M10" s="50" t="n">
        <f aca="false">SUMIF($CB$4:$JS$4,M$4,$CB10:$JS10)</f>
        <v>0</v>
      </c>
      <c r="N10" s="50" t="n">
        <f aca="false">SUMIF($CB$4:$JS$4,N$4,$CB10:$JS10)</f>
        <v>451.95</v>
      </c>
      <c r="O10" s="50" t="n">
        <f aca="false">SUMIF($CB$4:$JS$4,O$4,$CB10:$JS10)</f>
        <v>2796.26</v>
      </c>
      <c r="P10" s="50" t="n">
        <f aca="false">SUMIF($CB$4:$JS$4,P$4,$CB10:$JS10)</f>
        <v>159.9</v>
      </c>
      <c r="Q10" s="50" t="n">
        <f aca="false">SUMIF($CB$4:$JS$4,Q$4,$CB10:$JS10)</f>
        <v>2417.06</v>
      </c>
      <c r="R10" s="50" t="n">
        <f aca="false">SUMIF($CB$4:$JS$4,R$4,$CB10:$JS10)</f>
        <v>1957.61</v>
      </c>
      <c r="S10" s="50" t="n">
        <f aca="false">SUMIF($CB$4:$JS$4,S$4,$CB10:$JS10)</f>
        <v>2936.03</v>
      </c>
      <c r="T10" s="50" t="n">
        <f aca="false">SUMIF($CB$4:$JS$4,T$4,$CB10:$JS10)</f>
        <v>1594.43</v>
      </c>
      <c r="U10" s="50" t="n">
        <f aca="false">SUMIF($CB$4:$JS$4,U$4,$CB10:$JS10)</f>
        <v>6339.97</v>
      </c>
      <c r="V10" s="50" t="n">
        <f aca="false">SUMIF($CB$4:$JS$4,V$4,$CB10:$JS10)</f>
        <v>2360.61</v>
      </c>
      <c r="W10" s="50" t="n">
        <f aca="false">SUMIF($CB$4:$JS$4,W$4,$CB10:$JS10)</f>
        <v>4502.73</v>
      </c>
      <c r="X10" s="50" t="n">
        <f aca="false">SUMIF($CB$4:$JS$4,X$4,$CB10:$JS10)</f>
        <v>10541.48</v>
      </c>
      <c r="Y10" s="50" t="n">
        <f aca="false">SUMIF($CB$4:$JS$4,Y$4,$CB10:$JS10)</f>
        <v>3836.72</v>
      </c>
      <c r="Z10" s="50" t="n">
        <f aca="false">SUMIF($CB$4:$JS$4,Z$4,$CB10:$JS10)</f>
        <v>2339.05</v>
      </c>
      <c r="AA10" s="50" t="n">
        <f aca="false">SUMIF($CB$4:$JS$4,AA$4,$CB10:$JS10)</f>
        <v>159.9</v>
      </c>
      <c r="AB10" s="50" t="n">
        <f aca="false">SUMIF($CB$4:$JS$4,AB$4,$CB10:$JS10)</f>
        <v>159.9</v>
      </c>
      <c r="AC10" s="50" t="n">
        <f aca="false">SUMIF($CB$4:$JS$4,AC$4,$CB10:$JS10)</f>
        <v>159.9</v>
      </c>
      <c r="AD10" s="50" t="n">
        <f aca="false">SUMIF($CB$4:$JS$4,AD$4,$CB10:$JS10)</f>
        <v>159.9</v>
      </c>
      <c r="AE10" s="50" t="n">
        <f aca="false">SUMIF($CB$4:$JS$4,AE$4,$CB10:$JS10)</f>
        <v>159.9</v>
      </c>
      <c r="AF10" s="50" t="n">
        <f aca="false">SUMIF($CB$4:$JS$4,AF$4,$CB10:$JS10)</f>
        <v>159.9</v>
      </c>
      <c r="AG10" s="50" t="n">
        <f aca="false">SUMIF($CB$4:$JS$4,AG$4,$CB10:$JS10)</f>
        <v>159.9</v>
      </c>
      <c r="AH10" s="50" t="n">
        <f aca="false">SUMIF($CB$4:$JS$4,AH$4,$CB10:$JS10)</f>
        <v>159.9</v>
      </c>
      <c r="AI10" s="50" t="n">
        <f aca="false">SUMIF($CB$4:$JS$4,AI$4,$CB10:$JS10)</f>
        <v>159.9</v>
      </c>
      <c r="AJ10" s="50" t="n">
        <f aca="false">SUMIF($CB$4:$JS$4,AJ$4,$CB10:$JS10)</f>
        <v>159.9</v>
      </c>
      <c r="AK10" s="50" t="n">
        <f aca="false">SUMIF($CB$4:$JS$4,AK$4,$CB10:$JS10)</f>
        <v>159.9</v>
      </c>
      <c r="AL10" s="50" t="n">
        <f aca="false">SUMIF($CB$4:$JS$4,AL$4,$CB10:$JS10)</f>
        <v>159.9</v>
      </c>
      <c r="AM10" s="50" t="n">
        <f aca="false">SUMIF($CB$4:$JS$4,AM$4,$CB10:$JS10)</f>
        <v>159.9</v>
      </c>
      <c r="AN10" s="50" t="n">
        <f aca="false">SUMIF($CB$4:$JS$4,AN$4,$CB10:$JS10)</f>
        <v>159.9</v>
      </c>
      <c r="AO10" s="50" t="n">
        <f aca="false">SUMIF($CB$4:$JS$4,AO$4,$CB10:$JS10)</f>
        <v>159.9</v>
      </c>
      <c r="AP10" s="50" t="n">
        <f aca="false">SUMIF($CB$4:$JS$4,AP$4,$CB10:$JS10)</f>
        <v>159.9</v>
      </c>
      <c r="AQ10" s="50" t="n">
        <f aca="false">SUMIF($CB$4:$JS$4,AQ$4,$CB10:$JS10)</f>
        <v>159.9</v>
      </c>
      <c r="AR10" s="50" t="n">
        <f aca="false">SUMIF($CB$4:$JS$4,AR$4,$CB10:$JS10)</f>
        <v>159.9</v>
      </c>
      <c r="AS10" s="50" t="n">
        <f aca="false">SUMIF($CB$4:$JS$4,AS$4,$CB10:$JS10)</f>
        <v>159.9</v>
      </c>
      <c r="AT10" s="50" t="n">
        <f aca="false">SUMIF($CB$4:$JS$4,AT$4,$CB10:$JS10)</f>
        <v>159.9</v>
      </c>
      <c r="AU10" s="50" t="n">
        <f aca="false">SUMIF($CB$4:$JS$4,AU$4,$CB10:$JS10)</f>
        <v>159.9</v>
      </c>
      <c r="AV10" s="50" t="n">
        <f aca="false">SUMIF($CB$4:$JS$4,AV$4,$CB10:$JS10)</f>
        <v>159.9</v>
      </c>
      <c r="AW10" s="50" t="n">
        <f aca="false">SUMIF($CB$4:$JS$4,AW$4,$CB10:$JS10)</f>
        <v>159.9</v>
      </c>
      <c r="AX10" s="50" t="n">
        <f aca="false">SUMIF($CB$4:$JS$4,AX$4,$CB10:$JS10)</f>
        <v>159.9</v>
      </c>
      <c r="AY10" s="50" t="n">
        <f aca="false">SUMIF($CB$4:$JS$4,AY$4,$CB10:$JS10)</f>
        <v>159.9</v>
      </c>
      <c r="AZ10" s="50" t="n">
        <f aca="false">SUMIF($CB$4:$JS$4,AZ$4,$CB10:$JS10)</f>
        <v>159.9</v>
      </c>
      <c r="BA10" s="50" t="n">
        <f aca="false">SUMIF($CB$4:$JS$4,BA$4,$CB10:$JS10)</f>
        <v>159.9</v>
      </c>
      <c r="BB10" s="50" t="n">
        <f aca="false">SUMIF($CB$4:$JS$4,BB$4,$CB10:$JS10)</f>
        <v>159.9</v>
      </c>
      <c r="BC10" s="50" t="n">
        <f aca="false">SUMIF($CB$4:$JS$4,BC$4,$CB10:$JS10)</f>
        <v>159.9</v>
      </c>
      <c r="BD10" s="50" t="n">
        <f aca="false">SUMIF($CB$4:$JS$4,BD$4,$CB10:$JS10)</f>
        <v>159.9</v>
      </c>
      <c r="BE10" s="50" t="n">
        <f aca="false">SUMIF($CB$4:$JS$4,BE$4,$CB10:$JS10)</f>
        <v>159.9</v>
      </c>
      <c r="BF10" s="50" t="n">
        <f aca="false">SUMIF($CB$4:$JS$4,BF$4,$CB10:$JS10)</f>
        <v>159.9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47350.6</v>
      </c>
      <c r="BZ10" s="45" t="n">
        <f aca="false">SUMPRODUCT(($CB$4:$JS$4&lt;&gt;"")*($CB$4:$JS$4&lt;=$D$4),$CB10:$JS10,$CB$1:$JS$1)</f>
        <v>0</v>
      </c>
      <c r="CB10" s="133" t="n">
        <f aca="false">IF(OR(CB$4="",$B10=""),0,SUMIF('DADOS BRUTOS'!$A$3:$A$500,$B10,'DADOS BRUTOS'!B$3:B$500)+IF($C10="",0,SUMIF('DADOS BRUTOS'!$A$3:$A$500,$C10,'DADOS BRUTOS'!B$3:B$500)))</f>
        <v>0</v>
      </c>
      <c r="CC10" s="133" t="n">
        <f aca="false">IF(OR(CC$4="",$B10=""),0,SUMIF('DADOS BRUTOS'!$A$3:$A$500,$B10,'DADOS BRUTOS'!C$3:C$500)+IF($C10="",0,SUMIF('DADOS BRUTOS'!$A$3:$A$500,$C10,'DADOS BRUTOS'!C$3:C$500)))</f>
        <v>0</v>
      </c>
      <c r="CD10" s="133" t="n">
        <f aca="false">IF(OR(CD$4="",$B10=""),0,SUMIF('DADOS BRUTOS'!$A$3:$A$500,$B10,'DADOS BRUTOS'!D$3:D$500)+IF($C10="",0,SUMIF('DADOS BRUTOS'!$A$3:$A$500,$C10,'DADOS BRUTOS'!D$3:D$500)))</f>
        <v>0</v>
      </c>
      <c r="CE10" s="133" t="n">
        <f aca="false">IF(OR(CE$4="",$B10=""),0,SUMIF('DADOS BRUTOS'!$A$3:$A$500,$B10,'DADOS BRUTOS'!E$3:E$500)+IF($C10="",0,SUMIF('DADOS BRUTOS'!$A$3:$A$500,$C10,'DADOS BRUTOS'!E$3:E$500)))</f>
        <v>0</v>
      </c>
      <c r="CF10" s="133" t="n">
        <f aca="false">IF(OR(CF$4="",$B10=""),0,SUMIF('DADOS BRUTOS'!$A$3:$A$500,$B10,'DADOS BRUTOS'!F$3:F$500)+IF($C10="",0,SUMIF('DADOS BRUTOS'!$A$3:$A$500,$C10,'DADOS BRUTOS'!F$3:F$500)))</f>
        <v>0</v>
      </c>
      <c r="CG10" s="133" t="n">
        <f aca="false">IF(OR(CG$4="",$B10=""),0,SUMIF('DADOS BRUTOS'!$A$3:$A$500,$B10,'DADOS BRUTOS'!G$3:G$500)+IF($C10="",0,SUMIF('DADOS BRUTOS'!$A$3:$A$500,$C10,'DADOS BRUTOS'!G$3:G$500)))</f>
        <v>0</v>
      </c>
      <c r="CH10" s="133" t="n">
        <f aca="false">IF(OR(CH$4="",$B10=""),0,SUMIF('DADOS BRUTOS'!$A$3:$A$500,$B10,'DADOS BRUTOS'!H$3:H$500)+IF($C10="",0,SUMIF('DADOS BRUTOS'!$A$3:$A$500,$C10,'DADOS BRUTOS'!H$3:H$500)))</f>
        <v>0</v>
      </c>
      <c r="CI10" s="133" t="n">
        <f aca="false">IF(OR(CI$4="",$B10=""),0,SUMIF('DADOS BRUTOS'!$A$3:$A$500,$B10,'DADOS BRUTOS'!I$3:I$500)+IF($C10="",0,SUMIF('DADOS BRUTOS'!$A$3:$A$500,$C10,'DADOS BRUTOS'!I$3:I$500)))</f>
        <v>0</v>
      </c>
      <c r="CJ10" s="133" t="n">
        <f aca="false">IF(OR(CJ$4="",$B10=""),0,SUMIF('DADOS BRUTOS'!$A$3:$A$500,$B10,'DADOS BRUTOS'!J$3:J$500)+IF($C10="",0,SUMIF('DADOS BRUTOS'!$A$3:$A$500,$C10,'DADOS BRUTOS'!J$3:J$500)))</f>
        <v>0</v>
      </c>
      <c r="CK10" s="133" t="n">
        <f aca="false">IF(OR(CK$4="",$B10=""),0,SUMIF('DADOS BRUTOS'!$A$3:$A$500,$B10,'DADOS BRUTOS'!K$3:K$500)+IF($C10="",0,SUMIF('DADOS BRUTOS'!$A$3:$A$500,$C10,'DADOS BRUTOS'!K$3:K$500)))</f>
        <v>0</v>
      </c>
      <c r="CL10" s="133" t="n">
        <f aca="false">IF(OR(CL$4="",$B10=""),0,SUMIF('DADOS BRUTOS'!$A$3:$A$500,$B10,'DADOS BRUTOS'!L$3:L$500)+IF($C10="",0,SUMIF('DADOS BRUTOS'!$A$3:$A$500,$C10,'DADOS BRUTOS'!L$3:L$500)))</f>
        <v>0</v>
      </c>
      <c r="CM10" s="133" t="n">
        <f aca="false">IF(OR(CM$4="",$B10=""),0,SUMIF('DADOS BRUTOS'!$A$3:$A$500,$B10,'DADOS BRUTOS'!M$3:M$500)+IF($C10="",0,SUMIF('DADOS BRUTOS'!$A$3:$A$500,$C10,'DADOS BRUTOS'!M$3:M$500)))</f>
        <v>0</v>
      </c>
      <c r="CN10" s="133" t="n">
        <f aca="false">IF(OR(CN$4="",$B10=""),0,SUMIF('DADOS BRUTOS'!$A$3:$A$500,$B10,'DADOS BRUTOS'!N$3:N$500)+IF($C10="",0,SUMIF('DADOS BRUTOS'!$A$3:$A$500,$C10,'DADOS BRUTOS'!N$3:N$500)))</f>
        <v>0</v>
      </c>
      <c r="CO10" s="133" t="n">
        <f aca="false">IF(OR(CO$4="",$B10=""),0,SUMIF('DADOS BRUTOS'!$A$3:$A$500,$B10,'DADOS BRUTOS'!O$3:O$500)+IF($C10="",0,SUMIF('DADOS BRUTOS'!$A$3:$A$500,$C10,'DADOS BRUTOS'!O$3:O$500)))</f>
        <v>0</v>
      </c>
      <c r="CP10" s="133" t="n">
        <f aca="false">IF(OR(CP$4="",$B10=""),0,SUMIF('DADOS BRUTOS'!$A$3:$A$500,$B10,'DADOS BRUTOS'!P$3:P$500)+IF($C10="",0,SUMIF('DADOS BRUTOS'!$A$3:$A$500,$C10,'DADOS BRUTOS'!P$3:P$500)))</f>
        <v>0</v>
      </c>
      <c r="CQ10" s="133" t="n">
        <f aca="false">IF(OR(CQ$4="",$B10=""),0,SUMIF('DADOS BRUTOS'!$A$3:$A$500,$B10,'DADOS BRUTOS'!Q$3:Q$500)+IF($C10="",0,SUMIF('DADOS BRUTOS'!$A$3:$A$500,$C10,'DADOS BRUTOS'!Q$3:Q$500)))</f>
        <v>0</v>
      </c>
      <c r="CR10" s="133" t="n">
        <f aca="false">IF(OR(CR$4="",$B10=""),0,SUMIF('DADOS BRUTOS'!$A$3:$A$500,$B10,'DADOS BRUTOS'!R$3:R$500)+IF($C10="",0,SUMIF('DADOS BRUTOS'!$A$3:$A$500,$C10,'DADOS BRUTOS'!R$3:R$500)))</f>
        <v>0</v>
      </c>
      <c r="CS10" s="133" t="n">
        <f aca="false">IF(OR(CS$4="",$B10=""),0,SUMIF('DADOS BRUTOS'!$A$3:$A$500,$B10,'DADOS BRUTOS'!S$3:S$500)+IF($C10="",0,SUMIF('DADOS BRUTOS'!$A$3:$A$500,$C10,'DADOS BRUTOS'!S$3:S$500)))</f>
        <v>0</v>
      </c>
      <c r="CT10" s="133" t="n">
        <f aca="false">IF(OR(CT$4="",$B10=""),0,SUMIF('DADOS BRUTOS'!$A$3:$A$500,$B10,'DADOS BRUTOS'!T$3:T$500)+IF($C10="",0,SUMIF('DADOS BRUTOS'!$A$3:$A$500,$C10,'DADOS BRUTOS'!T$3:T$500)))</f>
        <v>0</v>
      </c>
      <c r="CU10" s="133" t="n">
        <f aca="false">IF(OR(CU$4="",$B10=""),0,SUMIF('DADOS BRUTOS'!$A$3:$A$500,$B10,'DADOS BRUTOS'!U$3:U$500)+IF($C10="",0,SUMIF('DADOS BRUTOS'!$A$3:$A$500,$C10,'DADOS BRUTOS'!U$3:U$500)))</f>
        <v>0</v>
      </c>
      <c r="CV10" s="133" t="n">
        <f aca="false">IF(OR(CV$4="",$B10=""),0,SUMIF('DADOS BRUTOS'!$A$3:$A$500,$B10,'DADOS BRUTOS'!V$3:V$500)+IF($C10="",0,SUMIF('DADOS BRUTOS'!$A$3:$A$500,$C10,'DADOS BRUTOS'!V$3:V$500)))</f>
        <v>0</v>
      </c>
      <c r="CW10" s="133" t="n">
        <f aca="false">IF(OR(CW$4="",$B10=""),0,SUMIF('DADOS BRUTOS'!$A$3:$A$500,$B10,'DADOS BRUTOS'!W$3:W$500)+IF($C10="",0,SUMIF('DADOS BRUTOS'!$A$3:$A$500,$C10,'DADOS BRUTOS'!W$3:W$500)))</f>
        <v>0</v>
      </c>
      <c r="CX10" s="133" t="n">
        <f aca="false">IF(OR(CX$4="",$B10=""),0,SUMIF('DADOS BRUTOS'!$A$3:$A$500,$B10,'DADOS BRUTOS'!X$3:X$500)+IF($C10="",0,SUMIF('DADOS BRUTOS'!$A$3:$A$500,$C10,'DADOS BRUTOS'!X$3:X$500)))</f>
        <v>451.95</v>
      </c>
      <c r="CY10" s="133" t="n">
        <f aca="false">IF(OR(CY$4="",$B10=""),0,SUMIF('DADOS BRUTOS'!$A$3:$A$500,$B10,'DADOS BRUTOS'!Y$3:Y$500)+IF($C10="",0,SUMIF('DADOS BRUTOS'!$A$3:$A$500,$C10,'DADOS BRUTOS'!Y$3:Y$500)))</f>
        <v>2796.26</v>
      </c>
      <c r="CZ10" s="133" t="n">
        <f aca="false">IF(OR(CZ$4="",$B10=""),0,SUMIF('DADOS BRUTOS'!$A$3:$A$500,$B10,'DADOS BRUTOS'!Z$3:Z$500)+IF($C10="",0,SUMIF('DADOS BRUTOS'!$A$3:$A$500,$C10,'DADOS BRUTOS'!Z$3:Z$500)))</f>
        <v>159.9</v>
      </c>
      <c r="DA10" s="133" t="n">
        <f aca="false">IF(OR(DA$4="",$B10=""),0,SUMIF('DADOS BRUTOS'!$A$3:$A$500,$B10,'DADOS BRUTOS'!AA$3:AA$500)+IF($C10="",0,SUMIF('DADOS BRUTOS'!$A$3:$A$500,$C10,'DADOS BRUTOS'!AA$3:AA$500)))</f>
        <v>2417.06</v>
      </c>
      <c r="DB10" s="133" t="n">
        <f aca="false">IF(OR(DB$4="",$B10=""),0,SUMIF('DADOS BRUTOS'!$A$3:$A$500,$B10,'DADOS BRUTOS'!AB$3:AB$500)+IF($C10="",0,SUMIF('DADOS BRUTOS'!$A$3:$A$500,$C10,'DADOS BRUTOS'!AB$3:AB$500)))</f>
        <v>1957.61</v>
      </c>
      <c r="DC10" s="133" t="n">
        <f aca="false">IF(OR(DC$4="",$B10=""),0,SUMIF('DADOS BRUTOS'!$A$3:$A$500,$B10,'DADOS BRUTOS'!AC$3:AC$500)+IF($C10="",0,SUMIF('DADOS BRUTOS'!$A$3:$A$500,$C10,'DADOS BRUTOS'!AC$3:AC$500)))</f>
        <v>2936.03</v>
      </c>
      <c r="DD10" s="133" t="n">
        <f aca="false">IF(OR(DD$4="",$B10=""),0,SUMIF('DADOS BRUTOS'!$A$3:$A$500,$B10,'DADOS BRUTOS'!AD$3:AD$500)+IF($C10="",0,SUMIF('DADOS BRUTOS'!$A$3:$A$500,$C10,'DADOS BRUTOS'!AD$3:AD$500)))</f>
        <v>1594.43</v>
      </c>
      <c r="DE10" s="133" t="n">
        <f aca="false">IF(OR(DE$4="",$B10=""),0,SUMIF('DADOS BRUTOS'!$A$3:$A$500,$B10,'DADOS BRUTOS'!AE$3:AE$500)+IF($C10="",0,SUMIF('DADOS BRUTOS'!$A$3:$A$500,$C10,'DADOS BRUTOS'!AE$3:AE$500)))</f>
        <v>6339.97</v>
      </c>
      <c r="DF10" s="133" t="n">
        <f aca="false">IF(OR(DF$4="",$B10=""),0,SUMIF('DADOS BRUTOS'!$A$3:$A$500,$B10,'DADOS BRUTOS'!AF$3:AF$500)+IF($C10="",0,SUMIF('DADOS BRUTOS'!$A$3:$A$500,$C10,'DADOS BRUTOS'!AF$3:AF$500)))</f>
        <v>2360.61</v>
      </c>
      <c r="DG10" s="133" t="n">
        <f aca="false">IF(OR(DG$4="",$B10=""),0,SUMIF('DADOS BRUTOS'!$A$3:$A$500,$B10,'DADOS BRUTOS'!AG$3:AG$500)+IF($C10="",0,SUMIF('DADOS BRUTOS'!$A$3:$A$500,$C10,'DADOS BRUTOS'!AG$3:AG$500)))</f>
        <v>4502.73</v>
      </c>
      <c r="DH10" s="133" t="n">
        <f aca="false">IF(OR(DH$4="",$B10=""),0,SUMIF('DADOS BRUTOS'!$A$3:$A$500,$B10,'DADOS BRUTOS'!AH$3:AH$500)+IF($C10="",0,SUMIF('DADOS BRUTOS'!$A$3:$A$500,$C10,'DADOS BRUTOS'!AH$3:AH$500)))</f>
        <v>10541.48</v>
      </c>
      <c r="DI10" s="133" t="n">
        <f aca="false">IF(OR(DI$4="",$B10=""),0,SUMIF('DADOS BRUTOS'!$A$3:$A$500,$B10,'DADOS BRUTOS'!AI$3:AI$500)+IF($C10="",0,SUMIF('DADOS BRUTOS'!$A$3:$A$500,$C10,'DADOS BRUTOS'!AI$3:AI$500)))</f>
        <v>3836.72</v>
      </c>
      <c r="DJ10" s="133" t="n">
        <f aca="false">IF(OR(DJ$4="",$B10=""),0,SUMIF('DADOS BRUTOS'!$A$3:$A$500,$B10,'DADOS BRUTOS'!AJ$3:AJ$500)+IF($C10="",0,SUMIF('DADOS BRUTOS'!$A$3:$A$500,$C10,'DADOS BRUTOS'!AJ$3:AJ$500)))</f>
        <v>2339.05</v>
      </c>
      <c r="DK10" s="133" t="n">
        <f aca="false">IF(OR(DK$4="",$B10=""),0,SUMIF('DADOS BRUTOS'!$A$3:$A$500,$B10,'DADOS BRUTOS'!AK$3:AK$500)+IF($C10="",0,SUMIF('DADOS BRUTOS'!$A$3:$A$500,$C10,'DADOS BRUTOS'!AK$3:AK$500)))</f>
        <v>159.9</v>
      </c>
      <c r="DL10" s="133" t="n">
        <f aca="false">IF(OR(DL$4="",$B10=""),0,SUMIF('DADOS BRUTOS'!$A$3:$A$500,$B10,'DADOS BRUTOS'!AL$3:AL$500)+IF($C10="",0,SUMIF('DADOS BRUTOS'!$A$3:$A$500,$C10,'DADOS BRUTOS'!AL$3:AL$500)))</f>
        <v>159.9</v>
      </c>
      <c r="DM10" s="133" t="n">
        <f aca="false">IF(OR(DM$4="",$B10=""),0,SUMIF('DADOS BRUTOS'!$A$3:$A$500,$B10,'DADOS BRUTOS'!AM$3:AM$500)+IF($C10="",0,SUMIF('DADOS BRUTOS'!$A$3:$A$500,$C10,'DADOS BRUTOS'!AM$3:AM$500)))</f>
        <v>159.9</v>
      </c>
      <c r="DN10" s="133" t="n">
        <f aca="false">IF(OR(DN$4="",$B10=""),0,SUMIF('DADOS BRUTOS'!$A$3:$A$500,$B10,'DADOS BRUTOS'!AN$3:AN$500)+IF($C10="",0,SUMIF('DADOS BRUTOS'!$A$3:$A$500,$C10,'DADOS BRUTOS'!AN$3:AN$500)))</f>
        <v>159.9</v>
      </c>
      <c r="DO10" s="133" t="n">
        <f aca="false">IF(OR(DO$4="",$B10=""),0,SUMIF('DADOS BRUTOS'!$A$3:$A$500,$B10,'DADOS BRUTOS'!AO$3:AO$500)+IF($C10="",0,SUMIF('DADOS BRUTOS'!$A$3:$A$500,$C10,'DADOS BRUTOS'!AO$3:AO$500)))</f>
        <v>159.9</v>
      </c>
      <c r="DP10" s="133" t="n">
        <f aca="false">IF(OR(DP$4="",$B10=""),0,SUMIF('DADOS BRUTOS'!$A$3:$A$500,$B10,'DADOS BRUTOS'!AP$3:AP$500)+IF($C10="",0,SUMIF('DADOS BRUTOS'!$A$3:$A$500,$C10,'DADOS BRUTOS'!AP$3:AP$500)))</f>
        <v>159.9</v>
      </c>
      <c r="DQ10" s="133" t="n">
        <f aca="false">IF(OR(DQ$4="",$B10=""),0,SUMIF('DADOS BRUTOS'!$A$3:$A$500,$B10,'DADOS BRUTOS'!AQ$3:AQ$500)+IF($C10="",0,SUMIF('DADOS BRUTOS'!$A$3:$A$500,$C10,'DADOS BRUTOS'!AQ$3:AQ$500)))</f>
        <v>159.9</v>
      </c>
      <c r="DR10" s="133" t="n">
        <f aca="false">IF(OR(DR$4="",$B10=""),0,SUMIF('DADOS BRUTOS'!$A$3:$A$500,$B10,'DADOS BRUTOS'!AR$3:AR$500)+IF($C10="",0,SUMIF('DADOS BRUTOS'!$A$3:$A$500,$C10,'DADOS BRUTOS'!AR$3:AR$500)))</f>
        <v>159.9</v>
      </c>
      <c r="DS10" s="133" t="n">
        <f aca="false">IF(OR(DS$4="",$B10=""),0,SUMIF('DADOS BRUTOS'!$A$3:$A$500,$B10,'DADOS BRUTOS'!AS$3:AS$500)+IF($C10="",0,SUMIF('DADOS BRUTOS'!$A$3:$A$500,$C10,'DADOS BRUTOS'!AS$3:AS$500)))</f>
        <v>159.9</v>
      </c>
      <c r="DT10" s="133" t="n">
        <f aca="false">IF(OR(DT$4="",$B10=""),0,SUMIF('DADOS BRUTOS'!$A$3:$A$500,$B10,'DADOS BRUTOS'!AT$3:AT$500)+IF($C10="",0,SUMIF('DADOS BRUTOS'!$A$3:$A$500,$C10,'DADOS BRUTOS'!AT$3:AT$500)))</f>
        <v>159.9</v>
      </c>
      <c r="DU10" s="133" t="n">
        <f aca="false">IF(OR(DU$4="",$B10=""),0,SUMIF('DADOS BRUTOS'!$A$3:$A$500,$B10,'DADOS BRUTOS'!AU$3:AU$500)+IF($C10="",0,SUMIF('DADOS BRUTOS'!$A$3:$A$500,$C10,'DADOS BRUTOS'!AU$3:AU$500)))</f>
        <v>159.9</v>
      </c>
      <c r="DV10" s="133" t="n">
        <f aca="false">IF(OR(DV$4="",$B10=""),0,SUMIF('DADOS BRUTOS'!$A$3:$A$500,$B10,'DADOS BRUTOS'!AV$3:AV$500)+IF($C10="",0,SUMIF('DADOS BRUTOS'!$A$3:$A$500,$C10,'DADOS BRUTOS'!AV$3:AV$500)))</f>
        <v>159.9</v>
      </c>
      <c r="DW10" s="133" t="n">
        <f aca="false">IF(OR(DW$4="",$B10=""),0,SUMIF('DADOS BRUTOS'!$A$3:$A$500,$B10,'DADOS BRUTOS'!AW$3:AW$500)+IF($C10="",0,SUMIF('DADOS BRUTOS'!$A$3:$A$500,$C10,'DADOS BRUTOS'!AW$3:AW$500)))</f>
        <v>159.9</v>
      </c>
      <c r="DX10" s="133" t="n">
        <f aca="false">IF(OR(DX$4="",$B10=""),0,SUMIF('DADOS BRUTOS'!$A$3:$A$500,$B10,'DADOS BRUTOS'!AX$3:AX$500)+IF($C10="",0,SUMIF('DADOS BRUTOS'!$A$3:$A$500,$C10,'DADOS BRUTOS'!AX$3:AX$500)))</f>
        <v>159.9</v>
      </c>
      <c r="DY10" s="133" t="n">
        <f aca="false">IF(OR(DY$4="",$B10=""),0,SUMIF('DADOS BRUTOS'!$A$3:$A$500,$B10,'DADOS BRUTOS'!AY$3:AY$500)+IF($C10="",0,SUMIF('DADOS BRUTOS'!$A$3:$A$500,$C10,'DADOS BRUTOS'!AY$3:AY$500)))</f>
        <v>159.9</v>
      </c>
      <c r="DZ10" s="133" t="n">
        <f aca="false">IF(OR(DZ$4="",$B10=""),0,SUMIF('DADOS BRUTOS'!$A$3:$A$500,$B10,'DADOS BRUTOS'!AZ$3:AZ$500)+IF($C10="",0,SUMIF('DADOS BRUTOS'!$A$3:$A$500,$C10,'DADOS BRUTOS'!AZ$3:AZ$500)))</f>
        <v>159.9</v>
      </c>
      <c r="EA10" s="133" t="n">
        <f aca="false">IF(OR(EA$4="",$B10=""),0,SUMIF('DADOS BRUTOS'!$A$3:$A$500,$B10,'DADOS BRUTOS'!BA$3:BA$500)+IF($C10="",0,SUMIF('DADOS BRUTOS'!$A$3:$A$500,$C10,'DADOS BRUTOS'!BA$3:BA$500)))</f>
        <v>159.9</v>
      </c>
      <c r="EB10" s="133" t="n">
        <f aca="false">IF(OR(EB$4="",$B10=""),0,SUMIF('DADOS BRUTOS'!$A$3:$A$500,$B10,'DADOS BRUTOS'!BB$3:BB$500)+IF($C10="",0,SUMIF('DADOS BRUTOS'!$A$3:$A$500,$C10,'DADOS BRUTOS'!BB$3:BB$500)))</f>
        <v>159.9</v>
      </c>
      <c r="EC10" s="133" t="n">
        <f aca="false">IF(OR(EC$4="",$B10=""),0,SUMIF('DADOS BRUTOS'!$A$3:$A$500,$B10,'DADOS BRUTOS'!BC$3:BC$500)+IF($C10="",0,SUMIF('DADOS BRUTOS'!$A$3:$A$500,$C10,'DADOS BRUTOS'!BC$3:BC$500)))</f>
        <v>159.9</v>
      </c>
      <c r="ED10" s="133" t="n">
        <f aca="false">IF(OR(ED$4="",$B10=""),0,SUMIF('DADOS BRUTOS'!$A$3:$A$500,$B10,'DADOS BRUTOS'!BD$3:BD$500)+IF($C10="",0,SUMIF('DADOS BRUTOS'!$A$3:$A$500,$C10,'DADOS BRUTOS'!BD$3:BD$500)))</f>
        <v>159.9</v>
      </c>
      <c r="EE10" s="133" t="n">
        <f aca="false">IF(OR(EE$4="",$B10=""),0,SUMIF('DADOS BRUTOS'!$A$3:$A$500,$B10,'DADOS BRUTOS'!BE$3:BE$500)+IF($C10="",0,SUMIF('DADOS BRUTOS'!$A$3:$A$500,$C10,'DADOS BRUTOS'!BE$3:BE$500)))</f>
        <v>159.9</v>
      </c>
      <c r="EF10" s="133" t="n">
        <f aca="false">IF(OR(EF$4="",$B10=""),0,SUMIF('DADOS BRUTOS'!$A$3:$A$500,$B10,'DADOS BRUTOS'!BF$3:BF$500)+IF($C10="",0,SUMIF('DADOS BRUTOS'!$A$3:$A$500,$C10,'DADOS BRUTOS'!BF$3:BF$500)))</f>
        <v>159.9</v>
      </c>
      <c r="EG10" s="133" t="n">
        <f aca="false">IF(OR(EG$4="",$B10=""),0,SUMIF('DADOS BRUTOS'!$A$3:$A$500,$B10,'DADOS BRUTOS'!BG$3:BG$500)+IF($C10="",0,SUMIF('DADOS BRUTOS'!$A$3:$A$500,$C10,'DADOS BRUTOS'!BG$3:BG$500)))</f>
        <v>159.9</v>
      </c>
      <c r="EH10" s="133" t="n">
        <f aca="false">IF(OR(EH$4="",$B10=""),0,SUMIF('DADOS BRUTOS'!$A$3:$A$500,$B10,'DADOS BRUTOS'!BH$3:BH$500)+IF($C10="",0,SUMIF('DADOS BRUTOS'!$A$3:$A$500,$C10,'DADOS BRUTOS'!BH$3:BH$500)))</f>
        <v>159.9</v>
      </c>
      <c r="EI10" s="133" t="n">
        <f aca="false">IF(OR(EI$4="",$B10=""),0,SUMIF('DADOS BRUTOS'!$A$3:$A$500,$B10,'DADOS BRUTOS'!BI$3:BI$500)+IF($C10="",0,SUMIF('DADOS BRUTOS'!$A$3:$A$500,$C10,'DADOS BRUTOS'!BI$3:BI$500)))</f>
        <v>159.9</v>
      </c>
      <c r="EJ10" s="133" t="n">
        <f aca="false">IF(OR(EJ$4="",$B10=""),0,SUMIF('DADOS BRUTOS'!$A$3:$A$500,$B10,'DADOS BRUTOS'!BJ$3:BJ$500)+IF($C10="",0,SUMIF('DADOS BRUTOS'!$A$3:$A$500,$C10,'DADOS BRUTOS'!BJ$3:BJ$500)))</f>
        <v>159.9</v>
      </c>
      <c r="EK10" s="133" t="n">
        <f aca="false">IF(OR(EK$4="",$B10=""),0,SUMIF('DADOS BRUTOS'!$A$3:$A$500,$B10,'DADOS BRUTOS'!BK$3:BK$500)+IF($C10="",0,SUMIF('DADOS BRUTOS'!$A$3:$A$500,$C10,'DADOS BRUTOS'!BK$3:BK$500)))</f>
        <v>159.9</v>
      </c>
      <c r="EL10" s="133" t="n">
        <f aca="false">IF(OR(EL$4="",$B10=""),0,SUMIF('DADOS BRUTOS'!$A$3:$A$500,$B10,'DADOS BRUTOS'!BL$3:BL$500)+IF($C10="",0,SUMIF('DADOS BRUTOS'!$A$3:$A$500,$C10,'DADOS BRUTOS'!BL$3:BL$500)))</f>
        <v>159.9</v>
      </c>
      <c r="EM10" s="133" t="n">
        <f aca="false">IF(OR(EM$4="",$B10=""),0,SUMIF('DADOS BRUTOS'!$A$3:$A$500,$B10,'DADOS BRUTOS'!BM$3:BM$500)+IF($C10="",0,SUMIF('DADOS BRUTOS'!$A$3:$A$500,$C10,'DADOS BRUTOS'!BM$3:BM$500)))</f>
        <v>159.9</v>
      </c>
      <c r="EN10" s="133" t="n">
        <f aca="false">IF(OR(EN$4="",$B10=""),0,SUMIF('DADOS BRUTOS'!$A$3:$A$500,$B10,'DADOS BRUTOS'!BN$3:BN$500)+IF($C10="",0,SUMIF('DADOS BRUTOS'!$A$3:$A$500,$C10,'DADOS BRUTOS'!BN$3:BN$500)))</f>
        <v>159.9</v>
      </c>
      <c r="EO10" s="133" t="n">
        <f aca="false">IF(OR(EO$4="",$B10=""),0,SUMIF('DADOS BRUTOS'!$A$3:$A$500,$B10,'DADOS BRUTOS'!BO$3:BO$500)+IF($C10="",0,SUMIF('DADOS BRUTOS'!$A$3:$A$500,$C10,'DADOS BRUTOS'!BO$3:BO$500)))</f>
        <v>159.9</v>
      </c>
      <c r="EP10" s="133" t="n">
        <f aca="false">IF(OR(EP$4="",$B10=""),0,SUMIF('DADOS BRUTOS'!$A$3:$A$500,$B10,'DADOS BRUTOS'!BP$3:BP$500)+IF($C10="",0,SUMIF('DADOS BRUTOS'!$A$3:$A$500,$C10,'DADOS BRUTOS'!BP$3:BP$500)))</f>
        <v>159.9</v>
      </c>
      <c r="EQ10" s="133" t="n">
        <f aca="false">IF(OR(EQ$4="",$B10=""),0,SUMIF('DADOS BRUTOS'!$A$3:$A$500,$B10,'DADOS BRUTOS'!BQ$3:BQ$500)+IF($C10="",0,SUMIF('DADOS BRUTOS'!$A$3:$A$500,$C10,'DADOS BRUTOS'!BQ$3:BQ$500)))</f>
        <v>0</v>
      </c>
      <c r="ER10" s="133" t="n">
        <f aca="false">IF(OR(ER$4="",$B10=""),0,SUMIF('DADOS BRUTOS'!$A$3:$A$500,$B10,'DADOS BRUTOS'!BR$3:BR$500)+IF($C10="",0,SUMIF('DADOS BRUTOS'!$A$3:$A$500,$C10,'DADOS BRUTOS'!BR$3:BR$500)))</f>
        <v>0</v>
      </c>
      <c r="ES10" s="133" t="n">
        <f aca="false">IF(OR(ES$4="",$B10=""),0,SUMIF('DADOS BRUTOS'!$A$3:$A$500,$B10,'DADOS BRUTOS'!BS$3:BS$500)+IF($C10="",0,SUMIF('DADOS BRUTOS'!$A$3:$A$500,$C10,'DADOS BRUTOS'!BS$3:BS$500)))</f>
        <v>0</v>
      </c>
      <c r="ET10" s="133" t="n">
        <f aca="false">IF(OR(ET$4="",$B10=""),0,SUMIF('DADOS BRUTOS'!$A$3:$A$500,$B10,'DADOS BRUTOS'!BT$3:BT$500)+IF($C10="",0,SUMIF('DADOS BRUTOS'!$A$3:$A$500,$C10,'DADOS BRUTOS'!BT$3:BT$500)))</f>
        <v>0</v>
      </c>
      <c r="EU10" s="133" t="n">
        <f aca="false">IF(OR(EU$4="",$B10=""),0,SUMIF('DADOS BRUTOS'!$A$3:$A$500,$B10,'DADOS BRUTOS'!BU$3:BU$500)+IF($C10="",0,SUMIF('DADOS BRUTOS'!$A$3:$A$500,$C10,'DADOS BRUTOS'!BU$3:BU$500)))</f>
        <v>0</v>
      </c>
      <c r="EV10" s="133" t="n">
        <f aca="false">IF(OR(EV$4="",$B10=""),0,SUMIF('DADOS BRUTOS'!$A$3:$A$500,$B10,'DADOS BRUTOS'!BV$3:BV$500)+IF($C10="",0,SUMIF('DADOS BRUTOS'!$A$3:$A$500,$C10,'DADOS BRUTOS'!BV$3:BV$500)))</f>
        <v>0</v>
      </c>
      <c r="EW10" s="133" t="n">
        <f aca="false">IF(OR(EW$4="",$B10=""),0,SUMIF('DADOS BRUTOS'!$A$3:$A$500,$B10,'DADOS BRUTOS'!BW$3:BW$500)+IF($C10="",0,SUMIF('DADOS BRUTOS'!$A$3:$A$500,$C10,'DADOS BRUTOS'!BW$3:BW$500)))</f>
        <v>0</v>
      </c>
      <c r="EX10" s="133" t="n">
        <f aca="false">IF(OR(EX$4="",$B10=""),0,SUMIF('DADOS BRUTOS'!$A$3:$A$500,$B10,'DADOS BRUTOS'!BX$3:BX$500)+IF($C10="",0,SUMIF('DADOS BRUTOS'!$A$3:$A$500,$C10,'DADOS BRUTOS'!BX$3:BX$500)))</f>
        <v>0</v>
      </c>
      <c r="EY10" s="133" t="n">
        <f aca="false">IF(OR(EY$4="",$B10=""),0,SUMIF('DADOS BRUTOS'!$A$3:$A$500,$B10,'DADOS BRUTOS'!BY$3:BY$500)+IF($C10="",0,SUMIF('DADOS BRUTOS'!$A$3:$A$500,$C10,'DADOS BRUTOS'!BY$3:BY$500)))</f>
        <v>0</v>
      </c>
      <c r="EZ10" s="133" t="n">
        <f aca="false">IF(OR(EZ$4="",$B10=""),0,SUMIF('DADOS BRUTOS'!$A$3:$A$500,$B10,'DADOS BRUTOS'!BZ$3:BZ$500)+IF($C10="",0,SUMIF('DADOS BRUTOS'!$A$3:$A$500,$C10,'DADOS BRUTOS'!BZ$3:BZ$500)))</f>
        <v>0</v>
      </c>
      <c r="FA10" s="133" t="n">
        <f aca="false">IF(OR(FA$4="",$B10=""),0,SUMIF('DADOS BRUTOS'!$A$3:$A$500,$B10,'DADOS BRUTOS'!CA$3:CA$500)+IF($C10="",0,SUMIF('DADOS BRUTOS'!$A$3:$A$500,$C10,'DADOS BRUTOS'!CA$3:CA$500)))</f>
        <v>0</v>
      </c>
      <c r="FB10" s="133" t="n">
        <f aca="false">IF(OR(FB$4="",$B10=""),0,SUMIF('DADOS BRUTOS'!$A$3:$A$500,$B10,'DADOS BRUTOS'!CB$3:CB$500)+IF($C10="",0,SUMIF('DADOS BRUTOS'!$A$3:$A$500,$C10,'DADOS BRUTOS'!CB$3:CB$500)))</f>
        <v>0</v>
      </c>
      <c r="FC10" s="133" t="n">
        <f aca="false">IF(OR(FC$4="",$B10=""),0,SUMIF('DADOS BRUTOS'!$A$3:$A$500,$B10,'DADOS BRUTOS'!CC$3:CC$500)+IF($C10="",0,SUMIF('DADOS BRUTOS'!$A$3:$A$500,$C10,'DADOS BRUTOS'!CC$3:CC$500)))</f>
        <v>0</v>
      </c>
      <c r="FD10" s="133" t="n">
        <f aca="false">IF(OR(FD$4="",$B10=""),0,SUMIF('DADOS BRUTOS'!$A$3:$A$500,$B10,'DADOS BRUTOS'!CD$3:CD$500)+IF($C10="",0,SUMIF('DADOS BRUTOS'!$A$3:$A$500,$C10,'DADOS BRUTOS'!CD$3:CD$500)))</f>
        <v>0</v>
      </c>
      <c r="FE10" s="133" t="n">
        <f aca="false">IF(OR(FE$4="",$B10=""),0,SUMIF('DADOS BRUTOS'!$A$3:$A$500,$B10,'DADOS BRUTOS'!CE$3:CE$500)+IF($C10="",0,SUMIF('DADOS BRUTOS'!$A$3:$A$500,$C10,'DADOS BRUTOS'!CE$3:CE$500)))</f>
        <v>0</v>
      </c>
      <c r="FF10" s="133" t="n">
        <f aca="false">IF(OR(FF$4="",$B10=""),0,SUMIF('DADOS BRUTOS'!$A$3:$A$500,$B10,'DADOS BRUTOS'!CF$3:CF$500)+IF($C10="",0,SUMIF('DADOS BRUTOS'!$A$3:$A$500,$C10,'DADOS BRUTOS'!CF$3:CF$500)))</f>
        <v>0</v>
      </c>
      <c r="FG10" s="133" t="n">
        <f aca="false">IF(OR(FG$4="",$B10=""),0,SUMIF('DADOS BRUTOS'!$A$3:$A$500,$B10,'DADOS BRUTOS'!CG$3:CG$500)+IF($C10="",0,SUMIF('DADOS BRUTOS'!$A$3:$A$500,$C10,'DADOS BRUTOS'!CG$3:CG$500)))</f>
        <v>0</v>
      </c>
      <c r="FH10" s="133" t="n">
        <f aca="false">IF(OR(FH$4="",$B10=""),0,SUMIF('DADOS BRUTOS'!$A$3:$A$500,$B10,'DADOS BRUTOS'!CH$3:CH$500)+IF($C10="",0,SUMIF('DADOS BRUTOS'!$A$3:$A$500,$C10,'DADOS BRUTOS'!CH$3:CH$500)))</f>
        <v>0</v>
      </c>
      <c r="FI10" s="133" t="n">
        <f aca="false">IF(OR(FI$4="",$B10=""),0,SUMIF('DADOS BRUTOS'!$A$3:$A$500,$B10,'DADOS BRUTOS'!CI$3:CI$500)+IF($C10="",0,SUMIF('DADOS BRUTOS'!$A$3:$A$500,$C10,'DADOS BRUTOS'!CI$3:CI$500)))</f>
        <v>0</v>
      </c>
      <c r="FJ10" s="133" t="n">
        <f aca="false">IF(OR(FJ$4="",$B10=""),0,SUMIF('DADOS BRUTOS'!$A$3:$A$500,$B10,'DADOS BRUTOS'!CJ$3:CJ$500)+IF($C10="",0,SUMIF('DADOS BRUTOS'!$A$3:$A$500,$C10,'DADOS BRUTOS'!CJ$3:CJ$500)))</f>
        <v>0</v>
      </c>
      <c r="FK10" s="133" t="n">
        <f aca="false">IF(OR(FK$4="",$B10=""),0,SUMIF('DADOS BRUTOS'!$A$3:$A$500,$B10,'DADOS BRUTOS'!CK$3:CK$500)+IF($C10="",0,SUMIF('DADOS BRUTOS'!$A$3:$A$500,$C10,'DADOS BRUTOS'!CK$3:CK$500)))</f>
        <v>0</v>
      </c>
      <c r="FL10" s="133" t="n">
        <f aca="false">IF(OR(FL$4="",$B10=""),0,SUMIF('DADOS BRUTOS'!$A$3:$A$500,$B10,'DADOS BRUTOS'!CL$3:CL$500)+IF($C10="",0,SUMIF('DADOS BRUTOS'!$A$3:$A$500,$C10,'DADOS BRUTOS'!CL$3:CL$500)))</f>
        <v>0</v>
      </c>
      <c r="FM10" s="133" t="n">
        <f aca="false">IF(OR(FM$4="",$B10=""),0,SUMIF('DADOS BRUTOS'!$A$3:$A$500,$B10,'DADOS BRUTOS'!CM$3:CM$500)+IF($C10="",0,SUMIF('DADOS BRUTOS'!$A$3:$A$500,$C10,'DADOS BRUTOS'!CM$3:CM$500)))</f>
        <v>0</v>
      </c>
      <c r="FN10" s="133" t="n">
        <f aca="false">IF(OR(FN$4="",$B10=""),0,SUMIF('DADOS BRUTOS'!$A$3:$A$500,$B10,'DADOS BRUTOS'!CN$3:CN$500)+IF($C10="",0,SUMIF('DADOS BRUTOS'!$A$3:$A$500,$C10,'DADOS BRUTOS'!CN$3:CN$500)))</f>
        <v>0</v>
      </c>
      <c r="FO10" s="133" t="n">
        <f aca="false">IF(OR(FO$4="",$B10=""),0,SUMIF('DADOS BRUTOS'!$A$3:$A$500,$B10,'DADOS BRUTOS'!CO$3:CO$500)+IF($C10="",0,SUMIF('DADOS BRUTOS'!$A$3:$A$500,$C10,'DADOS BRUTOS'!CO$3:CO$500)))</f>
        <v>0</v>
      </c>
      <c r="FP10" s="133" t="n">
        <f aca="false">IF(OR(FP$4="",$B10=""),0,SUMIF('DADOS BRUTOS'!$A$3:$A$500,$B10,'DADOS BRUTOS'!CP$3:CP$500)+IF($C10="",0,SUMIF('DADOS BRUTOS'!$A$3:$A$500,$C10,'DADOS BRUTOS'!CP$3:CP$500)))</f>
        <v>0</v>
      </c>
      <c r="FQ10" s="133" t="n">
        <f aca="false">IF(OR(FQ$4="",$B10=""),0,SUMIF('DADOS BRUTOS'!$A$3:$A$500,$B10,'DADOS BRUTOS'!CQ$3:CQ$500)+IF($C10="",0,SUMIF('DADOS BRUTOS'!$A$3:$A$500,$C10,'DADOS BRUTOS'!CQ$3:CQ$500)))</f>
        <v>0</v>
      </c>
      <c r="FR10" s="133" t="n">
        <f aca="false">IF(OR(FR$4="",$B10=""),0,SUMIF('DADOS BRUTOS'!$A$3:$A$500,$B10,'DADOS BRUTOS'!CR$3:CR$500)+IF($C10="",0,SUMIF('DADOS BRUTOS'!$A$3:$A$500,$C10,'DADOS BRUTOS'!CR$3:CR$500)))</f>
        <v>0</v>
      </c>
      <c r="FS10" s="133" t="n">
        <f aca="false">IF(OR(FS$4="",$B10=""),0,SUMIF('DADOS BRUTOS'!$A$3:$A$500,$B10,'DADOS BRUTOS'!CS$3:CS$500)+IF($C10="",0,SUMIF('DADOS BRUTOS'!$A$3:$A$500,$C10,'DADOS BRUTOS'!CS$3:CS$500)))</f>
        <v>0</v>
      </c>
      <c r="FT10" s="133" t="n">
        <f aca="false">IF(OR(FT$4="",$B10=""),0,SUMIF('DADOS BRUTOS'!$A$3:$A$500,$B10,'DADOS BRUTOS'!CT$3:CT$500)+IF($C10="",0,SUMIF('DADOS BRUTOS'!$A$3:$A$500,$C10,'DADOS BRUTOS'!CT$3:CT$500)))</f>
        <v>0</v>
      </c>
      <c r="FU10" s="133" t="n">
        <f aca="false">IF(OR(FU$4="",$B10=""),0,SUMIF('DADOS BRUTOS'!$A$3:$A$500,$B10,'DADOS BRUTOS'!CU$3:CU$500)+IF($C10="",0,SUMIF('DADOS BRUTOS'!$A$3:$A$500,$C10,'DADOS BRUTOS'!CU$3:CU$500)))</f>
        <v>0</v>
      </c>
      <c r="FV10" s="133" t="n">
        <f aca="false">IF(OR(FV$4="",$B10=""),0,SUMIF('DADOS BRUTOS'!$A$3:$A$500,$B10,'DADOS BRUTOS'!CV$3:CV$500)+IF($C10="",0,SUMIF('DADOS BRUTOS'!$A$3:$A$500,$C10,'DADOS BRUTOS'!CV$3:CV$500)))</f>
        <v>0</v>
      </c>
      <c r="FW10" s="133" t="n">
        <f aca="false">IF(OR(FW$4="",$B10=""),0,SUMIF('DADOS BRUTOS'!$A$3:$A$500,$B10,'DADOS BRUTOS'!CW$3:CW$500)+IF($C10="",0,SUMIF('DADOS BRUTOS'!$A$3:$A$500,$C10,'DADOS BRUTOS'!CW$3:CW$500)))</f>
        <v>0</v>
      </c>
      <c r="FX10" s="133" t="n">
        <f aca="false">IF(OR(FX$4="",$B10=""),0,SUMIF('DADOS BRUTOS'!$A$3:$A$500,$B10,'DADOS BRUTOS'!CX$3:CX$500)+IF($C10="",0,SUMIF('DADOS BRUTOS'!$A$3:$A$500,$C10,'DADOS BRUTOS'!CX$3:CX$500)))</f>
        <v>0</v>
      </c>
      <c r="FY10" s="133" t="n">
        <f aca="false">IF(OR(FY$4="",$B10=""),0,SUMIF('DADOS BRUTOS'!$A$3:$A$500,$B10,'DADOS BRUTOS'!CY$3:CY$500)+IF($C10="",0,SUMIF('DADOS BRUTOS'!$A$3:$A$500,$C10,'DADOS BRUTOS'!CY$3:CY$500)))</f>
        <v>0</v>
      </c>
      <c r="FZ10" s="133" t="n">
        <f aca="false">IF(OR(FZ$4="",$B10=""),0,SUMIF('DADOS BRUTOS'!$A$3:$A$500,$B10,'DADOS BRUTOS'!CZ$3:CZ$500)+IF($C10="",0,SUMIF('DADOS BRUTOS'!$A$3:$A$500,$C10,'DADOS BRUTOS'!CZ$3:CZ$500)))</f>
        <v>0</v>
      </c>
      <c r="GA10" s="133" t="n">
        <f aca="false">IF(OR(GA$4="",$B10=""),0,SUMIF('DADOS BRUTOS'!$A$3:$A$500,$B10,'DADOS BRUTOS'!DA$3:DA$500)+IF($C10="",0,SUMIF('DADOS BRUTOS'!$A$3:$A$500,$C10,'DADOS BRUTOS'!DA$3:DA$500)))</f>
        <v>0</v>
      </c>
      <c r="GB10" s="133" t="n">
        <f aca="false">IF(OR(GB$4="",$B10=""),0,SUMIF('DADOS BRUTOS'!$A$3:$A$500,$B10,'DADOS BRUTOS'!DB$3:DB$500)+IF($C10="",0,SUMIF('DADOS BRUTOS'!$A$3:$A$500,$C10,'DADOS BRUTOS'!DB$3:DB$500)))</f>
        <v>0</v>
      </c>
      <c r="GC10" s="133" t="n">
        <f aca="false">IF(OR(GC$4="",$B10=""),0,SUMIF('DADOS BRUTOS'!$A$3:$A$500,$B10,'DADOS BRUTOS'!DC$3:DC$500)+IF($C10="",0,SUMIF('DADOS BRUTOS'!$A$3:$A$500,$C10,'DADOS BRUTOS'!DC$3:DC$500)))</f>
        <v>0</v>
      </c>
      <c r="GD10" s="133" t="n">
        <f aca="false">IF(OR(GD$4="",$B10=""),0,SUMIF('DADOS BRUTOS'!$A$3:$A$500,$B10,'DADOS BRUTOS'!DD$3:DD$500)+IF($C10="",0,SUMIF('DADOS BRUTOS'!$A$3:$A$500,$C10,'DADOS BRUTOS'!DD$3:DD$500)))</f>
        <v>0</v>
      </c>
      <c r="GE10" s="133" t="n">
        <f aca="false">IF(OR(GE$4="",$B10=""),0,SUMIF('DADOS BRUTOS'!$A$3:$A$500,$B10,'DADOS BRUTOS'!DE$3:DE$500)+IF($C10="",0,SUMIF('DADOS BRUTOS'!$A$3:$A$500,$C10,'DADOS BRUTOS'!DE$3:DE$500)))</f>
        <v>0</v>
      </c>
      <c r="GF10" s="133" t="n">
        <f aca="false">IF(OR(GF$4="",$B10=""),0,SUMIF('DADOS BRUTOS'!$A$3:$A$500,$B10,'DADOS BRUTOS'!DF$3:DF$500)+IF($C10="",0,SUMIF('DADOS BRUTOS'!$A$3:$A$500,$C10,'DADOS BRUTOS'!DF$3:DF$500)))</f>
        <v>0</v>
      </c>
      <c r="GG10" s="133" t="n">
        <f aca="false">IF(OR(GG$4="",$B10=""),0,SUMIF('DADOS BRUTOS'!$A$3:$A$500,$B10,'DADOS BRUTOS'!DG$3:DG$500)+IF($C10="",0,SUMIF('DADOS BRUTOS'!$A$3:$A$500,$C10,'DADOS BRUTOS'!DG$3:DG$500)))</f>
        <v>0</v>
      </c>
      <c r="GH10" s="133" t="n">
        <f aca="false">IF(OR(GH$4="",$B10=""),0,SUMIF('DADOS BRUTOS'!$A$3:$A$500,$B10,'DADOS BRUTOS'!DH$3:DH$500)+IF($C10="",0,SUMIF('DADOS BRUTOS'!$A$3:$A$500,$C10,'DADOS BRUTOS'!DH$3:DH$500)))</f>
        <v>0</v>
      </c>
      <c r="GI10" s="133" t="n">
        <f aca="false">IF(OR(GI$4="",$B10=""),0,SUMIF('DADOS BRUTOS'!$A$3:$A$500,$B10,'DADOS BRUTOS'!DI$3:DI$500)+IF($C10="",0,SUMIF('DADOS BRUTOS'!$A$3:$A$500,$C10,'DADOS BRUTOS'!DI$3:DI$500)))</f>
        <v>0</v>
      </c>
      <c r="GJ10" s="133" t="n">
        <f aca="false">IF(OR(GJ$4="",$B10=""),0,SUMIF('DADOS BRUTOS'!$A$3:$A$500,$B10,'DADOS BRUTOS'!DJ$3:DJ$500)+IF($C10="",0,SUMIF('DADOS BRUTOS'!$A$3:$A$500,$C10,'DADOS BRUTOS'!DJ$3:DJ$500)))</f>
        <v>0</v>
      </c>
      <c r="GK10" s="133" t="n">
        <f aca="false">IF(OR(GK$4="",$B10=""),0,SUMIF('DADOS BRUTOS'!$A$3:$A$500,$B10,'DADOS BRUTOS'!DK$3:DK$500)+IF($C10="",0,SUMIF('DADOS BRUTOS'!$A$3:$A$500,$C10,'DADOS BRUTOS'!DK$3:DK$500)))</f>
        <v>0</v>
      </c>
      <c r="GL10" s="133" t="n">
        <f aca="false">IF(OR(GL$4="",$B10=""),0,SUMIF('DADOS BRUTOS'!$A$3:$A$500,$B10,'DADOS BRUTOS'!DL$3:DL$500)+IF($C10="",0,SUMIF('DADOS BRUTOS'!$A$3:$A$500,$C10,'DADOS BRUTOS'!DL$3:DL$500)))</f>
        <v>0</v>
      </c>
      <c r="GM10" s="133" t="n">
        <f aca="false">IF(OR(GM$4="",$B10=""),0,SUMIF('DADOS BRUTOS'!$A$3:$A$500,$B10,'DADOS BRUTOS'!DM$3:DM$500)+IF($C10="",0,SUMIF('DADOS BRUTOS'!$A$3:$A$500,$C10,'DADOS BRUTOS'!DM$3:DM$500)))</f>
        <v>0</v>
      </c>
      <c r="GN10" s="133" t="n">
        <f aca="false">IF(OR(GN$4="",$B10=""),0,SUMIF('DADOS BRUTOS'!$A$3:$A$500,$B10,'DADOS BRUTOS'!DN$3:DN$500)+IF($C10="",0,SUMIF('DADOS BRUTOS'!$A$3:$A$500,$C10,'DADOS BRUTOS'!DN$3:DN$500)))</f>
        <v>0</v>
      </c>
      <c r="GO10" s="133" t="n">
        <f aca="false">IF(OR(GO$4="",$B10=""),0,SUMIF('DADOS BRUTOS'!$A$3:$A$500,$B10,'DADOS BRUTOS'!DO$3:DO$500)+IF($C10="",0,SUMIF('DADOS BRUTOS'!$A$3:$A$500,$C10,'DADOS BRUTOS'!DO$3:DO$500)))</f>
        <v>0</v>
      </c>
      <c r="GP10" s="133" t="n">
        <f aca="false">IF(OR(GP$4="",$B10=""),0,SUMIF('DADOS BRUTOS'!$A$3:$A$500,$B10,'DADOS BRUTOS'!DP$3:DP$500)+IF($C10="",0,SUMIF('DADOS BRUTOS'!$A$3:$A$500,$C10,'DADOS BRUTOS'!DP$3:DP$500)))</f>
        <v>0</v>
      </c>
      <c r="GQ10" s="133" t="n">
        <f aca="false">IF(OR(GQ$4="",$B10=""),0,SUMIF('DADOS BRUTOS'!$A$3:$A$500,$B10,'DADOS BRUTOS'!DQ$3:DQ$500)+IF($C10="",0,SUMIF('DADOS BRUTOS'!$A$3:$A$500,$C10,'DADOS BRUTOS'!DQ$3:DQ$500)))</f>
        <v>0</v>
      </c>
      <c r="GR10" s="133" t="n">
        <f aca="false">IF(OR(GR$4="",$B10=""),0,SUMIF('DADOS BRUTOS'!$A$3:$A$500,$B10,'DADOS BRUTOS'!DR$3:DR$500)+IF($C10="",0,SUMIF('DADOS BRUTOS'!$A$3:$A$500,$C10,'DADOS BRUTOS'!DR$3:DR$500)))</f>
        <v>0</v>
      </c>
      <c r="GS10" s="133" t="n">
        <f aca="false">IF(OR(GS$4="",$B10=""),0,SUMIF('DADOS BRUTOS'!$A$3:$A$500,$B10,'DADOS BRUTOS'!DS$3:DS$500)+IF($C10="",0,SUMIF('DADOS BRUTOS'!$A$3:$A$500,$C10,'DADOS BRUTOS'!DS$3:DS$500)))</f>
        <v>0</v>
      </c>
      <c r="GT10" s="133" t="n">
        <f aca="false">IF(OR(GT$4="",$B10=""),0,SUMIF('DADOS BRUTOS'!$A$3:$A$500,$B10,'DADOS BRUTOS'!DT$3:DT$500)+IF($C10="",0,SUMIF('DADOS BRUTOS'!$A$3:$A$500,$C10,'DADOS BRUTOS'!DT$3:DT$500)))</f>
        <v>0</v>
      </c>
      <c r="GU10" s="133" t="n">
        <f aca="false">IF(OR(GU$4="",$B10=""),0,SUMIF('DADOS BRUTOS'!$A$3:$A$500,$B10,'DADOS BRUTOS'!DU$3:DU$500)+IF($C10="",0,SUMIF('DADOS BRUTOS'!$A$3:$A$500,$C10,'DADOS BRUTOS'!DU$3:DU$500)))</f>
        <v>0</v>
      </c>
      <c r="GV10" s="133" t="n">
        <f aca="false">IF(OR(GV$4="",$B10=""),0,SUMIF('DADOS BRUTOS'!$A$3:$A$500,$B10,'DADOS BRUTOS'!DV$3:DV$500)+IF($C10="",0,SUMIF('DADOS BRUTOS'!$A$3:$A$500,$C10,'DADOS BRUTOS'!DV$3:DV$500)))</f>
        <v>0</v>
      </c>
      <c r="GW10" s="133" t="n">
        <f aca="false">IF(OR(GW$4="",$B10=""),0,SUMIF('DADOS BRUTOS'!$A$3:$A$500,$B10,'DADOS BRUTOS'!DW$3:DW$500)+IF($C10="",0,SUMIF('DADOS BRUTOS'!$A$3:$A$500,$C10,'DADOS BRUTOS'!DW$3:DW$500)))</f>
        <v>0</v>
      </c>
      <c r="GX10" s="133" t="n">
        <f aca="false">IF(OR(GX$4="",$B10=""),0,SUMIF('DADOS BRUTOS'!$A$3:$A$500,$B10,'DADOS BRUTOS'!DX$3:DX$500)+IF($C10="",0,SUMIF('DADOS BRUTOS'!$A$3:$A$500,$C10,'DADOS BRUTOS'!DX$3:DX$500)))</f>
        <v>0</v>
      </c>
      <c r="GY10" s="133" t="n">
        <f aca="false">IF(OR(GY$4="",$B10=""),0,SUMIF('DADOS BRUTOS'!$A$3:$A$500,$B10,'DADOS BRUTOS'!DY$3:DY$500)+IF($C10="",0,SUMIF('DADOS BRUTOS'!$A$3:$A$500,$C10,'DADOS BRUTOS'!DY$3:DY$500)))</f>
        <v>0</v>
      </c>
      <c r="GZ10" s="133" t="n">
        <f aca="false">IF(OR(GZ$4="",$B10=""),0,SUMIF('DADOS BRUTOS'!$A$3:$A$500,$B10,'DADOS BRUTOS'!DZ$3:DZ$500)+IF($C10="",0,SUMIF('DADOS BRUTOS'!$A$3:$A$500,$C10,'DADOS BRUTOS'!DZ$3:DZ$500)))</f>
        <v>0</v>
      </c>
      <c r="HA10" s="133" t="n">
        <f aca="false">IF(OR(HA$4="",$B10=""),0,SUMIF('DADOS BRUTOS'!$A$3:$A$500,$B10,'DADOS BRUTOS'!EA$3:EA$500)+IF($C10="",0,SUMIF('DADOS BRUTOS'!$A$3:$A$500,$C10,'DADOS BRUTOS'!EA$3:EA$500)))</f>
        <v>0</v>
      </c>
      <c r="HB10" s="133" t="n">
        <f aca="false">IF(OR(HB$4="",$B10=""),0,SUMIF('DADOS BRUTOS'!$A$3:$A$500,$B10,'DADOS BRUTOS'!EB$3:EB$500)+IF($C10="",0,SUMIF('DADOS BRUTOS'!$A$3:$A$500,$C10,'DADOS BRUTOS'!EB$3:EB$500)))</f>
        <v>0</v>
      </c>
      <c r="HC10" s="133" t="n">
        <f aca="false">IF(OR(HC$4="",$B10=""),0,SUMIF('DADOS BRUTOS'!$A$3:$A$500,$B10,'DADOS BRUTOS'!EC$3:EC$500)+IF($C10="",0,SUMIF('DADOS BRUTOS'!$A$3:$A$500,$C10,'DADOS BRUTOS'!EC$3:EC$500)))</f>
        <v>0</v>
      </c>
      <c r="HD10" s="133" t="n">
        <f aca="false">IF(OR(HD$4="",$B10=""),0,SUMIF('DADOS BRUTOS'!$A$3:$A$500,$B10,'DADOS BRUTOS'!ED$3:ED$500)+IF($C10="",0,SUMIF('DADOS BRUTOS'!$A$3:$A$500,$C10,'DADOS BRUTOS'!ED$3:ED$500)))</f>
        <v>0</v>
      </c>
      <c r="HE10" s="133" t="n">
        <f aca="false">IF(OR(HE$4="",$B10=""),0,SUMIF('DADOS BRUTOS'!$A$3:$A$500,$B10,'DADOS BRUTOS'!EE$3:EE$500)+IF($C10="",0,SUMIF('DADOS BRUTOS'!$A$3:$A$500,$C10,'DADOS BRUTOS'!EE$3:EE$500)))</f>
        <v>0</v>
      </c>
      <c r="HF10" s="133" t="n">
        <f aca="false">IF(OR(HF$4="",$B10=""),0,SUMIF('DADOS BRUTOS'!$A$3:$A$500,$B10,'DADOS BRUTOS'!EF$3:EF$500)+IF($C10="",0,SUMIF('DADOS BRUTOS'!$A$3:$A$500,$C10,'DADOS BRUTOS'!EF$3:EF$500)))</f>
        <v>0</v>
      </c>
      <c r="HG10" s="133" t="n">
        <f aca="false">IF(OR(HG$4="",$B10=""),0,SUMIF('DADOS BRUTOS'!$A$3:$A$500,$B10,'DADOS BRUTOS'!EG$3:EG$500)+IF($C10="",0,SUMIF('DADOS BRUTOS'!$A$3:$A$500,$C10,'DADOS BRUTOS'!EG$3:EG$500)))</f>
        <v>0</v>
      </c>
      <c r="HH10" s="133" t="n">
        <f aca="false">IF(OR(HH$4="",$B10=""),0,SUMIF('DADOS BRUTOS'!$A$3:$A$500,$B10,'DADOS BRUTOS'!EH$3:EH$500)+IF($C10="",0,SUMIF('DADOS BRUTOS'!$A$3:$A$500,$C10,'DADOS BRUTOS'!EH$3:EH$500)))</f>
        <v>0</v>
      </c>
      <c r="HI10" s="133" t="n">
        <f aca="false">IF(OR(HI$4="",$B10=""),0,SUMIF('DADOS BRUTOS'!$A$3:$A$500,$B10,'DADOS BRUTOS'!EI$3:EI$500)+IF($C10="",0,SUMIF('DADOS BRUTOS'!$A$3:$A$500,$C10,'DADOS BRUTOS'!EI$3:EI$500)))</f>
        <v>0</v>
      </c>
      <c r="HJ10" s="133" t="n">
        <f aca="false">IF(OR(HJ$4="",$B10=""),0,SUMIF('DADOS BRUTOS'!$A$3:$A$500,$B10,'DADOS BRUTOS'!EJ$3:EJ$500)+IF($C10="",0,SUMIF('DADOS BRUTOS'!$A$3:$A$500,$C10,'DADOS BRUTOS'!EJ$3:EJ$500)))</f>
        <v>0</v>
      </c>
      <c r="HK10" s="133" t="n">
        <f aca="false">IF(OR(HK$4="",$B10=""),0,SUMIF('DADOS BRUTOS'!$A$3:$A$500,$B10,'DADOS BRUTOS'!EK$3:EK$500)+IF($C10="",0,SUMIF('DADOS BRUTOS'!$A$3:$A$500,$C10,'DADOS BRUTOS'!EK$3:EK$500)))</f>
        <v>0</v>
      </c>
      <c r="HL10" s="133" t="n">
        <f aca="false">IF(OR(HL$4="",$B10=""),0,SUMIF('DADOS BRUTOS'!$A$3:$A$500,$B10,'DADOS BRUTOS'!EL$3:EL$500)+IF($C10="",0,SUMIF('DADOS BRUTOS'!$A$3:$A$500,$C10,'DADOS BRUTOS'!EL$3:EL$500)))</f>
        <v>0</v>
      </c>
      <c r="HM10" s="133" t="n">
        <f aca="false">IF(OR(HM$4="",$B10=""),0,SUMIF('DADOS BRUTOS'!$A$3:$A$500,$B10,'DADOS BRUTOS'!EM$3:EM$500)+IF($C10="",0,SUMIF('DADOS BRUTOS'!$A$3:$A$500,$C10,'DADOS BRUTOS'!EM$3:EM$500)))</f>
        <v>0</v>
      </c>
      <c r="HN10" s="133" t="n">
        <f aca="false">IF(OR(HN$4="",$B10=""),0,SUMIF('DADOS BRUTOS'!$A$3:$A$500,$B10,'DADOS BRUTOS'!EN$3:EN$500)+IF($C10="",0,SUMIF('DADOS BRUTOS'!$A$3:$A$500,$C10,'DADOS BRUTOS'!EN$3:EN$500)))</f>
        <v>0</v>
      </c>
      <c r="HO10" s="133" t="n">
        <f aca="false">IF(OR(HO$4="",$B10=""),0,SUMIF('DADOS BRUTOS'!$A$3:$A$500,$B10,'DADOS BRUTOS'!EO$3:EO$500)+IF($C10="",0,SUMIF('DADOS BRUTOS'!$A$3:$A$500,$C10,'DADOS BRUTOS'!EO$3:EO$500)))</f>
        <v>0</v>
      </c>
      <c r="HP10" s="133" t="n">
        <f aca="false">IF(OR(HP$4="",$B10=""),0,SUMIF('DADOS BRUTOS'!$A$3:$A$500,$B10,'DADOS BRUTOS'!EP$3:EP$500)+IF($C10="",0,SUMIF('DADOS BRUTOS'!$A$3:$A$500,$C10,'DADOS BRUTOS'!EP$3:EP$500)))</f>
        <v>0</v>
      </c>
      <c r="HQ10" s="133" t="n">
        <f aca="false">IF(OR(HQ$4="",$B10=""),0,SUMIF('DADOS BRUTOS'!$A$3:$A$500,$B10,'DADOS BRUTOS'!EQ$3:EQ$500)+IF($C10="",0,SUMIF('DADOS BRUTOS'!$A$3:$A$500,$C10,'DADOS BRUTOS'!EQ$3:EQ$500)))</f>
        <v>0</v>
      </c>
      <c r="HR10" s="133" t="n">
        <f aca="false">IF(OR(HR$4="",$B10=""),0,SUMIF('DADOS BRUTOS'!$A$3:$A$500,$B10,'DADOS BRUTOS'!ER$3:ER$500)+IF($C10="",0,SUMIF('DADOS BRUTOS'!$A$3:$A$500,$C10,'DADOS BRUTOS'!ER$3:ER$500)))</f>
        <v>0</v>
      </c>
      <c r="HS10" s="133" t="n">
        <f aca="false">IF(OR(HS$4="",$B10=""),0,SUMIF('DADOS BRUTOS'!$A$3:$A$500,$B10,'DADOS BRUTOS'!ES$3:ES$500)+IF($C10="",0,SUMIF('DADOS BRUTOS'!$A$3:$A$500,$C10,'DADOS BRUTOS'!ES$3:ES$500)))</f>
        <v>0</v>
      </c>
      <c r="HT10" s="133" t="n">
        <f aca="false">IF(OR(HT$4="",$B10=""),0,SUMIF('DADOS BRUTOS'!$A$3:$A$500,$B10,'DADOS BRUTOS'!ET$3:ET$500)+IF($C10="",0,SUMIF('DADOS BRUTOS'!$A$3:$A$500,$C10,'DADOS BRUTOS'!ET$3:ET$500)))</f>
        <v>0</v>
      </c>
      <c r="HU10" s="133" t="n">
        <f aca="false">IF(OR(HU$4="",$B10=""),0,SUMIF('DADOS BRUTOS'!$A$3:$A$500,$B10,'DADOS BRUTOS'!EU$3:EU$500)+IF($C10="",0,SUMIF('DADOS BRUTOS'!$A$3:$A$500,$C10,'DADOS BRUTOS'!EU$3:EU$500)))</f>
        <v>0</v>
      </c>
      <c r="HV10" s="133" t="n">
        <f aca="false">IF(OR(HV$4="",$B10=""),0,SUMIF('DADOS BRUTOS'!$A$3:$A$500,$B10,'DADOS BRUTOS'!EV$3:EV$500)+IF($C10="",0,SUMIF('DADOS BRUTOS'!$A$3:$A$500,$C10,'DADOS BRUTOS'!EV$3:EV$500)))</f>
        <v>0</v>
      </c>
      <c r="HW10" s="133" t="n">
        <f aca="false">IF(OR(HW$4="",$B10=""),0,SUMIF('DADOS BRUTOS'!$A$3:$A$500,$B10,'DADOS BRUTOS'!EW$3:EW$500)+IF($C10="",0,SUMIF('DADOS BRUTOS'!$A$3:$A$500,$C10,'DADOS BRUTOS'!EW$3:EW$500)))</f>
        <v>0</v>
      </c>
      <c r="HX10" s="133" t="n">
        <f aca="false">IF(OR(HX$4="",$B10=""),0,SUMIF('DADOS BRUTOS'!$A$3:$A$500,$B10,'DADOS BRUTOS'!EX$3:EX$500)+IF($C10="",0,SUMIF('DADOS BRUTOS'!$A$3:$A$500,$C10,'DADOS BRUTOS'!EX$3:EX$500)))</f>
        <v>0</v>
      </c>
      <c r="HY10" s="133" t="n">
        <f aca="false">IF(OR(HY$4="",$B10=""),0,SUMIF('DADOS BRUTOS'!$A$3:$A$500,$B10,'DADOS BRUTOS'!EY$3:EY$500)+IF($C10="",0,SUMIF('DADOS BRUTOS'!$A$3:$A$500,$C10,'DADOS BRUTOS'!EY$3:EY$500)))</f>
        <v>0</v>
      </c>
      <c r="HZ10" s="133" t="n">
        <f aca="false">IF(OR(HZ$4="",$B10=""),0,SUMIF('DADOS BRUTOS'!$A$3:$A$500,$B10,'DADOS BRUTOS'!EZ$3:EZ$500)+IF($C10="",0,SUMIF('DADOS BRUTOS'!$A$3:$A$500,$C10,'DADOS BRUTOS'!EZ$3:EZ$500)))</f>
        <v>0</v>
      </c>
      <c r="IA10" s="133" t="n">
        <f aca="false">IF(OR(IA$4="",$B10=""),0,SUMIF('DADOS BRUTOS'!$A$3:$A$500,$B10,'DADOS BRUTOS'!FA$3:FA$500)+IF($C10="",0,SUMIF('DADOS BRUTOS'!$A$3:$A$500,$C10,'DADOS BRUTOS'!FA$3:FA$500)))</f>
        <v>0</v>
      </c>
      <c r="IB10" s="133" t="n">
        <f aca="false">IF(OR(IB$4="",$B10=""),0,SUMIF('DADOS BRUTOS'!$A$3:$A$500,$B10,'DADOS BRUTOS'!FB$3:FB$500)+IF($C10="",0,SUMIF('DADOS BRUTOS'!$A$3:$A$500,$C10,'DADOS BRUTOS'!FB$3:FB$500)))</f>
        <v>0</v>
      </c>
      <c r="IC10" s="133" t="n">
        <f aca="false">IF(OR(IC$4="",$B10=""),0,SUMIF('DADOS BRUTOS'!$A$3:$A$500,$B10,'DADOS BRUTOS'!FC$3:FC$500)+IF($C10="",0,SUMIF('DADOS BRUTOS'!$A$3:$A$500,$C10,'DADOS BRUTOS'!FC$3:FC$500)))</f>
        <v>0</v>
      </c>
      <c r="ID10" s="133" t="n">
        <f aca="false">IF(OR(ID$4="",$B10=""),0,SUMIF('DADOS BRUTOS'!$A$3:$A$500,$B10,'DADOS BRUTOS'!FD$3:FD$500)+IF($C10="",0,SUMIF('DADOS BRUTOS'!$A$3:$A$500,$C10,'DADOS BRUTOS'!FD$3:FD$500)))</f>
        <v>0</v>
      </c>
      <c r="IE10" s="133" t="n">
        <f aca="false">IF(OR(IE$4="",$B10=""),0,SUMIF('DADOS BRUTOS'!$A$3:$A$500,$B10,'DADOS BRUTOS'!FE$3:FE$500)+IF($C10="",0,SUMIF('DADOS BRUTOS'!$A$3:$A$500,$C10,'DADOS BRUTOS'!FE$3:FE$500)))</f>
        <v>0</v>
      </c>
      <c r="IF10" s="133" t="n">
        <f aca="false">IF(OR(IF$4="",$B10=""),0,SUMIF('DADOS BRUTOS'!$A$3:$A$500,$B10,'DADOS BRUTOS'!FF$3:FF$500)+IF($C10="",0,SUMIF('DADOS BRUTOS'!$A$3:$A$500,$C10,'DADOS BRUTOS'!FF$3:FF$500)))</f>
        <v>0</v>
      </c>
      <c r="IG10" s="133" t="n">
        <f aca="false">IF(OR(IG$4="",$B10=""),0,SUMIF('DADOS BRUTOS'!$A$3:$A$500,$B10,'DADOS BRUTOS'!FG$3:FG$500)+IF($C10="",0,SUMIF('DADOS BRUTOS'!$A$3:$A$500,$C10,'DADOS BRUTOS'!FG$3:FG$500)))</f>
        <v>0</v>
      </c>
      <c r="IH10" s="133" t="n">
        <f aca="false">IF(OR(IH$4="",$B10=""),0,SUMIF('DADOS BRUTOS'!$A$3:$A$500,$B10,'DADOS BRUTOS'!FH$3:FH$500)+IF($C10="",0,SUMIF('DADOS BRUTOS'!$A$3:$A$500,$C10,'DADOS BRUTOS'!FH$3:FH$500)))</f>
        <v>0</v>
      </c>
      <c r="II10" s="133" t="n">
        <f aca="false">IF(OR(II$4="",$B10=""),0,SUMIF('DADOS BRUTOS'!$A$3:$A$500,$B10,'DADOS BRUTOS'!FI$3:FI$500)+IF($C10="",0,SUMIF('DADOS BRUTOS'!$A$3:$A$500,$C10,'DADOS BRUTOS'!FI$3:FI$500)))</f>
        <v>0</v>
      </c>
      <c r="IJ10" s="133" t="n">
        <f aca="false">IF(OR(IJ$4="",$B10=""),0,SUMIF('DADOS BRUTOS'!$A$3:$A$500,$B10,'DADOS BRUTOS'!FJ$3:FJ$500)+IF($C10="",0,SUMIF('DADOS BRUTOS'!$A$3:$A$500,$C10,'DADOS BRUTOS'!FJ$3:FJ$500)))</f>
        <v>0</v>
      </c>
      <c r="IK10" s="133" t="n">
        <f aca="false">IF(OR(IK$4="",$B10=""),0,SUMIF('DADOS BRUTOS'!$A$3:$A$500,$B10,'DADOS BRUTOS'!FK$3:FK$500)+IF($C10="",0,SUMIF('DADOS BRUTOS'!$A$3:$A$500,$C10,'DADOS BRUTOS'!FK$3:FK$500)))</f>
        <v>0</v>
      </c>
      <c r="IL10" s="133" t="n">
        <f aca="false">IF(OR(IL$4="",$B10=""),0,SUMIF('DADOS BRUTOS'!$A$3:$A$500,$B10,'DADOS BRUTOS'!FL$3:FL$500)+IF($C10="",0,SUMIF('DADOS BRUTOS'!$A$3:$A$500,$C10,'DADOS BRUTOS'!FL$3:FL$500)))</f>
        <v>0</v>
      </c>
      <c r="IM10" s="133" t="n">
        <f aca="false">IF(OR(IM$4="",$B10=""),0,SUMIF('DADOS BRUTOS'!$A$3:$A$500,$B10,'DADOS BRUTOS'!FM$3:FM$500)+IF($C10="",0,SUMIF('DADOS BRUTOS'!$A$3:$A$500,$C10,'DADOS BRUTOS'!FM$3:FM$500)))</f>
        <v>0</v>
      </c>
      <c r="IN10" s="133" t="n">
        <f aca="false">IF(OR(IN$4="",$B10=""),0,SUMIF('DADOS BRUTOS'!$A$3:$A$500,$B10,'DADOS BRUTOS'!FN$3:FN$500)+IF($C10="",0,SUMIF('DADOS BRUTOS'!$A$3:$A$500,$C10,'DADOS BRUTOS'!FN$3:FN$500)))</f>
        <v>0</v>
      </c>
      <c r="IO10" s="133" t="n">
        <f aca="false">IF(OR(IO$4="",$B10=""),0,SUMIF('DADOS BRUTOS'!$A$3:$A$500,$B10,'DADOS BRUTOS'!FO$3:FO$500)+IF($C10="",0,SUMIF('DADOS BRUTOS'!$A$3:$A$500,$C10,'DADOS BRUTOS'!FO$3:FO$500)))</f>
        <v>0</v>
      </c>
      <c r="IP10" s="133" t="n">
        <f aca="false">IF(OR(IP$4="",$B10=""),0,SUMIF('DADOS BRUTOS'!$A$3:$A$500,$B10,'DADOS BRUTOS'!FP$3:FP$500)+IF($C10="",0,SUMIF('DADOS BRUTOS'!$A$3:$A$500,$C10,'DADOS BRUTOS'!FP$3:FP$500)))</f>
        <v>0</v>
      </c>
      <c r="IQ10" s="133" t="n">
        <f aca="false">IF(OR(IQ$4="",$B10=""),0,SUMIF('DADOS BRUTOS'!$A$3:$A$500,$B10,'DADOS BRUTOS'!FQ$3:FQ$500)+IF($C10="",0,SUMIF('DADOS BRUTOS'!$A$3:$A$500,$C10,'DADOS BRUTOS'!FQ$3:FQ$500)))</f>
        <v>0</v>
      </c>
      <c r="IR10" s="133" t="n">
        <f aca="false">IF(OR(IR$4="",$B10=""),0,SUMIF('DADOS BRUTOS'!$A$3:$A$500,$B10,'DADOS BRUTOS'!FR$3:FR$500)+IF($C10="",0,SUMIF('DADOS BRUTOS'!$A$3:$A$500,$C10,'DADOS BRUTOS'!FR$3:FR$500)))</f>
        <v>0</v>
      </c>
      <c r="IS10" s="133" t="n">
        <f aca="false">IF(OR(IS$4="",$B10=""),0,SUMIF('DADOS BRUTOS'!$A$3:$A$500,$B10,'DADOS BRUTOS'!FS$3:FS$500)+IF($C10="",0,SUMIF('DADOS BRUTOS'!$A$3:$A$500,$C10,'DADOS BRUTOS'!FS$3:FS$500)))</f>
        <v>0</v>
      </c>
      <c r="IT10" s="133" t="n">
        <f aca="false">IF(OR(IT$4="",$B10=""),0,SUMIF('DADOS BRUTOS'!$A$3:$A$500,$B10,'DADOS BRUTOS'!FT$3:FT$500)+IF($C10="",0,SUMIF('DADOS BRUTOS'!$A$3:$A$500,$C10,'DADOS BRUTOS'!FT$3:FT$500)))</f>
        <v>0</v>
      </c>
      <c r="IU10" s="133" t="n">
        <f aca="false">IF(OR(IU$4="",$B10=""),0,SUMIF('DADOS BRUTOS'!$A$3:$A$500,$B10,'DADOS BRUTOS'!FU$3:FU$500)+IF($C10="",0,SUMIF('DADOS BRUTOS'!$A$3:$A$500,$C10,'DADOS BRUTOS'!FU$3:FU$500)))</f>
        <v>0</v>
      </c>
      <c r="IV10" s="133" t="n">
        <f aca="false">IF(OR(IV$4="",$B10=""),0,SUMIF('DADOS BRUTOS'!$A$3:$A$500,$B10,'DADOS BRUTOS'!FV$3:FV$500)+IF($C10="",0,SUMIF('DADOS BRUTOS'!$A$3:$A$500,$C10,'DADOS BRUTOS'!FV$3:FV$500)))</f>
        <v>0</v>
      </c>
      <c r="IW10" s="133" t="n">
        <f aca="false">IF(OR(IW$4="",$B10=""),0,SUMIF('DADOS BRUTOS'!$A$3:$A$500,$B10,'DADOS BRUTOS'!FW$3:FW$500)+IF($C10="",0,SUMIF('DADOS BRUTOS'!$A$3:$A$500,$C10,'DADOS BRUTOS'!FW$3:FW$500)))</f>
        <v>0</v>
      </c>
      <c r="IX10" s="133" t="n">
        <f aca="false">IF(OR(IX$4="",$B10=""),0,SUMIF('DADOS BRUTOS'!$A$3:$A$500,$B10,'DADOS BRUTOS'!FX$3:FX$500)+IF($C10="",0,SUMIF('DADOS BRUTOS'!$A$3:$A$500,$C10,'DADOS BRUTOS'!FX$3:FX$500)))</f>
        <v>0</v>
      </c>
      <c r="IY10" s="133" t="n">
        <f aca="false">IF(OR(IY$4="",$B10=""),0,SUMIF('DADOS BRUTOS'!$A$3:$A$500,$B10,'DADOS BRUTOS'!FY$3:FY$500)+IF($C10="",0,SUMIF('DADOS BRUTOS'!$A$3:$A$500,$C10,'DADOS BRUTOS'!FY$3:FY$500)))</f>
        <v>0</v>
      </c>
      <c r="IZ10" s="133" t="n">
        <f aca="false">IF(OR(IZ$4="",$B10=""),0,SUMIF('DADOS BRUTOS'!$A$3:$A$500,$B10,'DADOS BRUTOS'!FZ$3:FZ$500)+IF($C10="",0,SUMIF('DADOS BRUTOS'!$A$3:$A$500,$C10,'DADOS BRUTOS'!FZ$3:FZ$500)))</f>
        <v>0</v>
      </c>
      <c r="JA10" s="133" t="n">
        <f aca="false">IF(OR(JA$4="",$B10=""),0,SUMIF('DADOS BRUTOS'!$A$3:$A$500,$B10,'DADOS BRUTOS'!GA$3:GA$500)+IF($C10="",0,SUMIF('DADOS BRUTOS'!$A$3:$A$500,$C10,'DADOS BRUTOS'!GA$3:GA$500)))</f>
        <v>0</v>
      </c>
      <c r="JB10" s="133" t="n">
        <f aca="false">IF(OR(JB$4="",$B10=""),0,SUMIF('DADOS BRUTOS'!$A$3:$A$500,$B10,'DADOS BRUTOS'!GB$3:GB$500)+IF($C10="",0,SUMIF('DADOS BRUTOS'!$A$3:$A$500,$C10,'DADOS BRUTOS'!GB$3:GB$500)))</f>
        <v>0</v>
      </c>
      <c r="JC10" s="133" t="n">
        <f aca="false">IF(OR(JC$4="",$B10=""),0,SUMIF('DADOS BRUTOS'!$A$3:$A$500,$B10,'DADOS BRUTOS'!GC$3:GC$500)+IF($C10="",0,SUMIF('DADOS BRUTOS'!$A$3:$A$500,$C10,'DADOS BRUTOS'!GC$3:GC$500)))</f>
        <v>0</v>
      </c>
      <c r="JD10" s="133" t="n">
        <f aca="false">IF(OR(JD$4="",$B10=""),0,SUMIF('DADOS BRUTOS'!$A$3:$A$500,$B10,'DADOS BRUTOS'!GD$3:GD$500)+IF($C10="",0,SUMIF('DADOS BRUTOS'!$A$3:$A$500,$C10,'DADOS BRUTOS'!GD$3:GD$500)))</f>
        <v>0</v>
      </c>
      <c r="JE10" s="133" t="n">
        <f aca="false">IF(OR(JE$4="",$B10=""),0,SUMIF('DADOS BRUTOS'!$A$3:$A$500,$B10,'DADOS BRUTOS'!GE$3:GE$500)+IF($C10="",0,SUMIF('DADOS BRUTOS'!$A$3:$A$500,$C10,'DADOS BRUTOS'!GE$3:GE$500)))</f>
        <v>0</v>
      </c>
      <c r="JF10" s="133" t="n">
        <f aca="false">IF(OR(JF$4="",$B10=""),0,SUMIF('DADOS BRUTOS'!$A$3:$A$500,$B10,'DADOS BRUTOS'!GF$3:GF$500)+IF($C10="",0,SUMIF('DADOS BRUTOS'!$A$3:$A$500,$C10,'DADOS BRUTOS'!GF$3:GF$500)))</f>
        <v>0</v>
      </c>
      <c r="JG10" s="133" t="n">
        <f aca="false">IF(OR(JG$4="",$B10=""),0,SUMIF('DADOS BRUTOS'!$A$3:$A$500,$B10,'DADOS BRUTOS'!GG$3:GG$500)+IF($C10="",0,SUMIF('DADOS BRUTOS'!$A$3:$A$500,$C10,'DADOS BRUTOS'!GG$3:GG$500)))</f>
        <v>0</v>
      </c>
      <c r="JH10" s="133" t="n">
        <f aca="false">IF(OR(JH$4="",$B10=""),0,SUMIF('DADOS BRUTOS'!$A$3:$A$500,$B10,'DADOS BRUTOS'!GH$3:GH$500)+IF($C10="",0,SUMIF('DADOS BRUTOS'!$A$3:$A$500,$C10,'DADOS BRUTOS'!GH$3:GH$500)))</f>
        <v>0</v>
      </c>
      <c r="JI10" s="133" t="n">
        <f aca="false">IF(OR(JI$4="",$B10=""),0,SUMIF('DADOS BRUTOS'!$A$3:$A$500,$B10,'DADOS BRUTOS'!GI$3:GI$500)+IF($C10="",0,SUMIF('DADOS BRUTOS'!$A$3:$A$500,$C10,'DADOS BRUTOS'!GI$3:GI$500)))</f>
        <v>0</v>
      </c>
      <c r="JJ10" s="133" t="n">
        <f aca="false">IF(OR(JJ$4="",$B10=""),0,SUMIF('DADOS BRUTOS'!$A$3:$A$500,$B10,'DADOS BRUTOS'!GJ$3:GJ$500)+IF($C10="",0,SUMIF('DADOS BRUTOS'!$A$3:$A$500,$C10,'DADOS BRUTOS'!GJ$3:GJ$500)))</f>
        <v>0</v>
      </c>
      <c r="JK10" s="133" t="n">
        <f aca="false">IF(OR(JK$4="",$B10=""),0,SUMIF('DADOS BRUTOS'!$A$3:$A$500,$B10,'DADOS BRUTOS'!GK$3:GK$500)+IF($C10="",0,SUMIF('DADOS BRUTOS'!$A$3:$A$500,$C10,'DADOS BRUTOS'!GK$3:GK$500)))</f>
        <v>0</v>
      </c>
      <c r="JL10" s="133" t="n">
        <f aca="false">IF(OR(JL$4="",$B10=""),0,SUMIF('DADOS BRUTOS'!$A$3:$A$500,$B10,'DADOS BRUTOS'!GL$3:GL$500)+IF($C10="",0,SUMIF('DADOS BRUTOS'!$A$3:$A$500,$C10,'DADOS BRUTOS'!GL$3:GL$500)))</f>
        <v>0</v>
      </c>
      <c r="JM10" s="133" t="n">
        <f aca="false">IF(OR(JM$4="",$B10=""),0,SUMIF('DADOS BRUTOS'!$A$3:$A$500,$B10,'DADOS BRUTOS'!GM$3:GM$500)+IF($C10="",0,SUMIF('DADOS BRUTOS'!$A$3:$A$500,$C10,'DADOS BRUTOS'!GM$3:GM$500)))</f>
        <v>0</v>
      </c>
      <c r="JN10" s="133" t="n">
        <f aca="false">IF(OR(JN$4="",$B10=""),0,SUMIF('DADOS BRUTOS'!$A$3:$A$500,$B10,'DADOS BRUTOS'!GN$3:GN$500)+IF($C10="",0,SUMIF('DADOS BRUTOS'!$A$3:$A$500,$C10,'DADOS BRUTOS'!GN$3:GN$500)))</f>
        <v>0</v>
      </c>
      <c r="JO10" s="133" t="n">
        <f aca="false">IF(OR(JO$4="",$B10=""),0,SUMIF('DADOS BRUTOS'!$A$3:$A$500,$B10,'DADOS BRUTOS'!GO$3:GO$500)+IF($C10="",0,SUMIF('DADOS BRUTOS'!$A$3:$A$500,$C10,'DADOS BRUTOS'!GO$3:GO$500)))</f>
        <v>0</v>
      </c>
      <c r="JP10" s="133" t="n">
        <f aca="false">IF(OR(JP$4="",$B10=""),0,SUMIF('DADOS BRUTOS'!$A$3:$A$500,$B10,'DADOS BRUTOS'!GP$3:GP$500)+IF($C10="",0,SUMIF('DADOS BRUTOS'!$A$3:$A$500,$C10,'DADOS BRUTOS'!GP$3:GP$500)))</f>
        <v>0</v>
      </c>
      <c r="JQ10" s="133" t="n">
        <f aca="false">IF(OR(JQ$4="",$B10=""),0,SUMIF('DADOS BRUTOS'!$A$3:$A$500,$B10,'DADOS BRUTOS'!GQ$3:GQ$500)+IF($C10="",0,SUMIF('DADOS BRUTOS'!$A$3:$A$500,$C10,'DADOS BRUTOS'!GQ$3:GQ$500)))</f>
        <v>0</v>
      </c>
      <c r="JR10" s="133" t="n">
        <f aca="false">IF(OR(JR$4="",$B10=""),0,SUMIF('DADOS BRUTOS'!$A$3:$A$500,$B10,'DADOS BRUTOS'!GR$3:GR$500)+IF($C10="",0,SUMIF('DADOS BRUTOS'!$A$3:$A$500,$C10,'DADOS BRUTOS'!GR$3:GR$500)))</f>
        <v>0</v>
      </c>
      <c r="JS10" s="133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2874</v>
      </c>
      <c r="D11" s="50" t="n">
        <f aca="false">SUMIF($CB$4:$JS$4,"&lt;="&amp;D$4,$CB11:$JS11)</f>
        <v>7617.91</v>
      </c>
      <c r="E11" s="50" t="n">
        <f aca="false">SUMIF($CB$4:$JS$4,E$4,$CB11:$JS11)</f>
        <v>1467.74</v>
      </c>
      <c r="F11" s="50" t="n">
        <f aca="false">SUMIF($CB$4:$JS$4,F$4,$CB11:$JS11)</f>
        <v>0</v>
      </c>
      <c r="G11" s="50" t="n">
        <f aca="false">SUMIF($CB$4:$JS$4,G$4,$CB11:$JS11)</f>
        <v>0</v>
      </c>
      <c r="H11" s="50" t="n">
        <f aca="false">SUMIF($CB$4:$JS$4,H$4,$CB11:$JS11)</f>
        <v>66.6</v>
      </c>
      <c r="I11" s="50" t="n">
        <f aca="false">SUMIF($CB$4:$JS$4,I$4,$CB11:$JS11)</f>
        <v>0</v>
      </c>
      <c r="J11" s="50" t="n">
        <f aca="false">SUMIF($CB$4:$JS$4,J$4,$CB11:$JS11)</f>
        <v>0</v>
      </c>
      <c r="K11" s="50" t="n">
        <f aca="false">SUMIF($CB$4:$JS$4,K$4,$CB11:$JS11)</f>
        <v>0</v>
      </c>
      <c r="L11" s="50" t="n">
        <f aca="false">SUMIF($CB$4:$JS$4,L$4,$CB11:$JS11)</f>
        <v>0</v>
      </c>
      <c r="M11" s="50" t="n">
        <f aca="false">SUMIF($CB$4:$JS$4,M$4,$CB11:$JS11)</f>
        <v>850.17</v>
      </c>
      <c r="N11" s="50" t="n">
        <f aca="false">SUMIF($CB$4:$JS$4,N$4,$CB11:$JS11)</f>
        <v>4204.06</v>
      </c>
      <c r="O11" s="50" t="n">
        <f aca="false">SUMIF($CB$4:$JS$4,O$4,$CB11:$JS11)</f>
        <v>713.41</v>
      </c>
      <c r="P11" s="50" t="n">
        <f aca="false">SUMIF($CB$4:$JS$4,P$4,$CB11:$JS11)</f>
        <v>1784.1</v>
      </c>
      <c r="Q11" s="50" t="n">
        <f aca="false">SUMIF($CB$4:$JS$4,Q$4,$CB11:$JS11)</f>
        <v>1122.95</v>
      </c>
      <c r="R11" s="50" t="n">
        <f aca="false">SUMIF($CB$4:$JS$4,R$4,$CB11:$JS11)</f>
        <v>1160.97</v>
      </c>
      <c r="S11" s="50" t="n">
        <f aca="false">SUMIF($CB$4:$JS$4,S$4,$CB11:$JS11)</f>
        <v>2280.62</v>
      </c>
      <c r="T11" s="50" t="n">
        <f aca="false">SUMIF($CB$4:$JS$4,T$4,$CB11:$JS11)</f>
        <v>1594.82</v>
      </c>
      <c r="U11" s="50" t="n">
        <f aca="false">SUMIF($CB$4:$JS$4,U$4,$CB11:$JS11)</f>
        <v>1922.39</v>
      </c>
      <c r="V11" s="50" t="n">
        <f aca="false">SUMIF($CB$4:$JS$4,V$4,$CB11:$JS11)</f>
        <v>1559.18</v>
      </c>
      <c r="W11" s="50" t="n">
        <f aca="false">SUMIF($CB$4:$JS$4,W$4,$CB11:$JS11)</f>
        <v>2538.36</v>
      </c>
      <c r="X11" s="50" t="n">
        <f aca="false">SUMIF($CB$4:$JS$4,X$4,$CB11:$JS11)</f>
        <v>5139.73</v>
      </c>
      <c r="Y11" s="50" t="n">
        <f aca="false">SUMIF($CB$4:$JS$4,Y$4,$CB11:$JS11)</f>
        <v>6268.27</v>
      </c>
      <c r="Z11" s="50" t="n">
        <f aca="false">SUMIF($CB$4:$JS$4,Z$4,$CB11:$JS11)</f>
        <v>1218.69</v>
      </c>
      <c r="AA11" s="50" t="n">
        <f aca="false">SUMIF($CB$4:$JS$4,AA$4,$CB11:$JS11)</f>
        <v>4669.99</v>
      </c>
      <c r="AB11" s="50" t="n">
        <f aca="false">SUMIF($CB$4:$JS$4,AB$4,$CB11:$JS11)</f>
        <v>0</v>
      </c>
      <c r="AC11" s="50" t="n">
        <f aca="false">SUMIF($CB$4:$JS$4,AC$4,$CB11:$JS11)</f>
        <v>0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46179.96</v>
      </c>
      <c r="BZ11" s="45" t="n">
        <f aca="false">SUMPRODUCT(($CB$4:$JS$4&lt;&gt;"")*($CB$4:$JS$4&lt;=$D$4),$CB11:$JS11,$CB$1:$JS$1)</f>
        <v>6.60690171273853</v>
      </c>
      <c r="CB11" s="133" t="n">
        <f aca="false">IF(OR(CB$4="",$B11=""),0,SUMIF('DADOS BRUTOS'!$A$3:$A$500,$B11,'DADOS BRUTOS'!B$3:B$500)+IF($C11="",0,SUMIF('DADOS BRUTOS'!$A$3:$A$500,$C11,'DADOS BRUTOS'!B$3:B$500)))</f>
        <v>0</v>
      </c>
      <c r="CC11" s="133" t="n">
        <f aca="false">IF(OR(CC$4="",$B11=""),0,SUMIF('DADOS BRUTOS'!$A$3:$A$500,$B11,'DADOS BRUTOS'!C$3:C$500)+IF($C11="",0,SUMIF('DADOS BRUTOS'!$A$3:$A$500,$C11,'DADOS BRUTOS'!C$3:C$500)))</f>
        <v>0</v>
      </c>
      <c r="CD11" s="133" t="n">
        <f aca="false">IF(OR(CD$4="",$B11=""),0,SUMIF('DADOS BRUTOS'!$A$3:$A$500,$B11,'DADOS BRUTOS'!D$3:D$500)+IF($C11="",0,SUMIF('DADOS BRUTOS'!$A$3:$A$500,$C11,'DADOS BRUTOS'!D$3:D$500)))</f>
        <v>0</v>
      </c>
      <c r="CE11" s="133" t="n">
        <f aca="false">IF(OR(CE$4="",$B11=""),0,SUMIF('DADOS BRUTOS'!$A$3:$A$500,$B11,'DADOS BRUTOS'!E$3:E$500)+IF($C11="",0,SUMIF('DADOS BRUTOS'!$A$3:$A$500,$C11,'DADOS BRUTOS'!E$3:E$500)))</f>
        <v>0</v>
      </c>
      <c r="CF11" s="133" t="n">
        <f aca="false">IF(OR(CF$4="",$B11=""),0,SUMIF('DADOS BRUTOS'!$A$3:$A$500,$B11,'DADOS BRUTOS'!F$3:F$500)+IF($C11="",0,SUMIF('DADOS BRUTOS'!$A$3:$A$500,$C11,'DADOS BRUTOS'!F$3:F$500)))</f>
        <v>0</v>
      </c>
      <c r="CG11" s="133" t="n">
        <f aca="false">IF(OR(CG$4="",$B11=""),0,SUMIF('DADOS BRUTOS'!$A$3:$A$500,$B11,'DADOS BRUTOS'!G$3:G$500)+IF($C11="",0,SUMIF('DADOS BRUTOS'!$A$3:$A$500,$C11,'DADOS BRUTOS'!G$3:G$500)))</f>
        <v>10.59</v>
      </c>
      <c r="CH11" s="133" t="n">
        <f aca="false">IF(OR(CH$4="",$B11=""),0,SUMIF('DADOS BRUTOS'!$A$3:$A$500,$B11,'DADOS BRUTOS'!H$3:H$500)+IF($C11="",0,SUMIF('DADOS BRUTOS'!$A$3:$A$500,$C11,'DADOS BRUTOS'!H$3:H$500)))</f>
        <v>0</v>
      </c>
      <c r="CI11" s="133" t="n">
        <f aca="false">IF(OR(CI$4="",$B11=""),0,SUMIF('DADOS BRUTOS'!$A$3:$A$500,$B11,'DADOS BRUTOS'!I$3:I$500)+IF($C11="",0,SUMIF('DADOS BRUTOS'!$A$3:$A$500,$C11,'DADOS BRUTOS'!I$3:I$500)))</f>
        <v>823.84</v>
      </c>
      <c r="CJ11" s="133" t="n">
        <f aca="false">IF(OR(CJ$4="",$B11=""),0,SUMIF('DADOS BRUTOS'!$A$3:$A$500,$B11,'DADOS BRUTOS'!J$3:J$500)+IF($C11="",0,SUMIF('DADOS BRUTOS'!$A$3:$A$500,$C11,'DADOS BRUTOS'!J$3:J$500)))</f>
        <v>649.99</v>
      </c>
      <c r="CK11" s="133" t="n">
        <f aca="false">IF(OR(CK$4="",$B11=""),0,SUMIF('DADOS BRUTOS'!$A$3:$A$500,$B11,'DADOS BRUTOS'!K$3:K$500)+IF($C11="",0,SUMIF('DADOS BRUTOS'!$A$3:$A$500,$C11,'DADOS BRUTOS'!K$3:K$500)))</f>
        <v>284.74</v>
      </c>
      <c r="CL11" s="133" t="n">
        <f aca="false">IF(OR(CL$4="",$B11=""),0,SUMIF('DADOS BRUTOS'!$A$3:$A$500,$B11,'DADOS BRUTOS'!L$3:L$500)+IF($C11="",0,SUMIF('DADOS BRUTOS'!$A$3:$A$500,$C11,'DADOS BRUTOS'!L$3:L$500)))</f>
        <v>1.31</v>
      </c>
      <c r="CM11" s="133" t="n">
        <f aca="false">IF(OR(CM$4="",$B11=""),0,SUMIF('DADOS BRUTOS'!$A$3:$A$500,$B11,'DADOS BRUTOS'!M$3:M$500)+IF($C11="",0,SUMIF('DADOS BRUTOS'!$A$3:$A$500,$C11,'DADOS BRUTOS'!M$3:M$500)))</f>
        <v>0</v>
      </c>
      <c r="CN11" s="133" t="n">
        <f aca="false">IF(OR(CN$4="",$B11=""),0,SUMIF('DADOS BRUTOS'!$A$3:$A$500,$B11,'DADOS BRUTOS'!N$3:N$500)+IF($C11="",0,SUMIF('DADOS BRUTOS'!$A$3:$A$500,$C11,'DADOS BRUTOS'!N$3:N$500)))</f>
        <v>5847.44</v>
      </c>
      <c r="CO11" s="133" t="n">
        <f aca="false">IF(OR(CO$4="",$B11=""),0,SUMIF('DADOS BRUTOS'!$A$3:$A$500,$B11,'DADOS BRUTOS'!O$3:O$500)+IF($C11="",0,SUMIF('DADOS BRUTOS'!$A$3:$A$500,$C11,'DADOS BRUTOS'!O$3:O$500)))</f>
        <v>1467.74</v>
      </c>
      <c r="CP11" s="133" t="n">
        <f aca="false">IF(OR(CP$4="",$B11=""),0,SUMIF('DADOS BRUTOS'!$A$3:$A$500,$B11,'DADOS BRUTOS'!P$3:P$500)+IF($C11="",0,SUMIF('DADOS BRUTOS'!$A$3:$A$500,$C11,'DADOS BRUTOS'!P$3:P$500)))</f>
        <v>0</v>
      </c>
      <c r="CQ11" s="133" t="n">
        <f aca="false">IF(OR(CQ$4="",$B11=""),0,SUMIF('DADOS BRUTOS'!$A$3:$A$500,$B11,'DADOS BRUTOS'!Q$3:Q$500)+IF($C11="",0,SUMIF('DADOS BRUTOS'!$A$3:$A$500,$C11,'DADOS BRUTOS'!Q$3:Q$500)))</f>
        <v>0</v>
      </c>
      <c r="CR11" s="133" t="n">
        <f aca="false">IF(OR(CR$4="",$B11=""),0,SUMIF('DADOS BRUTOS'!$A$3:$A$500,$B11,'DADOS BRUTOS'!R$3:R$500)+IF($C11="",0,SUMIF('DADOS BRUTOS'!$A$3:$A$500,$C11,'DADOS BRUTOS'!R$3:R$500)))</f>
        <v>66.6</v>
      </c>
      <c r="CS11" s="133" t="n">
        <f aca="false">IF(OR(CS$4="",$B11=""),0,SUMIF('DADOS BRUTOS'!$A$3:$A$500,$B11,'DADOS BRUTOS'!S$3:S$500)+IF($C11="",0,SUMIF('DADOS BRUTOS'!$A$3:$A$500,$C11,'DADOS BRUTOS'!S$3:S$500)))</f>
        <v>0</v>
      </c>
      <c r="CT11" s="133" t="n">
        <f aca="false">IF(OR(CT$4="",$B11=""),0,SUMIF('DADOS BRUTOS'!$A$3:$A$500,$B11,'DADOS BRUTOS'!T$3:T$500)+IF($C11="",0,SUMIF('DADOS BRUTOS'!$A$3:$A$500,$C11,'DADOS BRUTOS'!T$3:T$500)))</f>
        <v>0</v>
      </c>
      <c r="CU11" s="133" t="n">
        <f aca="false">IF(OR(CU$4="",$B11=""),0,SUMIF('DADOS BRUTOS'!$A$3:$A$500,$B11,'DADOS BRUTOS'!U$3:U$500)+IF($C11="",0,SUMIF('DADOS BRUTOS'!$A$3:$A$500,$C11,'DADOS BRUTOS'!U$3:U$500)))</f>
        <v>0</v>
      </c>
      <c r="CV11" s="133" t="n">
        <f aca="false">IF(OR(CV$4="",$B11=""),0,SUMIF('DADOS BRUTOS'!$A$3:$A$500,$B11,'DADOS BRUTOS'!V$3:V$500)+IF($C11="",0,SUMIF('DADOS BRUTOS'!$A$3:$A$500,$C11,'DADOS BRUTOS'!V$3:V$500)))</f>
        <v>0</v>
      </c>
      <c r="CW11" s="133" t="n">
        <f aca="false">IF(OR(CW$4="",$B11=""),0,SUMIF('DADOS BRUTOS'!$A$3:$A$500,$B11,'DADOS BRUTOS'!W$3:W$500)+IF($C11="",0,SUMIF('DADOS BRUTOS'!$A$3:$A$500,$C11,'DADOS BRUTOS'!W$3:W$500)))</f>
        <v>850.17</v>
      </c>
      <c r="CX11" s="133" t="n">
        <f aca="false">IF(OR(CX$4="",$B11=""),0,SUMIF('DADOS BRUTOS'!$A$3:$A$500,$B11,'DADOS BRUTOS'!X$3:X$500)+IF($C11="",0,SUMIF('DADOS BRUTOS'!$A$3:$A$500,$C11,'DADOS BRUTOS'!X$3:X$500)))</f>
        <v>4204.06</v>
      </c>
      <c r="CY11" s="133" t="n">
        <f aca="false">IF(OR(CY$4="",$B11=""),0,SUMIF('DADOS BRUTOS'!$A$3:$A$500,$B11,'DADOS BRUTOS'!Y$3:Y$500)+IF($C11="",0,SUMIF('DADOS BRUTOS'!$A$3:$A$500,$C11,'DADOS BRUTOS'!Y$3:Y$500)))</f>
        <v>713.41</v>
      </c>
      <c r="CZ11" s="133" t="n">
        <f aca="false">IF(OR(CZ$4="",$B11=""),0,SUMIF('DADOS BRUTOS'!$A$3:$A$500,$B11,'DADOS BRUTOS'!Z$3:Z$500)+IF($C11="",0,SUMIF('DADOS BRUTOS'!$A$3:$A$500,$C11,'DADOS BRUTOS'!Z$3:Z$500)))</f>
        <v>1784.1</v>
      </c>
      <c r="DA11" s="133" t="n">
        <f aca="false">IF(OR(DA$4="",$B11=""),0,SUMIF('DADOS BRUTOS'!$A$3:$A$500,$B11,'DADOS BRUTOS'!AA$3:AA$500)+IF($C11="",0,SUMIF('DADOS BRUTOS'!$A$3:$A$500,$C11,'DADOS BRUTOS'!AA$3:AA$500)))</f>
        <v>1122.95</v>
      </c>
      <c r="DB11" s="133" t="n">
        <f aca="false">IF(OR(DB$4="",$B11=""),0,SUMIF('DADOS BRUTOS'!$A$3:$A$500,$B11,'DADOS BRUTOS'!AB$3:AB$500)+IF($C11="",0,SUMIF('DADOS BRUTOS'!$A$3:$A$500,$C11,'DADOS BRUTOS'!AB$3:AB$500)))</f>
        <v>1160.97</v>
      </c>
      <c r="DC11" s="133" t="n">
        <f aca="false">IF(OR(DC$4="",$B11=""),0,SUMIF('DADOS BRUTOS'!$A$3:$A$500,$B11,'DADOS BRUTOS'!AC$3:AC$500)+IF($C11="",0,SUMIF('DADOS BRUTOS'!$A$3:$A$500,$C11,'DADOS BRUTOS'!AC$3:AC$500)))</f>
        <v>2280.62</v>
      </c>
      <c r="DD11" s="133" t="n">
        <f aca="false">IF(OR(DD$4="",$B11=""),0,SUMIF('DADOS BRUTOS'!$A$3:$A$500,$B11,'DADOS BRUTOS'!AD$3:AD$500)+IF($C11="",0,SUMIF('DADOS BRUTOS'!$A$3:$A$500,$C11,'DADOS BRUTOS'!AD$3:AD$500)))</f>
        <v>1594.82</v>
      </c>
      <c r="DE11" s="133" t="n">
        <f aca="false">IF(OR(DE$4="",$B11=""),0,SUMIF('DADOS BRUTOS'!$A$3:$A$500,$B11,'DADOS BRUTOS'!AE$3:AE$500)+IF($C11="",0,SUMIF('DADOS BRUTOS'!$A$3:$A$500,$C11,'DADOS BRUTOS'!AE$3:AE$500)))</f>
        <v>1922.39</v>
      </c>
      <c r="DF11" s="133" t="n">
        <f aca="false">IF(OR(DF$4="",$B11=""),0,SUMIF('DADOS BRUTOS'!$A$3:$A$500,$B11,'DADOS BRUTOS'!AF$3:AF$500)+IF($C11="",0,SUMIF('DADOS BRUTOS'!$A$3:$A$500,$C11,'DADOS BRUTOS'!AF$3:AF$500)))</f>
        <v>1559.18</v>
      </c>
      <c r="DG11" s="133" t="n">
        <f aca="false">IF(OR(DG$4="",$B11=""),0,SUMIF('DADOS BRUTOS'!$A$3:$A$500,$B11,'DADOS BRUTOS'!AG$3:AG$500)+IF($C11="",0,SUMIF('DADOS BRUTOS'!$A$3:$A$500,$C11,'DADOS BRUTOS'!AG$3:AG$500)))</f>
        <v>2538.36</v>
      </c>
      <c r="DH11" s="133" t="n">
        <f aca="false">IF(OR(DH$4="",$B11=""),0,SUMIF('DADOS BRUTOS'!$A$3:$A$500,$B11,'DADOS BRUTOS'!AH$3:AH$500)+IF($C11="",0,SUMIF('DADOS BRUTOS'!$A$3:$A$500,$C11,'DADOS BRUTOS'!AH$3:AH$500)))</f>
        <v>5139.73</v>
      </c>
      <c r="DI11" s="133" t="n">
        <f aca="false">IF(OR(DI$4="",$B11=""),0,SUMIF('DADOS BRUTOS'!$A$3:$A$500,$B11,'DADOS BRUTOS'!AI$3:AI$500)+IF($C11="",0,SUMIF('DADOS BRUTOS'!$A$3:$A$500,$C11,'DADOS BRUTOS'!AI$3:AI$500)))</f>
        <v>6268.27</v>
      </c>
      <c r="DJ11" s="133" t="n">
        <f aca="false">IF(OR(DJ$4="",$B11=""),0,SUMIF('DADOS BRUTOS'!$A$3:$A$500,$B11,'DADOS BRUTOS'!AJ$3:AJ$500)+IF($C11="",0,SUMIF('DADOS BRUTOS'!$A$3:$A$500,$C11,'DADOS BRUTOS'!AJ$3:AJ$500)))</f>
        <v>1218.69</v>
      </c>
      <c r="DK11" s="133" t="n">
        <f aca="false">IF(OR(DK$4="",$B11=""),0,SUMIF('DADOS BRUTOS'!$A$3:$A$500,$B11,'DADOS BRUTOS'!AK$3:AK$500)+IF($C11="",0,SUMIF('DADOS BRUTOS'!$A$3:$A$500,$C11,'DADOS BRUTOS'!AK$3:AK$500)))</f>
        <v>4669.99</v>
      </c>
      <c r="DL11" s="133" t="n">
        <f aca="false">IF(OR(DL$4="",$B11=""),0,SUMIF('DADOS BRUTOS'!$A$3:$A$500,$B11,'DADOS BRUTOS'!AL$3:AL$500)+IF($C11="",0,SUMIF('DADOS BRUTOS'!$A$3:$A$500,$C11,'DADOS BRUTOS'!AL$3:AL$500)))</f>
        <v>0</v>
      </c>
      <c r="DM11" s="133" t="n">
        <f aca="false">IF(OR(DM$4="",$B11=""),0,SUMIF('DADOS BRUTOS'!$A$3:$A$500,$B11,'DADOS BRUTOS'!AM$3:AM$500)+IF($C11="",0,SUMIF('DADOS BRUTOS'!$A$3:$A$500,$C11,'DADOS BRUTOS'!AM$3:AM$500)))</f>
        <v>0</v>
      </c>
      <c r="DN11" s="133" t="n">
        <f aca="false">IF(OR(DN$4="",$B11=""),0,SUMIF('DADOS BRUTOS'!$A$3:$A$500,$B11,'DADOS BRUTOS'!AN$3:AN$500)+IF($C11="",0,SUMIF('DADOS BRUTOS'!$A$3:$A$500,$C11,'DADOS BRUTOS'!AN$3:AN$500)))</f>
        <v>0</v>
      </c>
      <c r="DO11" s="133" t="n">
        <f aca="false">IF(OR(DO$4="",$B11=""),0,SUMIF('DADOS BRUTOS'!$A$3:$A$500,$B11,'DADOS BRUTOS'!AO$3:AO$500)+IF($C11="",0,SUMIF('DADOS BRUTOS'!$A$3:$A$500,$C11,'DADOS BRUTOS'!AO$3:AO$500)))</f>
        <v>0</v>
      </c>
      <c r="DP11" s="133" t="n">
        <f aca="false">IF(OR(DP$4="",$B11=""),0,SUMIF('DADOS BRUTOS'!$A$3:$A$500,$B11,'DADOS BRUTOS'!AP$3:AP$500)+IF($C11="",0,SUMIF('DADOS BRUTOS'!$A$3:$A$500,$C11,'DADOS BRUTOS'!AP$3:AP$500)))</f>
        <v>0</v>
      </c>
      <c r="DQ11" s="133" t="n">
        <f aca="false">IF(OR(DQ$4="",$B11=""),0,SUMIF('DADOS BRUTOS'!$A$3:$A$500,$B11,'DADOS BRUTOS'!AQ$3:AQ$500)+IF($C11="",0,SUMIF('DADOS BRUTOS'!$A$3:$A$500,$C11,'DADOS BRUTOS'!AQ$3:AQ$500)))</f>
        <v>0</v>
      </c>
      <c r="DR11" s="133" t="n">
        <f aca="false">IF(OR(DR$4="",$B11=""),0,SUMIF('DADOS BRUTOS'!$A$3:$A$500,$B11,'DADOS BRUTOS'!AR$3:AR$500)+IF($C11="",0,SUMIF('DADOS BRUTOS'!$A$3:$A$500,$C11,'DADOS BRUTOS'!AR$3:AR$500)))</f>
        <v>0</v>
      </c>
      <c r="DS11" s="133" t="n">
        <f aca="false">IF(OR(DS$4="",$B11=""),0,SUMIF('DADOS BRUTOS'!$A$3:$A$500,$B11,'DADOS BRUTOS'!AS$3:AS$500)+IF($C11="",0,SUMIF('DADOS BRUTOS'!$A$3:$A$500,$C11,'DADOS BRUTOS'!AS$3:AS$500)))</f>
        <v>0</v>
      </c>
      <c r="DT11" s="133" t="n">
        <f aca="false">IF(OR(DT$4="",$B11=""),0,SUMIF('DADOS BRUTOS'!$A$3:$A$500,$B11,'DADOS BRUTOS'!AT$3:AT$500)+IF($C11="",0,SUMIF('DADOS BRUTOS'!$A$3:$A$500,$C11,'DADOS BRUTOS'!AT$3:AT$500)))</f>
        <v>0</v>
      </c>
      <c r="DU11" s="133" t="n">
        <f aca="false">IF(OR(DU$4="",$B11=""),0,SUMIF('DADOS BRUTOS'!$A$3:$A$500,$B11,'DADOS BRUTOS'!AU$3:AU$500)+IF($C11="",0,SUMIF('DADOS BRUTOS'!$A$3:$A$500,$C11,'DADOS BRUTOS'!AU$3:AU$500)))</f>
        <v>0</v>
      </c>
      <c r="DV11" s="133" t="n">
        <f aca="false">IF(OR(DV$4="",$B11=""),0,SUMIF('DADOS BRUTOS'!$A$3:$A$500,$B11,'DADOS BRUTOS'!AV$3:AV$500)+IF($C11="",0,SUMIF('DADOS BRUTOS'!$A$3:$A$500,$C11,'DADOS BRUTOS'!AV$3:AV$500)))</f>
        <v>0</v>
      </c>
      <c r="DW11" s="133" t="n">
        <f aca="false">IF(OR(DW$4="",$B11=""),0,SUMIF('DADOS BRUTOS'!$A$3:$A$500,$B11,'DADOS BRUTOS'!AW$3:AW$500)+IF($C11="",0,SUMIF('DADOS BRUTOS'!$A$3:$A$500,$C11,'DADOS BRUTOS'!AW$3:AW$500)))</f>
        <v>0</v>
      </c>
      <c r="DX11" s="133" t="n">
        <f aca="false">IF(OR(DX$4="",$B11=""),0,SUMIF('DADOS BRUTOS'!$A$3:$A$500,$B11,'DADOS BRUTOS'!AX$3:AX$500)+IF($C11="",0,SUMIF('DADOS BRUTOS'!$A$3:$A$500,$C11,'DADOS BRUTOS'!AX$3:AX$500)))</f>
        <v>0</v>
      </c>
      <c r="DY11" s="133" t="n">
        <f aca="false">IF(OR(DY$4="",$B11=""),0,SUMIF('DADOS BRUTOS'!$A$3:$A$500,$B11,'DADOS BRUTOS'!AY$3:AY$500)+IF($C11="",0,SUMIF('DADOS BRUTOS'!$A$3:$A$500,$C11,'DADOS BRUTOS'!AY$3:AY$500)))</f>
        <v>0</v>
      </c>
      <c r="DZ11" s="133" t="n">
        <f aca="false">IF(OR(DZ$4="",$B11=""),0,SUMIF('DADOS BRUTOS'!$A$3:$A$500,$B11,'DADOS BRUTOS'!AZ$3:AZ$500)+IF($C11="",0,SUMIF('DADOS BRUTOS'!$A$3:$A$500,$C11,'DADOS BRUTOS'!AZ$3:AZ$500)))</f>
        <v>0</v>
      </c>
      <c r="EA11" s="133" t="n">
        <f aca="false">IF(OR(EA$4="",$B11=""),0,SUMIF('DADOS BRUTOS'!$A$3:$A$500,$B11,'DADOS BRUTOS'!BA$3:BA$500)+IF($C11="",0,SUMIF('DADOS BRUTOS'!$A$3:$A$500,$C11,'DADOS BRUTOS'!BA$3:BA$500)))</f>
        <v>0</v>
      </c>
      <c r="EB11" s="133" t="n">
        <f aca="false">IF(OR(EB$4="",$B11=""),0,SUMIF('DADOS BRUTOS'!$A$3:$A$500,$B11,'DADOS BRUTOS'!BB$3:BB$500)+IF($C11="",0,SUMIF('DADOS BRUTOS'!$A$3:$A$500,$C11,'DADOS BRUTOS'!BB$3:BB$500)))</f>
        <v>0</v>
      </c>
      <c r="EC11" s="133" t="n">
        <f aca="false">IF(OR(EC$4="",$B11=""),0,SUMIF('DADOS BRUTOS'!$A$3:$A$500,$B11,'DADOS BRUTOS'!BC$3:BC$500)+IF($C11="",0,SUMIF('DADOS BRUTOS'!$A$3:$A$500,$C11,'DADOS BRUTOS'!BC$3:BC$500)))</f>
        <v>0</v>
      </c>
      <c r="ED11" s="133" t="n">
        <f aca="false">IF(OR(ED$4="",$B11=""),0,SUMIF('DADOS BRUTOS'!$A$3:$A$500,$B11,'DADOS BRUTOS'!BD$3:BD$500)+IF($C11="",0,SUMIF('DADOS BRUTOS'!$A$3:$A$500,$C11,'DADOS BRUTOS'!BD$3:BD$500)))</f>
        <v>0</v>
      </c>
      <c r="EE11" s="133" t="n">
        <f aca="false">IF(OR(EE$4="",$B11=""),0,SUMIF('DADOS BRUTOS'!$A$3:$A$500,$B11,'DADOS BRUTOS'!BE$3:BE$500)+IF($C11="",0,SUMIF('DADOS BRUTOS'!$A$3:$A$500,$C11,'DADOS BRUTOS'!BE$3:BE$500)))</f>
        <v>0</v>
      </c>
      <c r="EF11" s="133" t="n">
        <f aca="false">IF(OR(EF$4="",$B11=""),0,SUMIF('DADOS BRUTOS'!$A$3:$A$500,$B11,'DADOS BRUTOS'!BF$3:BF$500)+IF($C11="",0,SUMIF('DADOS BRUTOS'!$A$3:$A$500,$C11,'DADOS BRUTOS'!BF$3:BF$500)))</f>
        <v>0</v>
      </c>
      <c r="EG11" s="133" t="n">
        <f aca="false">IF(OR(EG$4="",$B11=""),0,SUMIF('DADOS BRUTOS'!$A$3:$A$500,$B11,'DADOS BRUTOS'!BG$3:BG$500)+IF($C11="",0,SUMIF('DADOS BRUTOS'!$A$3:$A$500,$C11,'DADOS BRUTOS'!BG$3:BG$500)))</f>
        <v>0</v>
      </c>
      <c r="EH11" s="133" t="n">
        <f aca="false">IF(OR(EH$4="",$B11=""),0,SUMIF('DADOS BRUTOS'!$A$3:$A$500,$B11,'DADOS BRUTOS'!BH$3:BH$500)+IF($C11="",0,SUMIF('DADOS BRUTOS'!$A$3:$A$500,$C11,'DADOS BRUTOS'!BH$3:BH$500)))</f>
        <v>0</v>
      </c>
      <c r="EI11" s="133" t="n">
        <f aca="false">IF(OR(EI$4="",$B11=""),0,SUMIF('DADOS BRUTOS'!$A$3:$A$500,$B11,'DADOS BRUTOS'!BI$3:BI$500)+IF($C11="",0,SUMIF('DADOS BRUTOS'!$A$3:$A$500,$C11,'DADOS BRUTOS'!BI$3:BI$500)))</f>
        <v>0</v>
      </c>
      <c r="EJ11" s="133" t="n">
        <f aca="false">IF(OR(EJ$4="",$B11=""),0,SUMIF('DADOS BRUTOS'!$A$3:$A$500,$B11,'DADOS BRUTOS'!BJ$3:BJ$500)+IF($C11="",0,SUMIF('DADOS BRUTOS'!$A$3:$A$500,$C11,'DADOS BRUTOS'!BJ$3:BJ$500)))</f>
        <v>0</v>
      </c>
      <c r="EK11" s="133" t="n">
        <f aca="false">IF(OR(EK$4="",$B11=""),0,SUMIF('DADOS BRUTOS'!$A$3:$A$500,$B11,'DADOS BRUTOS'!BK$3:BK$500)+IF($C11="",0,SUMIF('DADOS BRUTOS'!$A$3:$A$500,$C11,'DADOS BRUTOS'!BK$3:BK$500)))</f>
        <v>0</v>
      </c>
      <c r="EL11" s="133" t="n">
        <f aca="false">IF(OR(EL$4="",$B11=""),0,SUMIF('DADOS BRUTOS'!$A$3:$A$500,$B11,'DADOS BRUTOS'!BL$3:BL$500)+IF($C11="",0,SUMIF('DADOS BRUTOS'!$A$3:$A$500,$C11,'DADOS BRUTOS'!BL$3:BL$500)))</f>
        <v>0</v>
      </c>
      <c r="EM11" s="133" t="n">
        <f aca="false">IF(OR(EM$4="",$B11=""),0,SUMIF('DADOS BRUTOS'!$A$3:$A$500,$B11,'DADOS BRUTOS'!BM$3:BM$500)+IF($C11="",0,SUMIF('DADOS BRUTOS'!$A$3:$A$500,$C11,'DADOS BRUTOS'!BM$3:BM$500)))</f>
        <v>0</v>
      </c>
      <c r="EN11" s="133" t="n">
        <f aca="false">IF(OR(EN$4="",$B11=""),0,SUMIF('DADOS BRUTOS'!$A$3:$A$500,$B11,'DADOS BRUTOS'!BN$3:BN$500)+IF($C11="",0,SUMIF('DADOS BRUTOS'!$A$3:$A$500,$C11,'DADOS BRUTOS'!BN$3:BN$500)))</f>
        <v>0</v>
      </c>
      <c r="EO11" s="133" t="n">
        <f aca="false">IF(OR(EO$4="",$B11=""),0,SUMIF('DADOS BRUTOS'!$A$3:$A$500,$B11,'DADOS BRUTOS'!BO$3:BO$500)+IF($C11="",0,SUMIF('DADOS BRUTOS'!$A$3:$A$500,$C11,'DADOS BRUTOS'!BO$3:BO$500)))</f>
        <v>0</v>
      </c>
      <c r="EP11" s="133" t="n">
        <f aca="false">IF(OR(EP$4="",$B11=""),0,SUMIF('DADOS BRUTOS'!$A$3:$A$500,$B11,'DADOS BRUTOS'!BP$3:BP$500)+IF($C11="",0,SUMIF('DADOS BRUTOS'!$A$3:$A$500,$C11,'DADOS BRUTOS'!BP$3:BP$500)))</f>
        <v>0</v>
      </c>
      <c r="EQ11" s="133" t="n">
        <f aca="false">IF(OR(EQ$4="",$B11=""),0,SUMIF('DADOS BRUTOS'!$A$3:$A$500,$B11,'DADOS BRUTOS'!BQ$3:BQ$500)+IF($C11="",0,SUMIF('DADOS BRUTOS'!$A$3:$A$500,$C11,'DADOS BRUTOS'!BQ$3:BQ$500)))</f>
        <v>0</v>
      </c>
      <c r="ER11" s="133" t="n">
        <f aca="false">IF(OR(ER$4="",$B11=""),0,SUMIF('DADOS BRUTOS'!$A$3:$A$500,$B11,'DADOS BRUTOS'!BR$3:BR$500)+IF($C11="",0,SUMIF('DADOS BRUTOS'!$A$3:$A$500,$C11,'DADOS BRUTOS'!BR$3:BR$500)))</f>
        <v>0</v>
      </c>
      <c r="ES11" s="133" t="n">
        <f aca="false">IF(OR(ES$4="",$B11=""),0,SUMIF('DADOS BRUTOS'!$A$3:$A$500,$B11,'DADOS BRUTOS'!BS$3:BS$500)+IF($C11="",0,SUMIF('DADOS BRUTOS'!$A$3:$A$500,$C11,'DADOS BRUTOS'!BS$3:BS$500)))</f>
        <v>0</v>
      </c>
      <c r="ET11" s="133" t="n">
        <f aca="false">IF(OR(ET$4="",$B11=""),0,SUMIF('DADOS BRUTOS'!$A$3:$A$500,$B11,'DADOS BRUTOS'!BT$3:BT$500)+IF($C11="",0,SUMIF('DADOS BRUTOS'!$A$3:$A$500,$C11,'DADOS BRUTOS'!BT$3:BT$500)))</f>
        <v>0</v>
      </c>
      <c r="EU11" s="133" t="n">
        <f aca="false">IF(OR(EU$4="",$B11=""),0,SUMIF('DADOS BRUTOS'!$A$3:$A$500,$B11,'DADOS BRUTOS'!BU$3:BU$500)+IF($C11="",0,SUMIF('DADOS BRUTOS'!$A$3:$A$500,$C11,'DADOS BRUTOS'!BU$3:BU$500)))</f>
        <v>0</v>
      </c>
      <c r="EV11" s="133" t="n">
        <f aca="false">IF(OR(EV$4="",$B11=""),0,SUMIF('DADOS BRUTOS'!$A$3:$A$500,$B11,'DADOS BRUTOS'!BV$3:BV$500)+IF($C11="",0,SUMIF('DADOS BRUTOS'!$A$3:$A$500,$C11,'DADOS BRUTOS'!BV$3:BV$500)))</f>
        <v>0</v>
      </c>
      <c r="EW11" s="133" t="n">
        <f aca="false">IF(OR(EW$4="",$B11=""),0,SUMIF('DADOS BRUTOS'!$A$3:$A$500,$B11,'DADOS BRUTOS'!BW$3:BW$500)+IF($C11="",0,SUMIF('DADOS BRUTOS'!$A$3:$A$500,$C11,'DADOS BRUTOS'!BW$3:BW$500)))</f>
        <v>0</v>
      </c>
      <c r="EX11" s="133" t="n">
        <f aca="false">IF(OR(EX$4="",$B11=""),0,SUMIF('DADOS BRUTOS'!$A$3:$A$500,$B11,'DADOS BRUTOS'!BX$3:BX$500)+IF($C11="",0,SUMIF('DADOS BRUTOS'!$A$3:$A$500,$C11,'DADOS BRUTOS'!BX$3:BX$500)))</f>
        <v>0</v>
      </c>
      <c r="EY11" s="133" t="n">
        <f aca="false">IF(OR(EY$4="",$B11=""),0,SUMIF('DADOS BRUTOS'!$A$3:$A$500,$B11,'DADOS BRUTOS'!BY$3:BY$500)+IF($C11="",0,SUMIF('DADOS BRUTOS'!$A$3:$A$500,$C11,'DADOS BRUTOS'!BY$3:BY$500)))</f>
        <v>0</v>
      </c>
      <c r="EZ11" s="133" t="n">
        <f aca="false">IF(OR(EZ$4="",$B11=""),0,SUMIF('DADOS BRUTOS'!$A$3:$A$500,$B11,'DADOS BRUTOS'!BZ$3:BZ$500)+IF($C11="",0,SUMIF('DADOS BRUTOS'!$A$3:$A$500,$C11,'DADOS BRUTOS'!BZ$3:BZ$500)))</f>
        <v>0</v>
      </c>
      <c r="FA11" s="133" t="n">
        <f aca="false">IF(OR(FA$4="",$B11=""),0,SUMIF('DADOS BRUTOS'!$A$3:$A$500,$B11,'DADOS BRUTOS'!CA$3:CA$500)+IF($C11="",0,SUMIF('DADOS BRUTOS'!$A$3:$A$500,$C11,'DADOS BRUTOS'!CA$3:CA$500)))</f>
        <v>0</v>
      </c>
      <c r="FB11" s="133" t="n">
        <f aca="false">IF(OR(FB$4="",$B11=""),0,SUMIF('DADOS BRUTOS'!$A$3:$A$500,$B11,'DADOS BRUTOS'!CB$3:CB$500)+IF($C11="",0,SUMIF('DADOS BRUTOS'!$A$3:$A$500,$C11,'DADOS BRUTOS'!CB$3:CB$500)))</f>
        <v>0</v>
      </c>
      <c r="FC11" s="133" t="n">
        <f aca="false">IF(OR(FC$4="",$B11=""),0,SUMIF('DADOS BRUTOS'!$A$3:$A$500,$B11,'DADOS BRUTOS'!CC$3:CC$500)+IF($C11="",0,SUMIF('DADOS BRUTOS'!$A$3:$A$500,$C11,'DADOS BRUTOS'!CC$3:CC$500)))</f>
        <v>0</v>
      </c>
      <c r="FD11" s="133" t="n">
        <f aca="false">IF(OR(FD$4="",$B11=""),0,SUMIF('DADOS BRUTOS'!$A$3:$A$500,$B11,'DADOS BRUTOS'!CD$3:CD$500)+IF($C11="",0,SUMIF('DADOS BRUTOS'!$A$3:$A$500,$C11,'DADOS BRUTOS'!CD$3:CD$500)))</f>
        <v>0</v>
      </c>
      <c r="FE11" s="133" t="n">
        <f aca="false">IF(OR(FE$4="",$B11=""),0,SUMIF('DADOS BRUTOS'!$A$3:$A$500,$B11,'DADOS BRUTOS'!CE$3:CE$500)+IF($C11="",0,SUMIF('DADOS BRUTOS'!$A$3:$A$500,$C11,'DADOS BRUTOS'!CE$3:CE$500)))</f>
        <v>0</v>
      </c>
      <c r="FF11" s="133" t="n">
        <f aca="false">IF(OR(FF$4="",$B11=""),0,SUMIF('DADOS BRUTOS'!$A$3:$A$500,$B11,'DADOS BRUTOS'!CF$3:CF$500)+IF($C11="",0,SUMIF('DADOS BRUTOS'!$A$3:$A$500,$C11,'DADOS BRUTOS'!CF$3:CF$500)))</f>
        <v>0</v>
      </c>
      <c r="FG11" s="133" t="n">
        <f aca="false">IF(OR(FG$4="",$B11=""),0,SUMIF('DADOS BRUTOS'!$A$3:$A$500,$B11,'DADOS BRUTOS'!CG$3:CG$500)+IF($C11="",0,SUMIF('DADOS BRUTOS'!$A$3:$A$500,$C11,'DADOS BRUTOS'!CG$3:CG$500)))</f>
        <v>0</v>
      </c>
      <c r="FH11" s="133" t="n">
        <f aca="false">IF(OR(FH$4="",$B11=""),0,SUMIF('DADOS BRUTOS'!$A$3:$A$500,$B11,'DADOS BRUTOS'!CH$3:CH$500)+IF($C11="",0,SUMIF('DADOS BRUTOS'!$A$3:$A$500,$C11,'DADOS BRUTOS'!CH$3:CH$500)))</f>
        <v>0</v>
      </c>
      <c r="FI11" s="133" t="n">
        <f aca="false">IF(OR(FI$4="",$B11=""),0,SUMIF('DADOS BRUTOS'!$A$3:$A$500,$B11,'DADOS BRUTOS'!CI$3:CI$500)+IF($C11="",0,SUMIF('DADOS BRUTOS'!$A$3:$A$500,$C11,'DADOS BRUTOS'!CI$3:CI$500)))</f>
        <v>0</v>
      </c>
      <c r="FJ11" s="133" t="n">
        <f aca="false">IF(OR(FJ$4="",$B11=""),0,SUMIF('DADOS BRUTOS'!$A$3:$A$500,$B11,'DADOS BRUTOS'!CJ$3:CJ$500)+IF($C11="",0,SUMIF('DADOS BRUTOS'!$A$3:$A$500,$C11,'DADOS BRUTOS'!CJ$3:CJ$500)))</f>
        <v>0</v>
      </c>
      <c r="FK11" s="133" t="n">
        <f aca="false">IF(OR(FK$4="",$B11=""),0,SUMIF('DADOS BRUTOS'!$A$3:$A$500,$B11,'DADOS BRUTOS'!CK$3:CK$500)+IF($C11="",0,SUMIF('DADOS BRUTOS'!$A$3:$A$500,$C11,'DADOS BRUTOS'!CK$3:CK$500)))</f>
        <v>0</v>
      </c>
      <c r="FL11" s="133" t="n">
        <f aca="false">IF(OR(FL$4="",$B11=""),0,SUMIF('DADOS BRUTOS'!$A$3:$A$500,$B11,'DADOS BRUTOS'!CL$3:CL$500)+IF($C11="",0,SUMIF('DADOS BRUTOS'!$A$3:$A$500,$C11,'DADOS BRUTOS'!CL$3:CL$500)))</f>
        <v>0</v>
      </c>
      <c r="FM11" s="133" t="n">
        <f aca="false">IF(OR(FM$4="",$B11=""),0,SUMIF('DADOS BRUTOS'!$A$3:$A$500,$B11,'DADOS BRUTOS'!CM$3:CM$500)+IF($C11="",0,SUMIF('DADOS BRUTOS'!$A$3:$A$500,$C11,'DADOS BRUTOS'!CM$3:CM$500)))</f>
        <v>0</v>
      </c>
      <c r="FN11" s="133" t="n">
        <f aca="false">IF(OR(FN$4="",$B11=""),0,SUMIF('DADOS BRUTOS'!$A$3:$A$500,$B11,'DADOS BRUTOS'!CN$3:CN$500)+IF($C11="",0,SUMIF('DADOS BRUTOS'!$A$3:$A$500,$C11,'DADOS BRUTOS'!CN$3:CN$500)))</f>
        <v>0</v>
      </c>
      <c r="FO11" s="133" t="n">
        <f aca="false">IF(OR(FO$4="",$B11=""),0,SUMIF('DADOS BRUTOS'!$A$3:$A$500,$B11,'DADOS BRUTOS'!CO$3:CO$500)+IF($C11="",0,SUMIF('DADOS BRUTOS'!$A$3:$A$500,$C11,'DADOS BRUTOS'!CO$3:CO$500)))</f>
        <v>0</v>
      </c>
      <c r="FP11" s="133" t="n">
        <f aca="false">IF(OR(FP$4="",$B11=""),0,SUMIF('DADOS BRUTOS'!$A$3:$A$500,$B11,'DADOS BRUTOS'!CP$3:CP$500)+IF($C11="",0,SUMIF('DADOS BRUTOS'!$A$3:$A$500,$C11,'DADOS BRUTOS'!CP$3:CP$500)))</f>
        <v>0</v>
      </c>
      <c r="FQ11" s="133" t="n">
        <f aca="false">IF(OR(FQ$4="",$B11=""),0,SUMIF('DADOS BRUTOS'!$A$3:$A$500,$B11,'DADOS BRUTOS'!CQ$3:CQ$500)+IF($C11="",0,SUMIF('DADOS BRUTOS'!$A$3:$A$500,$C11,'DADOS BRUTOS'!CQ$3:CQ$500)))</f>
        <v>0</v>
      </c>
      <c r="FR11" s="133" t="n">
        <f aca="false">IF(OR(FR$4="",$B11=""),0,SUMIF('DADOS BRUTOS'!$A$3:$A$500,$B11,'DADOS BRUTOS'!CR$3:CR$500)+IF($C11="",0,SUMIF('DADOS BRUTOS'!$A$3:$A$500,$C11,'DADOS BRUTOS'!CR$3:CR$500)))</f>
        <v>0</v>
      </c>
      <c r="FS11" s="133" t="n">
        <f aca="false">IF(OR(FS$4="",$B11=""),0,SUMIF('DADOS BRUTOS'!$A$3:$A$500,$B11,'DADOS BRUTOS'!CS$3:CS$500)+IF($C11="",0,SUMIF('DADOS BRUTOS'!$A$3:$A$500,$C11,'DADOS BRUTOS'!CS$3:CS$500)))</f>
        <v>0</v>
      </c>
      <c r="FT11" s="133" t="n">
        <f aca="false">IF(OR(FT$4="",$B11=""),0,SUMIF('DADOS BRUTOS'!$A$3:$A$500,$B11,'DADOS BRUTOS'!CT$3:CT$500)+IF($C11="",0,SUMIF('DADOS BRUTOS'!$A$3:$A$500,$C11,'DADOS BRUTOS'!CT$3:CT$500)))</f>
        <v>0</v>
      </c>
      <c r="FU11" s="133" t="n">
        <f aca="false">IF(OR(FU$4="",$B11=""),0,SUMIF('DADOS BRUTOS'!$A$3:$A$500,$B11,'DADOS BRUTOS'!CU$3:CU$500)+IF($C11="",0,SUMIF('DADOS BRUTOS'!$A$3:$A$500,$C11,'DADOS BRUTOS'!CU$3:CU$500)))</f>
        <v>0</v>
      </c>
      <c r="FV11" s="133" t="n">
        <f aca="false">IF(OR(FV$4="",$B11=""),0,SUMIF('DADOS BRUTOS'!$A$3:$A$500,$B11,'DADOS BRUTOS'!CV$3:CV$500)+IF($C11="",0,SUMIF('DADOS BRUTOS'!$A$3:$A$500,$C11,'DADOS BRUTOS'!CV$3:CV$500)))</f>
        <v>0</v>
      </c>
      <c r="FW11" s="133" t="n">
        <f aca="false">IF(OR(FW$4="",$B11=""),0,SUMIF('DADOS BRUTOS'!$A$3:$A$500,$B11,'DADOS BRUTOS'!CW$3:CW$500)+IF($C11="",0,SUMIF('DADOS BRUTOS'!$A$3:$A$500,$C11,'DADOS BRUTOS'!CW$3:CW$500)))</f>
        <v>0</v>
      </c>
      <c r="FX11" s="133" t="n">
        <f aca="false">IF(OR(FX$4="",$B11=""),0,SUMIF('DADOS BRUTOS'!$A$3:$A$500,$B11,'DADOS BRUTOS'!CX$3:CX$500)+IF($C11="",0,SUMIF('DADOS BRUTOS'!$A$3:$A$500,$C11,'DADOS BRUTOS'!CX$3:CX$500)))</f>
        <v>0</v>
      </c>
      <c r="FY11" s="133" t="n">
        <f aca="false">IF(OR(FY$4="",$B11=""),0,SUMIF('DADOS BRUTOS'!$A$3:$A$500,$B11,'DADOS BRUTOS'!CY$3:CY$500)+IF($C11="",0,SUMIF('DADOS BRUTOS'!$A$3:$A$500,$C11,'DADOS BRUTOS'!CY$3:CY$500)))</f>
        <v>0</v>
      </c>
      <c r="FZ11" s="133" t="n">
        <f aca="false">IF(OR(FZ$4="",$B11=""),0,SUMIF('DADOS BRUTOS'!$A$3:$A$500,$B11,'DADOS BRUTOS'!CZ$3:CZ$500)+IF($C11="",0,SUMIF('DADOS BRUTOS'!$A$3:$A$500,$C11,'DADOS BRUTOS'!CZ$3:CZ$500)))</f>
        <v>0</v>
      </c>
      <c r="GA11" s="133" t="n">
        <f aca="false">IF(OR(GA$4="",$B11=""),0,SUMIF('DADOS BRUTOS'!$A$3:$A$500,$B11,'DADOS BRUTOS'!DA$3:DA$500)+IF($C11="",0,SUMIF('DADOS BRUTOS'!$A$3:$A$500,$C11,'DADOS BRUTOS'!DA$3:DA$500)))</f>
        <v>0</v>
      </c>
      <c r="GB11" s="133" t="n">
        <f aca="false">IF(OR(GB$4="",$B11=""),0,SUMIF('DADOS BRUTOS'!$A$3:$A$500,$B11,'DADOS BRUTOS'!DB$3:DB$500)+IF($C11="",0,SUMIF('DADOS BRUTOS'!$A$3:$A$500,$C11,'DADOS BRUTOS'!DB$3:DB$500)))</f>
        <v>0</v>
      </c>
      <c r="GC11" s="133" t="n">
        <f aca="false">IF(OR(GC$4="",$B11=""),0,SUMIF('DADOS BRUTOS'!$A$3:$A$500,$B11,'DADOS BRUTOS'!DC$3:DC$500)+IF($C11="",0,SUMIF('DADOS BRUTOS'!$A$3:$A$500,$C11,'DADOS BRUTOS'!DC$3:DC$500)))</f>
        <v>0</v>
      </c>
      <c r="GD11" s="133" t="n">
        <f aca="false">IF(OR(GD$4="",$B11=""),0,SUMIF('DADOS BRUTOS'!$A$3:$A$500,$B11,'DADOS BRUTOS'!DD$3:DD$500)+IF($C11="",0,SUMIF('DADOS BRUTOS'!$A$3:$A$500,$C11,'DADOS BRUTOS'!DD$3:DD$500)))</f>
        <v>0</v>
      </c>
      <c r="GE11" s="133" t="n">
        <f aca="false">IF(OR(GE$4="",$B11=""),0,SUMIF('DADOS BRUTOS'!$A$3:$A$500,$B11,'DADOS BRUTOS'!DE$3:DE$500)+IF($C11="",0,SUMIF('DADOS BRUTOS'!$A$3:$A$500,$C11,'DADOS BRUTOS'!DE$3:DE$500)))</f>
        <v>0</v>
      </c>
      <c r="GF11" s="133" t="n">
        <f aca="false">IF(OR(GF$4="",$B11=""),0,SUMIF('DADOS BRUTOS'!$A$3:$A$500,$B11,'DADOS BRUTOS'!DF$3:DF$500)+IF($C11="",0,SUMIF('DADOS BRUTOS'!$A$3:$A$500,$C11,'DADOS BRUTOS'!DF$3:DF$500)))</f>
        <v>0</v>
      </c>
      <c r="GG11" s="133" t="n">
        <f aca="false">IF(OR(GG$4="",$B11=""),0,SUMIF('DADOS BRUTOS'!$A$3:$A$500,$B11,'DADOS BRUTOS'!DG$3:DG$500)+IF($C11="",0,SUMIF('DADOS BRUTOS'!$A$3:$A$500,$C11,'DADOS BRUTOS'!DG$3:DG$500)))</f>
        <v>0</v>
      </c>
      <c r="GH11" s="133" t="n">
        <f aca="false">IF(OR(GH$4="",$B11=""),0,SUMIF('DADOS BRUTOS'!$A$3:$A$500,$B11,'DADOS BRUTOS'!DH$3:DH$500)+IF($C11="",0,SUMIF('DADOS BRUTOS'!$A$3:$A$500,$C11,'DADOS BRUTOS'!DH$3:DH$500)))</f>
        <v>0</v>
      </c>
      <c r="GI11" s="133" t="n">
        <f aca="false">IF(OR(GI$4="",$B11=""),0,SUMIF('DADOS BRUTOS'!$A$3:$A$500,$B11,'DADOS BRUTOS'!DI$3:DI$500)+IF($C11="",0,SUMIF('DADOS BRUTOS'!$A$3:$A$500,$C11,'DADOS BRUTOS'!DI$3:DI$500)))</f>
        <v>0</v>
      </c>
      <c r="GJ11" s="133" t="n">
        <f aca="false">IF(OR(GJ$4="",$B11=""),0,SUMIF('DADOS BRUTOS'!$A$3:$A$500,$B11,'DADOS BRUTOS'!DJ$3:DJ$500)+IF($C11="",0,SUMIF('DADOS BRUTOS'!$A$3:$A$500,$C11,'DADOS BRUTOS'!DJ$3:DJ$500)))</f>
        <v>0</v>
      </c>
      <c r="GK11" s="133" t="n">
        <f aca="false">IF(OR(GK$4="",$B11=""),0,SUMIF('DADOS BRUTOS'!$A$3:$A$500,$B11,'DADOS BRUTOS'!DK$3:DK$500)+IF($C11="",0,SUMIF('DADOS BRUTOS'!$A$3:$A$500,$C11,'DADOS BRUTOS'!DK$3:DK$500)))</f>
        <v>0</v>
      </c>
      <c r="GL11" s="133" t="n">
        <f aca="false">IF(OR(GL$4="",$B11=""),0,SUMIF('DADOS BRUTOS'!$A$3:$A$500,$B11,'DADOS BRUTOS'!DL$3:DL$500)+IF($C11="",0,SUMIF('DADOS BRUTOS'!$A$3:$A$500,$C11,'DADOS BRUTOS'!DL$3:DL$500)))</f>
        <v>0</v>
      </c>
      <c r="GM11" s="133" t="n">
        <f aca="false">IF(OR(GM$4="",$B11=""),0,SUMIF('DADOS BRUTOS'!$A$3:$A$500,$B11,'DADOS BRUTOS'!DM$3:DM$500)+IF($C11="",0,SUMIF('DADOS BRUTOS'!$A$3:$A$500,$C11,'DADOS BRUTOS'!DM$3:DM$500)))</f>
        <v>0</v>
      </c>
      <c r="GN11" s="133" t="n">
        <f aca="false">IF(OR(GN$4="",$B11=""),0,SUMIF('DADOS BRUTOS'!$A$3:$A$500,$B11,'DADOS BRUTOS'!DN$3:DN$500)+IF($C11="",0,SUMIF('DADOS BRUTOS'!$A$3:$A$500,$C11,'DADOS BRUTOS'!DN$3:DN$500)))</f>
        <v>0</v>
      </c>
      <c r="GO11" s="133" t="n">
        <f aca="false">IF(OR(GO$4="",$B11=""),0,SUMIF('DADOS BRUTOS'!$A$3:$A$500,$B11,'DADOS BRUTOS'!DO$3:DO$500)+IF($C11="",0,SUMIF('DADOS BRUTOS'!$A$3:$A$500,$C11,'DADOS BRUTOS'!DO$3:DO$500)))</f>
        <v>0</v>
      </c>
      <c r="GP11" s="133" t="n">
        <f aca="false">IF(OR(GP$4="",$B11=""),0,SUMIF('DADOS BRUTOS'!$A$3:$A$500,$B11,'DADOS BRUTOS'!DP$3:DP$500)+IF($C11="",0,SUMIF('DADOS BRUTOS'!$A$3:$A$500,$C11,'DADOS BRUTOS'!DP$3:DP$500)))</f>
        <v>0</v>
      </c>
      <c r="GQ11" s="133" t="n">
        <f aca="false">IF(OR(GQ$4="",$B11=""),0,SUMIF('DADOS BRUTOS'!$A$3:$A$500,$B11,'DADOS BRUTOS'!DQ$3:DQ$500)+IF($C11="",0,SUMIF('DADOS BRUTOS'!$A$3:$A$500,$C11,'DADOS BRUTOS'!DQ$3:DQ$500)))</f>
        <v>0</v>
      </c>
      <c r="GR11" s="133" t="n">
        <f aca="false">IF(OR(GR$4="",$B11=""),0,SUMIF('DADOS BRUTOS'!$A$3:$A$500,$B11,'DADOS BRUTOS'!DR$3:DR$500)+IF($C11="",0,SUMIF('DADOS BRUTOS'!$A$3:$A$500,$C11,'DADOS BRUTOS'!DR$3:DR$500)))</f>
        <v>0</v>
      </c>
      <c r="GS11" s="133" t="n">
        <f aca="false">IF(OR(GS$4="",$B11=""),0,SUMIF('DADOS BRUTOS'!$A$3:$A$500,$B11,'DADOS BRUTOS'!DS$3:DS$500)+IF($C11="",0,SUMIF('DADOS BRUTOS'!$A$3:$A$500,$C11,'DADOS BRUTOS'!DS$3:DS$500)))</f>
        <v>0</v>
      </c>
      <c r="GT11" s="133" t="n">
        <f aca="false">IF(OR(GT$4="",$B11=""),0,SUMIF('DADOS BRUTOS'!$A$3:$A$500,$B11,'DADOS BRUTOS'!DT$3:DT$500)+IF($C11="",0,SUMIF('DADOS BRUTOS'!$A$3:$A$500,$C11,'DADOS BRUTOS'!DT$3:DT$500)))</f>
        <v>0</v>
      </c>
      <c r="GU11" s="133" t="n">
        <f aca="false">IF(OR(GU$4="",$B11=""),0,SUMIF('DADOS BRUTOS'!$A$3:$A$500,$B11,'DADOS BRUTOS'!DU$3:DU$500)+IF($C11="",0,SUMIF('DADOS BRUTOS'!$A$3:$A$500,$C11,'DADOS BRUTOS'!DU$3:DU$500)))</f>
        <v>0</v>
      </c>
      <c r="GV11" s="133" t="n">
        <f aca="false">IF(OR(GV$4="",$B11=""),0,SUMIF('DADOS BRUTOS'!$A$3:$A$500,$B11,'DADOS BRUTOS'!DV$3:DV$500)+IF($C11="",0,SUMIF('DADOS BRUTOS'!$A$3:$A$500,$C11,'DADOS BRUTOS'!DV$3:DV$500)))</f>
        <v>0</v>
      </c>
      <c r="GW11" s="133" t="n">
        <f aca="false">IF(OR(GW$4="",$B11=""),0,SUMIF('DADOS BRUTOS'!$A$3:$A$500,$B11,'DADOS BRUTOS'!DW$3:DW$500)+IF($C11="",0,SUMIF('DADOS BRUTOS'!$A$3:$A$500,$C11,'DADOS BRUTOS'!DW$3:DW$500)))</f>
        <v>0</v>
      </c>
      <c r="GX11" s="133" t="n">
        <f aca="false">IF(OR(GX$4="",$B11=""),0,SUMIF('DADOS BRUTOS'!$A$3:$A$500,$B11,'DADOS BRUTOS'!DX$3:DX$500)+IF($C11="",0,SUMIF('DADOS BRUTOS'!$A$3:$A$500,$C11,'DADOS BRUTOS'!DX$3:DX$500)))</f>
        <v>0</v>
      </c>
      <c r="GY11" s="133" t="n">
        <f aca="false">IF(OR(GY$4="",$B11=""),0,SUMIF('DADOS BRUTOS'!$A$3:$A$500,$B11,'DADOS BRUTOS'!DY$3:DY$500)+IF($C11="",0,SUMIF('DADOS BRUTOS'!$A$3:$A$500,$C11,'DADOS BRUTOS'!DY$3:DY$500)))</f>
        <v>0</v>
      </c>
      <c r="GZ11" s="133" t="n">
        <f aca="false">IF(OR(GZ$4="",$B11=""),0,SUMIF('DADOS BRUTOS'!$A$3:$A$500,$B11,'DADOS BRUTOS'!DZ$3:DZ$500)+IF($C11="",0,SUMIF('DADOS BRUTOS'!$A$3:$A$500,$C11,'DADOS BRUTOS'!DZ$3:DZ$500)))</f>
        <v>0</v>
      </c>
      <c r="HA11" s="133" t="n">
        <f aca="false">IF(OR(HA$4="",$B11=""),0,SUMIF('DADOS BRUTOS'!$A$3:$A$500,$B11,'DADOS BRUTOS'!EA$3:EA$500)+IF($C11="",0,SUMIF('DADOS BRUTOS'!$A$3:$A$500,$C11,'DADOS BRUTOS'!EA$3:EA$500)))</f>
        <v>0</v>
      </c>
      <c r="HB11" s="133" t="n">
        <f aca="false">IF(OR(HB$4="",$B11=""),0,SUMIF('DADOS BRUTOS'!$A$3:$A$500,$B11,'DADOS BRUTOS'!EB$3:EB$500)+IF($C11="",0,SUMIF('DADOS BRUTOS'!$A$3:$A$500,$C11,'DADOS BRUTOS'!EB$3:EB$500)))</f>
        <v>0</v>
      </c>
      <c r="HC11" s="133" t="n">
        <f aca="false">IF(OR(HC$4="",$B11=""),0,SUMIF('DADOS BRUTOS'!$A$3:$A$500,$B11,'DADOS BRUTOS'!EC$3:EC$500)+IF($C11="",0,SUMIF('DADOS BRUTOS'!$A$3:$A$500,$C11,'DADOS BRUTOS'!EC$3:EC$500)))</f>
        <v>0</v>
      </c>
      <c r="HD11" s="133" t="n">
        <f aca="false">IF(OR(HD$4="",$B11=""),0,SUMIF('DADOS BRUTOS'!$A$3:$A$500,$B11,'DADOS BRUTOS'!ED$3:ED$500)+IF($C11="",0,SUMIF('DADOS BRUTOS'!$A$3:$A$500,$C11,'DADOS BRUTOS'!ED$3:ED$500)))</f>
        <v>0</v>
      </c>
      <c r="HE11" s="133" t="n">
        <f aca="false">IF(OR(HE$4="",$B11=""),0,SUMIF('DADOS BRUTOS'!$A$3:$A$500,$B11,'DADOS BRUTOS'!EE$3:EE$500)+IF($C11="",0,SUMIF('DADOS BRUTOS'!$A$3:$A$500,$C11,'DADOS BRUTOS'!EE$3:EE$500)))</f>
        <v>0</v>
      </c>
      <c r="HF11" s="133" t="n">
        <f aca="false">IF(OR(HF$4="",$B11=""),0,SUMIF('DADOS BRUTOS'!$A$3:$A$500,$B11,'DADOS BRUTOS'!EF$3:EF$500)+IF($C11="",0,SUMIF('DADOS BRUTOS'!$A$3:$A$500,$C11,'DADOS BRUTOS'!EF$3:EF$500)))</f>
        <v>0</v>
      </c>
      <c r="HG11" s="133" t="n">
        <f aca="false">IF(OR(HG$4="",$B11=""),0,SUMIF('DADOS BRUTOS'!$A$3:$A$500,$B11,'DADOS BRUTOS'!EG$3:EG$500)+IF($C11="",0,SUMIF('DADOS BRUTOS'!$A$3:$A$500,$C11,'DADOS BRUTOS'!EG$3:EG$500)))</f>
        <v>0</v>
      </c>
      <c r="HH11" s="133" t="n">
        <f aca="false">IF(OR(HH$4="",$B11=""),0,SUMIF('DADOS BRUTOS'!$A$3:$A$500,$B11,'DADOS BRUTOS'!EH$3:EH$500)+IF($C11="",0,SUMIF('DADOS BRUTOS'!$A$3:$A$500,$C11,'DADOS BRUTOS'!EH$3:EH$500)))</f>
        <v>0</v>
      </c>
      <c r="HI11" s="133" t="n">
        <f aca="false">IF(OR(HI$4="",$B11=""),0,SUMIF('DADOS BRUTOS'!$A$3:$A$500,$B11,'DADOS BRUTOS'!EI$3:EI$500)+IF($C11="",0,SUMIF('DADOS BRUTOS'!$A$3:$A$500,$C11,'DADOS BRUTOS'!EI$3:EI$500)))</f>
        <v>0</v>
      </c>
      <c r="HJ11" s="133" t="n">
        <f aca="false">IF(OR(HJ$4="",$B11=""),0,SUMIF('DADOS BRUTOS'!$A$3:$A$500,$B11,'DADOS BRUTOS'!EJ$3:EJ$500)+IF($C11="",0,SUMIF('DADOS BRUTOS'!$A$3:$A$500,$C11,'DADOS BRUTOS'!EJ$3:EJ$500)))</f>
        <v>0</v>
      </c>
      <c r="HK11" s="133" t="n">
        <f aca="false">IF(OR(HK$4="",$B11=""),0,SUMIF('DADOS BRUTOS'!$A$3:$A$500,$B11,'DADOS BRUTOS'!EK$3:EK$500)+IF($C11="",0,SUMIF('DADOS BRUTOS'!$A$3:$A$500,$C11,'DADOS BRUTOS'!EK$3:EK$500)))</f>
        <v>0</v>
      </c>
      <c r="HL11" s="133" t="n">
        <f aca="false">IF(OR(HL$4="",$B11=""),0,SUMIF('DADOS BRUTOS'!$A$3:$A$500,$B11,'DADOS BRUTOS'!EL$3:EL$500)+IF($C11="",0,SUMIF('DADOS BRUTOS'!$A$3:$A$500,$C11,'DADOS BRUTOS'!EL$3:EL$500)))</f>
        <v>0</v>
      </c>
      <c r="HM11" s="133" t="n">
        <f aca="false">IF(OR(HM$4="",$B11=""),0,SUMIF('DADOS BRUTOS'!$A$3:$A$500,$B11,'DADOS BRUTOS'!EM$3:EM$500)+IF($C11="",0,SUMIF('DADOS BRUTOS'!$A$3:$A$500,$C11,'DADOS BRUTOS'!EM$3:EM$500)))</f>
        <v>0</v>
      </c>
      <c r="HN11" s="133" t="n">
        <f aca="false">IF(OR(HN$4="",$B11=""),0,SUMIF('DADOS BRUTOS'!$A$3:$A$500,$B11,'DADOS BRUTOS'!EN$3:EN$500)+IF($C11="",0,SUMIF('DADOS BRUTOS'!$A$3:$A$500,$C11,'DADOS BRUTOS'!EN$3:EN$500)))</f>
        <v>0</v>
      </c>
      <c r="HO11" s="133" t="n">
        <f aca="false">IF(OR(HO$4="",$B11=""),0,SUMIF('DADOS BRUTOS'!$A$3:$A$500,$B11,'DADOS BRUTOS'!EO$3:EO$500)+IF($C11="",0,SUMIF('DADOS BRUTOS'!$A$3:$A$500,$C11,'DADOS BRUTOS'!EO$3:EO$500)))</f>
        <v>0</v>
      </c>
      <c r="HP11" s="133" t="n">
        <f aca="false">IF(OR(HP$4="",$B11=""),0,SUMIF('DADOS BRUTOS'!$A$3:$A$500,$B11,'DADOS BRUTOS'!EP$3:EP$500)+IF($C11="",0,SUMIF('DADOS BRUTOS'!$A$3:$A$500,$C11,'DADOS BRUTOS'!EP$3:EP$500)))</f>
        <v>0</v>
      </c>
      <c r="HQ11" s="133" t="n">
        <f aca="false">IF(OR(HQ$4="",$B11=""),0,SUMIF('DADOS BRUTOS'!$A$3:$A$500,$B11,'DADOS BRUTOS'!EQ$3:EQ$500)+IF($C11="",0,SUMIF('DADOS BRUTOS'!$A$3:$A$500,$C11,'DADOS BRUTOS'!EQ$3:EQ$500)))</f>
        <v>0</v>
      </c>
      <c r="HR11" s="133" t="n">
        <f aca="false">IF(OR(HR$4="",$B11=""),0,SUMIF('DADOS BRUTOS'!$A$3:$A$500,$B11,'DADOS BRUTOS'!ER$3:ER$500)+IF($C11="",0,SUMIF('DADOS BRUTOS'!$A$3:$A$500,$C11,'DADOS BRUTOS'!ER$3:ER$500)))</f>
        <v>0</v>
      </c>
      <c r="HS11" s="133" t="n">
        <f aca="false">IF(OR(HS$4="",$B11=""),0,SUMIF('DADOS BRUTOS'!$A$3:$A$500,$B11,'DADOS BRUTOS'!ES$3:ES$500)+IF($C11="",0,SUMIF('DADOS BRUTOS'!$A$3:$A$500,$C11,'DADOS BRUTOS'!ES$3:ES$500)))</f>
        <v>0</v>
      </c>
      <c r="HT11" s="133" t="n">
        <f aca="false">IF(OR(HT$4="",$B11=""),0,SUMIF('DADOS BRUTOS'!$A$3:$A$500,$B11,'DADOS BRUTOS'!ET$3:ET$500)+IF($C11="",0,SUMIF('DADOS BRUTOS'!$A$3:$A$500,$C11,'DADOS BRUTOS'!ET$3:ET$500)))</f>
        <v>0</v>
      </c>
      <c r="HU11" s="133" t="n">
        <f aca="false">IF(OR(HU$4="",$B11=""),0,SUMIF('DADOS BRUTOS'!$A$3:$A$500,$B11,'DADOS BRUTOS'!EU$3:EU$500)+IF($C11="",0,SUMIF('DADOS BRUTOS'!$A$3:$A$500,$C11,'DADOS BRUTOS'!EU$3:EU$500)))</f>
        <v>0</v>
      </c>
      <c r="HV11" s="133" t="n">
        <f aca="false">IF(OR(HV$4="",$B11=""),0,SUMIF('DADOS BRUTOS'!$A$3:$A$500,$B11,'DADOS BRUTOS'!EV$3:EV$500)+IF($C11="",0,SUMIF('DADOS BRUTOS'!$A$3:$A$500,$C11,'DADOS BRUTOS'!EV$3:EV$500)))</f>
        <v>0</v>
      </c>
      <c r="HW11" s="133" t="n">
        <f aca="false">IF(OR(HW$4="",$B11=""),0,SUMIF('DADOS BRUTOS'!$A$3:$A$500,$B11,'DADOS BRUTOS'!EW$3:EW$500)+IF($C11="",0,SUMIF('DADOS BRUTOS'!$A$3:$A$500,$C11,'DADOS BRUTOS'!EW$3:EW$500)))</f>
        <v>0</v>
      </c>
      <c r="HX11" s="133" t="n">
        <f aca="false">IF(OR(HX$4="",$B11=""),0,SUMIF('DADOS BRUTOS'!$A$3:$A$500,$B11,'DADOS BRUTOS'!EX$3:EX$500)+IF($C11="",0,SUMIF('DADOS BRUTOS'!$A$3:$A$500,$C11,'DADOS BRUTOS'!EX$3:EX$500)))</f>
        <v>0</v>
      </c>
      <c r="HY11" s="133" t="n">
        <f aca="false">IF(OR(HY$4="",$B11=""),0,SUMIF('DADOS BRUTOS'!$A$3:$A$500,$B11,'DADOS BRUTOS'!EY$3:EY$500)+IF($C11="",0,SUMIF('DADOS BRUTOS'!$A$3:$A$500,$C11,'DADOS BRUTOS'!EY$3:EY$500)))</f>
        <v>0</v>
      </c>
      <c r="HZ11" s="133" t="n">
        <f aca="false">IF(OR(HZ$4="",$B11=""),0,SUMIF('DADOS BRUTOS'!$A$3:$A$500,$B11,'DADOS BRUTOS'!EZ$3:EZ$500)+IF($C11="",0,SUMIF('DADOS BRUTOS'!$A$3:$A$500,$C11,'DADOS BRUTOS'!EZ$3:EZ$500)))</f>
        <v>0</v>
      </c>
      <c r="IA11" s="133" t="n">
        <f aca="false">IF(OR(IA$4="",$B11=""),0,SUMIF('DADOS BRUTOS'!$A$3:$A$500,$B11,'DADOS BRUTOS'!FA$3:FA$500)+IF($C11="",0,SUMIF('DADOS BRUTOS'!$A$3:$A$500,$C11,'DADOS BRUTOS'!FA$3:FA$500)))</f>
        <v>0</v>
      </c>
      <c r="IB11" s="133" t="n">
        <f aca="false">IF(OR(IB$4="",$B11=""),0,SUMIF('DADOS BRUTOS'!$A$3:$A$500,$B11,'DADOS BRUTOS'!FB$3:FB$500)+IF($C11="",0,SUMIF('DADOS BRUTOS'!$A$3:$A$500,$C11,'DADOS BRUTOS'!FB$3:FB$500)))</f>
        <v>0</v>
      </c>
      <c r="IC11" s="133" t="n">
        <f aca="false">IF(OR(IC$4="",$B11=""),0,SUMIF('DADOS BRUTOS'!$A$3:$A$500,$B11,'DADOS BRUTOS'!FC$3:FC$500)+IF($C11="",0,SUMIF('DADOS BRUTOS'!$A$3:$A$500,$C11,'DADOS BRUTOS'!FC$3:FC$500)))</f>
        <v>0</v>
      </c>
      <c r="ID11" s="133" t="n">
        <f aca="false">IF(OR(ID$4="",$B11=""),0,SUMIF('DADOS BRUTOS'!$A$3:$A$500,$B11,'DADOS BRUTOS'!FD$3:FD$500)+IF($C11="",0,SUMIF('DADOS BRUTOS'!$A$3:$A$500,$C11,'DADOS BRUTOS'!FD$3:FD$500)))</f>
        <v>0</v>
      </c>
      <c r="IE11" s="133" t="n">
        <f aca="false">IF(OR(IE$4="",$B11=""),0,SUMIF('DADOS BRUTOS'!$A$3:$A$500,$B11,'DADOS BRUTOS'!FE$3:FE$500)+IF($C11="",0,SUMIF('DADOS BRUTOS'!$A$3:$A$500,$C11,'DADOS BRUTOS'!FE$3:FE$500)))</f>
        <v>0</v>
      </c>
      <c r="IF11" s="133" t="n">
        <f aca="false">IF(OR(IF$4="",$B11=""),0,SUMIF('DADOS BRUTOS'!$A$3:$A$500,$B11,'DADOS BRUTOS'!FF$3:FF$500)+IF($C11="",0,SUMIF('DADOS BRUTOS'!$A$3:$A$500,$C11,'DADOS BRUTOS'!FF$3:FF$500)))</f>
        <v>0</v>
      </c>
      <c r="IG11" s="133" t="n">
        <f aca="false">IF(OR(IG$4="",$B11=""),0,SUMIF('DADOS BRUTOS'!$A$3:$A$500,$B11,'DADOS BRUTOS'!FG$3:FG$500)+IF($C11="",0,SUMIF('DADOS BRUTOS'!$A$3:$A$500,$C11,'DADOS BRUTOS'!FG$3:FG$500)))</f>
        <v>0</v>
      </c>
      <c r="IH11" s="133" t="n">
        <f aca="false">IF(OR(IH$4="",$B11=""),0,SUMIF('DADOS BRUTOS'!$A$3:$A$500,$B11,'DADOS BRUTOS'!FH$3:FH$500)+IF($C11="",0,SUMIF('DADOS BRUTOS'!$A$3:$A$500,$C11,'DADOS BRUTOS'!FH$3:FH$500)))</f>
        <v>0</v>
      </c>
      <c r="II11" s="133" t="n">
        <f aca="false">IF(OR(II$4="",$B11=""),0,SUMIF('DADOS BRUTOS'!$A$3:$A$500,$B11,'DADOS BRUTOS'!FI$3:FI$500)+IF($C11="",0,SUMIF('DADOS BRUTOS'!$A$3:$A$500,$C11,'DADOS BRUTOS'!FI$3:FI$500)))</f>
        <v>0</v>
      </c>
      <c r="IJ11" s="133" t="n">
        <f aca="false">IF(OR(IJ$4="",$B11=""),0,SUMIF('DADOS BRUTOS'!$A$3:$A$500,$B11,'DADOS BRUTOS'!FJ$3:FJ$500)+IF($C11="",0,SUMIF('DADOS BRUTOS'!$A$3:$A$500,$C11,'DADOS BRUTOS'!FJ$3:FJ$500)))</f>
        <v>0</v>
      </c>
      <c r="IK11" s="133" t="n">
        <f aca="false">IF(OR(IK$4="",$B11=""),0,SUMIF('DADOS BRUTOS'!$A$3:$A$500,$B11,'DADOS BRUTOS'!FK$3:FK$500)+IF($C11="",0,SUMIF('DADOS BRUTOS'!$A$3:$A$500,$C11,'DADOS BRUTOS'!FK$3:FK$500)))</f>
        <v>0</v>
      </c>
      <c r="IL11" s="133" t="n">
        <f aca="false">IF(OR(IL$4="",$B11=""),0,SUMIF('DADOS BRUTOS'!$A$3:$A$500,$B11,'DADOS BRUTOS'!FL$3:FL$500)+IF($C11="",0,SUMIF('DADOS BRUTOS'!$A$3:$A$500,$C11,'DADOS BRUTOS'!FL$3:FL$500)))</f>
        <v>0</v>
      </c>
      <c r="IM11" s="133" t="n">
        <f aca="false">IF(OR(IM$4="",$B11=""),0,SUMIF('DADOS BRUTOS'!$A$3:$A$500,$B11,'DADOS BRUTOS'!FM$3:FM$500)+IF($C11="",0,SUMIF('DADOS BRUTOS'!$A$3:$A$500,$C11,'DADOS BRUTOS'!FM$3:FM$500)))</f>
        <v>0</v>
      </c>
      <c r="IN11" s="133" t="n">
        <f aca="false">IF(OR(IN$4="",$B11=""),0,SUMIF('DADOS BRUTOS'!$A$3:$A$500,$B11,'DADOS BRUTOS'!FN$3:FN$500)+IF($C11="",0,SUMIF('DADOS BRUTOS'!$A$3:$A$500,$C11,'DADOS BRUTOS'!FN$3:FN$500)))</f>
        <v>0</v>
      </c>
      <c r="IO11" s="133" t="n">
        <f aca="false">IF(OR(IO$4="",$B11=""),0,SUMIF('DADOS BRUTOS'!$A$3:$A$500,$B11,'DADOS BRUTOS'!FO$3:FO$500)+IF($C11="",0,SUMIF('DADOS BRUTOS'!$A$3:$A$500,$C11,'DADOS BRUTOS'!FO$3:FO$500)))</f>
        <v>0</v>
      </c>
      <c r="IP11" s="133" t="n">
        <f aca="false">IF(OR(IP$4="",$B11=""),0,SUMIF('DADOS BRUTOS'!$A$3:$A$500,$B11,'DADOS BRUTOS'!FP$3:FP$500)+IF($C11="",0,SUMIF('DADOS BRUTOS'!$A$3:$A$500,$C11,'DADOS BRUTOS'!FP$3:FP$500)))</f>
        <v>0</v>
      </c>
      <c r="IQ11" s="133" t="n">
        <f aca="false">IF(OR(IQ$4="",$B11=""),0,SUMIF('DADOS BRUTOS'!$A$3:$A$500,$B11,'DADOS BRUTOS'!FQ$3:FQ$500)+IF($C11="",0,SUMIF('DADOS BRUTOS'!$A$3:$A$500,$C11,'DADOS BRUTOS'!FQ$3:FQ$500)))</f>
        <v>0</v>
      </c>
      <c r="IR11" s="133" t="n">
        <f aca="false">IF(OR(IR$4="",$B11=""),0,SUMIF('DADOS BRUTOS'!$A$3:$A$500,$B11,'DADOS BRUTOS'!FR$3:FR$500)+IF($C11="",0,SUMIF('DADOS BRUTOS'!$A$3:$A$500,$C11,'DADOS BRUTOS'!FR$3:FR$500)))</f>
        <v>0</v>
      </c>
      <c r="IS11" s="133" t="n">
        <f aca="false">IF(OR(IS$4="",$B11=""),0,SUMIF('DADOS BRUTOS'!$A$3:$A$500,$B11,'DADOS BRUTOS'!FS$3:FS$500)+IF($C11="",0,SUMIF('DADOS BRUTOS'!$A$3:$A$500,$C11,'DADOS BRUTOS'!FS$3:FS$500)))</f>
        <v>0</v>
      </c>
      <c r="IT11" s="133" t="n">
        <f aca="false">IF(OR(IT$4="",$B11=""),0,SUMIF('DADOS BRUTOS'!$A$3:$A$500,$B11,'DADOS BRUTOS'!FT$3:FT$500)+IF($C11="",0,SUMIF('DADOS BRUTOS'!$A$3:$A$500,$C11,'DADOS BRUTOS'!FT$3:FT$500)))</f>
        <v>0</v>
      </c>
      <c r="IU11" s="133" t="n">
        <f aca="false">IF(OR(IU$4="",$B11=""),0,SUMIF('DADOS BRUTOS'!$A$3:$A$500,$B11,'DADOS BRUTOS'!FU$3:FU$500)+IF($C11="",0,SUMIF('DADOS BRUTOS'!$A$3:$A$500,$C11,'DADOS BRUTOS'!FU$3:FU$500)))</f>
        <v>0</v>
      </c>
      <c r="IV11" s="133" t="n">
        <f aca="false">IF(OR(IV$4="",$B11=""),0,SUMIF('DADOS BRUTOS'!$A$3:$A$500,$B11,'DADOS BRUTOS'!FV$3:FV$500)+IF($C11="",0,SUMIF('DADOS BRUTOS'!$A$3:$A$500,$C11,'DADOS BRUTOS'!FV$3:FV$500)))</f>
        <v>0</v>
      </c>
      <c r="IW11" s="133" t="n">
        <f aca="false">IF(OR(IW$4="",$B11=""),0,SUMIF('DADOS BRUTOS'!$A$3:$A$500,$B11,'DADOS BRUTOS'!FW$3:FW$500)+IF($C11="",0,SUMIF('DADOS BRUTOS'!$A$3:$A$500,$C11,'DADOS BRUTOS'!FW$3:FW$500)))</f>
        <v>0</v>
      </c>
      <c r="IX11" s="133" t="n">
        <f aca="false">IF(OR(IX$4="",$B11=""),0,SUMIF('DADOS BRUTOS'!$A$3:$A$500,$B11,'DADOS BRUTOS'!FX$3:FX$500)+IF($C11="",0,SUMIF('DADOS BRUTOS'!$A$3:$A$500,$C11,'DADOS BRUTOS'!FX$3:FX$500)))</f>
        <v>0</v>
      </c>
      <c r="IY11" s="133" t="n">
        <f aca="false">IF(OR(IY$4="",$B11=""),0,SUMIF('DADOS BRUTOS'!$A$3:$A$500,$B11,'DADOS BRUTOS'!FY$3:FY$500)+IF($C11="",0,SUMIF('DADOS BRUTOS'!$A$3:$A$500,$C11,'DADOS BRUTOS'!FY$3:FY$500)))</f>
        <v>0</v>
      </c>
      <c r="IZ11" s="133" t="n">
        <f aca="false">IF(OR(IZ$4="",$B11=""),0,SUMIF('DADOS BRUTOS'!$A$3:$A$500,$B11,'DADOS BRUTOS'!FZ$3:FZ$500)+IF($C11="",0,SUMIF('DADOS BRUTOS'!$A$3:$A$500,$C11,'DADOS BRUTOS'!FZ$3:FZ$500)))</f>
        <v>0</v>
      </c>
      <c r="JA11" s="133" t="n">
        <f aca="false">IF(OR(JA$4="",$B11=""),0,SUMIF('DADOS BRUTOS'!$A$3:$A$500,$B11,'DADOS BRUTOS'!GA$3:GA$500)+IF($C11="",0,SUMIF('DADOS BRUTOS'!$A$3:$A$500,$C11,'DADOS BRUTOS'!GA$3:GA$500)))</f>
        <v>0</v>
      </c>
      <c r="JB11" s="133" t="n">
        <f aca="false">IF(OR(JB$4="",$B11=""),0,SUMIF('DADOS BRUTOS'!$A$3:$A$500,$B11,'DADOS BRUTOS'!GB$3:GB$500)+IF($C11="",0,SUMIF('DADOS BRUTOS'!$A$3:$A$500,$C11,'DADOS BRUTOS'!GB$3:GB$500)))</f>
        <v>0</v>
      </c>
      <c r="JC11" s="133" t="n">
        <f aca="false">IF(OR(JC$4="",$B11=""),0,SUMIF('DADOS BRUTOS'!$A$3:$A$500,$B11,'DADOS BRUTOS'!GC$3:GC$500)+IF($C11="",0,SUMIF('DADOS BRUTOS'!$A$3:$A$500,$C11,'DADOS BRUTOS'!GC$3:GC$500)))</f>
        <v>0</v>
      </c>
      <c r="JD11" s="133" t="n">
        <f aca="false">IF(OR(JD$4="",$B11=""),0,SUMIF('DADOS BRUTOS'!$A$3:$A$500,$B11,'DADOS BRUTOS'!GD$3:GD$500)+IF($C11="",0,SUMIF('DADOS BRUTOS'!$A$3:$A$500,$C11,'DADOS BRUTOS'!GD$3:GD$500)))</f>
        <v>0</v>
      </c>
      <c r="JE11" s="133" t="n">
        <f aca="false">IF(OR(JE$4="",$B11=""),0,SUMIF('DADOS BRUTOS'!$A$3:$A$500,$B11,'DADOS BRUTOS'!GE$3:GE$500)+IF($C11="",0,SUMIF('DADOS BRUTOS'!$A$3:$A$500,$C11,'DADOS BRUTOS'!GE$3:GE$500)))</f>
        <v>0</v>
      </c>
      <c r="JF11" s="133" t="n">
        <f aca="false">IF(OR(JF$4="",$B11=""),0,SUMIF('DADOS BRUTOS'!$A$3:$A$500,$B11,'DADOS BRUTOS'!GF$3:GF$500)+IF($C11="",0,SUMIF('DADOS BRUTOS'!$A$3:$A$500,$C11,'DADOS BRUTOS'!GF$3:GF$500)))</f>
        <v>0</v>
      </c>
      <c r="JG11" s="133" t="n">
        <f aca="false">IF(OR(JG$4="",$B11=""),0,SUMIF('DADOS BRUTOS'!$A$3:$A$500,$B11,'DADOS BRUTOS'!GG$3:GG$500)+IF($C11="",0,SUMIF('DADOS BRUTOS'!$A$3:$A$500,$C11,'DADOS BRUTOS'!GG$3:GG$500)))</f>
        <v>0</v>
      </c>
      <c r="JH11" s="133" t="n">
        <f aca="false">IF(OR(JH$4="",$B11=""),0,SUMIF('DADOS BRUTOS'!$A$3:$A$500,$B11,'DADOS BRUTOS'!GH$3:GH$500)+IF($C11="",0,SUMIF('DADOS BRUTOS'!$A$3:$A$500,$C11,'DADOS BRUTOS'!GH$3:GH$500)))</f>
        <v>0</v>
      </c>
      <c r="JI11" s="133" t="n">
        <f aca="false">IF(OR(JI$4="",$B11=""),0,SUMIF('DADOS BRUTOS'!$A$3:$A$500,$B11,'DADOS BRUTOS'!GI$3:GI$500)+IF($C11="",0,SUMIF('DADOS BRUTOS'!$A$3:$A$500,$C11,'DADOS BRUTOS'!GI$3:GI$500)))</f>
        <v>0</v>
      </c>
      <c r="JJ11" s="133" t="n">
        <f aca="false">IF(OR(JJ$4="",$B11=""),0,SUMIF('DADOS BRUTOS'!$A$3:$A$500,$B11,'DADOS BRUTOS'!GJ$3:GJ$500)+IF($C11="",0,SUMIF('DADOS BRUTOS'!$A$3:$A$500,$C11,'DADOS BRUTOS'!GJ$3:GJ$500)))</f>
        <v>0</v>
      </c>
      <c r="JK11" s="133" t="n">
        <f aca="false">IF(OR(JK$4="",$B11=""),0,SUMIF('DADOS BRUTOS'!$A$3:$A$500,$B11,'DADOS BRUTOS'!GK$3:GK$500)+IF($C11="",0,SUMIF('DADOS BRUTOS'!$A$3:$A$500,$C11,'DADOS BRUTOS'!GK$3:GK$500)))</f>
        <v>0</v>
      </c>
      <c r="JL11" s="133" t="n">
        <f aca="false">IF(OR(JL$4="",$B11=""),0,SUMIF('DADOS BRUTOS'!$A$3:$A$500,$B11,'DADOS BRUTOS'!GL$3:GL$500)+IF($C11="",0,SUMIF('DADOS BRUTOS'!$A$3:$A$500,$C11,'DADOS BRUTOS'!GL$3:GL$500)))</f>
        <v>0</v>
      </c>
      <c r="JM11" s="133" t="n">
        <f aca="false">IF(OR(JM$4="",$B11=""),0,SUMIF('DADOS BRUTOS'!$A$3:$A$500,$B11,'DADOS BRUTOS'!GM$3:GM$500)+IF($C11="",0,SUMIF('DADOS BRUTOS'!$A$3:$A$500,$C11,'DADOS BRUTOS'!GM$3:GM$500)))</f>
        <v>0</v>
      </c>
      <c r="JN11" s="133" t="n">
        <f aca="false">IF(OR(JN$4="",$B11=""),0,SUMIF('DADOS BRUTOS'!$A$3:$A$500,$B11,'DADOS BRUTOS'!GN$3:GN$500)+IF($C11="",0,SUMIF('DADOS BRUTOS'!$A$3:$A$500,$C11,'DADOS BRUTOS'!GN$3:GN$500)))</f>
        <v>0</v>
      </c>
      <c r="JO11" s="133" t="n">
        <f aca="false">IF(OR(JO$4="",$B11=""),0,SUMIF('DADOS BRUTOS'!$A$3:$A$500,$B11,'DADOS BRUTOS'!GO$3:GO$500)+IF($C11="",0,SUMIF('DADOS BRUTOS'!$A$3:$A$500,$C11,'DADOS BRUTOS'!GO$3:GO$500)))</f>
        <v>0</v>
      </c>
      <c r="JP11" s="133" t="n">
        <f aca="false">IF(OR(JP$4="",$B11=""),0,SUMIF('DADOS BRUTOS'!$A$3:$A$500,$B11,'DADOS BRUTOS'!GP$3:GP$500)+IF($C11="",0,SUMIF('DADOS BRUTOS'!$A$3:$A$500,$C11,'DADOS BRUTOS'!GP$3:GP$500)))</f>
        <v>0</v>
      </c>
      <c r="JQ11" s="133" t="n">
        <f aca="false">IF(OR(JQ$4="",$B11=""),0,SUMIF('DADOS BRUTOS'!$A$3:$A$500,$B11,'DADOS BRUTOS'!GQ$3:GQ$500)+IF($C11="",0,SUMIF('DADOS BRUTOS'!$A$3:$A$500,$C11,'DADOS BRUTOS'!GQ$3:GQ$500)))</f>
        <v>0</v>
      </c>
      <c r="JR11" s="133" t="n">
        <f aca="false">IF(OR(JR$4="",$B11=""),0,SUMIF('DADOS BRUTOS'!$A$3:$A$500,$B11,'DADOS BRUTOS'!GR$3:GR$500)+IF($C11="",0,SUMIF('DADOS BRUTOS'!$A$3:$A$500,$C11,'DADOS BRUTOS'!GR$3:GR$500)))</f>
        <v>0</v>
      </c>
      <c r="JS11" s="133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230</v>
      </c>
      <c r="E12" s="50" t="n">
        <f aca="false">SUMIF($CB$4:$JS$4,E$4,$CB12:$JS12)</f>
        <v>0</v>
      </c>
      <c r="F12" s="50" t="n">
        <f aca="false">SUMIF($CB$4:$JS$4,F$4,$CB12:$JS12)</f>
        <v>101.63</v>
      </c>
      <c r="G12" s="50" t="n">
        <f aca="false">SUMIF($CB$4:$JS$4,G$4,$CB12:$JS12)</f>
        <v>3.37</v>
      </c>
      <c r="H12" s="50" t="n">
        <f aca="false">SUMIF($CB$4:$JS$4,H$4,$CB12:$JS12)</f>
        <v>0</v>
      </c>
      <c r="I12" s="50" t="n">
        <f aca="false">SUMIF($CB$4:$JS$4,I$4,$CB12:$JS12)</f>
        <v>53.21</v>
      </c>
      <c r="J12" s="50" t="n">
        <f aca="false">SUMIF($CB$4:$JS$4,J$4,$CB12:$JS12)</f>
        <v>50.16</v>
      </c>
      <c r="K12" s="50" t="n">
        <f aca="false">SUMIF($CB$4:$JS$4,K$4,$CB12:$JS12)</f>
        <v>1010.05</v>
      </c>
      <c r="L12" s="50" t="n">
        <f aca="false">SUMIF($CB$4:$JS$4,L$4,$CB12:$JS12)</f>
        <v>1873.32</v>
      </c>
      <c r="M12" s="50" t="n">
        <f aca="false">SUMIF($CB$4:$JS$4,M$4,$CB12:$JS12)</f>
        <v>15662.6</v>
      </c>
      <c r="N12" s="50" t="n">
        <f aca="false">SUMIF($CB$4:$JS$4,N$4,$CB12:$JS12)</f>
        <v>8416.58</v>
      </c>
      <c r="O12" s="50" t="n">
        <f aca="false">SUMIF($CB$4:$JS$4,O$4,$CB12:$JS12)</f>
        <v>4003.5</v>
      </c>
      <c r="P12" s="50" t="n">
        <f aca="false">SUMIF($CB$4:$JS$4,P$4,$CB12:$JS12)</f>
        <v>7558.47</v>
      </c>
      <c r="Q12" s="50" t="n">
        <f aca="false">SUMIF($CB$4:$JS$4,Q$4,$CB12:$JS12)</f>
        <v>4295.23</v>
      </c>
      <c r="R12" s="50" t="n">
        <f aca="false">SUMIF($CB$4:$JS$4,R$4,$CB12:$JS12)</f>
        <v>3978</v>
      </c>
      <c r="S12" s="50" t="n">
        <f aca="false">SUMIF($CB$4:$JS$4,S$4,$CB12:$JS12)</f>
        <v>8413.92</v>
      </c>
      <c r="T12" s="50" t="n">
        <f aca="false">SUMIF($CB$4:$JS$4,T$4,$CB12:$JS12)</f>
        <v>2007.6</v>
      </c>
      <c r="U12" s="50" t="n">
        <f aca="false">SUMIF($CB$4:$JS$4,U$4,$CB12:$JS12)</f>
        <v>2550.05</v>
      </c>
      <c r="V12" s="50" t="n">
        <f aca="false">SUMIF($CB$4:$JS$4,V$4,$CB12:$JS12)</f>
        <v>3240.62</v>
      </c>
      <c r="W12" s="50" t="n">
        <f aca="false">SUMIF($CB$4:$JS$4,W$4,$CB12:$JS12)</f>
        <v>1114.34</v>
      </c>
      <c r="X12" s="50" t="n">
        <f aca="false">SUMIF($CB$4:$JS$4,X$4,$CB12:$JS12)</f>
        <v>5722.12</v>
      </c>
      <c r="Y12" s="50" t="n">
        <f aca="false">SUMIF($CB$4:$JS$4,Y$4,$CB12:$JS12)</f>
        <v>14050.89</v>
      </c>
      <c r="Z12" s="50" t="n">
        <f aca="false">SUMIF($CB$4:$JS$4,Z$4,$CB12:$JS12)</f>
        <v>2180.92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86516.58</v>
      </c>
      <c r="BZ12" s="45" t="n">
        <f aca="false">SUMPRODUCT(($CB$4:$JS$4&lt;&gt;"")*($CB$4:$JS$4&lt;=$D$4),$CB12:$JS12,$CB$1:$JS$1)</f>
        <v>0.209155518310871</v>
      </c>
      <c r="CB12" s="133" t="n">
        <f aca="false">IF(OR(CB$4="",$B12=""),0,SUMIF('DADOS BRUTOS'!$A$3:$A$500,$B12,'DADOS BRUTOS'!B$3:B$500)+IF($C12="",0,SUMIF('DADOS BRUTOS'!$A$3:$A$500,$C12,'DADOS BRUTOS'!B$3:B$500)))</f>
        <v>0</v>
      </c>
      <c r="CC12" s="133" t="n">
        <f aca="false">IF(OR(CC$4="",$B12=""),0,SUMIF('DADOS BRUTOS'!$A$3:$A$500,$B12,'DADOS BRUTOS'!C$3:C$500)+IF($C12="",0,SUMIF('DADOS BRUTOS'!$A$3:$A$500,$C12,'DADOS BRUTOS'!C$3:C$500)))</f>
        <v>0</v>
      </c>
      <c r="CD12" s="133" t="n">
        <f aca="false">IF(OR(CD$4="",$B12=""),0,SUMIF('DADOS BRUTOS'!$A$3:$A$500,$B12,'DADOS BRUTOS'!D$3:D$500)+IF($C12="",0,SUMIF('DADOS BRUTOS'!$A$3:$A$500,$C12,'DADOS BRUTOS'!D$3:D$500)))</f>
        <v>0</v>
      </c>
      <c r="CE12" s="133" t="n">
        <f aca="false">IF(OR(CE$4="",$B12=""),0,SUMIF('DADOS BRUTOS'!$A$3:$A$500,$B12,'DADOS BRUTOS'!E$3:E$500)+IF($C12="",0,SUMIF('DADOS BRUTOS'!$A$3:$A$500,$C12,'DADOS BRUTOS'!E$3:E$500)))</f>
        <v>116.58</v>
      </c>
      <c r="CF12" s="133" t="n">
        <f aca="false">IF(OR(CF$4="",$B12=""),0,SUMIF('DADOS BRUTOS'!$A$3:$A$500,$B12,'DADOS BRUTOS'!F$3:F$500)+IF($C12="",0,SUMIF('DADOS BRUTOS'!$A$3:$A$500,$C12,'DADOS BRUTOS'!F$3:F$500)))</f>
        <v>86</v>
      </c>
      <c r="CG12" s="133" t="n">
        <f aca="false">IF(OR(CG$4="",$B12=""),0,SUMIF('DADOS BRUTOS'!$A$3:$A$500,$B12,'DADOS BRUTOS'!G$3:G$500)+IF($C12="",0,SUMIF('DADOS BRUTOS'!$A$3:$A$500,$C12,'DADOS BRUTOS'!G$3:G$500)))</f>
        <v>26.68</v>
      </c>
      <c r="CH12" s="133" t="n">
        <f aca="false">IF(OR(CH$4="",$B12=""),0,SUMIF('DADOS BRUTOS'!$A$3:$A$500,$B12,'DADOS BRUTOS'!H$3:H$500)+IF($C12="",0,SUMIF('DADOS BRUTOS'!$A$3:$A$500,$C12,'DADOS BRUTOS'!H$3:H$500)))</f>
        <v>0.74</v>
      </c>
      <c r="CI12" s="133" t="n">
        <f aca="false">IF(OR(CI$4="",$B12=""),0,SUMIF('DADOS BRUTOS'!$A$3:$A$500,$B12,'DADOS BRUTOS'!I$3:I$500)+IF($C12="",0,SUMIF('DADOS BRUTOS'!$A$3:$A$500,$C12,'DADOS BRUTOS'!I$3:I$500)))</f>
        <v>0</v>
      </c>
      <c r="CJ12" s="133" t="n">
        <f aca="false">IF(OR(CJ$4="",$B12=""),0,SUMIF('DADOS BRUTOS'!$A$3:$A$500,$B12,'DADOS BRUTOS'!J$3:J$500)+IF($C12="",0,SUMIF('DADOS BRUTOS'!$A$3:$A$500,$C12,'DADOS BRUTOS'!J$3:J$500)))</f>
        <v>0</v>
      </c>
      <c r="CK12" s="133" t="n">
        <f aca="false">IF(OR(CK$4="",$B12=""),0,SUMIF('DADOS BRUTOS'!$A$3:$A$500,$B12,'DADOS BRUTOS'!K$3:K$500)+IF($C12="",0,SUMIF('DADOS BRUTOS'!$A$3:$A$500,$C12,'DADOS BRUTOS'!K$3:K$500)))</f>
        <v>0</v>
      </c>
      <c r="CL12" s="133" t="n">
        <f aca="false">IF(OR(CL$4="",$B12=""),0,SUMIF('DADOS BRUTOS'!$A$3:$A$500,$B12,'DADOS BRUTOS'!L$3:L$500)+IF($C12="",0,SUMIF('DADOS BRUTOS'!$A$3:$A$500,$C12,'DADOS BRUTOS'!L$3:L$500)))</f>
        <v>0</v>
      </c>
      <c r="CM12" s="133" t="n">
        <f aca="false">IF(OR(CM$4="",$B12=""),0,SUMIF('DADOS BRUTOS'!$A$3:$A$500,$B12,'DADOS BRUTOS'!M$3:M$500)+IF($C12="",0,SUMIF('DADOS BRUTOS'!$A$3:$A$500,$C12,'DADOS BRUTOS'!M$3:M$500)))</f>
        <v>0</v>
      </c>
      <c r="CN12" s="133" t="n">
        <f aca="false">IF(OR(CN$4="",$B12=""),0,SUMIF('DADOS BRUTOS'!$A$3:$A$500,$B12,'DADOS BRUTOS'!N$3:N$500)+IF($C12="",0,SUMIF('DADOS BRUTOS'!$A$3:$A$500,$C12,'DADOS BRUTOS'!N$3:N$500)))</f>
        <v>0</v>
      </c>
      <c r="CO12" s="133" t="n">
        <f aca="false">IF(OR(CO$4="",$B12=""),0,SUMIF('DADOS BRUTOS'!$A$3:$A$500,$B12,'DADOS BRUTOS'!O$3:O$500)+IF($C12="",0,SUMIF('DADOS BRUTOS'!$A$3:$A$500,$C12,'DADOS BRUTOS'!O$3:O$500)))</f>
        <v>0</v>
      </c>
      <c r="CP12" s="133" t="n">
        <f aca="false">IF(OR(CP$4="",$B12=""),0,SUMIF('DADOS BRUTOS'!$A$3:$A$500,$B12,'DADOS BRUTOS'!P$3:P$500)+IF($C12="",0,SUMIF('DADOS BRUTOS'!$A$3:$A$500,$C12,'DADOS BRUTOS'!P$3:P$500)))</f>
        <v>101.63</v>
      </c>
      <c r="CQ12" s="133" t="n">
        <f aca="false">IF(OR(CQ$4="",$B12=""),0,SUMIF('DADOS BRUTOS'!$A$3:$A$500,$B12,'DADOS BRUTOS'!Q$3:Q$500)+IF($C12="",0,SUMIF('DADOS BRUTOS'!$A$3:$A$500,$C12,'DADOS BRUTOS'!Q$3:Q$500)))</f>
        <v>3.37</v>
      </c>
      <c r="CR12" s="133" t="n">
        <f aca="false">IF(OR(CR$4="",$B12=""),0,SUMIF('DADOS BRUTOS'!$A$3:$A$500,$B12,'DADOS BRUTOS'!R$3:R$500)+IF($C12="",0,SUMIF('DADOS BRUTOS'!$A$3:$A$500,$C12,'DADOS BRUTOS'!R$3:R$500)))</f>
        <v>0</v>
      </c>
      <c r="CS12" s="133" t="n">
        <f aca="false">IF(OR(CS$4="",$B12=""),0,SUMIF('DADOS BRUTOS'!$A$3:$A$500,$B12,'DADOS BRUTOS'!S$3:S$500)+IF($C12="",0,SUMIF('DADOS BRUTOS'!$A$3:$A$500,$C12,'DADOS BRUTOS'!S$3:S$500)))</f>
        <v>53.21</v>
      </c>
      <c r="CT12" s="133" t="n">
        <f aca="false">IF(OR(CT$4="",$B12=""),0,SUMIF('DADOS BRUTOS'!$A$3:$A$500,$B12,'DADOS BRUTOS'!T$3:T$500)+IF($C12="",0,SUMIF('DADOS BRUTOS'!$A$3:$A$500,$C12,'DADOS BRUTOS'!T$3:T$500)))</f>
        <v>50.16</v>
      </c>
      <c r="CU12" s="133" t="n">
        <f aca="false">IF(OR(CU$4="",$B12=""),0,SUMIF('DADOS BRUTOS'!$A$3:$A$500,$B12,'DADOS BRUTOS'!U$3:U$500)+IF($C12="",0,SUMIF('DADOS BRUTOS'!$A$3:$A$500,$C12,'DADOS BRUTOS'!U$3:U$500)))</f>
        <v>1010.05</v>
      </c>
      <c r="CV12" s="133" t="n">
        <f aca="false">IF(OR(CV$4="",$B12=""),0,SUMIF('DADOS BRUTOS'!$A$3:$A$500,$B12,'DADOS BRUTOS'!V$3:V$500)+IF($C12="",0,SUMIF('DADOS BRUTOS'!$A$3:$A$500,$C12,'DADOS BRUTOS'!V$3:V$500)))</f>
        <v>1873.32</v>
      </c>
      <c r="CW12" s="133" t="n">
        <f aca="false">IF(OR(CW$4="",$B12=""),0,SUMIF('DADOS BRUTOS'!$A$3:$A$500,$B12,'DADOS BRUTOS'!W$3:W$500)+IF($C12="",0,SUMIF('DADOS BRUTOS'!$A$3:$A$500,$C12,'DADOS BRUTOS'!W$3:W$500)))</f>
        <v>15662.6</v>
      </c>
      <c r="CX12" s="133" t="n">
        <f aca="false">IF(OR(CX$4="",$B12=""),0,SUMIF('DADOS BRUTOS'!$A$3:$A$500,$B12,'DADOS BRUTOS'!X$3:X$500)+IF($C12="",0,SUMIF('DADOS BRUTOS'!$A$3:$A$500,$C12,'DADOS BRUTOS'!X$3:X$500)))</f>
        <v>8416.58</v>
      </c>
      <c r="CY12" s="133" t="n">
        <f aca="false">IF(OR(CY$4="",$B12=""),0,SUMIF('DADOS BRUTOS'!$A$3:$A$500,$B12,'DADOS BRUTOS'!Y$3:Y$500)+IF($C12="",0,SUMIF('DADOS BRUTOS'!$A$3:$A$500,$C12,'DADOS BRUTOS'!Y$3:Y$500)))</f>
        <v>4003.5</v>
      </c>
      <c r="CZ12" s="133" t="n">
        <f aca="false">IF(OR(CZ$4="",$B12=""),0,SUMIF('DADOS BRUTOS'!$A$3:$A$500,$B12,'DADOS BRUTOS'!Z$3:Z$500)+IF($C12="",0,SUMIF('DADOS BRUTOS'!$A$3:$A$500,$C12,'DADOS BRUTOS'!Z$3:Z$500)))</f>
        <v>7558.47</v>
      </c>
      <c r="DA12" s="133" t="n">
        <f aca="false">IF(OR(DA$4="",$B12=""),0,SUMIF('DADOS BRUTOS'!$A$3:$A$500,$B12,'DADOS BRUTOS'!AA$3:AA$500)+IF($C12="",0,SUMIF('DADOS BRUTOS'!$A$3:$A$500,$C12,'DADOS BRUTOS'!AA$3:AA$500)))</f>
        <v>4295.23</v>
      </c>
      <c r="DB12" s="133" t="n">
        <f aca="false">IF(OR(DB$4="",$B12=""),0,SUMIF('DADOS BRUTOS'!$A$3:$A$500,$B12,'DADOS BRUTOS'!AB$3:AB$500)+IF($C12="",0,SUMIF('DADOS BRUTOS'!$A$3:$A$500,$C12,'DADOS BRUTOS'!AB$3:AB$500)))</f>
        <v>3978</v>
      </c>
      <c r="DC12" s="133" t="n">
        <f aca="false">IF(OR(DC$4="",$B12=""),0,SUMIF('DADOS BRUTOS'!$A$3:$A$500,$B12,'DADOS BRUTOS'!AC$3:AC$500)+IF($C12="",0,SUMIF('DADOS BRUTOS'!$A$3:$A$500,$C12,'DADOS BRUTOS'!AC$3:AC$500)))</f>
        <v>8413.92</v>
      </c>
      <c r="DD12" s="133" t="n">
        <f aca="false">IF(OR(DD$4="",$B12=""),0,SUMIF('DADOS BRUTOS'!$A$3:$A$500,$B12,'DADOS BRUTOS'!AD$3:AD$500)+IF($C12="",0,SUMIF('DADOS BRUTOS'!$A$3:$A$500,$C12,'DADOS BRUTOS'!AD$3:AD$500)))</f>
        <v>2007.6</v>
      </c>
      <c r="DE12" s="133" t="n">
        <f aca="false">IF(OR(DE$4="",$B12=""),0,SUMIF('DADOS BRUTOS'!$A$3:$A$500,$B12,'DADOS BRUTOS'!AE$3:AE$500)+IF($C12="",0,SUMIF('DADOS BRUTOS'!$A$3:$A$500,$C12,'DADOS BRUTOS'!AE$3:AE$500)))</f>
        <v>2550.05</v>
      </c>
      <c r="DF12" s="133" t="n">
        <f aca="false">IF(OR(DF$4="",$B12=""),0,SUMIF('DADOS BRUTOS'!$A$3:$A$500,$B12,'DADOS BRUTOS'!AF$3:AF$500)+IF($C12="",0,SUMIF('DADOS BRUTOS'!$A$3:$A$500,$C12,'DADOS BRUTOS'!AF$3:AF$500)))</f>
        <v>3240.62</v>
      </c>
      <c r="DG12" s="133" t="n">
        <f aca="false">IF(OR(DG$4="",$B12=""),0,SUMIF('DADOS BRUTOS'!$A$3:$A$500,$B12,'DADOS BRUTOS'!AG$3:AG$500)+IF($C12="",0,SUMIF('DADOS BRUTOS'!$A$3:$A$500,$C12,'DADOS BRUTOS'!AG$3:AG$500)))</f>
        <v>1114.34</v>
      </c>
      <c r="DH12" s="133" t="n">
        <f aca="false">IF(OR(DH$4="",$B12=""),0,SUMIF('DADOS BRUTOS'!$A$3:$A$500,$B12,'DADOS BRUTOS'!AH$3:AH$500)+IF($C12="",0,SUMIF('DADOS BRUTOS'!$A$3:$A$500,$C12,'DADOS BRUTOS'!AH$3:AH$500)))</f>
        <v>5722.12</v>
      </c>
      <c r="DI12" s="133" t="n">
        <f aca="false">IF(OR(DI$4="",$B12=""),0,SUMIF('DADOS BRUTOS'!$A$3:$A$500,$B12,'DADOS BRUTOS'!AI$3:AI$500)+IF($C12="",0,SUMIF('DADOS BRUTOS'!$A$3:$A$500,$C12,'DADOS BRUTOS'!AI$3:AI$500)))</f>
        <v>14050.89</v>
      </c>
      <c r="DJ12" s="133" t="n">
        <f aca="false">IF(OR(DJ$4="",$B12=""),0,SUMIF('DADOS BRUTOS'!$A$3:$A$500,$B12,'DADOS BRUTOS'!AJ$3:AJ$500)+IF($C12="",0,SUMIF('DADOS BRUTOS'!$A$3:$A$500,$C12,'DADOS BRUTOS'!AJ$3:AJ$500)))</f>
        <v>2180.92</v>
      </c>
      <c r="DK12" s="133" t="n">
        <f aca="false">IF(OR(DK$4="",$B12=""),0,SUMIF('DADOS BRUTOS'!$A$3:$A$500,$B12,'DADOS BRUTOS'!AK$3:AK$500)+IF($C12="",0,SUMIF('DADOS BRUTOS'!$A$3:$A$500,$C12,'DADOS BRUTOS'!AK$3:AK$500)))</f>
        <v>0</v>
      </c>
      <c r="DL12" s="133" t="n">
        <f aca="false">IF(OR(DL$4="",$B12=""),0,SUMIF('DADOS BRUTOS'!$A$3:$A$500,$B12,'DADOS BRUTOS'!AL$3:AL$500)+IF($C12="",0,SUMIF('DADOS BRUTOS'!$A$3:$A$500,$C12,'DADOS BRUTOS'!AL$3:AL$500)))</f>
        <v>0</v>
      </c>
      <c r="DM12" s="133" t="n">
        <f aca="false">IF(OR(DM$4="",$B12=""),0,SUMIF('DADOS BRUTOS'!$A$3:$A$500,$B12,'DADOS BRUTOS'!AM$3:AM$500)+IF($C12="",0,SUMIF('DADOS BRUTOS'!$A$3:$A$500,$C12,'DADOS BRUTOS'!AM$3:AM$500)))</f>
        <v>0</v>
      </c>
      <c r="DN12" s="133" t="n">
        <f aca="false">IF(OR(DN$4="",$B12=""),0,SUMIF('DADOS BRUTOS'!$A$3:$A$500,$B12,'DADOS BRUTOS'!AN$3:AN$500)+IF($C12="",0,SUMIF('DADOS BRUTOS'!$A$3:$A$500,$C12,'DADOS BRUTOS'!AN$3:AN$500)))</f>
        <v>0</v>
      </c>
      <c r="DO12" s="133" t="n">
        <f aca="false">IF(OR(DO$4="",$B12=""),0,SUMIF('DADOS BRUTOS'!$A$3:$A$500,$B12,'DADOS BRUTOS'!AO$3:AO$500)+IF($C12="",0,SUMIF('DADOS BRUTOS'!$A$3:$A$500,$C12,'DADOS BRUTOS'!AO$3:AO$500)))</f>
        <v>0</v>
      </c>
      <c r="DP12" s="133" t="n">
        <f aca="false">IF(OR(DP$4="",$B12=""),0,SUMIF('DADOS BRUTOS'!$A$3:$A$500,$B12,'DADOS BRUTOS'!AP$3:AP$500)+IF($C12="",0,SUMIF('DADOS BRUTOS'!$A$3:$A$500,$C12,'DADOS BRUTOS'!AP$3:AP$500)))</f>
        <v>0</v>
      </c>
      <c r="DQ12" s="133" t="n">
        <f aca="false">IF(OR(DQ$4="",$B12=""),0,SUMIF('DADOS BRUTOS'!$A$3:$A$500,$B12,'DADOS BRUTOS'!AQ$3:AQ$500)+IF($C12="",0,SUMIF('DADOS BRUTOS'!$A$3:$A$500,$C12,'DADOS BRUTOS'!AQ$3:AQ$500)))</f>
        <v>0</v>
      </c>
      <c r="DR12" s="133" t="n">
        <f aca="false">IF(OR(DR$4="",$B12=""),0,SUMIF('DADOS BRUTOS'!$A$3:$A$500,$B12,'DADOS BRUTOS'!AR$3:AR$500)+IF($C12="",0,SUMIF('DADOS BRUTOS'!$A$3:$A$500,$C12,'DADOS BRUTOS'!AR$3:AR$500)))</f>
        <v>0</v>
      </c>
      <c r="DS12" s="133" t="n">
        <f aca="false">IF(OR(DS$4="",$B12=""),0,SUMIF('DADOS BRUTOS'!$A$3:$A$500,$B12,'DADOS BRUTOS'!AS$3:AS$500)+IF($C12="",0,SUMIF('DADOS BRUTOS'!$A$3:$A$500,$C12,'DADOS BRUTOS'!AS$3:AS$500)))</f>
        <v>0</v>
      </c>
      <c r="DT12" s="133" t="n">
        <f aca="false">IF(OR(DT$4="",$B12=""),0,SUMIF('DADOS BRUTOS'!$A$3:$A$500,$B12,'DADOS BRUTOS'!AT$3:AT$500)+IF($C12="",0,SUMIF('DADOS BRUTOS'!$A$3:$A$500,$C12,'DADOS BRUTOS'!AT$3:AT$500)))</f>
        <v>0</v>
      </c>
      <c r="DU12" s="133" t="n">
        <f aca="false">IF(OR(DU$4="",$B12=""),0,SUMIF('DADOS BRUTOS'!$A$3:$A$500,$B12,'DADOS BRUTOS'!AU$3:AU$500)+IF($C12="",0,SUMIF('DADOS BRUTOS'!$A$3:$A$500,$C12,'DADOS BRUTOS'!AU$3:AU$500)))</f>
        <v>0</v>
      </c>
      <c r="DV12" s="133" t="n">
        <f aca="false">IF(OR(DV$4="",$B12=""),0,SUMIF('DADOS BRUTOS'!$A$3:$A$500,$B12,'DADOS BRUTOS'!AV$3:AV$500)+IF($C12="",0,SUMIF('DADOS BRUTOS'!$A$3:$A$500,$C12,'DADOS BRUTOS'!AV$3:AV$500)))</f>
        <v>0</v>
      </c>
      <c r="DW12" s="133" t="n">
        <f aca="false">IF(OR(DW$4="",$B12=""),0,SUMIF('DADOS BRUTOS'!$A$3:$A$500,$B12,'DADOS BRUTOS'!AW$3:AW$500)+IF($C12="",0,SUMIF('DADOS BRUTOS'!$A$3:$A$500,$C12,'DADOS BRUTOS'!AW$3:AW$500)))</f>
        <v>0</v>
      </c>
      <c r="DX12" s="133" t="n">
        <f aca="false">IF(OR(DX$4="",$B12=""),0,SUMIF('DADOS BRUTOS'!$A$3:$A$500,$B12,'DADOS BRUTOS'!AX$3:AX$500)+IF($C12="",0,SUMIF('DADOS BRUTOS'!$A$3:$A$500,$C12,'DADOS BRUTOS'!AX$3:AX$500)))</f>
        <v>0</v>
      </c>
      <c r="DY12" s="133" t="n">
        <f aca="false">IF(OR(DY$4="",$B12=""),0,SUMIF('DADOS BRUTOS'!$A$3:$A$500,$B12,'DADOS BRUTOS'!AY$3:AY$500)+IF($C12="",0,SUMIF('DADOS BRUTOS'!$A$3:$A$500,$C12,'DADOS BRUTOS'!AY$3:AY$500)))</f>
        <v>0</v>
      </c>
      <c r="DZ12" s="133" t="n">
        <f aca="false">IF(OR(DZ$4="",$B12=""),0,SUMIF('DADOS BRUTOS'!$A$3:$A$500,$B12,'DADOS BRUTOS'!AZ$3:AZ$500)+IF($C12="",0,SUMIF('DADOS BRUTOS'!$A$3:$A$500,$C12,'DADOS BRUTOS'!AZ$3:AZ$500)))</f>
        <v>0</v>
      </c>
      <c r="EA12" s="133" t="n">
        <f aca="false">IF(OR(EA$4="",$B12=""),0,SUMIF('DADOS BRUTOS'!$A$3:$A$500,$B12,'DADOS BRUTOS'!BA$3:BA$500)+IF($C12="",0,SUMIF('DADOS BRUTOS'!$A$3:$A$500,$C12,'DADOS BRUTOS'!BA$3:BA$500)))</f>
        <v>0</v>
      </c>
      <c r="EB12" s="133" t="n">
        <f aca="false">IF(OR(EB$4="",$B12=""),0,SUMIF('DADOS BRUTOS'!$A$3:$A$500,$B12,'DADOS BRUTOS'!BB$3:BB$500)+IF($C12="",0,SUMIF('DADOS BRUTOS'!$A$3:$A$500,$C12,'DADOS BRUTOS'!BB$3:BB$500)))</f>
        <v>0</v>
      </c>
      <c r="EC12" s="133" t="n">
        <f aca="false">IF(OR(EC$4="",$B12=""),0,SUMIF('DADOS BRUTOS'!$A$3:$A$500,$B12,'DADOS BRUTOS'!BC$3:BC$500)+IF($C12="",0,SUMIF('DADOS BRUTOS'!$A$3:$A$500,$C12,'DADOS BRUTOS'!BC$3:BC$500)))</f>
        <v>0</v>
      </c>
      <c r="ED12" s="133" t="n">
        <f aca="false">IF(OR(ED$4="",$B12=""),0,SUMIF('DADOS BRUTOS'!$A$3:$A$500,$B12,'DADOS BRUTOS'!BD$3:BD$500)+IF($C12="",0,SUMIF('DADOS BRUTOS'!$A$3:$A$500,$C12,'DADOS BRUTOS'!BD$3:BD$500)))</f>
        <v>0</v>
      </c>
      <c r="EE12" s="133" t="n">
        <f aca="false">IF(OR(EE$4="",$B12=""),0,SUMIF('DADOS BRUTOS'!$A$3:$A$500,$B12,'DADOS BRUTOS'!BE$3:BE$500)+IF($C12="",0,SUMIF('DADOS BRUTOS'!$A$3:$A$500,$C12,'DADOS BRUTOS'!BE$3:BE$500)))</f>
        <v>0</v>
      </c>
      <c r="EF12" s="133" t="n">
        <f aca="false">IF(OR(EF$4="",$B12=""),0,SUMIF('DADOS BRUTOS'!$A$3:$A$500,$B12,'DADOS BRUTOS'!BF$3:BF$500)+IF($C12="",0,SUMIF('DADOS BRUTOS'!$A$3:$A$500,$C12,'DADOS BRUTOS'!BF$3:BF$500)))</f>
        <v>0</v>
      </c>
      <c r="EG12" s="133" t="n">
        <f aca="false">IF(OR(EG$4="",$B12=""),0,SUMIF('DADOS BRUTOS'!$A$3:$A$500,$B12,'DADOS BRUTOS'!BG$3:BG$500)+IF($C12="",0,SUMIF('DADOS BRUTOS'!$A$3:$A$500,$C12,'DADOS BRUTOS'!BG$3:BG$500)))</f>
        <v>0</v>
      </c>
      <c r="EH12" s="133" t="n">
        <f aca="false">IF(OR(EH$4="",$B12=""),0,SUMIF('DADOS BRUTOS'!$A$3:$A$500,$B12,'DADOS BRUTOS'!BH$3:BH$500)+IF($C12="",0,SUMIF('DADOS BRUTOS'!$A$3:$A$500,$C12,'DADOS BRUTOS'!BH$3:BH$500)))</f>
        <v>0</v>
      </c>
      <c r="EI12" s="133" t="n">
        <f aca="false">IF(OR(EI$4="",$B12=""),0,SUMIF('DADOS BRUTOS'!$A$3:$A$500,$B12,'DADOS BRUTOS'!BI$3:BI$500)+IF($C12="",0,SUMIF('DADOS BRUTOS'!$A$3:$A$500,$C12,'DADOS BRUTOS'!BI$3:BI$500)))</f>
        <v>0</v>
      </c>
      <c r="EJ12" s="133" t="n">
        <f aca="false">IF(OR(EJ$4="",$B12=""),0,SUMIF('DADOS BRUTOS'!$A$3:$A$500,$B12,'DADOS BRUTOS'!BJ$3:BJ$500)+IF($C12="",0,SUMIF('DADOS BRUTOS'!$A$3:$A$500,$C12,'DADOS BRUTOS'!BJ$3:BJ$500)))</f>
        <v>0</v>
      </c>
      <c r="EK12" s="133" t="n">
        <f aca="false">IF(OR(EK$4="",$B12=""),0,SUMIF('DADOS BRUTOS'!$A$3:$A$500,$B12,'DADOS BRUTOS'!BK$3:BK$500)+IF($C12="",0,SUMIF('DADOS BRUTOS'!$A$3:$A$500,$C12,'DADOS BRUTOS'!BK$3:BK$500)))</f>
        <v>0</v>
      </c>
      <c r="EL12" s="133" t="n">
        <f aca="false">IF(OR(EL$4="",$B12=""),0,SUMIF('DADOS BRUTOS'!$A$3:$A$500,$B12,'DADOS BRUTOS'!BL$3:BL$500)+IF($C12="",0,SUMIF('DADOS BRUTOS'!$A$3:$A$500,$C12,'DADOS BRUTOS'!BL$3:BL$500)))</f>
        <v>0</v>
      </c>
      <c r="EM12" s="133" t="n">
        <f aca="false">IF(OR(EM$4="",$B12=""),0,SUMIF('DADOS BRUTOS'!$A$3:$A$500,$B12,'DADOS BRUTOS'!BM$3:BM$500)+IF($C12="",0,SUMIF('DADOS BRUTOS'!$A$3:$A$500,$C12,'DADOS BRUTOS'!BM$3:BM$500)))</f>
        <v>0</v>
      </c>
      <c r="EN12" s="133" t="n">
        <f aca="false">IF(OR(EN$4="",$B12=""),0,SUMIF('DADOS BRUTOS'!$A$3:$A$500,$B12,'DADOS BRUTOS'!BN$3:BN$500)+IF($C12="",0,SUMIF('DADOS BRUTOS'!$A$3:$A$500,$C12,'DADOS BRUTOS'!BN$3:BN$500)))</f>
        <v>0</v>
      </c>
      <c r="EO12" s="133" t="n">
        <f aca="false">IF(OR(EO$4="",$B12=""),0,SUMIF('DADOS BRUTOS'!$A$3:$A$500,$B12,'DADOS BRUTOS'!BO$3:BO$500)+IF($C12="",0,SUMIF('DADOS BRUTOS'!$A$3:$A$500,$C12,'DADOS BRUTOS'!BO$3:BO$500)))</f>
        <v>0</v>
      </c>
      <c r="EP12" s="133" t="n">
        <f aca="false">IF(OR(EP$4="",$B12=""),0,SUMIF('DADOS BRUTOS'!$A$3:$A$500,$B12,'DADOS BRUTOS'!BP$3:BP$500)+IF($C12="",0,SUMIF('DADOS BRUTOS'!$A$3:$A$500,$C12,'DADOS BRUTOS'!BP$3:BP$500)))</f>
        <v>0</v>
      </c>
      <c r="EQ12" s="133" t="n">
        <f aca="false">IF(OR(EQ$4="",$B12=""),0,SUMIF('DADOS BRUTOS'!$A$3:$A$500,$B12,'DADOS BRUTOS'!BQ$3:BQ$500)+IF($C12="",0,SUMIF('DADOS BRUTOS'!$A$3:$A$500,$C12,'DADOS BRUTOS'!BQ$3:BQ$500)))</f>
        <v>0</v>
      </c>
      <c r="ER12" s="133" t="n">
        <f aca="false">IF(OR(ER$4="",$B12=""),0,SUMIF('DADOS BRUTOS'!$A$3:$A$500,$B12,'DADOS BRUTOS'!BR$3:BR$500)+IF($C12="",0,SUMIF('DADOS BRUTOS'!$A$3:$A$500,$C12,'DADOS BRUTOS'!BR$3:BR$500)))</f>
        <v>0</v>
      </c>
      <c r="ES12" s="133" t="n">
        <f aca="false">IF(OR(ES$4="",$B12=""),0,SUMIF('DADOS BRUTOS'!$A$3:$A$500,$B12,'DADOS BRUTOS'!BS$3:BS$500)+IF($C12="",0,SUMIF('DADOS BRUTOS'!$A$3:$A$500,$C12,'DADOS BRUTOS'!BS$3:BS$500)))</f>
        <v>0</v>
      </c>
      <c r="ET12" s="133" t="n">
        <f aca="false">IF(OR(ET$4="",$B12=""),0,SUMIF('DADOS BRUTOS'!$A$3:$A$500,$B12,'DADOS BRUTOS'!BT$3:BT$500)+IF($C12="",0,SUMIF('DADOS BRUTOS'!$A$3:$A$500,$C12,'DADOS BRUTOS'!BT$3:BT$500)))</f>
        <v>0</v>
      </c>
      <c r="EU12" s="133" t="n">
        <f aca="false">IF(OR(EU$4="",$B12=""),0,SUMIF('DADOS BRUTOS'!$A$3:$A$500,$B12,'DADOS BRUTOS'!BU$3:BU$500)+IF($C12="",0,SUMIF('DADOS BRUTOS'!$A$3:$A$500,$C12,'DADOS BRUTOS'!BU$3:BU$500)))</f>
        <v>0</v>
      </c>
      <c r="EV12" s="133" t="n">
        <f aca="false">IF(OR(EV$4="",$B12=""),0,SUMIF('DADOS BRUTOS'!$A$3:$A$500,$B12,'DADOS BRUTOS'!BV$3:BV$500)+IF($C12="",0,SUMIF('DADOS BRUTOS'!$A$3:$A$500,$C12,'DADOS BRUTOS'!BV$3:BV$500)))</f>
        <v>0</v>
      </c>
      <c r="EW12" s="133" t="n">
        <f aca="false">IF(OR(EW$4="",$B12=""),0,SUMIF('DADOS BRUTOS'!$A$3:$A$500,$B12,'DADOS BRUTOS'!BW$3:BW$500)+IF($C12="",0,SUMIF('DADOS BRUTOS'!$A$3:$A$500,$C12,'DADOS BRUTOS'!BW$3:BW$500)))</f>
        <v>0</v>
      </c>
      <c r="EX12" s="133" t="n">
        <f aca="false">IF(OR(EX$4="",$B12=""),0,SUMIF('DADOS BRUTOS'!$A$3:$A$500,$B12,'DADOS BRUTOS'!BX$3:BX$500)+IF($C12="",0,SUMIF('DADOS BRUTOS'!$A$3:$A$500,$C12,'DADOS BRUTOS'!BX$3:BX$500)))</f>
        <v>0</v>
      </c>
      <c r="EY12" s="133" t="n">
        <f aca="false">IF(OR(EY$4="",$B12=""),0,SUMIF('DADOS BRUTOS'!$A$3:$A$500,$B12,'DADOS BRUTOS'!BY$3:BY$500)+IF($C12="",0,SUMIF('DADOS BRUTOS'!$A$3:$A$500,$C12,'DADOS BRUTOS'!BY$3:BY$500)))</f>
        <v>0</v>
      </c>
      <c r="EZ12" s="133" t="n">
        <f aca="false">IF(OR(EZ$4="",$B12=""),0,SUMIF('DADOS BRUTOS'!$A$3:$A$500,$B12,'DADOS BRUTOS'!BZ$3:BZ$500)+IF($C12="",0,SUMIF('DADOS BRUTOS'!$A$3:$A$500,$C12,'DADOS BRUTOS'!BZ$3:BZ$500)))</f>
        <v>0</v>
      </c>
      <c r="FA12" s="133" t="n">
        <f aca="false">IF(OR(FA$4="",$B12=""),0,SUMIF('DADOS BRUTOS'!$A$3:$A$500,$B12,'DADOS BRUTOS'!CA$3:CA$500)+IF($C12="",0,SUMIF('DADOS BRUTOS'!$A$3:$A$500,$C12,'DADOS BRUTOS'!CA$3:CA$500)))</f>
        <v>0</v>
      </c>
      <c r="FB12" s="133" t="n">
        <f aca="false">IF(OR(FB$4="",$B12=""),0,SUMIF('DADOS BRUTOS'!$A$3:$A$500,$B12,'DADOS BRUTOS'!CB$3:CB$500)+IF($C12="",0,SUMIF('DADOS BRUTOS'!$A$3:$A$500,$C12,'DADOS BRUTOS'!CB$3:CB$500)))</f>
        <v>0</v>
      </c>
      <c r="FC12" s="133" t="n">
        <f aca="false">IF(OR(FC$4="",$B12=""),0,SUMIF('DADOS BRUTOS'!$A$3:$A$500,$B12,'DADOS BRUTOS'!CC$3:CC$500)+IF($C12="",0,SUMIF('DADOS BRUTOS'!$A$3:$A$500,$C12,'DADOS BRUTOS'!CC$3:CC$500)))</f>
        <v>0</v>
      </c>
      <c r="FD12" s="133" t="n">
        <f aca="false">IF(OR(FD$4="",$B12=""),0,SUMIF('DADOS BRUTOS'!$A$3:$A$500,$B12,'DADOS BRUTOS'!CD$3:CD$500)+IF($C12="",0,SUMIF('DADOS BRUTOS'!$A$3:$A$500,$C12,'DADOS BRUTOS'!CD$3:CD$500)))</f>
        <v>0</v>
      </c>
      <c r="FE12" s="133" t="n">
        <f aca="false">IF(OR(FE$4="",$B12=""),0,SUMIF('DADOS BRUTOS'!$A$3:$A$500,$B12,'DADOS BRUTOS'!CE$3:CE$500)+IF($C12="",0,SUMIF('DADOS BRUTOS'!$A$3:$A$500,$C12,'DADOS BRUTOS'!CE$3:CE$500)))</f>
        <v>0</v>
      </c>
      <c r="FF12" s="133" t="n">
        <f aca="false">IF(OR(FF$4="",$B12=""),0,SUMIF('DADOS BRUTOS'!$A$3:$A$500,$B12,'DADOS BRUTOS'!CF$3:CF$500)+IF($C12="",0,SUMIF('DADOS BRUTOS'!$A$3:$A$500,$C12,'DADOS BRUTOS'!CF$3:CF$500)))</f>
        <v>0</v>
      </c>
      <c r="FG12" s="133" t="n">
        <f aca="false">IF(OR(FG$4="",$B12=""),0,SUMIF('DADOS BRUTOS'!$A$3:$A$500,$B12,'DADOS BRUTOS'!CG$3:CG$500)+IF($C12="",0,SUMIF('DADOS BRUTOS'!$A$3:$A$500,$C12,'DADOS BRUTOS'!CG$3:CG$500)))</f>
        <v>0</v>
      </c>
      <c r="FH12" s="133" t="n">
        <f aca="false">IF(OR(FH$4="",$B12=""),0,SUMIF('DADOS BRUTOS'!$A$3:$A$500,$B12,'DADOS BRUTOS'!CH$3:CH$500)+IF($C12="",0,SUMIF('DADOS BRUTOS'!$A$3:$A$500,$C12,'DADOS BRUTOS'!CH$3:CH$500)))</f>
        <v>0</v>
      </c>
      <c r="FI12" s="133" t="n">
        <f aca="false">IF(OR(FI$4="",$B12=""),0,SUMIF('DADOS BRUTOS'!$A$3:$A$500,$B12,'DADOS BRUTOS'!CI$3:CI$500)+IF($C12="",0,SUMIF('DADOS BRUTOS'!$A$3:$A$500,$C12,'DADOS BRUTOS'!CI$3:CI$500)))</f>
        <v>0</v>
      </c>
      <c r="FJ12" s="133" t="n">
        <f aca="false">IF(OR(FJ$4="",$B12=""),0,SUMIF('DADOS BRUTOS'!$A$3:$A$500,$B12,'DADOS BRUTOS'!CJ$3:CJ$500)+IF($C12="",0,SUMIF('DADOS BRUTOS'!$A$3:$A$500,$C12,'DADOS BRUTOS'!CJ$3:CJ$500)))</f>
        <v>0</v>
      </c>
      <c r="FK12" s="133" t="n">
        <f aca="false">IF(OR(FK$4="",$B12=""),0,SUMIF('DADOS BRUTOS'!$A$3:$A$500,$B12,'DADOS BRUTOS'!CK$3:CK$500)+IF($C12="",0,SUMIF('DADOS BRUTOS'!$A$3:$A$500,$C12,'DADOS BRUTOS'!CK$3:CK$500)))</f>
        <v>0</v>
      </c>
      <c r="FL12" s="133" t="n">
        <f aca="false">IF(OR(FL$4="",$B12=""),0,SUMIF('DADOS BRUTOS'!$A$3:$A$500,$B12,'DADOS BRUTOS'!CL$3:CL$500)+IF($C12="",0,SUMIF('DADOS BRUTOS'!$A$3:$A$500,$C12,'DADOS BRUTOS'!CL$3:CL$500)))</f>
        <v>0</v>
      </c>
      <c r="FM12" s="133" t="n">
        <f aca="false">IF(OR(FM$4="",$B12=""),0,SUMIF('DADOS BRUTOS'!$A$3:$A$500,$B12,'DADOS BRUTOS'!CM$3:CM$500)+IF($C12="",0,SUMIF('DADOS BRUTOS'!$A$3:$A$500,$C12,'DADOS BRUTOS'!CM$3:CM$500)))</f>
        <v>0</v>
      </c>
      <c r="FN12" s="133" t="n">
        <f aca="false">IF(OR(FN$4="",$B12=""),0,SUMIF('DADOS BRUTOS'!$A$3:$A$500,$B12,'DADOS BRUTOS'!CN$3:CN$500)+IF($C12="",0,SUMIF('DADOS BRUTOS'!$A$3:$A$500,$C12,'DADOS BRUTOS'!CN$3:CN$500)))</f>
        <v>0</v>
      </c>
      <c r="FO12" s="133" t="n">
        <f aca="false">IF(OR(FO$4="",$B12=""),0,SUMIF('DADOS BRUTOS'!$A$3:$A$500,$B12,'DADOS BRUTOS'!CO$3:CO$500)+IF($C12="",0,SUMIF('DADOS BRUTOS'!$A$3:$A$500,$C12,'DADOS BRUTOS'!CO$3:CO$500)))</f>
        <v>0</v>
      </c>
      <c r="FP12" s="133" t="n">
        <f aca="false">IF(OR(FP$4="",$B12=""),0,SUMIF('DADOS BRUTOS'!$A$3:$A$500,$B12,'DADOS BRUTOS'!CP$3:CP$500)+IF($C12="",0,SUMIF('DADOS BRUTOS'!$A$3:$A$500,$C12,'DADOS BRUTOS'!CP$3:CP$500)))</f>
        <v>0</v>
      </c>
      <c r="FQ12" s="133" t="n">
        <f aca="false">IF(OR(FQ$4="",$B12=""),0,SUMIF('DADOS BRUTOS'!$A$3:$A$500,$B12,'DADOS BRUTOS'!CQ$3:CQ$500)+IF($C12="",0,SUMIF('DADOS BRUTOS'!$A$3:$A$500,$C12,'DADOS BRUTOS'!CQ$3:CQ$500)))</f>
        <v>0</v>
      </c>
      <c r="FR12" s="133" t="n">
        <f aca="false">IF(OR(FR$4="",$B12=""),0,SUMIF('DADOS BRUTOS'!$A$3:$A$500,$B12,'DADOS BRUTOS'!CR$3:CR$500)+IF($C12="",0,SUMIF('DADOS BRUTOS'!$A$3:$A$500,$C12,'DADOS BRUTOS'!CR$3:CR$500)))</f>
        <v>0</v>
      </c>
      <c r="FS12" s="133" t="n">
        <f aca="false">IF(OR(FS$4="",$B12=""),0,SUMIF('DADOS BRUTOS'!$A$3:$A$500,$B12,'DADOS BRUTOS'!CS$3:CS$500)+IF($C12="",0,SUMIF('DADOS BRUTOS'!$A$3:$A$500,$C12,'DADOS BRUTOS'!CS$3:CS$500)))</f>
        <v>0</v>
      </c>
      <c r="FT12" s="133" t="n">
        <f aca="false">IF(OR(FT$4="",$B12=""),0,SUMIF('DADOS BRUTOS'!$A$3:$A$500,$B12,'DADOS BRUTOS'!CT$3:CT$500)+IF($C12="",0,SUMIF('DADOS BRUTOS'!$A$3:$A$500,$C12,'DADOS BRUTOS'!CT$3:CT$500)))</f>
        <v>0</v>
      </c>
      <c r="FU12" s="133" t="n">
        <f aca="false">IF(OR(FU$4="",$B12=""),0,SUMIF('DADOS BRUTOS'!$A$3:$A$500,$B12,'DADOS BRUTOS'!CU$3:CU$500)+IF($C12="",0,SUMIF('DADOS BRUTOS'!$A$3:$A$500,$C12,'DADOS BRUTOS'!CU$3:CU$500)))</f>
        <v>0</v>
      </c>
      <c r="FV12" s="133" t="n">
        <f aca="false">IF(OR(FV$4="",$B12=""),0,SUMIF('DADOS BRUTOS'!$A$3:$A$500,$B12,'DADOS BRUTOS'!CV$3:CV$500)+IF($C12="",0,SUMIF('DADOS BRUTOS'!$A$3:$A$500,$C12,'DADOS BRUTOS'!CV$3:CV$500)))</f>
        <v>0</v>
      </c>
      <c r="FW12" s="133" t="n">
        <f aca="false">IF(OR(FW$4="",$B12=""),0,SUMIF('DADOS BRUTOS'!$A$3:$A$500,$B12,'DADOS BRUTOS'!CW$3:CW$500)+IF($C12="",0,SUMIF('DADOS BRUTOS'!$A$3:$A$500,$C12,'DADOS BRUTOS'!CW$3:CW$500)))</f>
        <v>0</v>
      </c>
      <c r="FX12" s="133" t="n">
        <f aca="false">IF(OR(FX$4="",$B12=""),0,SUMIF('DADOS BRUTOS'!$A$3:$A$500,$B12,'DADOS BRUTOS'!CX$3:CX$500)+IF($C12="",0,SUMIF('DADOS BRUTOS'!$A$3:$A$500,$C12,'DADOS BRUTOS'!CX$3:CX$500)))</f>
        <v>0</v>
      </c>
      <c r="FY12" s="133" t="n">
        <f aca="false">IF(OR(FY$4="",$B12=""),0,SUMIF('DADOS BRUTOS'!$A$3:$A$500,$B12,'DADOS BRUTOS'!CY$3:CY$500)+IF($C12="",0,SUMIF('DADOS BRUTOS'!$A$3:$A$500,$C12,'DADOS BRUTOS'!CY$3:CY$500)))</f>
        <v>0</v>
      </c>
      <c r="FZ12" s="133" t="n">
        <f aca="false">IF(OR(FZ$4="",$B12=""),0,SUMIF('DADOS BRUTOS'!$A$3:$A$500,$B12,'DADOS BRUTOS'!CZ$3:CZ$500)+IF($C12="",0,SUMIF('DADOS BRUTOS'!$A$3:$A$500,$C12,'DADOS BRUTOS'!CZ$3:CZ$500)))</f>
        <v>0</v>
      </c>
      <c r="GA12" s="133" t="n">
        <f aca="false">IF(OR(GA$4="",$B12=""),0,SUMIF('DADOS BRUTOS'!$A$3:$A$500,$B12,'DADOS BRUTOS'!DA$3:DA$500)+IF($C12="",0,SUMIF('DADOS BRUTOS'!$A$3:$A$500,$C12,'DADOS BRUTOS'!DA$3:DA$500)))</f>
        <v>0</v>
      </c>
      <c r="GB12" s="133" t="n">
        <f aca="false">IF(OR(GB$4="",$B12=""),0,SUMIF('DADOS BRUTOS'!$A$3:$A$500,$B12,'DADOS BRUTOS'!DB$3:DB$500)+IF($C12="",0,SUMIF('DADOS BRUTOS'!$A$3:$A$500,$C12,'DADOS BRUTOS'!DB$3:DB$500)))</f>
        <v>0</v>
      </c>
      <c r="GC12" s="133" t="n">
        <f aca="false">IF(OR(GC$4="",$B12=""),0,SUMIF('DADOS BRUTOS'!$A$3:$A$500,$B12,'DADOS BRUTOS'!DC$3:DC$500)+IF($C12="",0,SUMIF('DADOS BRUTOS'!$A$3:$A$500,$C12,'DADOS BRUTOS'!DC$3:DC$500)))</f>
        <v>0</v>
      </c>
      <c r="GD12" s="133" t="n">
        <f aca="false">IF(OR(GD$4="",$B12=""),0,SUMIF('DADOS BRUTOS'!$A$3:$A$500,$B12,'DADOS BRUTOS'!DD$3:DD$500)+IF($C12="",0,SUMIF('DADOS BRUTOS'!$A$3:$A$500,$C12,'DADOS BRUTOS'!DD$3:DD$500)))</f>
        <v>0</v>
      </c>
      <c r="GE12" s="133" t="n">
        <f aca="false">IF(OR(GE$4="",$B12=""),0,SUMIF('DADOS BRUTOS'!$A$3:$A$500,$B12,'DADOS BRUTOS'!DE$3:DE$500)+IF($C12="",0,SUMIF('DADOS BRUTOS'!$A$3:$A$500,$C12,'DADOS BRUTOS'!DE$3:DE$500)))</f>
        <v>0</v>
      </c>
      <c r="GF12" s="133" t="n">
        <f aca="false">IF(OR(GF$4="",$B12=""),0,SUMIF('DADOS BRUTOS'!$A$3:$A$500,$B12,'DADOS BRUTOS'!DF$3:DF$500)+IF($C12="",0,SUMIF('DADOS BRUTOS'!$A$3:$A$500,$C12,'DADOS BRUTOS'!DF$3:DF$500)))</f>
        <v>0</v>
      </c>
      <c r="GG12" s="133" t="n">
        <f aca="false">IF(OR(GG$4="",$B12=""),0,SUMIF('DADOS BRUTOS'!$A$3:$A$500,$B12,'DADOS BRUTOS'!DG$3:DG$500)+IF($C12="",0,SUMIF('DADOS BRUTOS'!$A$3:$A$500,$C12,'DADOS BRUTOS'!DG$3:DG$500)))</f>
        <v>0</v>
      </c>
      <c r="GH12" s="133" t="n">
        <f aca="false">IF(OR(GH$4="",$B12=""),0,SUMIF('DADOS BRUTOS'!$A$3:$A$500,$B12,'DADOS BRUTOS'!DH$3:DH$500)+IF($C12="",0,SUMIF('DADOS BRUTOS'!$A$3:$A$500,$C12,'DADOS BRUTOS'!DH$3:DH$500)))</f>
        <v>0</v>
      </c>
      <c r="GI12" s="133" t="n">
        <f aca="false">IF(OR(GI$4="",$B12=""),0,SUMIF('DADOS BRUTOS'!$A$3:$A$500,$B12,'DADOS BRUTOS'!DI$3:DI$500)+IF($C12="",0,SUMIF('DADOS BRUTOS'!$A$3:$A$500,$C12,'DADOS BRUTOS'!DI$3:DI$500)))</f>
        <v>0</v>
      </c>
      <c r="GJ12" s="133" t="n">
        <f aca="false">IF(OR(GJ$4="",$B12=""),0,SUMIF('DADOS BRUTOS'!$A$3:$A$500,$B12,'DADOS BRUTOS'!DJ$3:DJ$500)+IF($C12="",0,SUMIF('DADOS BRUTOS'!$A$3:$A$500,$C12,'DADOS BRUTOS'!DJ$3:DJ$500)))</f>
        <v>0</v>
      </c>
      <c r="GK12" s="133" t="n">
        <f aca="false">IF(OR(GK$4="",$B12=""),0,SUMIF('DADOS BRUTOS'!$A$3:$A$500,$B12,'DADOS BRUTOS'!DK$3:DK$500)+IF($C12="",0,SUMIF('DADOS BRUTOS'!$A$3:$A$500,$C12,'DADOS BRUTOS'!DK$3:DK$500)))</f>
        <v>0</v>
      </c>
      <c r="GL12" s="133" t="n">
        <f aca="false">IF(OR(GL$4="",$B12=""),0,SUMIF('DADOS BRUTOS'!$A$3:$A$500,$B12,'DADOS BRUTOS'!DL$3:DL$500)+IF($C12="",0,SUMIF('DADOS BRUTOS'!$A$3:$A$500,$C12,'DADOS BRUTOS'!DL$3:DL$500)))</f>
        <v>0</v>
      </c>
      <c r="GM12" s="133" t="n">
        <f aca="false">IF(OR(GM$4="",$B12=""),0,SUMIF('DADOS BRUTOS'!$A$3:$A$500,$B12,'DADOS BRUTOS'!DM$3:DM$500)+IF($C12="",0,SUMIF('DADOS BRUTOS'!$A$3:$A$500,$C12,'DADOS BRUTOS'!DM$3:DM$500)))</f>
        <v>0</v>
      </c>
      <c r="GN12" s="133" t="n">
        <f aca="false">IF(OR(GN$4="",$B12=""),0,SUMIF('DADOS BRUTOS'!$A$3:$A$500,$B12,'DADOS BRUTOS'!DN$3:DN$500)+IF($C12="",0,SUMIF('DADOS BRUTOS'!$A$3:$A$500,$C12,'DADOS BRUTOS'!DN$3:DN$500)))</f>
        <v>0</v>
      </c>
      <c r="GO12" s="133" t="n">
        <f aca="false">IF(OR(GO$4="",$B12=""),0,SUMIF('DADOS BRUTOS'!$A$3:$A$500,$B12,'DADOS BRUTOS'!DO$3:DO$500)+IF($C12="",0,SUMIF('DADOS BRUTOS'!$A$3:$A$500,$C12,'DADOS BRUTOS'!DO$3:DO$500)))</f>
        <v>0</v>
      </c>
      <c r="GP12" s="133" t="n">
        <f aca="false">IF(OR(GP$4="",$B12=""),0,SUMIF('DADOS BRUTOS'!$A$3:$A$500,$B12,'DADOS BRUTOS'!DP$3:DP$500)+IF($C12="",0,SUMIF('DADOS BRUTOS'!$A$3:$A$500,$C12,'DADOS BRUTOS'!DP$3:DP$500)))</f>
        <v>0</v>
      </c>
      <c r="GQ12" s="133" t="n">
        <f aca="false">IF(OR(GQ$4="",$B12=""),0,SUMIF('DADOS BRUTOS'!$A$3:$A$500,$B12,'DADOS BRUTOS'!DQ$3:DQ$500)+IF($C12="",0,SUMIF('DADOS BRUTOS'!$A$3:$A$500,$C12,'DADOS BRUTOS'!DQ$3:DQ$500)))</f>
        <v>0</v>
      </c>
      <c r="GR12" s="133" t="n">
        <f aca="false">IF(OR(GR$4="",$B12=""),0,SUMIF('DADOS BRUTOS'!$A$3:$A$500,$B12,'DADOS BRUTOS'!DR$3:DR$500)+IF($C12="",0,SUMIF('DADOS BRUTOS'!$A$3:$A$500,$C12,'DADOS BRUTOS'!DR$3:DR$500)))</f>
        <v>0</v>
      </c>
      <c r="GS12" s="133" t="n">
        <f aca="false">IF(OR(GS$4="",$B12=""),0,SUMIF('DADOS BRUTOS'!$A$3:$A$500,$B12,'DADOS BRUTOS'!DS$3:DS$500)+IF($C12="",0,SUMIF('DADOS BRUTOS'!$A$3:$A$500,$C12,'DADOS BRUTOS'!DS$3:DS$500)))</f>
        <v>0</v>
      </c>
      <c r="GT12" s="133" t="n">
        <f aca="false">IF(OR(GT$4="",$B12=""),0,SUMIF('DADOS BRUTOS'!$A$3:$A$500,$B12,'DADOS BRUTOS'!DT$3:DT$500)+IF($C12="",0,SUMIF('DADOS BRUTOS'!$A$3:$A$500,$C12,'DADOS BRUTOS'!DT$3:DT$500)))</f>
        <v>0</v>
      </c>
      <c r="GU12" s="133" t="n">
        <f aca="false">IF(OR(GU$4="",$B12=""),0,SUMIF('DADOS BRUTOS'!$A$3:$A$500,$B12,'DADOS BRUTOS'!DU$3:DU$500)+IF($C12="",0,SUMIF('DADOS BRUTOS'!$A$3:$A$500,$C12,'DADOS BRUTOS'!DU$3:DU$500)))</f>
        <v>0</v>
      </c>
      <c r="GV12" s="133" t="n">
        <f aca="false">IF(OR(GV$4="",$B12=""),0,SUMIF('DADOS BRUTOS'!$A$3:$A$500,$B12,'DADOS BRUTOS'!DV$3:DV$500)+IF($C12="",0,SUMIF('DADOS BRUTOS'!$A$3:$A$500,$C12,'DADOS BRUTOS'!DV$3:DV$500)))</f>
        <v>0</v>
      </c>
      <c r="GW12" s="133" t="n">
        <f aca="false">IF(OR(GW$4="",$B12=""),0,SUMIF('DADOS BRUTOS'!$A$3:$A$500,$B12,'DADOS BRUTOS'!DW$3:DW$500)+IF($C12="",0,SUMIF('DADOS BRUTOS'!$A$3:$A$500,$C12,'DADOS BRUTOS'!DW$3:DW$500)))</f>
        <v>0</v>
      </c>
      <c r="GX12" s="133" t="n">
        <f aca="false">IF(OR(GX$4="",$B12=""),0,SUMIF('DADOS BRUTOS'!$A$3:$A$500,$B12,'DADOS BRUTOS'!DX$3:DX$500)+IF($C12="",0,SUMIF('DADOS BRUTOS'!$A$3:$A$500,$C12,'DADOS BRUTOS'!DX$3:DX$500)))</f>
        <v>0</v>
      </c>
      <c r="GY12" s="133" t="n">
        <f aca="false">IF(OR(GY$4="",$B12=""),0,SUMIF('DADOS BRUTOS'!$A$3:$A$500,$B12,'DADOS BRUTOS'!DY$3:DY$500)+IF($C12="",0,SUMIF('DADOS BRUTOS'!$A$3:$A$500,$C12,'DADOS BRUTOS'!DY$3:DY$500)))</f>
        <v>0</v>
      </c>
      <c r="GZ12" s="133" t="n">
        <f aca="false">IF(OR(GZ$4="",$B12=""),0,SUMIF('DADOS BRUTOS'!$A$3:$A$500,$B12,'DADOS BRUTOS'!DZ$3:DZ$500)+IF($C12="",0,SUMIF('DADOS BRUTOS'!$A$3:$A$500,$C12,'DADOS BRUTOS'!DZ$3:DZ$500)))</f>
        <v>0</v>
      </c>
      <c r="HA12" s="133" t="n">
        <f aca="false">IF(OR(HA$4="",$B12=""),0,SUMIF('DADOS BRUTOS'!$A$3:$A$500,$B12,'DADOS BRUTOS'!EA$3:EA$500)+IF($C12="",0,SUMIF('DADOS BRUTOS'!$A$3:$A$500,$C12,'DADOS BRUTOS'!EA$3:EA$500)))</f>
        <v>0</v>
      </c>
      <c r="HB12" s="133" t="n">
        <f aca="false">IF(OR(HB$4="",$B12=""),0,SUMIF('DADOS BRUTOS'!$A$3:$A$500,$B12,'DADOS BRUTOS'!EB$3:EB$500)+IF($C12="",0,SUMIF('DADOS BRUTOS'!$A$3:$A$500,$C12,'DADOS BRUTOS'!EB$3:EB$500)))</f>
        <v>0</v>
      </c>
      <c r="HC12" s="133" t="n">
        <f aca="false">IF(OR(HC$4="",$B12=""),0,SUMIF('DADOS BRUTOS'!$A$3:$A$500,$B12,'DADOS BRUTOS'!EC$3:EC$500)+IF($C12="",0,SUMIF('DADOS BRUTOS'!$A$3:$A$500,$C12,'DADOS BRUTOS'!EC$3:EC$500)))</f>
        <v>0</v>
      </c>
      <c r="HD12" s="133" t="n">
        <f aca="false">IF(OR(HD$4="",$B12=""),0,SUMIF('DADOS BRUTOS'!$A$3:$A$500,$B12,'DADOS BRUTOS'!ED$3:ED$500)+IF($C12="",0,SUMIF('DADOS BRUTOS'!$A$3:$A$500,$C12,'DADOS BRUTOS'!ED$3:ED$500)))</f>
        <v>0</v>
      </c>
      <c r="HE12" s="133" t="n">
        <f aca="false">IF(OR(HE$4="",$B12=""),0,SUMIF('DADOS BRUTOS'!$A$3:$A$500,$B12,'DADOS BRUTOS'!EE$3:EE$500)+IF($C12="",0,SUMIF('DADOS BRUTOS'!$A$3:$A$500,$C12,'DADOS BRUTOS'!EE$3:EE$500)))</f>
        <v>0</v>
      </c>
      <c r="HF12" s="133" t="n">
        <f aca="false">IF(OR(HF$4="",$B12=""),0,SUMIF('DADOS BRUTOS'!$A$3:$A$500,$B12,'DADOS BRUTOS'!EF$3:EF$500)+IF($C12="",0,SUMIF('DADOS BRUTOS'!$A$3:$A$500,$C12,'DADOS BRUTOS'!EF$3:EF$500)))</f>
        <v>0</v>
      </c>
      <c r="HG12" s="133" t="n">
        <f aca="false">IF(OR(HG$4="",$B12=""),0,SUMIF('DADOS BRUTOS'!$A$3:$A$500,$B12,'DADOS BRUTOS'!EG$3:EG$500)+IF($C12="",0,SUMIF('DADOS BRUTOS'!$A$3:$A$500,$C12,'DADOS BRUTOS'!EG$3:EG$500)))</f>
        <v>0</v>
      </c>
      <c r="HH12" s="133" t="n">
        <f aca="false">IF(OR(HH$4="",$B12=""),0,SUMIF('DADOS BRUTOS'!$A$3:$A$500,$B12,'DADOS BRUTOS'!EH$3:EH$500)+IF($C12="",0,SUMIF('DADOS BRUTOS'!$A$3:$A$500,$C12,'DADOS BRUTOS'!EH$3:EH$500)))</f>
        <v>0</v>
      </c>
      <c r="HI12" s="133" t="n">
        <f aca="false">IF(OR(HI$4="",$B12=""),0,SUMIF('DADOS BRUTOS'!$A$3:$A$500,$B12,'DADOS BRUTOS'!EI$3:EI$500)+IF($C12="",0,SUMIF('DADOS BRUTOS'!$A$3:$A$500,$C12,'DADOS BRUTOS'!EI$3:EI$500)))</f>
        <v>0</v>
      </c>
      <c r="HJ12" s="133" t="n">
        <f aca="false">IF(OR(HJ$4="",$B12=""),0,SUMIF('DADOS BRUTOS'!$A$3:$A$500,$B12,'DADOS BRUTOS'!EJ$3:EJ$500)+IF($C12="",0,SUMIF('DADOS BRUTOS'!$A$3:$A$500,$C12,'DADOS BRUTOS'!EJ$3:EJ$500)))</f>
        <v>0</v>
      </c>
      <c r="HK12" s="133" t="n">
        <f aca="false">IF(OR(HK$4="",$B12=""),0,SUMIF('DADOS BRUTOS'!$A$3:$A$500,$B12,'DADOS BRUTOS'!EK$3:EK$500)+IF($C12="",0,SUMIF('DADOS BRUTOS'!$A$3:$A$500,$C12,'DADOS BRUTOS'!EK$3:EK$500)))</f>
        <v>0</v>
      </c>
      <c r="HL12" s="133" t="n">
        <f aca="false">IF(OR(HL$4="",$B12=""),0,SUMIF('DADOS BRUTOS'!$A$3:$A$500,$B12,'DADOS BRUTOS'!EL$3:EL$500)+IF($C12="",0,SUMIF('DADOS BRUTOS'!$A$3:$A$500,$C12,'DADOS BRUTOS'!EL$3:EL$500)))</f>
        <v>0</v>
      </c>
      <c r="HM12" s="133" t="n">
        <f aca="false">IF(OR(HM$4="",$B12=""),0,SUMIF('DADOS BRUTOS'!$A$3:$A$500,$B12,'DADOS BRUTOS'!EM$3:EM$500)+IF($C12="",0,SUMIF('DADOS BRUTOS'!$A$3:$A$500,$C12,'DADOS BRUTOS'!EM$3:EM$500)))</f>
        <v>0</v>
      </c>
      <c r="HN12" s="133" t="n">
        <f aca="false">IF(OR(HN$4="",$B12=""),0,SUMIF('DADOS BRUTOS'!$A$3:$A$500,$B12,'DADOS BRUTOS'!EN$3:EN$500)+IF($C12="",0,SUMIF('DADOS BRUTOS'!$A$3:$A$500,$C12,'DADOS BRUTOS'!EN$3:EN$500)))</f>
        <v>0</v>
      </c>
      <c r="HO12" s="133" t="n">
        <f aca="false">IF(OR(HO$4="",$B12=""),0,SUMIF('DADOS BRUTOS'!$A$3:$A$500,$B12,'DADOS BRUTOS'!EO$3:EO$500)+IF($C12="",0,SUMIF('DADOS BRUTOS'!$A$3:$A$500,$C12,'DADOS BRUTOS'!EO$3:EO$500)))</f>
        <v>0</v>
      </c>
      <c r="HP12" s="133" t="n">
        <f aca="false">IF(OR(HP$4="",$B12=""),0,SUMIF('DADOS BRUTOS'!$A$3:$A$500,$B12,'DADOS BRUTOS'!EP$3:EP$500)+IF($C12="",0,SUMIF('DADOS BRUTOS'!$A$3:$A$500,$C12,'DADOS BRUTOS'!EP$3:EP$500)))</f>
        <v>0</v>
      </c>
      <c r="HQ12" s="133" t="n">
        <f aca="false">IF(OR(HQ$4="",$B12=""),0,SUMIF('DADOS BRUTOS'!$A$3:$A$500,$B12,'DADOS BRUTOS'!EQ$3:EQ$500)+IF($C12="",0,SUMIF('DADOS BRUTOS'!$A$3:$A$500,$C12,'DADOS BRUTOS'!EQ$3:EQ$500)))</f>
        <v>0</v>
      </c>
      <c r="HR12" s="133" t="n">
        <f aca="false">IF(OR(HR$4="",$B12=""),0,SUMIF('DADOS BRUTOS'!$A$3:$A$500,$B12,'DADOS BRUTOS'!ER$3:ER$500)+IF($C12="",0,SUMIF('DADOS BRUTOS'!$A$3:$A$500,$C12,'DADOS BRUTOS'!ER$3:ER$500)))</f>
        <v>0</v>
      </c>
      <c r="HS12" s="133" t="n">
        <f aca="false">IF(OR(HS$4="",$B12=""),0,SUMIF('DADOS BRUTOS'!$A$3:$A$500,$B12,'DADOS BRUTOS'!ES$3:ES$500)+IF($C12="",0,SUMIF('DADOS BRUTOS'!$A$3:$A$500,$C12,'DADOS BRUTOS'!ES$3:ES$500)))</f>
        <v>0</v>
      </c>
      <c r="HT12" s="133" t="n">
        <f aca="false">IF(OR(HT$4="",$B12=""),0,SUMIF('DADOS BRUTOS'!$A$3:$A$500,$B12,'DADOS BRUTOS'!ET$3:ET$500)+IF($C12="",0,SUMIF('DADOS BRUTOS'!$A$3:$A$500,$C12,'DADOS BRUTOS'!ET$3:ET$500)))</f>
        <v>0</v>
      </c>
      <c r="HU12" s="133" t="n">
        <f aca="false">IF(OR(HU$4="",$B12=""),0,SUMIF('DADOS BRUTOS'!$A$3:$A$500,$B12,'DADOS BRUTOS'!EU$3:EU$500)+IF($C12="",0,SUMIF('DADOS BRUTOS'!$A$3:$A$500,$C12,'DADOS BRUTOS'!EU$3:EU$500)))</f>
        <v>0</v>
      </c>
      <c r="HV12" s="133" t="n">
        <f aca="false">IF(OR(HV$4="",$B12=""),0,SUMIF('DADOS BRUTOS'!$A$3:$A$500,$B12,'DADOS BRUTOS'!EV$3:EV$500)+IF($C12="",0,SUMIF('DADOS BRUTOS'!$A$3:$A$500,$C12,'DADOS BRUTOS'!EV$3:EV$500)))</f>
        <v>0</v>
      </c>
      <c r="HW12" s="133" t="n">
        <f aca="false">IF(OR(HW$4="",$B12=""),0,SUMIF('DADOS BRUTOS'!$A$3:$A$500,$B12,'DADOS BRUTOS'!EW$3:EW$500)+IF($C12="",0,SUMIF('DADOS BRUTOS'!$A$3:$A$500,$C12,'DADOS BRUTOS'!EW$3:EW$500)))</f>
        <v>0</v>
      </c>
      <c r="HX12" s="133" t="n">
        <f aca="false">IF(OR(HX$4="",$B12=""),0,SUMIF('DADOS BRUTOS'!$A$3:$A$500,$B12,'DADOS BRUTOS'!EX$3:EX$500)+IF($C12="",0,SUMIF('DADOS BRUTOS'!$A$3:$A$500,$C12,'DADOS BRUTOS'!EX$3:EX$500)))</f>
        <v>0</v>
      </c>
      <c r="HY12" s="133" t="n">
        <f aca="false">IF(OR(HY$4="",$B12=""),0,SUMIF('DADOS BRUTOS'!$A$3:$A$500,$B12,'DADOS BRUTOS'!EY$3:EY$500)+IF($C12="",0,SUMIF('DADOS BRUTOS'!$A$3:$A$500,$C12,'DADOS BRUTOS'!EY$3:EY$500)))</f>
        <v>0</v>
      </c>
      <c r="HZ12" s="133" t="n">
        <f aca="false">IF(OR(HZ$4="",$B12=""),0,SUMIF('DADOS BRUTOS'!$A$3:$A$500,$B12,'DADOS BRUTOS'!EZ$3:EZ$500)+IF($C12="",0,SUMIF('DADOS BRUTOS'!$A$3:$A$500,$C12,'DADOS BRUTOS'!EZ$3:EZ$500)))</f>
        <v>0</v>
      </c>
      <c r="IA12" s="133" t="n">
        <f aca="false">IF(OR(IA$4="",$B12=""),0,SUMIF('DADOS BRUTOS'!$A$3:$A$500,$B12,'DADOS BRUTOS'!FA$3:FA$500)+IF($C12="",0,SUMIF('DADOS BRUTOS'!$A$3:$A$500,$C12,'DADOS BRUTOS'!FA$3:FA$500)))</f>
        <v>0</v>
      </c>
      <c r="IB12" s="133" t="n">
        <f aca="false">IF(OR(IB$4="",$B12=""),0,SUMIF('DADOS BRUTOS'!$A$3:$A$500,$B12,'DADOS BRUTOS'!FB$3:FB$500)+IF($C12="",0,SUMIF('DADOS BRUTOS'!$A$3:$A$500,$C12,'DADOS BRUTOS'!FB$3:FB$500)))</f>
        <v>0</v>
      </c>
      <c r="IC12" s="133" t="n">
        <f aca="false">IF(OR(IC$4="",$B12=""),0,SUMIF('DADOS BRUTOS'!$A$3:$A$500,$B12,'DADOS BRUTOS'!FC$3:FC$500)+IF($C12="",0,SUMIF('DADOS BRUTOS'!$A$3:$A$500,$C12,'DADOS BRUTOS'!FC$3:FC$500)))</f>
        <v>0</v>
      </c>
      <c r="ID12" s="133" t="n">
        <f aca="false">IF(OR(ID$4="",$B12=""),0,SUMIF('DADOS BRUTOS'!$A$3:$A$500,$B12,'DADOS BRUTOS'!FD$3:FD$500)+IF($C12="",0,SUMIF('DADOS BRUTOS'!$A$3:$A$500,$C12,'DADOS BRUTOS'!FD$3:FD$500)))</f>
        <v>0</v>
      </c>
      <c r="IE12" s="133" t="n">
        <f aca="false">IF(OR(IE$4="",$B12=""),0,SUMIF('DADOS BRUTOS'!$A$3:$A$500,$B12,'DADOS BRUTOS'!FE$3:FE$500)+IF($C12="",0,SUMIF('DADOS BRUTOS'!$A$3:$A$500,$C12,'DADOS BRUTOS'!FE$3:FE$500)))</f>
        <v>0</v>
      </c>
      <c r="IF12" s="133" t="n">
        <f aca="false">IF(OR(IF$4="",$B12=""),0,SUMIF('DADOS BRUTOS'!$A$3:$A$500,$B12,'DADOS BRUTOS'!FF$3:FF$500)+IF($C12="",0,SUMIF('DADOS BRUTOS'!$A$3:$A$500,$C12,'DADOS BRUTOS'!FF$3:FF$500)))</f>
        <v>0</v>
      </c>
      <c r="IG12" s="133" t="n">
        <f aca="false">IF(OR(IG$4="",$B12=""),0,SUMIF('DADOS BRUTOS'!$A$3:$A$500,$B12,'DADOS BRUTOS'!FG$3:FG$500)+IF($C12="",0,SUMIF('DADOS BRUTOS'!$A$3:$A$500,$C12,'DADOS BRUTOS'!FG$3:FG$500)))</f>
        <v>0</v>
      </c>
      <c r="IH12" s="133" t="n">
        <f aca="false">IF(OR(IH$4="",$B12=""),0,SUMIF('DADOS BRUTOS'!$A$3:$A$500,$B12,'DADOS BRUTOS'!FH$3:FH$500)+IF($C12="",0,SUMIF('DADOS BRUTOS'!$A$3:$A$500,$C12,'DADOS BRUTOS'!FH$3:FH$500)))</f>
        <v>0</v>
      </c>
      <c r="II12" s="133" t="n">
        <f aca="false">IF(OR(II$4="",$B12=""),0,SUMIF('DADOS BRUTOS'!$A$3:$A$500,$B12,'DADOS BRUTOS'!FI$3:FI$500)+IF($C12="",0,SUMIF('DADOS BRUTOS'!$A$3:$A$500,$C12,'DADOS BRUTOS'!FI$3:FI$500)))</f>
        <v>0</v>
      </c>
      <c r="IJ12" s="133" t="n">
        <f aca="false">IF(OR(IJ$4="",$B12=""),0,SUMIF('DADOS BRUTOS'!$A$3:$A$500,$B12,'DADOS BRUTOS'!FJ$3:FJ$500)+IF($C12="",0,SUMIF('DADOS BRUTOS'!$A$3:$A$500,$C12,'DADOS BRUTOS'!FJ$3:FJ$500)))</f>
        <v>0</v>
      </c>
      <c r="IK12" s="133" t="n">
        <f aca="false">IF(OR(IK$4="",$B12=""),0,SUMIF('DADOS BRUTOS'!$A$3:$A$500,$B12,'DADOS BRUTOS'!FK$3:FK$500)+IF($C12="",0,SUMIF('DADOS BRUTOS'!$A$3:$A$500,$C12,'DADOS BRUTOS'!FK$3:FK$500)))</f>
        <v>0</v>
      </c>
      <c r="IL12" s="133" t="n">
        <f aca="false">IF(OR(IL$4="",$B12=""),0,SUMIF('DADOS BRUTOS'!$A$3:$A$500,$B12,'DADOS BRUTOS'!FL$3:FL$500)+IF($C12="",0,SUMIF('DADOS BRUTOS'!$A$3:$A$500,$C12,'DADOS BRUTOS'!FL$3:FL$500)))</f>
        <v>0</v>
      </c>
      <c r="IM12" s="133" t="n">
        <f aca="false">IF(OR(IM$4="",$B12=""),0,SUMIF('DADOS BRUTOS'!$A$3:$A$500,$B12,'DADOS BRUTOS'!FM$3:FM$500)+IF($C12="",0,SUMIF('DADOS BRUTOS'!$A$3:$A$500,$C12,'DADOS BRUTOS'!FM$3:FM$500)))</f>
        <v>0</v>
      </c>
      <c r="IN12" s="133" t="n">
        <f aca="false">IF(OR(IN$4="",$B12=""),0,SUMIF('DADOS BRUTOS'!$A$3:$A$500,$B12,'DADOS BRUTOS'!FN$3:FN$500)+IF($C12="",0,SUMIF('DADOS BRUTOS'!$A$3:$A$500,$C12,'DADOS BRUTOS'!FN$3:FN$500)))</f>
        <v>0</v>
      </c>
      <c r="IO12" s="133" t="n">
        <f aca="false">IF(OR(IO$4="",$B12=""),0,SUMIF('DADOS BRUTOS'!$A$3:$A$500,$B12,'DADOS BRUTOS'!FO$3:FO$500)+IF($C12="",0,SUMIF('DADOS BRUTOS'!$A$3:$A$500,$C12,'DADOS BRUTOS'!FO$3:FO$500)))</f>
        <v>0</v>
      </c>
      <c r="IP12" s="133" t="n">
        <f aca="false">IF(OR(IP$4="",$B12=""),0,SUMIF('DADOS BRUTOS'!$A$3:$A$500,$B12,'DADOS BRUTOS'!FP$3:FP$500)+IF($C12="",0,SUMIF('DADOS BRUTOS'!$A$3:$A$500,$C12,'DADOS BRUTOS'!FP$3:FP$500)))</f>
        <v>0</v>
      </c>
      <c r="IQ12" s="133" t="n">
        <f aca="false">IF(OR(IQ$4="",$B12=""),0,SUMIF('DADOS BRUTOS'!$A$3:$A$500,$B12,'DADOS BRUTOS'!FQ$3:FQ$500)+IF($C12="",0,SUMIF('DADOS BRUTOS'!$A$3:$A$500,$C12,'DADOS BRUTOS'!FQ$3:FQ$500)))</f>
        <v>0</v>
      </c>
      <c r="IR12" s="133" t="n">
        <f aca="false">IF(OR(IR$4="",$B12=""),0,SUMIF('DADOS BRUTOS'!$A$3:$A$500,$B12,'DADOS BRUTOS'!FR$3:FR$500)+IF($C12="",0,SUMIF('DADOS BRUTOS'!$A$3:$A$500,$C12,'DADOS BRUTOS'!FR$3:FR$500)))</f>
        <v>0</v>
      </c>
      <c r="IS12" s="133" t="n">
        <f aca="false">IF(OR(IS$4="",$B12=""),0,SUMIF('DADOS BRUTOS'!$A$3:$A$500,$B12,'DADOS BRUTOS'!FS$3:FS$500)+IF($C12="",0,SUMIF('DADOS BRUTOS'!$A$3:$A$500,$C12,'DADOS BRUTOS'!FS$3:FS$500)))</f>
        <v>0</v>
      </c>
      <c r="IT12" s="133" t="n">
        <f aca="false">IF(OR(IT$4="",$B12=""),0,SUMIF('DADOS BRUTOS'!$A$3:$A$500,$B12,'DADOS BRUTOS'!FT$3:FT$500)+IF($C12="",0,SUMIF('DADOS BRUTOS'!$A$3:$A$500,$C12,'DADOS BRUTOS'!FT$3:FT$500)))</f>
        <v>0</v>
      </c>
      <c r="IU12" s="133" t="n">
        <f aca="false">IF(OR(IU$4="",$B12=""),0,SUMIF('DADOS BRUTOS'!$A$3:$A$500,$B12,'DADOS BRUTOS'!FU$3:FU$500)+IF($C12="",0,SUMIF('DADOS BRUTOS'!$A$3:$A$500,$C12,'DADOS BRUTOS'!FU$3:FU$500)))</f>
        <v>0</v>
      </c>
      <c r="IV12" s="133" t="n">
        <f aca="false">IF(OR(IV$4="",$B12=""),0,SUMIF('DADOS BRUTOS'!$A$3:$A$500,$B12,'DADOS BRUTOS'!FV$3:FV$500)+IF($C12="",0,SUMIF('DADOS BRUTOS'!$A$3:$A$500,$C12,'DADOS BRUTOS'!FV$3:FV$500)))</f>
        <v>0</v>
      </c>
      <c r="IW12" s="133" t="n">
        <f aca="false">IF(OR(IW$4="",$B12=""),0,SUMIF('DADOS BRUTOS'!$A$3:$A$500,$B12,'DADOS BRUTOS'!FW$3:FW$500)+IF($C12="",0,SUMIF('DADOS BRUTOS'!$A$3:$A$500,$C12,'DADOS BRUTOS'!FW$3:FW$500)))</f>
        <v>0</v>
      </c>
      <c r="IX12" s="133" t="n">
        <f aca="false">IF(OR(IX$4="",$B12=""),0,SUMIF('DADOS BRUTOS'!$A$3:$A$500,$B12,'DADOS BRUTOS'!FX$3:FX$500)+IF($C12="",0,SUMIF('DADOS BRUTOS'!$A$3:$A$500,$C12,'DADOS BRUTOS'!FX$3:FX$500)))</f>
        <v>0</v>
      </c>
      <c r="IY12" s="133" t="n">
        <f aca="false">IF(OR(IY$4="",$B12=""),0,SUMIF('DADOS BRUTOS'!$A$3:$A$500,$B12,'DADOS BRUTOS'!FY$3:FY$500)+IF($C12="",0,SUMIF('DADOS BRUTOS'!$A$3:$A$500,$C12,'DADOS BRUTOS'!FY$3:FY$500)))</f>
        <v>0</v>
      </c>
      <c r="IZ12" s="133" t="n">
        <f aca="false">IF(OR(IZ$4="",$B12=""),0,SUMIF('DADOS BRUTOS'!$A$3:$A$500,$B12,'DADOS BRUTOS'!FZ$3:FZ$500)+IF($C12="",0,SUMIF('DADOS BRUTOS'!$A$3:$A$500,$C12,'DADOS BRUTOS'!FZ$3:FZ$500)))</f>
        <v>0</v>
      </c>
      <c r="JA12" s="133" t="n">
        <f aca="false">IF(OR(JA$4="",$B12=""),0,SUMIF('DADOS BRUTOS'!$A$3:$A$500,$B12,'DADOS BRUTOS'!GA$3:GA$500)+IF($C12="",0,SUMIF('DADOS BRUTOS'!$A$3:$A$500,$C12,'DADOS BRUTOS'!GA$3:GA$500)))</f>
        <v>0</v>
      </c>
      <c r="JB12" s="133" t="n">
        <f aca="false">IF(OR(JB$4="",$B12=""),0,SUMIF('DADOS BRUTOS'!$A$3:$A$500,$B12,'DADOS BRUTOS'!GB$3:GB$500)+IF($C12="",0,SUMIF('DADOS BRUTOS'!$A$3:$A$500,$C12,'DADOS BRUTOS'!GB$3:GB$500)))</f>
        <v>0</v>
      </c>
      <c r="JC12" s="133" t="n">
        <f aca="false">IF(OR(JC$4="",$B12=""),0,SUMIF('DADOS BRUTOS'!$A$3:$A$500,$B12,'DADOS BRUTOS'!GC$3:GC$500)+IF($C12="",0,SUMIF('DADOS BRUTOS'!$A$3:$A$500,$C12,'DADOS BRUTOS'!GC$3:GC$500)))</f>
        <v>0</v>
      </c>
      <c r="JD12" s="133" t="n">
        <f aca="false">IF(OR(JD$4="",$B12=""),0,SUMIF('DADOS BRUTOS'!$A$3:$A$500,$B12,'DADOS BRUTOS'!GD$3:GD$500)+IF($C12="",0,SUMIF('DADOS BRUTOS'!$A$3:$A$500,$C12,'DADOS BRUTOS'!GD$3:GD$500)))</f>
        <v>0</v>
      </c>
      <c r="JE12" s="133" t="n">
        <f aca="false">IF(OR(JE$4="",$B12=""),0,SUMIF('DADOS BRUTOS'!$A$3:$A$500,$B12,'DADOS BRUTOS'!GE$3:GE$500)+IF($C12="",0,SUMIF('DADOS BRUTOS'!$A$3:$A$500,$C12,'DADOS BRUTOS'!GE$3:GE$500)))</f>
        <v>0</v>
      </c>
      <c r="JF12" s="133" t="n">
        <f aca="false">IF(OR(JF$4="",$B12=""),0,SUMIF('DADOS BRUTOS'!$A$3:$A$500,$B12,'DADOS BRUTOS'!GF$3:GF$500)+IF($C12="",0,SUMIF('DADOS BRUTOS'!$A$3:$A$500,$C12,'DADOS BRUTOS'!GF$3:GF$500)))</f>
        <v>0</v>
      </c>
      <c r="JG12" s="133" t="n">
        <f aca="false">IF(OR(JG$4="",$B12=""),0,SUMIF('DADOS BRUTOS'!$A$3:$A$500,$B12,'DADOS BRUTOS'!GG$3:GG$500)+IF($C12="",0,SUMIF('DADOS BRUTOS'!$A$3:$A$500,$C12,'DADOS BRUTOS'!GG$3:GG$500)))</f>
        <v>0</v>
      </c>
      <c r="JH12" s="133" t="n">
        <f aca="false">IF(OR(JH$4="",$B12=""),0,SUMIF('DADOS BRUTOS'!$A$3:$A$500,$B12,'DADOS BRUTOS'!GH$3:GH$500)+IF($C12="",0,SUMIF('DADOS BRUTOS'!$A$3:$A$500,$C12,'DADOS BRUTOS'!GH$3:GH$500)))</f>
        <v>0</v>
      </c>
      <c r="JI12" s="133" t="n">
        <f aca="false">IF(OR(JI$4="",$B12=""),0,SUMIF('DADOS BRUTOS'!$A$3:$A$500,$B12,'DADOS BRUTOS'!GI$3:GI$500)+IF($C12="",0,SUMIF('DADOS BRUTOS'!$A$3:$A$500,$C12,'DADOS BRUTOS'!GI$3:GI$500)))</f>
        <v>0</v>
      </c>
      <c r="JJ12" s="133" t="n">
        <f aca="false">IF(OR(JJ$4="",$B12=""),0,SUMIF('DADOS BRUTOS'!$A$3:$A$500,$B12,'DADOS BRUTOS'!GJ$3:GJ$500)+IF($C12="",0,SUMIF('DADOS BRUTOS'!$A$3:$A$500,$C12,'DADOS BRUTOS'!GJ$3:GJ$500)))</f>
        <v>0</v>
      </c>
      <c r="JK12" s="133" t="n">
        <f aca="false">IF(OR(JK$4="",$B12=""),0,SUMIF('DADOS BRUTOS'!$A$3:$A$500,$B12,'DADOS BRUTOS'!GK$3:GK$500)+IF($C12="",0,SUMIF('DADOS BRUTOS'!$A$3:$A$500,$C12,'DADOS BRUTOS'!GK$3:GK$500)))</f>
        <v>0</v>
      </c>
      <c r="JL12" s="133" t="n">
        <f aca="false">IF(OR(JL$4="",$B12=""),0,SUMIF('DADOS BRUTOS'!$A$3:$A$500,$B12,'DADOS BRUTOS'!GL$3:GL$500)+IF($C12="",0,SUMIF('DADOS BRUTOS'!$A$3:$A$500,$C12,'DADOS BRUTOS'!GL$3:GL$500)))</f>
        <v>0</v>
      </c>
      <c r="JM12" s="133" t="n">
        <f aca="false">IF(OR(JM$4="",$B12=""),0,SUMIF('DADOS BRUTOS'!$A$3:$A$500,$B12,'DADOS BRUTOS'!GM$3:GM$500)+IF($C12="",0,SUMIF('DADOS BRUTOS'!$A$3:$A$500,$C12,'DADOS BRUTOS'!GM$3:GM$500)))</f>
        <v>0</v>
      </c>
      <c r="JN12" s="133" t="n">
        <f aca="false">IF(OR(JN$4="",$B12=""),0,SUMIF('DADOS BRUTOS'!$A$3:$A$500,$B12,'DADOS BRUTOS'!GN$3:GN$500)+IF($C12="",0,SUMIF('DADOS BRUTOS'!$A$3:$A$500,$C12,'DADOS BRUTOS'!GN$3:GN$500)))</f>
        <v>0</v>
      </c>
      <c r="JO12" s="133" t="n">
        <f aca="false">IF(OR(JO$4="",$B12=""),0,SUMIF('DADOS BRUTOS'!$A$3:$A$500,$B12,'DADOS BRUTOS'!GO$3:GO$500)+IF($C12="",0,SUMIF('DADOS BRUTOS'!$A$3:$A$500,$C12,'DADOS BRUTOS'!GO$3:GO$500)))</f>
        <v>0</v>
      </c>
      <c r="JP12" s="133" t="n">
        <f aca="false">IF(OR(JP$4="",$B12=""),0,SUMIF('DADOS BRUTOS'!$A$3:$A$500,$B12,'DADOS BRUTOS'!GP$3:GP$500)+IF($C12="",0,SUMIF('DADOS BRUTOS'!$A$3:$A$500,$C12,'DADOS BRUTOS'!GP$3:GP$500)))</f>
        <v>0</v>
      </c>
      <c r="JQ12" s="133" t="n">
        <f aca="false">IF(OR(JQ$4="",$B12=""),0,SUMIF('DADOS BRUTOS'!$A$3:$A$500,$B12,'DADOS BRUTOS'!GQ$3:GQ$500)+IF($C12="",0,SUMIF('DADOS BRUTOS'!$A$3:$A$500,$C12,'DADOS BRUTOS'!GQ$3:GQ$500)))</f>
        <v>0</v>
      </c>
      <c r="JR12" s="133" t="n">
        <f aca="false">IF(OR(JR$4="",$B12=""),0,SUMIF('DADOS BRUTOS'!$A$3:$A$500,$B12,'DADOS BRUTOS'!GR$3:GR$500)+IF($C12="",0,SUMIF('DADOS BRUTOS'!$A$3:$A$500,$C12,'DADOS BRUTOS'!GR$3:GR$500)))</f>
        <v>0</v>
      </c>
      <c r="JS12" s="133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43088.09</v>
      </c>
      <c r="E13" s="50" t="n">
        <f aca="false">SUMIF($CB$4:$JS$4,E$4,$CB13:$JS13)</f>
        <v>0</v>
      </c>
      <c r="F13" s="50" t="n">
        <f aca="false">SUMIF($CB$4:$JS$4,F$4,$CB13:$JS13)</f>
        <v>14421.7</v>
      </c>
      <c r="G13" s="50" t="n">
        <f aca="false">SUMIF($CB$4:$JS$4,G$4,$CB13:$JS13)</f>
        <v>608.73</v>
      </c>
      <c r="H13" s="50" t="n">
        <f aca="false">SUMIF($CB$4:$JS$4,H$4,$CB13:$JS13)</f>
        <v>0</v>
      </c>
      <c r="I13" s="50" t="n">
        <f aca="false">SUMIF($CB$4:$JS$4,I$4,$CB13:$JS13)</f>
        <v>0</v>
      </c>
      <c r="J13" s="50" t="n">
        <f aca="false">SUMIF($CB$4:$JS$4,J$4,$CB13:$JS13)</f>
        <v>0</v>
      </c>
      <c r="K13" s="50" t="n">
        <f aca="false">SUMIF($CB$4:$JS$4,K$4,$CB13:$JS13)</f>
        <v>20181.97</v>
      </c>
      <c r="L13" s="50" t="n">
        <f aca="false">SUMIF($CB$4:$JS$4,L$4,$CB13:$JS13)</f>
        <v>6015.91</v>
      </c>
      <c r="M13" s="50" t="n">
        <f aca="false">SUMIF($CB$4:$JS$4,M$4,$CB13:$JS13)</f>
        <v>9715.37</v>
      </c>
      <c r="N13" s="50" t="n">
        <f aca="false">SUMIF($CB$4:$JS$4,N$4,$CB13:$JS13)</f>
        <v>28769</v>
      </c>
      <c r="O13" s="50" t="n">
        <f aca="false">SUMIF($CB$4:$JS$4,O$4,$CB13:$JS13)</f>
        <v>255492.31</v>
      </c>
      <c r="P13" s="50" t="n">
        <f aca="false">SUMIF($CB$4:$JS$4,P$4,$CB13:$JS13)</f>
        <v>61293.83</v>
      </c>
      <c r="Q13" s="50" t="n">
        <f aca="false">SUMIF($CB$4:$JS$4,Q$4,$CB13:$JS13)</f>
        <v>26405.03</v>
      </c>
      <c r="R13" s="50" t="n">
        <f aca="false">SUMIF($CB$4:$JS$4,R$4,$CB13:$JS13)</f>
        <v>27423.86</v>
      </c>
      <c r="S13" s="50" t="n">
        <f aca="false">SUMIF($CB$4:$JS$4,S$4,$CB13:$JS13)</f>
        <v>42679.98</v>
      </c>
      <c r="T13" s="50" t="n">
        <f aca="false">SUMIF($CB$4:$JS$4,T$4,$CB13:$JS13)</f>
        <v>22203.86</v>
      </c>
      <c r="U13" s="50" t="n">
        <f aca="false">SUMIF($CB$4:$JS$4,U$4,$CB13:$JS13)</f>
        <v>22652.84</v>
      </c>
      <c r="V13" s="50" t="n">
        <f aca="false">SUMIF($CB$4:$JS$4,V$4,$CB13:$JS13)</f>
        <v>18615.9</v>
      </c>
      <c r="W13" s="50" t="n">
        <f aca="false">SUMIF($CB$4:$JS$4,W$4,$CB13:$JS13)</f>
        <v>42382.64</v>
      </c>
      <c r="X13" s="50" t="n">
        <f aca="false">SUMIF($CB$4:$JS$4,X$4,$CB13:$JS13)</f>
        <v>32608.81</v>
      </c>
      <c r="Y13" s="50" t="n">
        <f aca="false">SUMIF($CB$4:$JS$4,Y$4,$CB13:$JS13)</f>
        <v>28595.43</v>
      </c>
      <c r="Z13" s="50" t="n">
        <f aca="false">SUMIF($CB$4:$JS$4,Z$4,$CB13:$JS13)</f>
        <v>9922.49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713077.75</v>
      </c>
      <c r="BZ13" s="45" t="n">
        <f aca="false">SUMPRODUCT(($CB$4:$JS$4&lt;&gt;"")*($CB$4:$JS$4&lt;=$D$4),$CB13:$JS13,$CB$1:$JS$1)</f>
        <v>37.8286998660252</v>
      </c>
      <c r="CB13" s="133" t="n">
        <f aca="false">IF(OR(CB$4="",$B13=""),0,SUMIF('DADOS BRUTOS'!$A$3:$A$500,$B13,'DADOS BRUTOS'!B$3:B$500)+IF($C13="",0,SUMIF('DADOS BRUTOS'!$A$3:$A$500,$C13,'DADOS BRUTOS'!B$3:B$500)))</f>
        <v>0</v>
      </c>
      <c r="CC13" s="133" t="n">
        <f aca="false">IF(OR(CC$4="",$B13=""),0,SUMIF('DADOS BRUTOS'!$A$3:$A$500,$B13,'DADOS BRUTOS'!C$3:C$500)+IF($C13="",0,SUMIF('DADOS BRUTOS'!$A$3:$A$500,$C13,'DADOS BRUTOS'!C$3:C$500)))</f>
        <v>0</v>
      </c>
      <c r="CD13" s="133" t="n">
        <f aca="false">IF(OR(CD$4="",$B13=""),0,SUMIF('DADOS BRUTOS'!$A$3:$A$500,$B13,'DADOS BRUTOS'!D$3:D$500)+IF($C13="",0,SUMIF('DADOS BRUTOS'!$A$3:$A$500,$C13,'DADOS BRUTOS'!D$3:D$500)))</f>
        <v>0</v>
      </c>
      <c r="CE13" s="133" t="n">
        <f aca="false">IF(OR(CE$4="",$B13=""),0,SUMIF('DADOS BRUTOS'!$A$3:$A$500,$B13,'DADOS BRUTOS'!E$3:E$500)+IF($C13="",0,SUMIF('DADOS BRUTOS'!$A$3:$A$500,$C13,'DADOS BRUTOS'!E$3:E$500)))</f>
        <v>0</v>
      </c>
      <c r="CF13" s="133" t="n">
        <f aca="false">IF(OR(CF$4="",$B13=""),0,SUMIF('DADOS BRUTOS'!$A$3:$A$500,$B13,'DADOS BRUTOS'!F$3:F$500)+IF($C13="",0,SUMIF('DADOS BRUTOS'!$A$3:$A$500,$C13,'DADOS BRUTOS'!F$3:F$500)))</f>
        <v>0</v>
      </c>
      <c r="CG13" s="133" t="n">
        <f aca="false">IF(OR(CG$4="",$B13=""),0,SUMIF('DADOS BRUTOS'!$A$3:$A$500,$B13,'DADOS BRUTOS'!G$3:G$500)+IF($C13="",0,SUMIF('DADOS BRUTOS'!$A$3:$A$500,$C13,'DADOS BRUTOS'!G$3:G$500)))</f>
        <v>6616.43</v>
      </c>
      <c r="CH13" s="133" t="n">
        <f aca="false">IF(OR(CH$4="",$B13=""),0,SUMIF('DADOS BRUTOS'!$A$3:$A$500,$B13,'DADOS BRUTOS'!H$3:H$500)+IF($C13="",0,SUMIF('DADOS BRUTOS'!$A$3:$A$500,$C13,'DADOS BRUTOS'!H$3:H$500)))</f>
        <v>433.57</v>
      </c>
      <c r="CI13" s="133" t="n">
        <f aca="false">IF(OR(CI$4="",$B13=""),0,SUMIF('DADOS BRUTOS'!$A$3:$A$500,$B13,'DADOS BRUTOS'!I$3:I$500)+IF($C13="",0,SUMIF('DADOS BRUTOS'!$A$3:$A$500,$C13,'DADOS BRUTOS'!I$3:I$500)))</f>
        <v>0</v>
      </c>
      <c r="CJ13" s="133" t="n">
        <f aca="false">IF(OR(CJ$4="",$B13=""),0,SUMIF('DADOS BRUTOS'!$A$3:$A$500,$B13,'DADOS BRUTOS'!J$3:J$500)+IF($C13="",0,SUMIF('DADOS BRUTOS'!$A$3:$A$500,$C13,'DADOS BRUTOS'!J$3:J$500)))</f>
        <v>0</v>
      </c>
      <c r="CK13" s="133" t="n">
        <f aca="false">IF(OR(CK$4="",$B13=""),0,SUMIF('DADOS BRUTOS'!$A$3:$A$500,$B13,'DADOS BRUTOS'!K$3:K$500)+IF($C13="",0,SUMIF('DADOS BRUTOS'!$A$3:$A$500,$C13,'DADOS BRUTOS'!K$3:K$500)))</f>
        <v>21110.48</v>
      </c>
      <c r="CL13" s="133" t="n">
        <f aca="false">IF(OR(CL$4="",$B13=""),0,SUMIF('DADOS BRUTOS'!$A$3:$A$500,$B13,'DADOS BRUTOS'!L$3:L$500)+IF($C13="",0,SUMIF('DADOS BRUTOS'!$A$3:$A$500,$C13,'DADOS BRUTOS'!L$3:L$500)))</f>
        <v>14927.61</v>
      </c>
      <c r="CM13" s="133" t="n">
        <f aca="false">IF(OR(CM$4="",$B13=""),0,SUMIF('DADOS BRUTOS'!$A$3:$A$500,$B13,'DADOS BRUTOS'!M$3:M$500)+IF($C13="",0,SUMIF('DADOS BRUTOS'!$A$3:$A$500,$C13,'DADOS BRUTOS'!M$3:M$500)))</f>
        <v>0</v>
      </c>
      <c r="CN13" s="133" t="n">
        <f aca="false">IF(OR(CN$4="",$B13=""),0,SUMIF('DADOS BRUTOS'!$A$3:$A$500,$B13,'DADOS BRUTOS'!N$3:N$500)+IF($C13="",0,SUMIF('DADOS BRUTOS'!$A$3:$A$500,$C13,'DADOS BRUTOS'!N$3:N$500)))</f>
        <v>0</v>
      </c>
      <c r="CO13" s="133" t="n">
        <f aca="false">IF(OR(CO$4="",$B13=""),0,SUMIF('DADOS BRUTOS'!$A$3:$A$500,$B13,'DADOS BRUTOS'!O$3:O$500)+IF($C13="",0,SUMIF('DADOS BRUTOS'!$A$3:$A$500,$C13,'DADOS BRUTOS'!O$3:O$500)))</f>
        <v>0</v>
      </c>
      <c r="CP13" s="133" t="n">
        <f aca="false">IF(OR(CP$4="",$B13=""),0,SUMIF('DADOS BRUTOS'!$A$3:$A$500,$B13,'DADOS BRUTOS'!P$3:P$500)+IF($C13="",0,SUMIF('DADOS BRUTOS'!$A$3:$A$500,$C13,'DADOS BRUTOS'!P$3:P$500)))</f>
        <v>14421.7</v>
      </c>
      <c r="CQ13" s="133" t="n">
        <f aca="false">IF(OR(CQ$4="",$B13=""),0,SUMIF('DADOS BRUTOS'!$A$3:$A$500,$B13,'DADOS BRUTOS'!Q$3:Q$500)+IF($C13="",0,SUMIF('DADOS BRUTOS'!$A$3:$A$500,$C13,'DADOS BRUTOS'!Q$3:Q$500)))</f>
        <v>608.73</v>
      </c>
      <c r="CR13" s="133" t="n">
        <f aca="false">IF(OR(CR$4="",$B13=""),0,SUMIF('DADOS BRUTOS'!$A$3:$A$500,$B13,'DADOS BRUTOS'!R$3:R$500)+IF($C13="",0,SUMIF('DADOS BRUTOS'!$A$3:$A$500,$C13,'DADOS BRUTOS'!R$3:R$500)))</f>
        <v>0</v>
      </c>
      <c r="CS13" s="133" t="n">
        <f aca="false">IF(OR(CS$4="",$B13=""),0,SUMIF('DADOS BRUTOS'!$A$3:$A$500,$B13,'DADOS BRUTOS'!S$3:S$500)+IF($C13="",0,SUMIF('DADOS BRUTOS'!$A$3:$A$500,$C13,'DADOS BRUTOS'!S$3:S$500)))</f>
        <v>0</v>
      </c>
      <c r="CT13" s="133" t="n">
        <f aca="false">IF(OR(CT$4="",$B13=""),0,SUMIF('DADOS BRUTOS'!$A$3:$A$500,$B13,'DADOS BRUTOS'!T$3:T$500)+IF($C13="",0,SUMIF('DADOS BRUTOS'!$A$3:$A$500,$C13,'DADOS BRUTOS'!T$3:T$500)))</f>
        <v>0</v>
      </c>
      <c r="CU13" s="133" t="n">
        <f aca="false">IF(OR(CU$4="",$B13=""),0,SUMIF('DADOS BRUTOS'!$A$3:$A$500,$B13,'DADOS BRUTOS'!U$3:U$500)+IF($C13="",0,SUMIF('DADOS BRUTOS'!$A$3:$A$500,$C13,'DADOS BRUTOS'!U$3:U$500)))</f>
        <v>20181.97</v>
      </c>
      <c r="CV13" s="133" t="n">
        <f aca="false">IF(OR(CV$4="",$B13=""),0,SUMIF('DADOS BRUTOS'!$A$3:$A$500,$B13,'DADOS BRUTOS'!V$3:V$500)+IF($C13="",0,SUMIF('DADOS BRUTOS'!$A$3:$A$500,$C13,'DADOS BRUTOS'!V$3:V$500)))</f>
        <v>6015.91</v>
      </c>
      <c r="CW13" s="133" t="n">
        <f aca="false">IF(OR(CW$4="",$B13=""),0,SUMIF('DADOS BRUTOS'!$A$3:$A$500,$B13,'DADOS BRUTOS'!W$3:W$500)+IF($C13="",0,SUMIF('DADOS BRUTOS'!$A$3:$A$500,$C13,'DADOS BRUTOS'!W$3:W$500)))</f>
        <v>9715.37</v>
      </c>
      <c r="CX13" s="133" t="n">
        <f aca="false">IF(OR(CX$4="",$B13=""),0,SUMIF('DADOS BRUTOS'!$A$3:$A$500,$B13,'DADOS BRUTOS'!X$3:X$500)+IF($C13="",0,SUMIF('DADOS BRUTOS'!$A$3:$A$500,$C13,'DADOS BRUTOS'!X$3:X$500)))</f>
        <v>28769</v>
      </c>
      <c r="CY13" s="133" t="n">
        <f aca="false">IF(OR(CY$4="",$B13=""),0,SUMIF('DADOS BRUTOS'!$A$3:$A$500,$B13,'DADOS BRUTOS'!Y$3:Y$500)+IF($C13="",0,SUMIF('DADOS BRUTOS'!$A$3:$A$500,$C13,'DADOS BRUTOS'!Y$3:Y$500)))</f>
        <v>255492.31</v>
      </c>
      <c r="CZ13" s="133" t="n">
        <f aca="false">IF(OR(CZ$4="",$B13=""),0,SUMIF('DADOS BRUTOS'!$A$3:$A$500,$B13,'DADOS BRUTOS'!Z$3:Z$500)+IF($C13="",0,SUMIF('DADOS BRUTOS'!$A$3:$A$500,$C13,'DADOS BRUTOS'!Z$3:Z$500)))</f>
        <v>61293.83</v>
      </c>
      <c r="DA13" s="133" t="n">
        <f aca="false">IF(OR(DA$4="",$B13=""),0,SUMIF('DADOS BRUTOS'!$A$3:$A$500,$B13,'DADOS BRUTOS'!AA$3:AA$500)+IF($C13="",0,SUMIF('DADOS BRUTOS'!$A$3:$A$500,$C13,'DADOS BRUTOS'!AA$3:AA$500)))</f>
        <v>26405.03</v>
      </c>
      <c r="DB13" s="133" t="n">
        <f aca="false">IF(OR(DB$4="",$B13=""),0,SUMIF('DADOS BRUTOS'!$A$3:$A$500,$B13,'DADOS BRUTOS'!AB$3:AB$500)+IF($C13="",0,SUMIF('DADOS BRUTOS'!$A$3:$A$500,$C13,'DADOS BRUTOS'!AB$3:AB$500)))</f>
        <v>27423.86</v>
      </c>
      <c r="DC13" s="133" t="n">
        <f aca="false">IF(OR(DC$4="",$B13=""),0,SUMIF('DADOS BRUTOS'!$A$3:$A$500,$B13,'DADOS BRUTOS'!AC$3:AC$500)+IF($C13="",0,SUMIF('DADOS BRUTOS'!$A$3:$A$500,$C13,'DADOS BRUTOS'!AC$3:AC$500)))</f>
        <v>42679.98</v>
      </c>
      <c r="DD13" s="133" t="n">
        <f aca="false">IF(OR(DD$4="",$B13=""),0,SUMIF('DADOS BRUTOS'!$A$3:$A$500,$B13,'DADOS BRUTOS'!AD$3:AD$500)+IF($C13="",0,SUMIF('DADOS BRUTOS'!$A$3:$A$500,$C13,'DADOS BRUTOS'!AD$3:AD$500)))</f>
        <v>22203.86</v>
      </c>
      <c r="DE13" s="133" t="n">
        <f aca="false">IF(OR(DE$4="",$B13=""),0,SUMIF('DADOS BRUTOS'!$A$3:$A$500,$B13,'DADOS BRUTOS'!AE$3:AE$500)+IF($C13="",0,SUMIF('DADOS BRUTOS'!$A$3:$A$500,$C13,'DADOS BRUTOS'!AE$3:AE$500)))</f>
        <v>22652.84</v>
      </c>
      <c r="DF13" s="133" t="n">
        <f aca="false">IF(OR(DF$4="",$B13=""),0,SUMIF('DADOS BRUTOS'!$A$3:$A$500,$B13,'DADOS BRUTOS'!AF$3:AF$500)+IF($C13="",0,SUMIF('DADOS BRUTOS'!$A$3:$A$500,$C13,'DADOS BRUTOS'!AF$3:AF$500)))</f>
        <v>18615.9</v>
      </c>
      <c r="DG13" s="133" t="n">
        <f aca="false">IF(OR(DG$4="",$B13=""),0,SUMIF('DADOS BRUTOS'!$A$3:$A$500,$B13,'DADOS BRUTOS'!AG$3:AG$500)+IF($C13="",0,SUMIF('DADOS BRUTOS'!$A$3:$A$500,$C13,'DADOS BRUTOS'!AG$3:AG$500)))</f>
        <v>42382.64</v>
      </c>
      <c r="DH13" s="133" t="n">
        <f aca="false">IF(OR(DH$4="",$B13=""),0,SUMIF('DADOS BRUTOS'!$A$3:$A$500,$B13,'DADOS BRUTOS'!AH$3:AH$500)+IF($C13="",0,SUMIF('DADOS BRUTOS'!$A$3:$A$500,$C13,'DADOS BRUTOS'!AH$3:AH$500)))</f>
        <v>32608.81</v>
      </c>
      <c r="DI13" s="133" t="n">
        <f aca="false">IF(OR(DI$4="",$B13=""),0,SUMIF('DADOS BRUTOS'!$A$3:$A$500,$B13,'DADOS BRUTOS'!AI$3:AI$500)+IF($C13="",0,SUMIF('DADOS BRUTOS'!$A$3:$A$500,$C13,'DADOS BRUTOS'!AI$3:AI$500)))</f>
        <v>28595.43</v>
      </c>
      <c r="DJ13" s="133" t="n">
        <f aca="false">IF(OR(DJ$4="",$B13=""),0,SUMIF('DADOS BRUTOS'!$A$3:$A$500,$B13,'DADOS BRUTOS'!AJ$3:AJ$500)+IF($C13="",0,SUMIF('DADOS BRUTOS'!$A$3:$A$500,$C13,'DADOS BRUTOS'!AJ$3:AJ$500)))</f>
        <v>9922.49</v>
      </c>
      <c r="DK13" s="133" t="n">
        <f aca="false">IF(OR(DK$4="",$B13=""),0,SUMIF('DADOS BRUTOS'!$A$3:$A$500,$B13,'DADOS BRUTOS'!AK$3:AK$500)+IF($C13="",0,SUMIF('DADOS BRUTOS'!$A$3:$A$500,$C13,'DADOS BRUTOS'!AK$3:AK$500)))</f>
        <v>0</v>
      </c>
      <c r="DL13" s="133" t="n">
        <f aca="false">IF(OR(DL$4="",$B13=""),0,SUMIF('DADOS BRUTOS'!$A$3:$A$500,$B13,'DADOS BRUTOS'!AL$3:AL$500)+IF($C13="",0,SUMIF('DADOS BRUTOS'!$A$3:$A$500,$C13,'DADOS BRUTOS'!AL$3:AL$500)))</f>
        <v>0</v>
      </c>
      <c r="DM13" s="133" t="n">
        <f aca="false">IF(OR(DM$4="",$B13=""),0,SUMIF('DADOS BRUTOS'!$A$3:$A$500,$B13,'DADOS BRUTOS'!AM$3:AM$500)+IF($C13="",0,SUMIF('DADOS BRUTOS'!$A$3:$A$500,$C13,'DADOS BRUTOS'!AM$3:AM$500)))</f>
        <v>0</v>
      </c>
      <c r="DN13" s="133" t="n">
        <f aca="false">IF(OR(DN$4="",$B13=""),0,SUMIF('DADOS BRUTOS'!$A$3:$A$500,$B13,'DADOS BRUTOS'!AN$3:AN$500)+IF($C13="",0,SUMIF('DADOS BRUTOS'!$A$3:$A$500,$C13,'DADOS BRUTOS'!AN$3:AN$500)))</f>
        <v>0</v>
      </c>
      <c r="DO13" s="133" t="n">
        <f aca="false">IF(OR(DO$4="",$B13=""),0,SUMIF('DADOS BRUTOS'!$A$3:$A$500,$B13,'DADOS BRUTOS'!AO$3:AO$500)+IF($C13="",0,SUMIF('DADOS BRUTOS'!$A$3:$A$500,$C13,'DADOS BRUTOS'!AO$3:AO$500)))</f>
        <v>0</v>
      </c>
      <c r="DP13" s="133" t="n">
        <f aca="false">IF(OR(DP$4="",$B13=""),0,SUMIF('DADOS BRUTOS'!$A$3:$A$500,$B13,'DADOS BRUTOS'!AP$3:AP$500)+IF($C13="",0,SUMIF('DADOS BRUTOS'!$A$3:$A$500,$C13,'DADOS BRUTOS'!AP$3:AP$500)))</f>
        <v>0</v>
      </c>
      <c r="DQ13" s="133" t="n">
        <f aca="false">IF(OR(DQ$4="",$B13=""),0,SUMIF('DADOS BRUTOS'!$A$3:$A$500,$B13,'DADOS BRUTOS'!AQ$3:AQ$500)+IF($C13="",0,SUMIF('DADOS BRUTOS'!$A$3:$A$500,$C13,'DADOS BRUTOS'!AQ$3:AQ$500)))</f>
        <v>0</v>
      </c>
      <c r="DR13" s="133" t="n">
        <f aca="false">IF(OR(DR$4="",$B13=""),0,SUMIF('DADOS BRUTOS'!$A$3:$A$500,$B13,'DADOS BRUTOS'!AR$3:AR$500)+IF($C13="",0,SUMIF('DADOS BRUTOS'!$A$3:$A$500,$C13,'DADOS BRUTOS'!AR$3:AR$500)))</f>
        <v>0</v>
      </c>
      <c r="DS13" s="133" t="n">
        <f aca="false">IF(OR(DS$4="",$B13=""),0,SUMIF('DADOS BRUTOS'!$A$3:$A$500,$B13,'DADOS BRUTOS'!AS$3:AS$500)+IF($C13="",0,SUMIF('DADOS BRUTOS'!$A$3:$A$500,$C13,'DADOS BRUTOS'!AS$3:AS$500)))</f>
        <v>0</v>
      </c>
      <c r="DT13" s="133" t="n">
        <f aca="false">IF(OR(DT$4="",$B13=""),0,SUMIF('DADOS BRUTOS'!$A$3:$A$500,$B13,'DADOS BRUTOS'!AT$3:AT$500)+IF($C13="",0,SUMIF('DADOS BRUTOS'!$A$3:$A$500,$C13,'DADOS BRUTOS'!AT$3:AT$500)))</f>
        <v>0</v>
      </c>
      <c r="DU13" s="133" t="n">
        <f aca="false">IF(OR(DU$4="",$B13=""),0,SUMIF('DADOS BRUTOS'!$A$3:$A$500,$B13,'DADOS BRUTOS'!AU$3:AU$500)+IF($C13="",0,SUMIF('DADOS BRUTOS'!$A$3:$A$500,$C13,'DADOS BRUTOS'!AU$3:AU$500)))</f>
        <v>0</v>
      </c>
      <c r="DV13" s="133" t="n">
        <f aca="false">IF(OR(DV$4="",$B13=""),0,SUMIF('DADOS BRUTOS'!$A$3:$A$500,$B13,'DADOS BRUTOS'!AV$3:AV$500)+IF($C13="",0,SUMIF('DADOS BRUTOS'!$A$3:$A$500,$C13,'DADOS BRUTOS'!AV$3:AV$500)))</f>
        <v>0</v>
      </c>
      <c r="DW13" s="133" t="n">
        <f aca="false">IF(OR(DW$4="",$B13=""),0,SUMIF('DADOS BRUTOS'!$A$3:$A$500,$B13,'DADOS BRUTOS'!AW$3:AW$500)+IF($C13="",0,SUMIF('DADOS BRUTOS'!$A$3:$A$500,$C13,'DADOS BRUTOS'!AW$3:AW$500)))</f>
        <v>0</v>
      </c>
      <c r="DX13" s="133" t="n">
        <f aca="false">IF(OR(DX$4="",$B13=""),0,SUMIF('DADOS BRUTOS'!$A$3:$A$500,$B13,'DADOS BRUTOS'!AX$3:AX$500)+IF($C13="",0,SUMIF('DADOS BRUTOS'!$A$3:$A$500,$C13,'DADOS BRUTOS'!AX$3:AX$500)))</f>
        <v>0</v>
      </c>
      <c r="DY13" s="133" t="n">
        <f aca="false">IF(OR(DY$4="",$B13=""),0,SUMIF('DADOS BRUTOS'!$A$3:$A$500,$B13,'DADOS BRUTOS'!AY$3:AY$500)+IF($C13="",0,SUMIF('DADOS BRUTOS'!$A$3:$A$500,$C13,'DADOS BRUTOS'!AY$3:AY$500)))</f>
        <v>0</v>
      </c>
      <c r="DZ13" s="133" t="n">
        <f aca="false">IF(OR(DZ$4="",$B13=""),0,SUMIF('DADOS BRUTOS'!$A$3:$A$500,$B13,'DADOS BRUTOS'!AZ$3:AZ$500)+IF($C13="",0,SUMIF('DADOS BRUTOS'!$A$3:$A$500,$C13,'DADOS BRUTOS'!AZ$3:AZ$500)))</f>
        <v>0</v>
      </c>
      <c r="EA13" s="133" t="n">
        <f aca="false">IF(OR(EA$4="",$B13=""),0,SUMIF('DADOS BRUTOS'!$A$3:$A$500,$B13,'DADOS BRUTOS'!BA$3:BA$500)+IF($C13="",0,SUMIF('DADOS BRUTOS'!$A$3:$A$500,$C13,'DADOS BRUTOS'!BA$3:BA$500)))</f>
        <v>0</v>
      </c>
      <c r="EB13" s="133" t="n">
        <f aca="false">IF(OR(EB$4="",$B13=""),0,SUMIF('DADOS BRUTOS'!$A$3:$A$500,$B13,'DADOS BRUTOS'!BB$3:BB$500)+IF($C13="",0,SUMIF('DADOS BRUTOS'!$A$3:$A$500,$C13,'DADOS BRUTOS'!BB$3:BB$500)))</f>
        <v>0</v>
      </c>
      <c r="EC13" s="133" t="n">
        <f aca="false">IF(OR(EC$4="",$B13=""),0,SUMIF('DADOS BRUTOS'!$A$3:$A$500,$B13,'DADOS BRUTOS'!BC$3:BC$500)+IF($C13="",0,SUMIF('DADOS BRUTOS'!$A$3:$A$500,$C13,'DADOS BRUTOS'!BC$3:BC$500)))</f>
        <v>0</v>
      </c>
      <c r="ED13" s="133" t="n">
        <f aca="false">IF(OR(ED$4="",$B13=""),0,SUMIF('DADOS BRUTOS'!$A$3:$A$500,$B13,'DADOS BRUTOS'!BD$3:BD$500)+IF($C13="",0,SUMIF('DADOS BRUTOS'!$A$3:$A$500,$C13,'DADOS BRUTOS'!BD$3:BD$500)))</f>
        <v>0</v>
      </c>
      <c r="EE13" s="133" t="n">
        <f aca="false">IF(OR(EE$4="",$B13=""),0,SUMIF('DADOS BRUTOS'!$A$3:$A$500,$B13,'DADOS BRUTOS'!BE$3:BE$500)+IF($C13="",0,SUMIF('DADOS BRUTOS'!$A$3:$A$500,$C13,'DADOS BRUTOS'!BE$3:BE$500)))</f>
        <v>0</v>
      </c>
      <c r="EF13" s="133" t="n">
        <f aca="false">IF(OR(EF$4="",$B13=""),0,SUMIF('DADOS BRUTOS'!$A$3:$A$500,$B13,'DADOS BRUTOS'!BF$3:BF$500)+IF($C13="",0,SUMIF('DADOS BRUTOS'!$A$3:$A$500,$C13,'DADOS BRUTOS'!BF$3:BF$500)))</f>
        <v>0</v>
      </c>
      <c r="EG13" s="133" t="n">
        <f aca="false">IF(OR(EG$4="",$B13=""),0,SUMIF('DADOS BRUTOS'!$A$3:$A$500,$B13,'DADOS BRUTOS'!BG$3:BG$500)+IF($C13="",0,SUMIF('DADOS BRUTOS'!$A$3:$A$500,$C13,'DADOS BRUTOS'!BG$3:BG$500)))</f>
        <v>0</v>
      </c>
      <c r="EH13" s="133" t="n">
        <f aca="false">IF(OR(EH$4="",$B13=""),0,SUMIF('DADOS BRUTOS'!$A$3:$A$500,$B13,'DADOS BRUTOS'!BH$3:BH$500)+IF($C13="",0,SUMIF('DADOS BRUTOS'!$A$3:$A$500,$C13,'DADOS BRUTOS'!BH$3:BH$500)))</f>
        <v>0</v>
      </c>
      <c r="EI13" s="133" t="n">
        <f aca="false">IF(OR(EI$4="",$B13=""),0,SUMIF('DADOS BRUTOS'!$A$3:$A$500,$B13,'DADOS BRUTOS'!BI$3:BI$500)+IF($C13="",0,SUMIF('DADOS BRUTOS'!$A$3:$A$500,$C13,'DADOS BRUTOS'!BI$3:BI$500)))</f>
        <v>0</v>
      </c>
      <c r="EJ13" s="133" t="n">
        <f aca="false">IF(OR(EJ$4="",$B13=""),0,SUMIF('DADOS BRUTOS'!$A$3:$A$500,$B13,'DADOS BRUTOS'!BJ$3:BJ$500)+IF($C13="",0,SUMIF('DADOS BRUTOS'!$A$3:$A$500,$C13,'DADOS BRUTOS'!BJ$3:BJ$500)))</f>
        <v>0</v>
      </c>
      <c r="EK13" s="133" t="n">
        <f aca="false">IF(OR(EK$4="",$B13=""),0,SUMIF('DADOS BRUTOS'!$A$3:$A$500,$B13,'DADOS BRUTOS'!BK$3:BK$500)+IF($C13="",0,SUMIF('DADOS BRUTOS'!$A$3:$A$500,$C13,'DADOS BRUTOS'!BK$3:BK$500)))</f>
        <v>0</v>
      </c>
      <c r="EL13" s="133" t="n">
        <f aca="false">IF(OR(EL$4="",$B13=""),0,SUMIF('DADOS BRUTOS'!$A$3:$A$500,$B13,'DADOS BRUTOS'!BL$3:BL$500)+IF($C13="",0,SUMIF('DADOS BRUTOS'!$A$3:$A$500,$C13,'DADOS BRUTOS'!BL$3:BL$500)))</f>
        <v>0</v>
      </c>
      <c r="EM13" s="133" t="n">
        <f aca="false">IF(OR(EM$4="",$B13=""),0,SUMIF('DADOS BRUTOS'!$A$3:$A$500,$B13,'DADOS BRUTOS'!BM$3:BM$500)+IF($C13="",0,SUMIF('DADOS BRUTOS'!$A$3:$A$500,$C13,'DADOS BRUTOS'!BM$3:BM$500)))</f>
        <v>0</v>
      </c>
      <c r="EN13" s="133" t="n">
        <f aca="false">IF(OR(EN$4="",$B13=""),0,SUMIF('DADOS BRUTOS'!$A$3:$A$500,$B13,'DADOS BRUTOS'!BN$3:BN$500)+IF($C13="",0,SUMIF('DADOS BRUTOS'!$A$3:$A$500,$C13,'DADOS BRUTOS'!BN$3:BN$500)))</f>
        <v>0</v>
      </c>
      <c r="EO13" s="133" t="n">
        <f aca="false">IF(OR(EO$4="",$B13=""),0,SUMIF('DADOS BRUTOS'!$A$3:$A$500,$B13,'DADOS BRUTOS'!BO$3:BO$500)+IF($C13="",0,SUMIF('DADOS BRUTOS'!$A$3:$A$500,$C13,'DADOS BRUTOS'!BO$3:BO$500)))</f>
        <v>0</v>
      </c>
      <c r="EP13" s="133" t="n">
        <f aca="false">IF(OR(EP$4="",$B13=""),0,SUMIF('DADOS BRUTOS'!$A$3:$A$500,$B13,'DADOS BRUTOS'!BP$3:BP$500)+IF($C13="",0,SUMIF('DADOS BRUTOS'!$A$3:$A$500,$C13,'DADOS BRUTOS'!BP$3:BP$500)))</f>
        <v>0</v>
      </c>
      <c r="EQ13" s="133" t="n">
        <f aca="false">IF(OR(EQ$4="",$B13=""),0,SUMIF('DADOS BRUTOS'!$A$3:$A$500,$B13,'DADOS BRUTOS'!BQ$3:BQ$500)+IF($C13="",0,SUMIF('DADOS BRUTOS'!$A$3:$A$500,$C13,'DADOS BRUTOS'!BQ$3:BQ$500)))</f>
        <v>0</v>
      </c>
      <c r="ER13" s="133" t="n">
        <f aca="false">IF(OR(ER$4="",$B13=""),0,SUMIF('DADOS BRUTOS'!$A$3:$A$500,$B13,'DADOS BRUTOS'!BR$3:BR$500)+IF($C13="",0,SUMIF('DADOS BRUTOS'!$A$3:$A$500,$C13,'DADOS BRUTOS'!BR$3:BR$500)))</f>
        <v>0</v>
      </c>
      <c r="ES13" s="133" t="n">
        <f aca="false">IF(OR(ES$4="",$B13=""),0,SUMIF('DADOS BRUTOS'!$A$3:$A$500,$B13,'DADOS BRUTOS'!BS$3:BS$500)+IF($C13="",0,SUMIF('DADOS BRUTOS'!$A$3:$A$500,$C13,'DADOS BRUTOS'!BS$3:BS$500)))</f>
        <v>0</v>
      </c>
      <c r="ET13" s="133" t="n">
        <f aca="false">IF(OR(ET$4="",$B13=""),0,SUMIF('DADOS BRUTOS'!$A$3:$A$500,$B13,'DADOS BRUTOS'!BT$3:BT$500)+IF($C13="",0,SUMIF('DADOS BRUTOS'!$A$3:$A$500,$C13,'DADOS BRUTOS'!BT$3:BT$500)))</f>
        <v>0</v>
      </c>
      <c r="EU13" s="133" t="n">
        <f aca="false">IF(OR(EU$4="",$B13=""),0,SUMIF('DADOS BRUTOS'!$A$3:$A$500,$B13,'DADOS BRUTOS'!BU$3:BU$500)+IF($C13="",0,SUMIF('DADOS BRUTOS'!$A$3:$A$500,$C13,'DADOS BRUTOS'!BU$3:BU$500)))</f>
        <v>0</v>
      </c>
      <c r="EV13" s="133" t="n">
        <f aca="false">IF(OR(EV$4="",$B13=""),0,SUMIF('DADOS BRUTOS'!$A$3:$A$500,$B13,'DADOS BRUTOS'!BV$3:BV$500)+IF($C13="",0,SUMIF('DADOS BRUTOS'!$A$3:$A$500,$C13,'DADOS BRUTOS'!BV$3:BV$500)))</f>
        <v>0</v>
      </c>
      <c r="EW13" s="133" t="n">
        <f aca="false">IF(OR(EW$4="",$B13=""),0,SUMIF('DADOS BRUTOS'!$A$3:$A$500,$B13,'DADOS BRUTOS'!BW$3:BW$500)+IF($C13="",0,SUMIF('DADOS BRUTOS'!$A$3:$A$500,$C13,'DADOS BRUTOS'!BW$3:BW$500)))</f>
        <v>0</v>
      </c>
      <c r="EX13" s="133" t="n">
        <f aca="false">IF(OR(EX$4="",$B13=""),0,SUMIF('DADOS BRUTOS'!$A$3:$A$500,$B13,'DADOS BRUTOS'!BX$3:BX$500)+IF($C13="",0,SUMIF('DADOS BRUTOS'!$A$3:$A$500,$C13,'DADOS BRUTOS'!BX$3:BX$500)))</f>
        <v>0</v>
      </c>
      <c r="EY13" s="133" t="n">
        <f aca="false">IF(OR(EY$4="",$B13=""),0,SUMIF('DADOS BRUTOS'!$A$3:$A$500,$B13,'DADOS BRUTOS'!BY$3:BY$500)+IF($C13="",0,SUMIF('DADOS BRUTOS'!$A$3:$A$500,$C13,'DADOS BRUTOS'!BY$3:BY$500)))</f>
        <v>0</v>
      </c>
      <c r="EZ13" s="133" t="n">
        <f aca="false">IF(OR(EZ$4="",$B13=""),0,SUMIF('DADOS BRUTOS'!$A$3:$A$500,$B13,'DADOS BRUTOS'!BZ$3:BZ$500)+IF($C13="",0,SUMIF('DADOS BRUTOS'!$A$3:$A$500,$C13,'DADOS BRUTOS'!BZ$3:BZ$500)))</f>
        <v>0</v>
      </c>
      <c r="FA13" s="133" t="n">
        <f aca="false">IF(OR(FA$4="",$B13=""),0,SUMIF('DADOS BRUTOS'!$A$3:$A$500,$B13,'DADOS BRUTOS'!CA$3:CA$500)+IF($C13="",0,SUMIF('DADOS BRUTOS'!$A$3:$A$500,$C13,'DADOS BRUTOS'!CA$3:CA$500)))</f>
        <v>0</v>
      </c>
      <c r="FB13" s="133" t="n">
        <f aca="false">IF(OR(FB$4="",$B13=""),0,SUMIF('DADOS BRUTOS'!$A$3:$A$500,$B13,'DADOS BRUTOS'!CB$3:CB$500)+IF($C13="",0,SUMIF('DADOS BRUTOS'!$A$3:$A$500,$C13,'DADOS BRUTOS'!CB$3:CB$500)))</f>
        <v>0</v>
      </c>
      <c r="FC13" s="133" t="n">
        <f aca="false">IF(OR(FC$4="",$B13=""),0,SUMIF('DADOS BRUTOS'!$A$3:$A$500,$B13,'DADOS BRUTOS'!CC$3:CC$500)+IF($C13="",0,SUMIF('DADOS BRUTOS'!$A$3:$A$500,$C13,'DADOS BRUTOS'!CC$3:CC$500)))</f>
        <v>0</v>
      </c>
      <c r="FD13" s="133" t="n">
        <f aca="false">IF(OR(FD$4="",$B13=""),0,SUMIF('DADOS BRUTOS'!$A$3:$A$500,$B13,'DADOS BRUTOS'!CD$3:CD$500)+IF($C13="",0,SUMIF('DADOS BRUTOS'!$A$3:$A$500,$C13,'DADOS BRUTOS'!CD$3:CD$500)))</f>
        <v>0</v>
      </c>
      <c r="FE13" s="133" t="n">
        <f aca="false">IF(OR(FE$4="",$B13=""),0,SUMIF('DADOS BRUTOS'!$A$3:$A$500,$B13,'DADOS BRUTOS'!CE$3:CE$500)+IF($C13="",0,SUMIF('DADOS BRUTOS'!$A$3:$A$500,$C13,'DADOS BRUTOS'!CE$3:CE$500)))</f>
        <v>0</v>
      </c>
      <c r="FF13" s="133" t="n">
        <f aca="false">IF(OR(FF$4="",$B13=""),0,SUMIF('DADOS BRUTOS'!$A$3:$A$500,$B13,'DADOS BRUTOS'!CF$3:CF$500)+IF($C13="",0,SUMIF('DADOS BRUTOS'!$A$3:$A$500,$C13,'DADOS BRUTOS'!CF$3:CF$500)))</f>
        <v>0</v>
      </c>
      <c r="FG13" s="133" t="n">
        <f aca="false">IF(OR(FG$4="",$B13=""),0,SUMIF('DADOS BRUTOS'!$A$3:$A$500,$B13,'DADOS BRUTOS'!CG$3:CG$500)+IF($C13="",0,SUMIF('DADOS BRUTOS'!$A$3:$A$500,$C13,'DADOS BRUTOS'!CG$3:CG$500)))</f>
        <v>0</v>
      </c>
      <c r="FH13" s="133" t="n">
        <f aca="false">IF(OR(FH$4="",$B13=""),0,SUMIF('DADOS BRUTOS'!$A$3:$A$500,$B13,'DADOS BRUTOS'!CH$3:CH$500)+IF($C13="",0,SUMIF('DADOS BRUTOS'!$A$3:$A$500,$C13,'DADOS BRUTOS'!CH$3:CH$500)))</f>
        <v>0</v>
      </c>
      <c r="FI13" s="133" t="n">
        <f aca="false">IF(OR(FI$4="",$B13=""),0,SUMIF('DADOS BRUTOS'!$A$3:$A$500,$B13,'DADOS BRUTOS'!CI$3:CI$500)+IF($C13="",0,SUMIF('DADOS BRUTOS'!$A$3:$A$500,$C13,'DADOS BRUTOS'!CI$3:CI$500)))</f>
        <v>0</v>
      </c>
      <c r="FJ13" s="133" t="n">
        <f aca="false">IF(OR(FJ$4="",$B13=""),0,SUMIF('DADOS BRUTOS'!$A$3:$A$500,$B13,'DADOS BRUTOS'!CJ$3:CJ$500)+IF($C13="",0,SUMIF('DADOS BRUTOS'!$A$3:$A$500,$C13,'DADOS BRUTOS'!CJ$3:CJ$500)))</f>
        <v>0</v>
      </c>
      <c r="FK13" s="133" t="n">
        <f aca="false">IF(OR(FK$4="",$B13=""),0,SUMIF('DADOS BRUTOS'!$A$3:$A$500,$B13,'DADOS BRUTOS'!CK$3:CK$500)+IF($C13="",0,SUMIF('DADOS BRUTOS'!$A$3:$A$500,$C13,'DADOS BRUTOS'!CK$3:CK$500)))</f>
        <v>0</v>
      </c>
      <c r="FL13" s="133" t="n">
        <f aca="false">IF(OR(FL$4="",$B13=""),0,SUMIF('DADOS BRUTOS'!$A$3:$A$500,$B13,'DADOS BRUTOS'!CL$3:CL$500)+IF($C13="",0,SUMIF('DADOS BRUTOS'!$A$3:$A$500,$C13,'DADOS BRUTOS'!CL$3:CL$500)))</f>
        <v>0</v>
      </c>
      <c r="FM13" s="133" t="n">
        <f aca="false">IF(OR(FM$4="",$B13=""),0,SUMIF('DADOS BRUTOS'!$A$3:$A$500,$B13,'DADOS BRUTOS'!CM$3:CM$500)+IF($C13="",0,SUMIF('DADOS BRUTOS'!$A$3:$A$500,$C13,'DADOS BRUTOS'!CM$3:CM$500)))</f>
        <v>0</v>
      </c>
      <c r="FN13" s="133" t="n">
        <f aca="false">IF(OR(FN$4="",$B13=""),0,SUMIF('DADOS BRUTOS'!$A$3:$A$500,$B13,'DADOS BRUTOS'!CN$3:CN$500)+IF($C13="",0,SUMIF('DADOS BRUTOS'!$A$3:$A$500,$C13,'DADOS BRUTOS'!CN$3:CN$500)))</f>
        <v>0</v>
      </c>
      <c r="FO13" s="133" t="n">
        <f aca="false">IF(OR(FO$4="",$B13=""),0,SUMIF('DADOS BRUTOS'!$A$3:$A$500,$B13,'DADOS BRUTOS'!CO$3:CO$500)+IF($C13="",0,SUMIF('DADOS BRUTOS'!$A$3:$A$500,$C13,'DADOS BRUTOS'!CO$3:CO$500)))</f>
        <v>0</v>
      </c>
      <c r="FP13" s="133" t="n">
        <f aca="false">IF(OR(FP$4="",$B13=""),0,SUMIF('DADOS BRUTOS'!$A$3:$A$500,$B13,'DADOS BRUTOS'!CP$3:CP$500)+IF($C13="",0,SUMIF('DADOS BRUTOS'!$A$3:$A$500,$C13,'DADOS BRUTOS'!CP$3:CP$500)))</f>
        <v>0</v>
      </c>
      <c r="FQ13" s="133" t="n">
        <f aca="false">IF(OR(FQ$4="",$B13=""),0,SUMIF('DADOS BRUTOS'!$A$3:$A$500,$B13,'DADOS BRUTOS'!CQ$3:CQ$500)+IF($C13="",0,SUMIF('DADOS BRUTOS'!$A$3:$A$500,$C13,'DADOS BRUTOS'!CQ$3:CQ$500)))</f>
        <v>0</v>
      </c>
      <c r="FR13" s="133" t="n">
        <f aca="false">IF(OR(FR$4="",$B13=""),0,SUMIF('DADOS BRUTOS'!$A$3:$A$500,$B13,'DADOS BRUTOS'!CR$3:CR$500)+IF($C13="",0,SUMIF('DADOS BRUTOS'!$A$3:$A$500,$C13,'DADOS BRUTOS'!CR$3:CR$500)))</f>
        <v>0</v>
      </c>
      <c r="FS13" s="133" t="n">
        <f aca="false">IF(OR(FS$4="",$B13=""),0,SUMIF('DADOS BRUTOS'!$A$3:$A$500,$B13,'DADOS BRUTOS'!CS$3:CS$500)+IF($C13="",0,SUMIF('DADOS BRUTOS'!$A$3:$A$500,$C13,'DADOS BRUTOS'!CS$3:CS$500)))</f>
        <v>0</v>
      </c>
      <c r="FT13" s="133" t="n">
        <f aca="false">IF(OR(FT$4="",$B13=""),0,SUMIF('DADOS BRUTOS'!$A$3:$A$500,$B13,'DADOS BRUTOS'!CT$3:CT$500)+IF($C13="",0,SUMIF('DADOS BRUTOS'!$A$3:$A$500,$C13,'DADOS BRUTOS'!CT$3:CT$500)))</f>
        <v>0</v>
      </c>
      <c r="FU13" s="133" t="n">
        <f aca="false">IF(OR(FU$4="",$B13=""),0,SUMIF('DADOS BRUTOS'!$A$3:$A$500,$B13,'DADOS BRUTOS'!CU$3:CU$500)+IF($C13="",0,SUMIF('DADOS BRUTOS'!$A$3:$A$500,$C13,'DADOS BRUTOS'!CU$3:CU$500)))</f>
        <v>0</v>
      </c>
      <c r="FV13" s="133" t="n">
        <f aca="false">IF(OR(FV$4="",$B13=""),0,SUMIF('DADOS BRUTOS'!$A$3:$A$500,$B13,'DADOS BRUTOS'!CV$3:CV$500)+IF($C13="",0,SUMIF('DADOS BRUTOS'!$A$3:$A$500,$C13,'DADOS BRUTOS'!CV$3:CV$500)))</f>
        <v>0</v>
      </c>
      <c r="FW13" s="133" t="n">
        <f aca="false">IF(OR(FW$4="",$B13=""),0,SUMIF('DADOS BRUTOS'!$A$3:$A$500,$B13,'DADOS BRUTOS'!CW$3:CW$500)+IF($C13="",0,SUMIF('DADOS BRUTOS'!$A$3:$A$500,$C13,'DADOS BRUTOS'!CW$3:CW$500)))</f>
        <v>0</v>
      </c>
      <c r="FX13" s="133" t="n">
        <f aca="false">IF(OR(FX$4="",$B13=""),0,SUMIF('DADOS BRUTOS'!$A$3:$A$500,$B13,'DADOS BRUTOS'!CX$3:CX$500)+IF($C13="",0,SUMIF('DADOS BRUTOS'!$A$3:$A$500,$C13,'DADOS BRUTOS'!CX$3:CX$500)))</f>
        <v>0</v>
      </c>
      <c r="FY13" s="133" t="n">
        <f aca="false">IF(OR(FY$4="",$B13=""),0,SUMIF('DADOS BRUTOS'!$A$3:$A$500,$B13,'DADOS BRUTOS'!CY$3:CY$500)+IF($C13="",0,SUMIF('DADOS BRUTOS'!$A$3:$A$500,$C13,'DADOS BRUTOS'!CY$3:CY$500)))</f>
        <v>0</v>
      </c>
      <c r="FZ13" s="133" t="n">
        <f aca="false">IF(OR(FZ$4="",$B13=""),0,SUMIF('DADOS BRUTOS'!$A$3:$A$500,$B13,'DADOS BRUTOS'!CZ$3:CZ$500)+IF($C13="",0,SUMIF('DADOS BRUTOS'!$A$3:$A$500,$C13,'DADOS BRUTOS'!CZ$3:CZ$500)))</f>
        <v>0</v>
      </c>
      <c r="GA13" s="133" t="n">
        <f aca="false">IF(OR(GA$4="",$B13=""),0,SUMIF('DADOS BRUTOS'!$A$3:$A$500,$B13,'DADOS BRUTOS'!DA$3:DA$500)+IF($C13="",0,SUMIF('DADOS BRUTOS'!$A$3:$A$500,$C13,'DADOS BRUTOS'!DA$3:DA$500)))</f>
        <v>0</v>
      </c>
      <c r="GB13" s="133" t="n">
        <f aca="false">IF(OR(GB$4="",$B13=""),0,SUMIF('DADOS BRUTOS'!$A$3:$A$500,$B13,'DADOS BRUTOS'!DB$3:DB$500)+IF($C13="",0,SUMIF('DADOS BRUTOS'!$A$3:$A$500,$C13,'DADOS BRUTOS'!DB$3:DB$500)))</f>
        <v>0</v>
      </c>
      <c r="GC13" s="133" t="n">
        <f aca="false">IF(OR(GC$4="",$B13=""),0,SUMIF('DADOS BRUTOS'!$A$3:$A$500,$B13,'DADOS BRUTOS'!DC$3:DC$500)+IF($C13="",0,SUMIF('DADOS BRUTOS'!$A$3:$A$500,$C13,'DADOS BRUTOS'!DC$3:DC$500)))</f>
        <v>0</v>
      </c>
      <c r="GD13" s="133" t="n">
        <f aca="false">IF(OR(GD$4="",$B13=""),0,SUMIF('DADOS BRUTOS'!$A$3:$A$500,$B13,'DADOS BRUTOS'!DD$3:DD$500)+IF($C13="",0,SUMIF('DADOS BRUTOS'!$A$3:$A$500,$C13,'DADOS BRUTOS'!DD$3:DD$500)))</f>
        <v>0</v>
      </c>
      <c r="GE13" s="133" t="n">
        <f aca="false">IF(OR(GE$4="",$B13=""),0,SUMIF('DADOS BRUTOS'!$A$3:$A$500,$B13,'DADOS BRUTOS'!DE$3:DE$500)+IF($C13="",0,SUMIF('DADOS BRUTOS'!$A$3:$A$500,$C13,'DADOS BRUTOS'!DE$3:DE$500)))</f>
        <v>0</v>
      </c>
      <c r="GF13" s="133" t="n">
        <f aca="false">IF(OR(GF$4="",$B13=""),0,SUMIF('DADOS BRUTOS'!$A$3:$A$500,$B13,'DADOS BRUTOS'!DF$3:DF$500)+IF($C13="",0,SUMIF('DADOS BRUTOS'!$A$3:$A$500,$C13,'DADOS BRUTOS'!DF$3:DF$500)))</f>
        <v>0</v>
      </c>
      <c r="GG13" s="133" t="n">
        <f aca="false">IF(OR(GG$4="",$B13=""),0,SUMIF('DADOS BRUTOS'!$A$3:$A$500,$B13,'DADOS BRUTOS'!DG$3:DG$500)+IF($C13="",0,SUMIF('DADOS BRUTOS'!$A$3:$A$500,$C13,'DADOS BRUTOS'!DG$3:DG$500)))</f>
        <v>0</v>
      </c>
      <c r="GH13" s="133" t="n">
        <f aca="false">IF(OR(GH$4="",$B13=""),0,SUMIF('DADOS BRUTOS'!$A$3:$A$500,$B13,'DADOS BRUTOS'!DH$3:DH$500)+IF($C13="",0,SUMIF('DADOS BRUTOS'!$A$3:$A$500,$C13,'DADOS BRUTOS'!DH$3:DH$500)))</f>
        <v>0</v>
      </c>
      <c r="GI13" s="133" t="n">
        <f aca="false">IF(OR(GI$4="",$B13=""),0,SUMIF('DADOS BRUTOS'!$A$3:$A$500,$B13,'DADOS BRUTOS'!DI$3:DI$500)+IF($C13="",0,SUMIF('DADOS BRUTOS'!$A$3:$A$500,$C13,'DADOS BRUTOS'!DI$3:DI$500)))</f>
        <v>0</v>
      </c>
      <c r="GJ13" s="133" t="n">
        <f aca="false">IF(OR(GJ$4="",$B13=""),0,SUMIF('DADOS BRUTOS'!$A$3:$A$500,$B13,'DADOS BRUTOS'!DJ$3:DJ$500)+IF($C13="",0,SUMIF('DADOS BRUTOS'!$A$3:$A$500,$C13,'DADOS BRUTOS'!DJ$3:DJ$500)))</f>
        <v>0</v>
      </c>
      <c r="GK13" s="133" t="n">
        <f aca="false">IF(OR(GK$4="",$B13=""),0,SUMIF('DADOS BRUTOS'!$A$3:$A$500,$B13,'DADOS BRUTOS'!DK$3:DK$500)+IF($C13="",0,SUMIF('DADOS BRUTOS'!$A$3:$A$500,$C13,'DADOS BRUTOS'!DK$3:DK$500)))</f>
        <v>0</v>
      </c>
      <c r="GL13" s="133" t="n">
        <f aca="false">IF(OR(GL$4="",$B13=""),0,SUMIF('DADOS BRUTOS'!$A$3:$A$500,$B13,'DADOS BRUTOS'!DL$3:DL$500)+IF($C13="",0,SUMIF('DADOS BRUTOS'!$A$3:$A$500,$C13,'DADOS BRUTOS'!DL$3:DL$500)))</f>
        <v>0</v>
      </c>
      <c r="GM13" s="133" t="n">
        <f aca="false">IF(OR(GM$4="",$B13=""),0,SUMIF('DADOS BRUTOS'!$A$3:$A$500,$B13,'DADOS BRUTOS'!DM$3:DM$500)+IF($C13="",0,SUMIF('DADOS BRUTOS'!$A$3:$A$500,$C13,'DADOS BRUTOS'!DM$3:DM$500)))</f>
        <v>0</v>
      </c>
      <c r="GN13" s="133" t="n">
        <f aca="false">IF(OR(GN$4="",$B13=""),0,SUMIF('DADOS BRUTOS'!$A$3:$A$500,$B13,'DADOS BRUTOS'!DN$3:DN$500)+IF($C13="",0,SUMIF('DADOS BRUTOS'!$A$3:$A$500,$C13,'DADOS BRUTOS'!DN$3:DN$500)))</f>
        <v>0</v>
      </c>
      <c r="GO13" s="133" t="n">
        <f aca="false">IF(OR(GO$4="",$B13=""),0,SUMIF('DADOS BRUTOS'!$A$3:$A$500,$B13,'DADOS BRUTOS'!DO$3:DO$500)+IF($C13="",0,SUMIF('DADOS BRUTOS'!$A$3:$A$500,$C13,'DADOS BRUTOS'!DO$3:DO$500)))</f>
        <v>0</v>
      </c>
      <c r="GP13" s="133" t="n">
        <f aca="false">IF(OR(GP$4="",$B13=""),0,SUMIF('DADOS BRUTOS'!$A$3:$A$500,$B13,'DADOS BRUTOS'!DP$3:DP$500)+IF($C13="",0,SUMIF('DADOS BRUTOS'!$A$3:$A$500,$C13,'DADOS BRUTOS'!DP$3:DP$500)))</f>
        <v>0</v>
      </c>
      <c r="GQ13" s="133" t="n">
        <f aca="false">IF(OR(GQ$4="",$B13=""),0,SUMIF('DADOS BRUTOS'!$A$3:$A$500,$B13,'DADOS BRUTOS'!DQ$3:DQ$500)+IF($C13="",0,SUMIF('DADOS BRUTOS'!$A$3:$A$500,$C13,'DADOS BRUTOS'!DQ$3:DQ$500)))</f>
        <v>0</v>
      </c>
      <c r="GR13" s="133" t="n">
        <f aca="false">IF(OR(GR$4="",$B13=""),0,SUMIF('DADOS BRUTOS'!$A$3:$A$500,$B13,'DADOS BRUTOS'!DR$3:DR$500)+IF($C13="",0,SUMIF('DADOS BRUTOS'!$A$3:$A$500,$C13,'DADOS BRUTOS'!DR$3:DR$500)))</f>
        <v>0</v>
      </c>
      <c r="GS13" s="133" t="n">
        <f aca="false">IF(OR(GS$4="",$B13=""),0,SUMIF('DADOS BRUTOS'!$A$3:$A$500,$B13,'DADOS BRUTOS'!DS$3:DS$500)+IF($C13="",0,SUMIF('DADOS BRUTOS'!$A$3:$A$500,$C13,'DADOS BRUTOS'!DS$3:DS$500)))</f>
        <v>0</v>
      </c>
      <c r="GT13" s="133" t="n">
        <f aca="false">IF(OR(GT$4="",$B13=""),0,SUMIF('DADOS BRUTOS'!$A$3:$A$500,$B13,'DADOS BRUTOS'!DT$3:DT$500)+IF($C13="",0,SUMIF('DADOS BRUTOS'!$A$3:$A$500,$C13,'DADOS BRUTOS'!DT$3:DT$500)))</f>
        <v>0</v>
      </c>
      <c r="GU13" s="133" t="n">
        <f aca="false">IF(OR(GU$4="",$B13=""),0,SUMIF('DADOS BRUTOS'!$A$3:$A$500,$B13,'DADOS BRUTOS'!DU$3:DU$500)+IF($C13="",0,SUMIF('DADOS BRUTOS'!$A$3:$A$500,$C13,'DADOS BRUTOS'!DU$3:DU$500)))</f>
        <v>0</v>
      </c>
      <c r="GV13" s="133" t="n">
        <f aca="false">IF(OR(GV$4="",$B13=""),0,SUMIF('DADOS BRUTOS'!$A$3:$A$500,$B13,'DADOS BRUTOS'!DV$3:DV$500)+IF($C13="",0,SUMIF('DADOS BRUTOS'!$A$3:$A$500,$C13,'DADOS BRUTOS'!DV$3:DV$500)))</f>
        <v>0</v>
      </c>
      <c r="GW13" s="133" t="n">
        <f aca="false">IF(OR(GW$4="",$B13=""),0,SUMIF('DADOS BRUTOS'!$A$3:$A$500,$B13,'DADOS BRUTOS'!DW$3:DW$500)+IF($C13="",0,SUMIF('DADOS BRUTOS'!$A$3:$A$500,$C13,'DADOS BRUTOS'!DW$3:DW$500)))</f>
        <v>0</v>
      </c>
      <c r="GX13" s="133" t="n">
        <f aca="false">IF(OR(GX$4="",$B13=""),0,SUMIF('DADOS BRUTOS'!$A$3:$A$500,$B13,'DADOS BRUTOS'!DX$3:DX$500)+IF($C13="",0,SUMIF('DADOS BRUTOS'!$A$3:$A$500,$C13,'DADOS BRUTOS'!DX$3:DX$500)))</f>
        <v>0</v>
      </c>
      <c r="GY13" s="133" t="n">
        <f aca="false">IF(OR(GY$4="",$B13=""),0,SUMIF('DADOS BRUTOS'!$A$3:$A$500,$B13,'DADOS BRUTOS'!DY$3:DY$500)+IF($C13="",0,SUMIF('DADOS BRUTOS'!$A$3:$A$500,$C13,'DADOS BRUTOS'!DY$3:DY$500)))</f>
        <v>0</v>
      </c>
      <c r="GZ13" s="133" t="n">
        <f aca="false">IF(OR(GZ$4="",$B13=""),0,SUMIF('DADOS BRUTOS'!$A$3:$A$500,$B13,'DADOS BRUTOS'!DZ$3:DZ$500)+IF($C13="",0,SUMIF('DADOS BRUTOS'!$A$3:$A$500,$C13,'DADOS BRUTOS'!DZ$3:DZ$500)))</f>
        <v>0</v>
      </c>
      <c r="HA13" s="133" t="n">
        <f aca="false">IF(OR(HA$4="",$B13=""),0,SUMIF('DADOS BRUTOS'!$A$3:$A$500,$B13,'DADOS BRUTOS'!EA$3:EA$500)+IF($C13="",0,SUMIF('DADOS BRUTOS'!$A$3:$A$500,$C13,'DADOS BRUTOS'!EA$3:EA$500)))</f>
        <v>0</v>
      </c>
      <c r="HB13" s="133" t="n">
        <f aca="false">IF(OR(HB$4="",$B13=""),0,SUMIF('DADOS BRUTOS'!$A$3:$A$500,$B13,'DADOS BRUTOS'!EB$3:EB$500)+IF($C13="",0,SUMIF('DADOS BRUTOS'!$A$3:$A$500,$C13,'DADOS BRUTOS'!EB$3:EB$500)))</f>
        <v>0</v>
      </c>
      <c r="HC13" s="133" t="n">
        <f aca="false">IF(OR(HC$4="",$B13=""),0,SUMIF('DADOS BRUTOS'!$A$3:$A$500,$B13,'DADOS BRUTOS'!EC$3:EC$500)+IF($C13="",0,SUMIF('DADOS BRUTOS'!$A$3:$A$500,$C13,'DADOS BRUTOS'!EC$3:EC$500)))</f>
        <v>0</v>
      </c>
      <c r="HD13" s="133" t="n">
        <f aca="false">IF(OR(HD$4="",$B13=""),0,SUMIF('DADOS BRUTOS'!$A$3:$A$500,$B13,'DADOS BRUTOS'!ED$3:ED$500)+IF($C13="",0,SUMIF('DADOS BRUTOS'!$A$3:$A$500,$C13,'DADOS BRUTOS'!ED$3:ED$500)))</f>
        <v>0</v>
      </c>
      <c r="HE13" s="133" t="n">
        <f aca="false">IF(OR(HE$4="",$B13=""),0,SUMIF('DADOS BRUTOS'!$A$3:$A$500,$B13,'DADOS BRUTOS'!EE$3:EE$500)+IF($C13="",0,SUMIF('DADOS BRUTOS'!$A$3:$A$500,$C13,'DADOS BRUTOS'!EE$3:EE$500)))</f>
        <v>0</v>
      </c>
      <c r="HF13" s="133" t="n">
        <f aca="false">IF(OR(HF$4="",$B13=""),0,SUMIF('DADOS BRUTOS'!$A$3:$A$500,$B13,'DADOS BRUTOS'!EF$3:EF$500)+IF($C13="",0,SUMIF('DADOS BRUTOS'!$A$3:$A$500,$C13,'DADOS BRUTOS'!EF$3:EF$500)))</f>
        <v>0</v>
      </c>
      <c r="HG13" s="133" t="n">
        <f aca="false">IF(OR(HG$4="",$B13=""),0,SUMIF('DADOS BRUTOS'!$A$3:$A$500,$B13,'DADOS BRUTOS'!EG$3:EG$500)+IF($C13="",0,SUMIF('DADOS BRUTOS'!$A$3:$A$500,$C13,'DADOS BRUTOS'!EG$3:EG$500)))</f>
        <v>0</v>
      </c>
      <c r="HH13" s="133" t="n">
        <f aca="false">IF(OR(HH$4="",$B13=""),0,SUMIF('DADOS BRUTOS'!$A$3:$A$500,$B13,'DADOS BRUTOS'!EH$3:EH$500)+IF($C13="",0,SUMIF('DADOS BRUTOS'!$A$3:$A$500,$C13,'DADOS BRUTOS'!EH$3:EH$500)))</f>
        <v>0</v>
      </c>
      <c r="HI13" s="133" t="n">
        <f aca="false">IF(OR(HI$4="",$B13=""),0,SUMIF('DADOS BRUTOS'!$A$3:$A$500,$B13,'DADOS BRUTOS'!EI$3:EI$500)+IF($C13="",0,SUMIF('DADOS BRUTOS'!$A$3:$A$500,$C13,'DADOS BRUTOS'!EI$3:EI$500)))</f>
        <v>0</v>
      </c>
      <c r="HJ13" s="133" t="n">
        <f aca="false">IF(OR(HJ$4="",$B13=""),0,SUMIF('DADOS BRUTOS'!$A$3:$A$500,$B13,'DADOS BRUTOS'!EJ$3:EJ$500)+IF($C13="",0,SUMIF('DADOS BRUTOS'!$A$3:$A$500,$C13,'DADOS BRUTOS'!EJ$3:EJ$500)))</f>
        <v>0</v>
      </c>
      <c r="HK13" s="133" t="n">
        <f aca="false">IF(OR(HK$4="",$B13=""),0,SUMIF('DADOS BRUTOS'!$A$3:$A$500,$B13,'DADOS BRUTOS'!EK$3:EK$500)+IF($C13="",0,SUMIF('DADOS BRUTOS'!$A$3:$A$500,$C13,'DADOS BRUTOS'!EK$3:EK$500)))</f>
        <v>0</v>
      </c>
      <c r="HL13" s="133" t="n">
        <f aca="false">IF(OR(HL$4="",$B13=""),0,SUMIF('DADOS BRUTOS'!$A$3:$A$500,$B13,'DADOS BRUTOS'!EL$3:EL$500)+IF($C13="",0,SUMIF('DADOS BRUTOS'!$A$3:$A$500,$C13,'DADOS BRUTOS'!EL$3:EL$500)))</f>
        <v>0</v>
      </c>
      <c r="HM13" s="133" t="n">
        <f aca="false">IF(OR(HM$4="",$B13=""),0,SUMIF('DADOS BRUTOS'!$A$3:$A$500,$B13,'DADOS BRUTOS'!EM$3:EM$500)+IF($C13="",0,SUMIF('DADOS BRUTOS'!$A$3:$A$500,$C13,'DADOS BRUTOS'!EM$3:EM$500)))</f>
        <v>0</v>
      </c>
      <c r="HN13" s="133" t="n">
        <f aca="false">IF(OR(HN$4="",$B13=""),0,SUMIF('DADOS BRUTOS'!$A$3:$A$500,$B13,'DADOS BRUTOS'!EN$3:EN$500)+IF($C13="",0,SUMIF('DADOS BRUTOS'!$A$3:$A$500,$C13,'DADOS BRUTOS'!EN$3:EN$500)))</f>
        <v>0</v>
      </c>
      <c r="HO13" s="133" t="n">
        <f aca="false">IF(OR(HO$4="",$B13=""),0,SUMIF('DADOS BRUTOS'!$A$3:$A$500,$B13,'DADOS BRUTOS'!EO$3:EO$500)+IF($C13="",0,SUMIF('DADOS BRUTOS'!$A$3:$A$500,$C13,'DADOS BRUTOS'!EO$3:EO$500)))</f>
        <v>0</v>
      </c>
      <c r="HP13" s="133" t="n">
        <f aca="false">IF(OR(HP$4="",$B13=""),0,SUMIF('DADOS BRUTOS'!$A$3:$A$500,$B13,'DADOS BRUTOS'!EP$3:EP$500)+IF($C13="",0,SUMIF('DADOS BRUTOS'!$A$3:$A$500,$C13,'DADOS BRUTOS'!EP$3:EP$500)))</f>
        <v>0</v>
      </c>
      <c r="HQ13" s="133" t="n">
        <f aca="false">IF(OR(HQ$4="",$B13=""),0,SUMIF('DADOS BRUTOS'!$A$3:$A$500,$B13,'DADOS BRUTOS'!EQ$3:EQ$500)+IF($C13="",0,SUMIF('DADOS BRUTOS'!$A$3:$A$500,$C13,'DADOS BRUTOS'!EQ$3:EQ$500)))</f>
        <v>0</v>
      </c>
      <c r="HR13" s="133" t="n">
        <f aca="false">IF(OR(HR$4="",$B13=""),0,SUMIF('DADOS BRUTOS'!$A$3:$A$500,$B13,'DADOS BRUTOS'!ER$3:ER$500)+IF($C13="",0,SUMIF('DADOS BRUTOS'!$A$3:$A$500,$C13,'DADOS BRUTOS'!ER$3:ER$500)))</f>
        <v>0</v>
      </c>
      <c r="HS13" s="133" t="n">
        <f aca="false">IF(OR(HS$4="",$B13=""),0,SUMIF('DADOS BRUTOS'!$A$3:$A$500,$B13,'DADOS BRUTOS'!ES$3:ES$500)+IF($C13="",0,SUMIF('DADOS BRUTOS'!$A$3:$A$500,$C13,'DADOS BRUTOS'!ES$3:ES$500)))</f>
        <v>0</v>
      </c>
      <c r="HT13" s="133" t="n">
        <f aca="false">IF(OR(HT$4="",$B13=""),0,SUMIF('DADOS BRUTOS'!$A$3:$A$500,$B13,'DADOS BRUTOS'!ET$3:ET$500)+IF($C13="",0,SUMIF('DADOS BRUTOS'!$A$3:$A$500,$C13,'DADOS BRUTOS'!ET$3:ET$500)))</f>
        <v>0</v>
      </c>
      <c r="HU13" s="133" t="n">
        <f aca="false">IF(OR(HU$4="",$B13=""),0,SUMIF('DADOS BRUTOS'!$A$3:$A$500,$B13,'DADOS BRUTOS'!EU$3:EU$500)+IF($C13="",0,SUMIF('DADOS BRUTOS'!$A$3:$A$500,$C13,'DADOS BRUTOS'!EU$3:EU$500)))</f>
        <v>0</v>
      </c>
      <c r="HV13" s="133" t="n">
        <f aca="false">IF(OR(HV$4="",$B13=""),0,SUMIF('DADOS BRUTOS'!$A$3:$A$500,$B13,'DADOS BRUTOS'!EV$3:EV$500)+IF($C13="",0,SUMIF('DADOS BRUTOS'!$A$3:$A$500,$C13,'DADOS BRUTOS'!EV$3:EV$500)))</f>
        <v>0</v>
      </c>
      <c r="HW13" s="133" t="n">
        <f aca="false">IF(OR(HW$4="",$B13=""),0,SUMIF('DADOS BRUTOS'!$A$3:$A$500,$B13,'DADOS BRUTOS'!EW$3:EW$500)+IF($C13="",0,SUMIF('DADOS BRUTOS'!$A$3:$A$500,$C13,'DADOS BRUTOS'!EW$3:EW$500)))</f>
        <v>0</v>
      </c>
      <c r="HX13" s="133" t="n">
        <f aca="false">IF(OR(HX$4="",$B13=""),0,SUMIF('DADOS BRUTOS'!$A$3:$A$500,$B13,'DADOS BRUTOS'!EX$3:EX$500)+IF($C13="",0,SUMIF('DADOS BRUTOS'!$A$3:$A$500,$C13,'DADOS BRUTOS'!EX$3:EX$500)))</f>
        <v>0</v>
      </c>
      <c r="HY13" s="133" t="n">
        <f aca="false">IF(OR(HY$4="",$B13=""),0,SUMIF('DADOS BRUTOS'!$A$3:$A$500,$B13,'DADOS BRUTOS'!EY$3:EY$500)+IF($C13="",0,SUMIF('DADOS BRUTOS'!$A$3:$A$500,$C13,'DADOS BRUTOS'!EY$3:EY$500)))</f>
        <v>0</v>
      </c>
      <c r="HZ13" s="133" t="n">
        <f aca="false">IF(OR(HZ$4="",$B13=""),0,SUMIF('DADOS BRUTOS'!$A$3:$A$500,$B13,'DADOS BRUTOS'!EZ$3:EZ$500)+IF($C13="",0,SUMIF('DADOS BRUTOS'!$A$3:$A$500,$C13,'DADOS BRUTOS'!EZ$3:EZ$500)))</f>
        <v>0</v>
      </c>
      <c r="IA13" s="133" t="n">
        <f aca="false">IF(OR(IA$4="",$B13=""),0,SUMIF('DADOS BRUTOS'!$A$3:$A$500,$B13,'DADOS BRUTOS'!FA$3:FA$500)+IF($C13="",0,SUMIF('DADOS BRUTOS'!$A$3:$A$500,$C13,'DADOS BRUTOS'!FA$3:FA$500)))</f>
        <v>0</v>
      </c>
      <c r="IB13" s="133" t="n">
        <f aca="false">IF(OR(IB$4="",$B13=""),0,SUMIF('DADOS BRUTOS'!$A$3:$A$500,$B13,'DADOS BRUTOS'!FB$3:FB$500)+IF($C13="",0,SUMIF('DADOS BRUTOS'!$A$3:$A$500,$C13,'DADOS BRUTOS'!FB$3:FB$500)))</f>
        <v>0</v>
      </c>
      <c r="IC13" s="133" t="n">
        <f aca="false">IF(OR(IC$4="",$B13=""),0,SUMIF('DADOS BRUTOS'!$A$3:$A$500,$B13,'DADOS BRUTOS'!FC$3:FC$500)+IF($C13="",0,SUMIF('DADOS BRUTOS'!$A$3:$A$500,$C13,'DADOS BRUTOS'!FC$3:FC$500)))</f>
        <v>0</v>
      </c>
      <c r="ID13" s="133" t="n">
        <f aca="false">IF(OR(ID$4="",$B13=""),0,SUMIF('DADOS BRUTOS'!$A$3:$A$500,$B13,'DADOS BRUTOS'!FD$3:FD$500)+IF($C13="",0,SUMIF('DADOS BRUTOS'!$A$3:$A$500,$C13,'DADOS BRUTOS'!FD$3:FD$500)))</f>
        <v>0</v>
      </c>
      <c r="IE13" s="133" t="n">
        <f aca="false">IF(OR(IE$4="",$B13=""),0,SUMIF('DADOS BRUTOS'!$A$3:$A$500,$B13,'DADOS BRUTOS'!FE$3:FE$500)+IF($C13="",0,SUMIF('DADOS BRUTOS'!$A$3:$A$500,$C13,'DADOS BRUTOS'!FE$3:FE$500)))</f>
        <v>0</v>
      </c>
      <c r="IF13" s="133" t="n">
        <f aca="false">IF(OR(IF$4="",$B13=""),0,SUMIF('DADOS BRUTOS'!$A$3:$A$500,$B13,'DADOS BRUTOS'!FF$3:FF$500)+IF($C13="",0,SUMIF('DADOS BRUTOS'!$A$3:$A$500,$C13,'DADOS BRUTOS'!FF$3:FF$500)))</f>
        <v>0</v>
      </c>
      <c r="IG13" s="133" t="n">
        <f aca="false">IF(OR(IG$4="",$B13=""),0,SUMIF('DADOS BRUTOS'!$A$3:$A$500,$B13,'DADOS BRUTOS'!FG$3:FG$500)+IF($C13="",0,SUMIF('DADOS BRUTOS'!$A$3:$A$500,$C13,'DADOS BRUTOS'!FG$3:FG$500)))</f>
        <v>0</v>
      </c>
      <c r="IH13" s="133" t="n">
        <f aca="false">IF(OR(IH$4="",$B13=""),0,SUMIF('DADOS BRUTOS'!$A$3:$A$500,$B13,'DADOS BRUTOS'!FH$3:FH$500)+IF($C13="",0,SUMIF('DADOS BRUTOS'!$A$3:$A$500,$C13,'DADOS BRUTOS'!FH$3:FH$500)))</f>
        <v>0</v>
      </c>
      <c r="II13" s="133" t="n">
        <f aca="false">IF(OR(II$4="",$B13=""),0,SUMIF('DADOS BRUTOS'!$A$3:$A$500,$B13,'DADOS BRUTOS'!FI$3:FI$500)+IF($C13="",0,SUMIF('DADOS BRUTOS'!$A$3:$A$500,$C13,'DADOS BRUTOS'!FI$3:FI$500)))</f>
        <v>0</v>
      </c>
      <c r="IJ13" s="133" t="n">
        <f aca="false">IF(OR(IJ$4="",$B13=""),0,SUMIF('DADOS BRUTOS'!$A$3:$A$500,$B13,'DADOS BRUTOS'!FJ$3:FJ$500)+IF($C13="",0,SUMIF('DADOS BRUTOS'!$A$3:$A$500,$C13,'DADOS BRUTOS'!FJ$3:FJ$500)))</f>
        <v>0</v>
      </c>
      <c r="IK13" s="133" t="n">
        <f aca="false">IF(OR(IK$4="",$B13=""),0,SUMIF('DADOS BRUTOS'!$A$3:$A$500,$B13,'DADOS BRUTOS'!FK$3:FK$500)+IF($C13="",0,SUMIF('DADOS BRUTOS'!$A$3:$A$500,$C13,'DADOS BRUTOS'!FK$3:FK$500)))</f>
        <v>0</v>
      </c>
      <c r="IL13" s="133" t="n">
        <f aca="false">IF(OR(IL$4="",$B13=""),0,SUMIF('DADOS BRUTOS'!$A$3:$A$500,$B13,'DADOS BRUTOS'!FL$3:FL$500)+IF($C13="",0,SUMIF('DADOS BRUTOS'!$A$3:$A$500,$C13,'DADOS BRUTOS'!FL$3:FL$500)))</f>
        <v>0</v>
      </c>
      <c r="IM13" s="133" t="n">
        <f aca="false">IF(OR(IM$4="",$B13=""),0,SUMIF('DADOS BRUTOS'!$A$3:$A$500,$B13,'DADOS BRUTOS'!FM$3:FM$500)+IF($C13="",0,SUMIF('DADOS BRUTOS'!$A$3:$A$500,$C13,'DADOS BRUTOS'!FM$3:FM$500)))</f>
        <v>0</v>
      </c>
      <c r="IN13" s="133" t="n">
        <f aca="false">IF(OR(IN$4="",$B13=""),0,SUMIF('DADOS BRUTOS'!$A$3:$A$500,$B13,'DADOS BRUTOS'!FN$3:FN$500)+IF($C13="",0,SUMIF('DADOS BRUTOS'!$A$3:$A$500,$C13,'DADOS BRUTOS'!FN$3:FN$500)))</f>
        <v>0</v>
      </c>
      <c r="IO13" s="133" t="n">
        <f aca="false">IF(OR(IO$4="",$B13=""),0,SUMIF('DADOS BRUTOS'!$A$3:$A$500,$B13,'DADOS BRUTOS'!FO$3:FO$500)+IF($C13="",0,SUMIF('DADOS BRUTOS'!$A$3:$A$500,$C13,'DADOS BRUTOS'!FO$3:FO$500)))</f>
        <v>0</v>
      </c>
      <c r="IP13" s="133" t="n">
        <f aca="false">IF(OR(IP$4="",$B13=""),0,SUMIF('DADOS BRUTOS'!$A$3:$A$500,$B13,'DADOS BRUTOS'!FP$3:FP$500)+IF($C13="",0,SUMIF('DADOS BRUTOS'!$A$3:$A$500,$C13,'DADOS BRUTOS'!FP$3:FP$500)))</f>
        <v>0</v>
      </c>
      <c r="IQ13" s="133" t="n">
        <f aca="false">IF(OR(IQ$4="",$B13=""),0,SUMIF('DADOS BRUTOS'!$A$3:$A$500,$B13,'DADOS BRUTOS'!FQ$3:FQ$500)+IF($C13="",0,SUMIF('DADOS BRUTOS'!$A$3:$A$500,$C13,'DADOS BRUTOS'!FQ$3:FQ$500)))</f>
        <v>0</v>
      </c>
      <c r="IR13" s="133" t="n">
        <f aca="false">IF(OR(IR$4="",$B13=""),0,SUMIF('DADOS BRUTOS'!$A$3:$A$500,$B13,'DADOS BRUTOS'!FR$3:FR$500)+IF($C13="",0,SUMIF('DADOS BRUTOS'!$A$3:$A$500,$C13,'DADOS BRUTOS'!FR$3:FR$500)))</f>
        <v>0</v>
      </c>
      <c r="IS13" s="133" t="n">
        <f aca="false">IF(OR(IS$4="",$B13=""),0,SUMIF('DADOS BRUTOS'!$A$3:$A$500,$B13,'DADOS BRUTOS'!FS$3:FS$500)+IF($C13="",0,SUMIF('DADOS BRUTOS'!$A$3:$A$500,$C13,'DADOS BRUTOS'!FS$3:FS$500)))</f>
        <v>0</v>
      </c>
      <c r="IT13" s="133" t="n">
        <f aca="false">IF(OR(IT$4="",$B13=""),0,SUMIF('DADOS BRUTOS'!$A$3:$A$500,$B13,'DADOS BRUTOS'!FT$3:FT$500)+IF($C13="",0,SUMIF('DADOS BRUTOS'!$A$3:$A$500,$C13,'DADOS BRUTOS'!FT$3:FT$500)))</f>
        <v>0</v>
      </c>
      <c r="IU13" s="133" t="n">
        <f aca="false">IF(OR(IU$4="",$B13=""),0,SUMIF('DADOS BRUTOS'!$A$3:$A$500,$B13,'DADOS BRUTOS'!FU$3:FU$500)+IF($C13="",0,SUMIF('DADOS BRUTOS'!$A$3:$A$500,$C13,'DADOS BRUTOS'!FU$3:FU$500)))</f>
        <v>0</v>
      </c>
      <c r="IV13" s="133" t="n">
        <f aca="false">IF(OR(IV$4="",$B13=""),0,SUMIF('DADOS BRUTOS'!$A$3:$A$500,$B13,'DADOS BRUTOS'!FV$3:FV$500)+IF($C13="",0,SUMIF('DADOS BRUTOS'!$A$3:$A$500,$C13,'DADOS BRUTOS'!FV$3:FV$500)))</f>
        <v>0</v>
      </c>
      <c r="IW13" s="133" t="n">
        <f aca="false">IF(OR(IW$4="",$B13=""),0,SUMIF('DADOS BRUTOS'!$A$3:$A$500,$B13,'DADOS BRUTOS'!FW$3:FW$500)+IF($C13="",0,SUMIF('DADOS BRUTOS'!$A$3:$A$500,$C13,'DADOS BRUTOS'!FW$3:FW$500)))</f>
        <v>0</v>
      </c>
      <c r="IX13" s="133" t="n">
        <f aca="false">IF(OR(IX$4="",$B13=""),0,SUMIF('DADOS BRUTOS'!$A$3:$A$500,$B13,'DADOS BRUTOS'!FX$3:FX$500)+IF($C13="",0,SUMIF('DADOS BRUTOS'!$A$3:$A$500,$C13,'DADOS BRUTOS'!FX$3:FX$500)))</f>
        <v>0</v>
      </c>
      <c r="IY13" s="133" t="n">
        <f aca="false">IF(OR(IY$4="",$B13=""),0,SUMIF('DADOS BRUTOS'!$A$3:$A$500,$B13,'DADOS BRUTOS'!FY$3:FY$500)+IF($C13="",0,SUMIF('DADOS BRUTOS'!$A$3:$A$500,$C13,'DADOS BRUTOS'!FY$3:FY$500)))</f>
        <v>0</v>
      </c>
      <c r="IZ13" s="133" t="n">
        <f aca="false">IF(OR(IZ$4="",$B13=""),0,SUMIF('DADOS BRUTOS'!$A$3:$A$500,$B13,'DADOS BRUTOS'!FZ$3:FZ$500)+IF($C13="",0,SUMIF('DADOS BRUTOS'!$A$3:$A$500,$C13,'DADOS BRUTOS'!FZ$3:FZ$500)))</f>
        <v>0</v>
      </c>
      <c r="JA13" s="133" t="n">
        <f aca="false">IF(OR(JA$4="",$B13=""),0,SUMIF('DADOS BRUTOS'!$A$3:$A$500,$B13,'DADOS BRUTOS'!GA$3:GA$500)+IF($C13="",0,SUMIF('DADOS BRUTOS'!$A$3:$A$500,$C13,'DADOS BRUTOS'!GA$3:GA$500)))</f>
        <v>0</v>
      </c>
      <c r="JB13" s="133" t="n">
        <f aca="false">IF(OR(JB$4="",$B13=""),0,SUMIF('DADOS BRUTOS'!$A$3:$A$500,$B13,'DADOS BRUTOS'!GB$3:GB$500)+IF($C13="",0,SUMIF('DADOS BRUTOS'!$A$3:$A$500,$C13,'DADOS BRUTOS'!GB$3:GB$500)))</f>
        <v>0</v>
      </c>
      <c r="JC13" s="133" t="n">
        <f aca="false">IF(OR(JC$4="",$B13=""),0,SUMIF('DADOS BRUTOS'!$A$3:$A$500,$B13,'DADOS BRUTOS'!GC$3:GC$500)+IF($C13="",0,SUMIF('DADOS BRUTOS'!$A$3:$A$500,$C13,'DADOS BRUTOS'!GC$3:GC$500)))</f>
        <v>0</v>
      </c>
      <c r="JD13" s="133" t="n">
        <f aca="false">IF(OR(JD$4="",$B13=""),0,SUMIF('DADOS BRUTOS'!$A$3:$A$500,$B13,'DADOS BRUTOS'!GD$3:GD$500)+IF($C13="",0,SUMIF('DADOS BRUTOS'!$A$3:$A$500,$C13,'DADOS BRUTOS'!GD$3:GD$500)))</f>
        <v>0</v>
      </c>
      <c r="JE13" s="133" t="n">
        <f aca="false">IF(OR(JE$4="",$B13=""),0,SUMIF('DADOS BRUTOS'!$A$3:$A$500,$B13,'DADOS BRUTOS'!GE$3:GE$500)+IF($C13="",0,SUMIF('DADOS BRUTOS'!$A$3:$A$500,$C13,'DADOS BRUTOS'!GE$3:GE$500)))</f>
        <v>0</v>
      </c>
      <c r="JF13" s="133" t="n">
        <f aca="false">IF(OR(JF$4="",$B13=""),0,SUMIF('DADOS BRUTOS'!$A$3:$A$500,$B13,'DADOS BRUTOS'!GF$3:GF$500)+IF($C13="",0,SUMIF('DADOS BRUTOS'!$A$3:$A$500,$C13,'DADOS BRUTOS'!GF$3:GF$500)))</f>
        <v>0</v>
      </c>
      <c r="JG13" s="133" t="n">
        <f aca="false">IF(OR(JG$4="",$B13=""),0,SUMIF('DADOS BRUTOS'!$A$3:$A$500,$B13,'DADOS BRUTOS'!GG$3:GG$500)+IF($C13="",0,SUMIF('DADOS BRUTOS'!$A$3:$A$500,$C13,'DADOS BRUTOS'!GG$3:GG$500)))</f>
        <v>0</v>
      </c>
      <c r="JH13" s="133" t="n">
        <f aca="false">IF(OR(JH$4="",$B13=""),0,SUMIF('DADOS BRUTOS'!$A$3:$A$500,$B13,'DADOS BRUTOS'!GH$3:GH$500)+IF($C13="",0,SUMIF('DADOS BRUTOS'!$A$3:$A$500,$C13,'DADOS BRUTOS'!GH$3:GH$500)))</f>
        <v>0</v>
      </c>
      <c r="JI13" s="133" t="n">
        <f aca="false">IF(OR(JI$4="",$B13=""),0,SUMIF('DADOS BRUTOS'!$A$3:$A$500,$B13,'DADOS BRUTOS'!GI$3:GI$500)+IF($C13="",0,SUMIF('DADOS BRUTOS'!$A$3:$A$500,$C13,'DADOS BRUTOS'!GI$3:GI$500)))</f>
        <v>0</v>
      </c>
      <c r="JJ13" s="133" t="n">
        <f aca="false">IF(OR(JJ$4="",$B13=""),0,SUMIF('DADOS BRUTOS'!$A$3:$A$500,$B13,'DADOS BRUTOS'!GJ$3:GJ$500)+IF($C13="",0,SUMIF('DADOS BRUTOS'!$A$3:$A$500,$C13,'DADOS BRUTOS'!GJ$3:GJ$500)))</f>
        <v>0</v>
      </c>
      <c r="JK13" s="133" t="n">
        <f aca="false">IF(OR(JK$4="",$B13=""),0,SUMIF('DADOS BRUTOS'!$A$3:$A$500,$B13,'DADOS BRUTOS'!GK$3:GK$500)+IF($C13="",0,SUMIF('DADOS BRUTOS'!$A$3:$A$500,$C13,'DADOS BRUTOS'!GK$3:GK$500)))</f>
        <v>0</v>
      </c>
      <c r="JL13" s="133" t="n">
        <f aca="false">IF(OR(JL$4="",$B13=""),0,SUMIF('DADOS BRUTOS'!$A$3:$A$500,$B13,'DADOS BRUTOS'!GL$3:GL$500)+IF($C13="",0,SUMIF('DADOS BRUTOS'!$A$3:$A$500,$C13,'DADOS BRUTOS'!GL$3:GL$500)))</f>
        <v>0</v>
      </c>
      <c r="JM13" s="133" t="n">
        <f aca="false">IF(OR(JM$4="",$B13=""),0,SUMIF('DADOS BRUTOS'!$A$3:$A$500,$B13,'DADOS BRUTOS'!GM$3:GM$500)+IF($C13="",0,SUMIF('DADOS BRUTOS'!$A$3:$A$500,$C13,'DADOS BRUTOS'!GM$3:GM$500)))</f>
        <v>0</v>
      </c>
      <c r="JN13" s="133" t="n">
        <f aca="false">IF(OR(JN$4="",$B13=""),0,SUMIF('DADOS BRUTOS'!$A$3:$A$500,$B13,'DADOS BRUTOS'!GN$3:GN$500)+IF($C13="",0,SUMIF('DADOS BRUTOS'!$A$3:$A$500,$C13,'DADOS BRUTOS'!GN$3:GN$500)))</f>
        <v>0</v>
      </c>
      <c r="JO13" s="133" t="n">
        <f aca="false">IF(OR(JO$4="",$B13=""),0,SUMIF('DADOS BRUTOS'!$A$3:$A$500,$B13,'DADOS BRUTOS'!GO$3:GO$500)+IF($C13="",0,SUMIF('DADOS BRUTOS'!$A$3:$A$500,$C13,'DADOS BRUTOS'!GO$3:GO$500)))</f>
        <v>0</v>
      </c>
      <c r="JP13" s="133" t="n">
        <f aca="false">IF(OR(JP$4="",$B13=""),0,SUMIF('DADOS BRUTOS'!$A$3:$A$500,$B13,'DADOS BRUTOS'!GP$3:GP$500)+IF($C13="",0,SUMIF('DADOS BRUTOS'!$A$3:$A$500,$C13,'DADOS BRUTOS'!GP$3:GP$500)))</f>
        <v>0</v>
      </c>
      <c r="JQ13" s="133" t="n">
        <f aca="false">IF(OR(JQ$4="",$B13=""),0,SUMIF('DADOS BRUTOS'!$A$3:$A$500,$B13,'DADOS BRUTOS'!GQ$3:GQ$500)+IF($C13="",0,SUMIF('DADOS BRUTOS'!$A$3:$A$500,$C13,'DADOS BRUTOS'!GQ$3:GQ$500)))</f>
        <v>0</v>
      </c>
      <c r="JR13" s="133" t="n">
        <f aca="false">IF(OR(JR$4="",$B13=""),0,SUMIF('DADOS BRUTOS'!$A$3:$A$500,$B13,'DADOS BRUTOS'!GR$3:GR$500)+IF($C13="",0,SUMIF('DADOS BRUTOS'!$A$3:$A$500,$C13,'DADOS BRUTOS'!GR$3:GR$500)))</f>
        <v>0</v>
      </c>
      <c r="JS13" s="133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387208.85</v>
      </c>
      <c r="E14" s="50" t="n">
        <f aca="false">SUMIF($CB$4:$JS$4,E$4,$CB14:$JS14)</f>
        <v>940</v>
      </c>
      <c r="F14" s="50" t="n">
        <f aca="false">SUMIF($CB$4:$JS$4,F$4,$CB14:$JS14)</f>
        <v>61357.36</v>
      </c>
      <c r="G14" s="50" t="n">
        <f aca="false">SUMIF($CB$4:$JS$4,G$4,$CB14:$JS14)</f>
        <v>118973.07</v>
      </c>
      <c r="H14" s="50" t="n">
        <f aca="false">SUMIF($CB$4:$JS$4,H$4,$CB14:$JS14)</f>
        <v>60617.36</v>
      </c>
      <c r="I14" s="50" t="n">
        <f aca="false">SUMIF($CB$4:$JS$4,I$4,$CB14:$JS14)</f>
        <v>23912.84</v>
      </c>
      <c r="J14" s="50" t="n">
        <f aca="false">SUMIF($CB$4:$JS$4,J$4,$CB14:$JS14)</f>
        <v>27131.75</v>
      </c>
      <c r="K14" s="50" t="n">
        <f aca="false">SUMIF($CB$4:$JS$4,K$4,$CB14:$JS14)</f>
        <v>51487.59</v>
      </c>
      <c r="L14" s="50" t="n">
        <f aca="false">SUMIF($CB$4:$JS$4,L$4,$CB14:$JS14)</f>
        <v>89901.3</v>
      </c>
      <c r="M14" s="50" t="n">
        <f aca="false">SUMIF($CB$4:$JS$4,M$4,$CB14:$JS14)</f>
        <v>109406.48</v>
      </c>
      <c r="N14" s="50" t="n">
        <f aca="false">SUMIF($CB$4:$JS$4,N$4,$CB14:$JS14)</f>
        <v>164098.29</v>
      </c>
      <c r="O14" s="50" t="n">
        <f aca="false">SUMIF($CB$4:$JS$4,O$4,$CB14:$JS14)</f>
        <v>234224.1</v>
      </c>
      <c r="P14" s="50" t="n">
        <f aca="false">SUMIF($CB$4:$JS$4,P$4,$CB14:$JS14)</f>
        <v>187300.46</v>
      </c>
      <c r="Q14" s="50" t="n">
        <f aca="false">SUMIF($CB$4:$JS$4,Q$4,$CB14:$JS14)</f>
        <v>207035.09</v>
      </c>
      <c r="R14" s="50" t="n">
        <f aca="false">SUMIF($CB$4:$JS$4,R$4,$CB14:$JS14)</f>
        <v>189783.71</v>
      </c>
      <c r="S14" s="50" t="n">
        <f aca="false">SUMIF($CB$4:$JS$4,S$4,$CB14:$JS14)</f>
        <v>215160.73</v>
      </c>
      <c r="T14" s="50" t="n">
        <f aca="false">SUMIF($CB$4:$JS$4,T$4,$CB14:$JS14)</f>
        <v>203548.11</v>
      </c>
      <c r="U14" s="50" t="n">
        <f aca="false">SUMIF($CB$4:$JS$4,U$4,$CB14:$JS14)</f>
        <v>207785.71</v>
      </c>
      <c r="V14" s="50" t="n">
        <f aca="false">SUMIF($CB$4:$JS$4,V$4,$CB14:$JS14)</f>
        <v>205254.17</v>
      </c>
      <c r="W14" s="50" t="n">
        <f aca="false">SUMIF($CB$4:$JS$4,W$4,$CB14:$JS14)</f>
        <v>256382.45</v>
      </c>
      <c r="X14" s="50" t="n">
        <f aca="false">SUMIF($CB$4:$JS$4,X$4,$CB14:$JS14)</f>
        <v>298850.74</v>
      </c>
      <c r="Y14" s="50" t="n">
        <f aca="false">SUMIF($CB$4:$JS$4,Y$4,$CB14:$JS14)</f>
        <v>257613.12</v>
      </c>
      <c r="Z14" s="50" t="n">
        <f aca="false">SUMIF($CB$4:$JS$4,Z$4,$CB14:$JS14)</f>
        <v>128856.07</v>
      </c>
      <c r="AA14" s="50" t="n">
        <f aca="false">SUMIF($CB$4:$JS$4,AA$4,$CB14:$JS14)</f>
        <v>92763.43</v>
      </c>
      <c r="AB14" s="50" t="n">
        <f aca="false">SUMIF($CB$4:$JS$4,AB$4,$CB14:$JS14)</f>
        <v>92720.76</v>
      </c>
      <c r="AC14" s="50" t="n">
        <f aca="false">SUMIF($CB$4:$JS$4,AC$4,$CB14:$JS14)</f>
        <v>1930.87</v>
      </c>
      <c r="AD14" s="50" t="n">
        <f aca="false">SUMIF($CB$4:$JS$4,AD$4,$CB14:$JS14)</f>
        <v>1037.4</v>
      </c>
      <c r="AE14" s="50" t="n">
        <f aca="false">SUMIF($CB$4:$JS$4,AE$4,$CB14:$JS14)</f>
        <v>4340.17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0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863.52</v>
      </c>
      <c r="AM14" s="50" t="n">
        <f aca="false">SUMIF($CB$4:$JS$4,AM$4,$CB14:$JS14)</f>
        <v>0</v>
      </c>
      <c r="AN14" s="50" t="n">
        <f aca="false">SUMIF($CB$4:$JS$4,AN$4,$CB14:$JS14)</f>
        <v>8451.69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3888937.19</v>
      </c>
      <c r="BZ14" s="45" t="n">
        <f aca="false">SUMPRODUCT(($CB$4:$JS$4&lt;&gt;"")*($CB$4:$JS$4&lt;=$D$4),$CB14:$JS14,$CB$1:$JS$1)</f>
        <v>343.30301603844</v>
      </c>
      <c r="CB14" s="133" t="n">
        <f aca="false">IF(OR(CB$4="",$B14=""),0,SUMIF('DADOS BRUTOS'!$A$3:$A$500,$B14,'DADOS BRUTOS'!B$3:B$500)+IF($C14="",0,SUMIF('DADOS BRUTOS'!$A$3:$A$500,$C14,'DADOS BRUTOS'!B$3:B$500)))</f>
        <v>2437.9</v>
      </c>
      <c r="CC14" s="133" t="n">
        <f aca="false">IF(OR(CC$4="",$B14=""),0,SUMIF('DADOS BRUTOS'!$A$3:$A$500,$B14,'DADOS BRUTOS'!C$3:C$500)+IF($C14="",0,SUMIF('DADOS BRUTOS'!$A$3:$A$500,$C14,'DADOS BRUTOS'!C$3:C$500)))</f>
        <v>2253.29</v>
      </c>
      <c r="CD14" s="133" t="n">
        <f aca="false">IF(OR(CD$4="",$B14=""),0,SUMIF('DADOS BRUTOS'!$A$3:$A$500,$B14,'DADOS BRUTOS'!D$3:D$500)+IF($C14="",0,SUMIF('DADOS BRUTOS'!$A$3:$A$500,$C14,'DADOS BRUTOS'!D$3:D$500)))</f>
        <v>8527.57</v>
      </c>
      <c r="CE14" s="133" t="n">
        <f aca="false">IF(OR(CE$4="",$B14=""),0,SUMIF('DADOS BRUTOS'!$A$3:$A$500,$B14,'DADOS BRUTOS'!E$3:E$500)+IF($C14="",0,SUMIF('DADOS BRUTOS'!$A$3:$A$500,$C14,'DADOS BRUTOS'!E$3:E$500)))</f>
        <v>35000</v>
      </c>
      <c r="CF14" s="133" t="n">
        <f aca="false">IF(OR(CF$4="",$B14=""),0,SUMIF('DADOS BRUTOS'!$A$3:$A$500,$B14,'DADOS BRUTOS'!F$3:F$500)+IF($C14="",0,SUMIF('DADOS BRUTOS'!$A$3:$A$500,$C14,'DADOS BRUTOS'!F$3:F$500)))</f>
        <v>35655</v>
      </c>
      <c r="CG14" s="133" t="n">
        <f aca="false">IF(OR(CG$4="",$B14=""),0,SUMIF('DADOS BRUTOS'!$A$3:$A$500,$B14,'DADOS BRUTOS'!G$3:G$500)+IF($C14="",0,SUMIF('DADOS BRUTOS'!$A$3:$A$500,$C14,'DADOS BRUTOS'!G$3:G$500)))</f>
        <v>35655</v>
      </c>
      <c r="CH14" s="133" t="n">
        <f aca="false">IF(OR(CH$4="",$B14=""),0,SUMIF('DADOS BRUTOS'!$A$3:$A$500,$B14,'DADOS BRUTOS'!H$3:H$500)+IF($C14="",0,SUMIF('DADOS BRUTOS'!$A$3:$A$500,$C14,'DADOS BRUTOS'!H$3:H$500)))</f>
        <v>36678.64</v>
      </c>
      <c r="CI14" s="133" t="n">
        <f aca="false">IF(OR(CI$4="",$B14=""),0,SUMIF('DADOS BRUTOS'!$A$3:$A$500,$B14,'DADOS BRUTOS'!I$3:I$500)+IF($C14="",0,SUMIF('DADOS BRUTOS'!$A$3:$A$500,$C14,'DADOS BRUTOS'!I$3:I$500)))</f>
        <v>39561.28</v>
      </c>
      <c r="CJ14" s="133" t="n">
        <f aca="false">IF(OR(CJ$4="",$B14=""),0,SUMIF('DADOS BRUTOS'!$A$3:$A$500,$B14,'DADOS BRUTOS'!J$3:J$500)+IF($C14="",0,SUMIF('DADOS BRUTOS'!$A$3:$A$500,$C14,'DADOS BRUTOS'!J$3:J$500)))</f>
        <v>39540.39</v>
      </c>
      <c r="CK14" s="133" t="n">
        <f aca="false">IF(OR(CK$4="",$B14=""),0,SUMIF('DADOS BRUTOS'!$A$3:$A$500,$B14,'DADOS BRUTOS'!K$3:K$500)+IF($C14="",0,SUMIF('DADOS BRUTOS'!$A$3:$A$500,$C14,'DADOS BRUTOS'!K$3:K$500)))</f>
        <v>39540.39</v>
      </c>
      <c r="CL14" s="133" t="n">
        <f aca="false">IF(OR(CL$4="",$B14=""),0,SUMIF('DADOS BRUTOS'!$A$3:$A$500,$B14,'DADOS BRUTOS'!L$3:L$500)+IF($C14="",0,SUMIF('DADOS BRUTOS'!$A$3:$A$500,$C14,'DADOS BRUTOS'!L$3:L$500)))</f>
        <v>39790.39</v>
      </c>
      <c r="CM14" s="133" t="n">
        <f aca="false">IF(OR(CM$4="",$B14=""),0,SUMIF('DADOS BRUTOS'!$A$3:$A$500,$B14,'DADOS BRUTOS'!M$3:M$500)+IF($C14="",0,SUMIF('DADOS BRUTOS'!$A$3:$A$500,$C14,'DADOS BRUTOS'!M$3:M$500)))</f>
        <v>36732</v>
      </c>
      <c r="CN14" s="133" t="n">
        <f aca="false">IF(OR(CN$4="",$B14=""),0,SUMIF('DADOS BRUTOS'!$A$3:$A$500,$B14,'DADOS BRUTOS'!N$3:N$500)+IF($C14="",0,SUMIF('DADOS BRUTOS'!$A$3:$A$500,$C14,'DADOS BRUTOS'!N$3:N$500)))</f>
        <v>35837</v>
      </c>
      <c r="CO14" s="133" t="n">
        <f aca="false">IF(OR(CO$4="",$B14=""),0,SUMIF('DADOS BRUTOS'!$A$3:$A$500,$B14,'DADOS BRUTOS'!O$3:O$500)+IF($C14="",0,SUMIF('DADOS BRUTOS'!$A$3:$A$500,$C14,'DADOS BRUTOS'!O$3:O$500)))</f>
        <v>940</v>
      </c>
      <c r="CP14" s="133" t="n">
        <f aca="false">IF(OR(CP$4="",$B14=""),0,SUMIF('DADOS BRUTOS'!$A$3:$A$500,$B14,'DADOS BRUTOS'!P$3:P$500)+IF($C14="",0,SUMIF('DADOS BRUTOS'!$A$3:$A$500,$C14,'DADOS BRUTOS'!P$3:P$500)))</f>
        <v>61357.36</v>
      </c>
      <c r="CQ14" s="133" t="n">
        <f aca="false">IF(OR(CQ$4="",$B14=""),0,SUMIF('DADOS BRUTOS'!$A$3:$A$500,$B14,'DADOS BRUTOS'!Q$3:Q$500)+IF($C14="",0,SUMIF('DADOS BRUTOS'!$A$3:$A$500,$C14,'DADOS BRUTOS'!Q$3:Q$500)))</f>
        <v>118973.07</v>
      </c>
      <c r="CR14" s="133" t="n">
        <f aca="false">IF(OR(CR$4="",$B14=""),0,SUMIF('DADOS BRUTOS'!$A$3:$A$500,$B14,'DADOS BRUTOS'!R$3:R$500)+IF($C14="",0,SUMIF('DADOS BRUTOS'!$A$3:$A$500,$C14,'DADOS BRUTOS'!R$3:R$500)))</f>
        <v>60617.36</v>
      </c>
      <c r="CS14" s="133" t="n">
        <f aca="false">IF(OR(CS$4="",$B14=""),0,SUMIF('DADOS BRUTOS'!$A$3:$A$500,$B14,'DADOS BRUTOS'!S$3:S$500)+IF($C14="",0,SUMIF('DADOS BRUTOS'!$A$3:$A$500,$C14,'DADOS BRUTOS'!S$3:S$500)))</f>
        <v>23912.84</v>
      </c>
      <c r="CT14" s="133" t="n">
        <f aca="false">IF(OR(CT$4="",$B14=""),0,SUMIF('DADOS BRUTOS'!$A$3:$A$500,$B14,'DADOS BRUTOS'!T$3:T$500)+IF($C14="",0,SUMIF('DADOS BRUTOS'!$A$3:$A$500,$C14,'DADOS BRUTOS'!T$3:T$500)))</f>
        <v>27131.75</v>
      </c>
      <c r="CU14" s="133" t="n">
        <f aca="false">IF(OR(CU$4="",$B14=""),0,SUMIF('DADOS BRUTOS'!$A$3:$A$500,$B14,'DADOS BRUTOS'!U$3:U$500)+IF($C14="",0,SUMIF('DADOS BRUTOS'!$A$3:$A$500,$C14,'DADOS BRUTOS'!U$3:U$500)))</f>
        <v>51487.59</v>
      </c>
      <c r="CV14" s="133" t="n">
        <f aca="false">IF(OR(CV$4="",$B14=""),0,SUMIF('DADOS BRUTOS'!$A$3:$A$500,$B14,'DADOS BRUTOS'!V$3:V$500)+IF($C14="",0,SUMIF('DADOS BRUTOS'!$A$3:$A$500,$C14,'DADOS BRUTOS'!V$3:V$500)))</f>
        <v>89901.3</v>
      </c>
      <c r="CW14" s="133" t="n">
        <f aca="false">IF(OR(CW$4="",$B14=""),0,SUMIF('DADOS BRUTOS'!$A$3:$A$500,$B14,'DADOS BRUTOS'!W$3:W$500)+IF($C14="",0,SUMIF('DADOS BRUTOS'!$A$3:$A$500,$C14,'DADOS BRUTOS'!W$3:W$500)))</f>
        <v>109406.48</v>
      </c>
      <c r="CX14" s="133" t="n">
        <f aca="false">IF(OR(CX$4="",$B14=""),0,SUMIF('DADOS BRUTOS'!$A$3:$A$500,$B14,'DADOS BRUTOS'!X$3:X$500)+IF($C14="",0,SUMIF('DADOS BRUTOS'!$A$3:$A$500,$C14,'DADOS BRUTOS'!X$3:X$500)))</f>
        <v>164098.29</v>
      </c>
      <c r="CY14" s="133" t="n">
        <f aca="false">IF(OR(CY$4="",$B14=""),0,SUMIF('DADOS BRUTOS'!$A$3:$A$500,$B14,'DADOS BRUTOS'!Y$3:Y$500)+IF($C14="",0,SUMIF('DADOS BRUTOS'!$A$3:$A$500,$C14,'DADOS BRUTOS'!Y$3:Y$500)))</f>
        <v>234224.1</v>
      </c>
      <c r="CZ14" s="133" t="n">
        <f aca="false">IF(OR(CZ$4="",$B14=""),0,SUMIF('DADOS BRUTOS'!$A$3:$A$500,$B14,'DADOS BRUTOS'!Z$3:Z$500)+IF($C14="",0,SUMIF('DADOS BRUTOS'!$A$3:$A$500,$C14,'DADOS BRUTOS'!Z$3:Z$500)))</f>
        <v>187300.46</v>
      </c>
      <c r="DA14" s="133" t="n">
        <f aca="false">IF(OR(DA$4="",$B14=""),0,SUMIF('DADOS BRUTOS'!$A$3:$A$500,$B14,'DADOS BRUTOS'!AA$3:AA$500)+IF($C14="",0,SUMIF('DADOS BRUTOS'!$A$3:$A$500,$C14,'DADOS BRUTOS'!AA$3:AA$500)))</f>
        <v>207035.09</v>
      </c>
      <c r="DB14" s="133" t="n">
        <f aca="false">IF(OR(DB$4="",$B14=""),0,SUMIF('DADOS BRUTOS'!$A$3:$A$500,$B14,'DADOS BRUTOS'!AB$3:AB$500)+IF($C14="",0,SUMIF('DADOS BRUTOS'!$A$3:$A$500,$C14,'DADOS BRUTOS'!AB$3:AB$500)))</f>
        <v>189783.71</v>
      </c>
      <c r="DC14" s="133" t="n">
        <f aca="false">IF(OR(DC$4="",$B14=""),0,SUMIF('DADOS BRUTOS'!$A$3:$A$500,$B14,'DADOS BRUTOS'!AC$3:AC$500)+IF($C14="",0,SUMIF('DADOS BRUTOS'!$A$3:$A$500,$C14,'DADOS BRUTOS'!AC$3:AC$500)))</f>
        <v>215160.73</v>
      </c>
      <c r="DD14" s="133" t="n">
        <f aca="false">IF(OR(DD$4="",$B14=""),0,SUMIF('DADOS BRUTOS'!$A$3:$A$500,$B14,'DADOS BRUTOS'!AD$3:AD$500)+IF($C14="",0,SUMIF('DADOS BRUTOS'!$A$3:$A$500,$C14,'DADOS BRUTOS'!AD$3:AD$500)))</f>
        <v>203548.11</v>
      </c>
      <c r="DE14" s="133" t="n">
        <f aca="false">IF(OR(DE$4="",$B14=""),0,SUMIF('DADOS BRUTOS'!$A$3:$A$500,$B14,'DADOS BRUTOS'!AE$3:AE$500)+IF($C14="",0,SUMIF('DADOS BRUTOS'!$A$3:$A$500,$C14,'DADOS BRUTOS'!AE$3:AE$500)))</f>
        <v>207785.71</v>
      </c>
      <c r="DF14" s="133" t="n">
        <f aca="false">IF(OR(DF$4="",$B14=""),0,SUMIF('DADOS BRUTOS'!$A$3:$A$500,$B14,'DADOS BRUTOS'!AF$3:AF$500)+IF($C14="",0,SUMIF('DADOS BRUTOS'!$A$3:$A$500,$C14,'DADOS BRUTOS'!AF$3:AF$500)))</f>
        <v>205254.17</v>
      </c>
      <c r="DG14" s="133" t="n">
        <f aca="false">IF(OR(DG$4="",$B14=""),0,SUMIF('DADOS BRUTOS'!$A$3:$A$500,$B14,'DADOS BRUTOS'!AG$3:AG$500)+IF($C14="",0,SUMIF('DADOS BRUTOS'!$A$3:$A$500,$C14,'DADOS BRUTOS'!AG$3:AG$500)))</f>
        <v>256382.45</v>
      </c>
      <c r="DH14" s="133" t="n">
        <f aca="false">IF(OR(DH$4="",$B14=""),0,SUMIF('DADOS BRUTOS'!$A$3:$A$500,$B14,'DADOS BRUTOS'!AH$3:AH$500)+IF($C14="",0,SUMIF('DADOS BRUTOS'!$A$3:$A$500,$C14,'DADOS BRUTOS'!AH$3:AH$500)))</f>
        <v>298850.74</v>
      </c>
      <c r="DI14" s="133" t="n">
        <f aca="false">IF(OR(DI$4="",$B14=""),0,SUMIF('DADOS BRUTOS'!$A$3:$A$500,$B14,'DADOS BRUTOS'!AI$3:AI$500)+IF($C14="",0,SUMIF('DADOS BRUTOS'!$A$3:$A$500,$C14,'DADOS BRUTOS'!AI$3:AI$500)))</f>
        <v>257613.12</v>
      </c>
      <c r="DJ14" s="133" t="n">
        <f aca="false">IF(OR(DJ$4="",$B14=""),0,SUMIF('DADOS BRUTOS'!$A$3:$A$500,$B14,'DADOS BRUTOS'!AJ$3:AJ$500)+IF($C14="",0,SUMIF('DADOS BRUTOS'!$A$3:$A$500,$C14,'DADOS BRUTOS'!AJ$3:AJ$500)))</f>
        <v>128856.07</v>
      </c>
      <c r="DK14" s="133" t="n">
        <f aca="false">IF(OR(DK$4="",$B14=""),0,SUMIF('DADOS BRUTOS'!$A$3:$A$500,$B14,'DADOS BRUTOS'!AK$3:AK$500)+IF($C14="",0,SUMIF('DADOS BRUTOS'!$A$3:$A$500,$C14,'DADOS BRUTOS'!AK$3:AK$500)))</f>
        <v>92763.43</v>
      </c>
      <c r="DL14" s="133" t="n">
        <f aca="false">IF(OR(DL$4="",$B14=""),0,SUMIF('DADOS BRUTOS'!$A$3:$A$500,$B14,'DADOS BRUTOS'!AL$3:AL$500)+IF($C14="",0,SUMIF('DADOS BRUTOS'!$A$3:$A$500,$C14,'DADOS BRUTOS'!AL$3:AL$500)))</f>
        <v>92720.76</v>
      </c>
      <c r="DM14" s="133" t="n">
        <f aca="false">IF(OR(DM$4="",$B14=""),0,SUMIF('DADOS BRUTOS'!$A$3:$A$500,$B14,'DADOS BRUTOS'!AM$3:AM$500)+IF($C14="",0,SUMIF('DADOS BRUTOS'!$A$3:$A$500,$C14,'DADOS BRUTOS'!AM$3:AM$500)))</f>
        <v>1930.87</v>
      </c>
      <c r="DN14" s="133" t="n">
        <f aca="false">IF(OR(DN$4="",$B14=""),0,SUMIF('DADOS BRUTOS'!$A$3:$A$500,$B14,'DADOS BRUTOS'!AN$3:AN$500)+IF($C14="",0,SUMIF('DADOS BRUTOS'!$A$3:$A$500,$C14,'DADOS BRUTOS'!AN$3:AN$500)))</f>
        <v>1037.4</v>
      </c>
      <c r="DO14" s="133" t="n">
        <f aca="false">IF(OR(DO$4="",$B14=""),0,SUMIF('DADOS BRUTOS'!$A$3:$A$500,$B14,'DADOS BRUTOS'!AO$3:AO$500)+IF($C14="",0,SUMIF('DADOS BRUTOS'!$A$3:$A$500,$C14,'DADOS BRUTOS'!AO$3:AO$500)))</f>
        <v>4340.17</v>
      </c>
      <c r="DP14" s="133" t="n">
        <f aca="false">IF(OR(DP$4="",$B14=""),0,SUMIF('DADOS BRUTOS'!$A$3:$A$500,$B14,'DADOS BRUTOS'!AP$3:AP$500)+IF($C14="",0,SUMIF('DADOS BRUTOS'!$A$3:$A$500,$C14,'DADOS BRUTOS'!AP$3:AP$500)))</f>
        <v>0</v>
      </c>
      <c r="DQ14" s="133" t="n">
        <f aca="false">IF(OR(DQ$4="",$B14=""),0,SUMIF('DADOS BRUTOS'!$A$3:$A$500,$B14,'DADOS BRUTOS'!AQ$3:AQ$500)+IF($C14="",0,SUMIF('DADOS BRUTOS'!$A$3:$A$500,$C14,'DADOS BRUTOS'!AQ$3:AQ$500)))</f>
        <v>0</v>
      </c>
      <c r="DR14" s="133" t="n">
        <f aca="false">IF(OR(DR$4="",$B14=""),0,SUMIF('DADOS BRUTOS'!$A$3:$A$500,$B14,'DADOS BRUTOS'!AR$3:AR$500)+IF($C14="",0,SUMIF('DADOS BRUTOS'!$A$3:$A$500,$C14,'DADOS BRUTOS'!AR$3:AR$500)))</f>
        <v>0</v>
      </c>
      <c r="DS14" s="133" t="n">
        <f aca="false">IF(OR(DS$4="",$B14=""),0,SUMIF('DADOS BRUTOS'!$A$3:$A$500,$B14,'DADOS BRUTOS'!AS$3:AS$500)+IF($C14="",0,SUMIF('DADOS BRUTOS'!$A$3:$A$500,$C14,'DADOS BRUTOS'!AS$3:AS$500)))</f>
        <v>0</v>
      </c>
      <c r="DT14" s="133" t="n">
        <f aca="false">IF(OR(DT$4="",$B14=""),0,SUMIF('DADOS BRUTOS'!$A$3:$A$500,$B14,'DADOS BRUTOS'!AT$3:AT$500)+IF($C14="",0,SUMIF('DADOS BRUTOS'!$A$3:$A$500,$C14,'DADOS BRUTOS'!AT$3:AT$500)))</f>
        <v>0</v>
      </c>
      <c r="DU14" s="133" t="n">
        <f aca="false">IF(OR(DU$4="",$B14=""),0,SUMIF('DADOS BRUTOS'!$A$3:$A$500,$B14,'DADOS BRUTOS'!AU$3:AU$500)+IF($C14="",0,SUMIF('DADOS BRUTOS'!$A$3:$A$500,$C14,'DADOS BRUTOS'!AU$3:AU$500)))</f>
        <v>0</v>
      </c>
      <c r="DV14" s="133" t="n">
        <f aca="false">IF(OR(DV$4="",$B14=""),0,SUMIF('DADOS BRUTOS'!$A$3:$A$500,$B14,'DADOS BRUTOS'!AV$3:AV$500)+IF($C14="",0,SUMIF('DADOS BRUTOS'!$A$3:$A$500,$C14,'DADOS BRUTOS'!AV$3:AV$500)))</f>
        <v>863.52</v>
      </c>
      <c r="DW14" s="133" t="n">
        <f aca="false">IF(OR(DW$4="",$B14=""),0,SUMIF('DADOS BRUTOS'!$A$3:$A$500,$B14,'DADOS BRUTOS'!AW$3:AW$500)+IF($C14="",0,SUMIF('DADOS BRUTOS'!$A$3:$A$500,$C14,'DADOS BRUTOS'!AW$3:AW$500)))</f>
        <v>0</v>
      </c>
      <c r="DX14" s="133" t="n">
        <f aca="false">IF(OR(DX$4="",$B14=""),0,SUMIF('DADOS BRUTOS'!$A$3:$A$500,$B14,'DADOS BRUTOS'!AX$3:AX$500)+IF($C14="",0,SUMIF('DADOS BRUTOS'!$A$3:$A$500,$C14,'DADOS BRUTOS'!AX$3:AX$500)))</f>
        <v>8451.69</v>
      </c>
      <c r="DY14" s="133" t="n">
        <f aca="false">IF(OR(DY$4="",$B14=""),0,SUMIF('DADOS BRUTOS'!$A$3:$A$500,$B14,'DADOS BRUTOS'!AY$3:AY$500)+IF($C14="",0,SUMIF('DADOS BRUTOS'!$A$3:$A$500,$C14,'DADOS BRUTOS'!AY$3:AY$500)))</f>
        <v>0</v>
      </c>
      <c r="DZ14" s="133" t="n">
        <f aca="false">IF(OR(DZ$4="",$B14=""),0,SUMIF('DADOS BRUTOS'!$A$3:$A$500,$B14,'DADOS BRUTOS'!AZ$3:AZ$500)+IF($C14="",0,SUMIF('DADOS BRUTOS'!$A$3:$A$500,$C14,'DADOS BRUTOS'!AZ$3:AZ$500)))</f>
        <v>0</v>
      </c>
      <c r="EA14" s="133" t="n">
        <f aca="false">IF(OR(EA$4="",$B14=""),0,SUMIF('DADOS BRUTOS'!$A$3:$A$500,$B14,'DADOS BRUTOS'!BA$3:BA$500)+IF($C14="",0,SUMIF('DADOS BRUTOS'!$A$3:$A$500,$C14,'DADOS BRUTOS'!BA$3:BA$500)))</f>
        <v>0</v>
      </c>
      <c r="EB14" s="133" t="n">
        <f aca="false">IF(OR(EB$4="",$B14=""),0,SUMIF('DADOS BRUTOS'!$A$3:$A$500,$B14,'DADOS BRUTOS'!BB$3:BB$500)+IF($C14="",0,SUMIF('DADOS BRUTOS'!$A$3:$A$500,$C14,'DADOS BRUTOS'!BB$3:BB$500)))</f>
        <v>0</v>
      </c>
      <c r="EC14" s="133" t="n">
        <f aca="false">IF(OR(EC$4="",$B14=""),0,SUMIF('DADOS BRUTOS'!$A$3:$A$500,$B14,'DADOS BRUTOS'!BC$3:BC$500)+IF($C14="",0,SUMIF('DADOS BRUTOS'!$A$3:$A$500,$C14,'DADOS BRUTOS'!BC$3:BC$500)))</f>
        <v>0</v>
      </c>
      <c r="ED14" s="133" t="n">
        <f aca="false">IF(OR(ED$4="",$B14=""),0,SUMIF('DADOS BRUTOS'!$A$3:$A$500,$B14,'DADOS BRUTOS'!BD$3:BD$500)+IF($C14="",0,SUMIF('DADOS BRUTOS'!$A$3:$A$500,$C14,'DADOS BRUTOS'!BD$3:BD$500)))</f>
        <v>0</v>
      </c>
      <c r="EE14" s="133" t="n">
        <f aca="false">IF(OR(EE$4="",$B14=""),0,SUMIF('DADOS BRUTOS'!$A$3:$A$500,$B14,'DADOS BRUTOS'!BE$3:BE$500)+IF($C14="",0,SUMIF('DADOS BRUTOS'!$A$3:$A$500,$C14,'DADOS BRUTOS'!BE$3:BE$500)))</f>
        <v>0</v>
      </c>
      <c r="EF14" s="133" t="n">
        <f aca="false">IF(OR(EF$4="",$B14=""),0,SUMIF('DADOS BRUTOS'!$A$3:$A$500,$B14,'DADOS BRUTOS'!BF$3:BF$500)+IF($C14="",0,SUMIF('DADOS BRUTOS'!$A$3:$A$500,$C14,'DADOS BRUTOS'!BF$3:BF$500)))</f>
        <v>0</v>
      </c>
      <c r="EG14" s="133" t="n">
        <f aca="false">IF(OR(EG$4="",$B14=""),0,SUMIF('DADOS BRUTOS'!$A$3:$A$500,$B14,'DADOS BRUTOS'!BG$3:BG$500)+IF($C14="",0,SUMIF('DADOS BRUTOS'!$A$3:$A$500,$C14,'DADOS BRUTOS'!BG$3:BG$500)))</f>
        <v>0</v>
      </c>
      <c r="EH14" s="133" t="n">
        <f aca="false">IF(OR(EH$4="",$B14=""),0,SUMIF('DADOS BRUTOS'!$A$3:$A$500,$B14,'DADOS BRUTOS'!BH$3:BH$500)+IF($C14="",0,SUMIF('DADOS BRUTOS'!$A$3:$A$500,$C14,'DADOS BRUTOS'!BH$3:BH$500)))</f>
        <v>0</v>
      </c>
      <c r="EI14" s="133" t="n">
        <f aca="false">IF(OR(EI$4="",$B14=""),0,SUMIF('DADOS BRUTOS'!$A$3:$A$500,$B14,'DADOS BRUTOS'!BI$3:BI$500)+IF($C14="",0,SUMIF('DADOS BRUTOS'!$A$3:$A$500,$C14,'DADOS BRUTOS'!BI$3:BI$500)))</f>
        <v>0</v>
      </c>
      <c r="EJ14" s="133" t="n">
        <f aca="false">IF(OR(EJ$4="",$B14=""),0,SUMIF('DADOS BRUTOS'!$A$3:$A$500,$B14,'DADOS BRUTOS'!BJ$3:BJ$500)+IF($C14="",0,SUMIF('DADOS BRUTOS'!$A$3:$A$500,$C14,'DADOS BRUTOS'!BJ$3:BJ$500)))</f>
        <v>0</v>
      </c>
      <c r="EK14" s="133" t="n">
        <f aca="false">IF(OR(EK$4="",$B14=""),0,SUMIF('DADOS BRUTOS'!$A$3:$A$500,$B14,'DADOS BRUTOS'!BK$3:BK$500)+IF($C14="",0,SUMIF('DADOS BRUTOS'!$A$3:$A$500,$C14,'DADOS BRUTOS'!BK$3:BK$500)))</f>
        <v>0</v>
      </c>
      <c r="EL14" s="133" t="n">
        <f aca="false">IF(OR(EL$4="",$B14=""),0,SUMIF('DADOS BRUTOS'!$A$3:$A$500,$B14,'DADOS BRUTOS'!BL$3:BL$500)+IF($C14="",0,SUMIF('DADOS BRUTOS'!$A$3:$A$500,$C14,'DADOS BRUTOS'!BL$3:BL$500)))</f>
        <v>0</v>
      </c>
      <c r="EM14" s="133" t="n">
        <f aca="false">IF(OR(EM$4="",$B14=""),0,SUMIF('DADOS BRUTOS'!$A$3:$A$500,$B14,'DADOS BRUTOS'!BM$3:BM$500)+IF($C14="",0,SUMIF('DADOS BRUTOS'!$A$3:$A$500,$C14,'DADOS BRUTOS'!BM$3:BM$500)))</f>
        <v>0</v>
      </c>
      <c r="EN14" s="133" t="n">
        <f aca="false">IF(OR(EN$4="",$B14=""),0,SUMIF('DADOS BRUTOS'!$A$3:$A$500,$B14,'DADOS BRUTOS'!BN$3:BN$500)+IF($C14="",0,SUMIF('DADOS BRUTOS'!$A$3:$A$500,$C14,'DADOS BRUTOS'!BN$3:BN$500)))</f>
        <v>0</v>
      </c>
      <c r="EO14" s="133" t="n">
        <f aca="false">IF(OR(EO$4="",$B14=""),0,SUMIF('DADOS BRUTOS'!$A$3:$A$500,$B14,'DADOS BRUTOS'!BO$3:BO$500)+IF($C14="",0,SUMIF('DADOS BRUTOS'!$A$3:$A$500,$C14,'DADOS BRUTOS'!BO$3:BO$500)))</f>
        <v>0</v>
      </c>
      <c r="EP14" s="133" t="n">
        <f aca="false">IF(OR(EP$4="",$B14=""),0,SUMIF('DADOS BRUTOS'!$A$3:$A$500,$B14,'DADOS BRUTOS'!BP$3:BP$500)+IF($C14="",0,SUMIF('DADOS BRUTOS'!$A$3:$A$500,$C14,'DADOS BRUTOS'!BP$3:BP$500)))</f>
        <v>0</v>
      </c>
      <c r="EQ14" s="133" t="n">
        <f aca="false">IF(OR(EQ$4="",$B14=""),0,SUMIF('DADOS BRUTOS'!$A$3:$A$500,$B14,'DADOS BRUTOS'!BQ$3:BQ$500)+IF($C14="",0,SUMIF('DADOS BRUTOS'!$A$3:$A$500,$C14,'DADOS BRUTOS'!BQ$3:BQ$500)))</f>
        <v>0</v>
      </c>
      <c r="ER14" s="133" t="n">
        <f aca="false">IF(OR(ER$4="",$B14=""),0,SUMIF('DADOS BRUTOS'!$A$3:$A$500,$B14,'DADOS BRUTOS'!BR$3:BR$500)+IF($C14="",0,SUMIF('DADOS BRUTOS'!$A$3:$A$500,$C14,'DADOS BRUTOS'!BR$3:BR$500)))</f>
        <v>0</v>
      </c>
      <c r="ES14" s="133" t="n">
        <f aca="false">IF(OR(ES$4="",$B14=""),0,SUMIF('DADOS BRUTOS'!$A$3:$A$500,$B14,'DADOS BRUTOS'!BS$3:BS$500)+IF($C14="",0,SUMIF('DADOS BRUTOS'!$A$3:$A$500,$C14,'DADOS BRUTOS'!BS$3:BS$500)))</f>
        <v>0</v>
      </c>
      <c r="ET14" s="133" t="n">
        <f aca="false">IF(OR(ET$4="",$B14=""),0,SUMIF('DADOS BRUTOS'!$A$3:$A$500,$B14,'DADOS BRUTOS'!BT$3:BT$500)+IF($C14="",0,SUMIF('DADOS BRUTOS'!$A$3:$A$500,$C14,'DADOS BRUTOS'!BT$3:BT$500)))</f>
        <v>0</v>
      </c>
      <c r="EU14" s="133" t="n">
        <f aca="false">IF(OR(EU$4="",$B14=""),0,SUMIF('DADOS BRUTOS'!$A$3:$A$500,$B14,'DADOS BRUTOS'!BU$3:BU$500)+IF($C14="",0,SUMIF('DADOS BRUTOS'!$A$3:$A$500,$C14,'DADOS BRUTOS'!BU$3:BU$500)))</f>
        <v>0</v>
      </c>
      <c r="EV14" s="133" t="n">
        <f aca="false">IF(OR(EV$4="",$B14=""),0,SUMIF('DADOS BRUTOS'!$A$3:$A$500,$B14,'DADOS BRUTOS'!BV$3:BV$500)+IF($C14="",0,SUMIF('DADOS BRUTOS'!$A$3:$A$500,$C14,'DADOS BRUTOS'!BV$3:BV$500)))</f>
        <v>0</v>
      </c>
      <c r="EW14" s="133" t="n">
        <f aca="false">IF(OR(EW$4="",$B14=""),0,SUMIF('DADOS BRUTOS'!$A$3:$A$500,$B14,'DADOS BRUTOS'!BW$3:BW$500)+IF($C14="",0,SUMIF('DADOS BRUTOS'!$A$3:$A$500,$C14,'DADOS BRUTOS'!BW$3:BW$500)))</f>
        <v>0</v>
      </c>
      <c r="EX14" s="133" t="n">
        <f aca="false">IF(OR(EX$4="",$B14=""),0,SUMIF('DADOS BRUTOS'!$A$3:$A$500,$B14,'DADOS BRUTOS'!BX$3:BX$500)+IF($C14="",0,SUMIF('DADOS BRUTOS'!$A$3:$A$500,$C14,'DADOS BRUTOS'!BX$3:BX$500)))</f>
        <v>0</v>
      </c>
      <c r="EY14" s="133" t="n">
        <f aca="false">IF(OR(EY$4="",$B14=""),0,SUMIF('DADOS BRUTOS'!$A$3:$A$500,$B14,'DADOS BRUTOS'!BY$3:BY$500)+IF($C14="",0,SUMIF('DADOS BRUTOS'!$A$3:$A$500,$C14,'DADOS BRUTOS'!BY$3:BY$500)))</f>
        <v>0</v>
      </c>
      <c r="EZ14" s="133" t="n">
        <f aca="false">IF(OR(EZ$4="",$B14=""),0,SUMIF('DADOS BRUTOS'!$A$3:$A$500,$B14,'DADOS BRUTOS'!BZ$3:BZ$500)+IF($C14="",0,SUMIF('DADOS BRUTOS'!$A$3:$A$500,$C14,'DADOS BRUTOS'!BZ$3:BZ$500)))</f>
        <v>0</v>
      </c>
      <c r="FA14" s="133" t="n">
        <f aca="false">IF(OR(FA$4="",$B14=""),0,SUMIF('DADOS BRUTOS'!$A$3:$A$500,$B14,'DADOS BRUTOS'!CA$3:CA$500)+IF($C14="",0,SUMIF('DADOS BRUTOS'!$A$3:$A$500,$C14,'DADOS BRUTOS'!CA$3:CA$500)))</f>
        <v>0</v>
      </c>
      <c r="FB14" s="133" t="n">
        <f aca="false">IF(OR(FB$4="",$B14=""),0,SUMIF('DADOS BRUTOS'!$A$3:$A$500,$B14,'DADOS BRUTOS'!CB$3:CB$500)+IF($C14="",0,SUMIF('DADOS BRUTOS'!$A$3:$A$500,$C14,'DADOS BRUTOS'!CB$3:CB$500)))</f>
        <v>0</v>
      </c>
      <c r="FC14" s="133" t="n">
        <f aca="false">IF(OR(FC$4="",$B14=""),0,SUMIF('DADOS BRUTOS'!$A$3:$A$500,$B14,'DADOS BRUTOS'!CC$3:CC$500)+IF($C14="",0,SUMIF('DADOS BRUTOS'!$A$3:$A$500,$C14,'DADOS BRUTOS'!CC$3:CC$500)))</f>
        <v>0</v>
      </c>
      <c r="FD14" s="133" t="n">
        <f aca="false">IF(OR(FD$4="",$B14=""),0,SUMIF('DADOS BRUTOS'!$A$3:$A$500,$B14,'DADOS BRUTOS'!CD$3:CD$500)+IF($C14="",0,SUMIF('DADOS BRUTOS'!$A$3:$A$500,$C14,'DADOS BRUTOS'!CD$3:CD$500)))</f>
        <v>0</v>
      </c>
      <c r="FE14" s="133" t="n">
        <f aca="false">IF(OR(FE$4="",$B14=""),0,SUMIF('DADOS BRUTOS'!$A$3:$A$500,$B14,'DADOS BRUTOS'!CE$3:CE$500)+IF($C14="",0,SUMIF('DADOS BRUTOS'!$A$3:$A$500,$C14,'DADOS BRUTOS'!CE$3:CE$500)))</f>
        <v>0</v>
      </c>
      <c r="FF14" s="133" t="n">
        <f aca="false">IF(OR(FF$4="",$B14=""),0,SUMIF('DADOS BRUTOS'!$A$3:$A$500,$B14,'DADOS BRUTOS'!CF$3:CF$500)+IF($C14="",0,SUMIF('DADOS BRUTOS'!$A$3:$A$500,$C14,'DADOS BRUTOS'!CF$3:CF$500)))</f>
        <v>0</v>
      </c>
      <c r="FG14" s="133" t="n">
        <f aca="false">IF(OR(FG$4="",$B14=""),0,SUMIF('DADOS BRUTOS'!$A$3:$A$500,$B14,'DADOS BRUTOS'!CG$3:CG$500)+IF($C14="",0,SUMIF('DADOS BRUTOS'!$A$3:$A$500,$C14,'DADOS BRUTOS'!CG$3:CG$500)))</f>
        <v>0</v>
      </c>
      <c r="FH14" s="133" t="n">
        <f aca="false">IF(OR(FH$4="",$B14=""),0,SUMIF('DADOS BRUTOS'!$A$3:$A$500,$B14,'DADOS BRUTOS'!CH$3:CH$500)+IF($C14="",0,SUMIF('DADOS BRUTOS'!$A$3:$A$500,$C14,'DADOS BRUTOS'!CH$3:CH$500)))</f>
        <v>0</v>
      </c>
      <c r="FI14" s="133" t="n">
        <f aca="false">IF(OR(FI$4="",$B14=""),0,SUMIF('DADOS BRUTOS'!$A$3:$A$500,$B14,'DADOS BRUTOS'!CI$3:CI$500)+IF($C14="",0,SUMIF('DADOS BRUTOS'!$A$3:$A$500,$C14,'DADOS BRUTOS'!CI$3:CI$500)))</f>
        <v>0</v>
      </c>
      <c r="FJ14" s="133" t="n">
        <f aca="false">IF(OR(FJ$4="",$B14=""),0,SUMIF('DADOS BRUTOS'!$A$3:$A$500,$B14,'DADOS BRUTOS'!CJ$3:CJ$500)+IF($C14="",0,SUMIF('DADOS BRUTOS'!$A$3:$A$500,$C14,'DADOS BRUTOS'!CJ$3:CJ$500)))</f>
        <v>0</v>
      </c>
      <c r="FK14" s="133" t="n">
        <f aca="false">IF(OR(FK$4="",$B14=""),0,SUMIF('DADOS BRUTOS'!$A$3:$A$500,$B14,'DADOS BRUTOS'!CK$3:CK$500)+IF($C14="",0,SUMIF('DADOS BRUTOS'!$A$3:$A$500,$C14,'DADOS BRUTOS'!CK$3:CK$500)))</f>
        <v>0</v>
      </c>
      <c r="FL14" s="133" t="n">
        <f aca="false">IF(OR(FL$4="",$B14=""),0,SUMIF('DADOS BRUTOS'!$A$3:$A$500,$B14,'DADOS BRUTOS'!CL$3:CL$500)+IF($C14="",0,SUMIF('DADOS BRUTOS'!$A$3:$A$500,$C14,'DADOS BRUTOS'!CL$3:CL$500)))</f>
        <v>0</v>
      </c>
      <c r="FM14" s="133" t="n">
        <f aca="false">IF(OR(FM$4="",$B14=""),0,SUMIF('DADOS BRUTOS'!$A$3:$A$500,$B14,'DADOS BRUTOS'!CM$3:CM$500)+IF($C14="",0,SUMIF('DADOS BRUTOS'!$A$3:$A$500,$C14,'DADOS BRUTOS'!CM$3:CM$500)))</f>
        <v>0</v>
      </c>
      <c r="FN14" s="133" t="n">
        <f aca="false">IF(OR(FN$4="",$B14=""),0,SUMIF('DADOS BRUTOS'!$A$3:$A$500,$B14,'DADOS BRUTOS'!CN$3:CN$500)+IF($C14="",0,SUMIF('DADOS BRUTOS'!$A$3:$A$500,$C14,'DADOS BRUTOS'!CN$3:CN$500)))</f>
        <v>0</v>
      </c>
      <c r="FO14" s="133" t="n">
        <f aca="false">IF(OR(FO$4="",$B14=""),0,SUMIF('DADOS BRUTOS'!$A$3:$A$500,$B14,'DADOS BRUTOS'!CO$3:CO$500)+IF($C14="",0,SUMIF('DADOS BRUTOS'!$A$3:$A$500,$C14,'DADOS BRUTOS'!CO$3:CO$500)))</f>
        <v>0</v>
      </c>
      <c r="FP14" s="133" t="n">
        <f aca="false">IF(OR(FP$4="",$B14=""),0,SUMIF('DADOS BRUTOS'!$A$3:$A$500,$B14,'DADOS BRUTOS'!CP$3:CP$500)+IF($C14="",0,SUMIF('DADOS BRUTOS'!$A$3:$A$500,$C14,'DADOS BRUTOS'!CP$3:CP$500)))</f>
        <v>0</v>
      </c>
      <c r="FQ14" s="133" t="n">
        <f aca="false">IF(OR(FQ$4="",$B14=""),0,SUMIF('DADOS BRUTOS'!$A$3:$A$500,$B14,'DADOS BRUTOS'!CQ$3:CQ$500)+IF($C14="",0,SUMIF('DADOS BRUTOS'!$A$3:$A$500,$C14,'DADOS BRUTOS'!CQ$3:CQ$500)))</f>
        <v>0</v>
      </c>
      <c r="FR14" s="133" t="n">
        <f aca="false">IF(OR(FR$4="",$B14=""),0,SUMIF('DADOS BRUTOS'!$A$3:$A$500,$B14,'DADOS BRUTOS'!CR$3:CR$500)+IF($C14="",0,SUMIF('DADOS BRUTOS'!$A$3:$A$500,$C14,'DADOS BRUTOS'!CR$3:CR$500)))</f>
        <v>0</v>
      </c>
      <c r="FS14" s="133" t="n">
        <f aca="false">IF(OR(FS$4="",$B14=""),0,SUMIF('DADOS BRUTOS'!$A$3:$A$500,$B14,'DADOS BRUTOS'!CS$3:CS$500)+IF($C14="",0,SUMIF('DADOS BRUTOS'!$A$3:$A$500,$C14,'DADOS BRUTOS'!CS$3:CS$500)))</f>
        <v>0</v>
      </c>
      <c r="FT14" s="133" t="n">
        <f aca="false">IF(OR(FT$4="",$B14=""),0,SUMIF('DADOS BRUTOS'!$A$3:$A$500,$B14,'DADOS BRUTOS'!CT$3:CT$500)+IF($C14="",0,SUMIF('DADOS BRUTOS'!$A$3:$A$500,$C14,'DADOS BRUTOS'!CT$3:CT$500)))</f>
        <v>0</v>
      </c>
      <c r="FU14" s="133" t="n">
        <f aca="false">IF(OR(FU$4="",$B14=""),0,SUMIF('DADOS BRUTOS'!$A$3:$A$500,$B14,'DADOS BRUTOS'!CU$3:CU$500)+IF($C14="",0,SUMIF('DADOS BRUTOS'!$A$3:$A$500,$C14,'DADOS BRUTOS'!CU$3:CU$500)))</f>
        <v>0</v>
      </c>
      <c r="FV14" s="133" t="n">
        <f aca="false">IF(OR(FV$4="",$B14=""),0,SUMIF('DADOS BRUTOS'!$A$3:$A$500,$B14,'DADOS BRUTOS'!CV$3:CV$500)+IF($C14="",0,SUMIF('DADOS BRUTOS'!$A$3:$A$500,$C14,'DADOS BRUTOS'!CV$3:CV$500)))</f>
        <v>0</v>
      </c>
      <c r="FW14" s="133" t="n">
        <f aca="false">IF(OR(FW$4="",$B14=""),0,SUMIF('DADOS BRUTOS'!$A$3:$A$500,$B14,'DADOS BRUTOS'!CW$3:CW$500)+IF($C14="",0,SUMIF('DADOS BRUTOS'!$A$3:$A$500,$C14,'DADOS BRUTOS'!CW$3:CW$500)))</f>
        <v>0</v>
      </c>
      <c r="FX14" s="133" t="n">
        <f aca="false">IF(OR(FX$4="",$B14=""),0,SUMIF('DADOS BRUTOS'!$A$3:$A$500,$B14,'DADOS BRUTOS'!CX$3:CX$500)+IF($C14="",0,SUMIF('DADOS BRUTOS'!$A$3:$A$500,$C14,'DADOS BRUTOS'!CX$3:CX$500)))</f>
        <v>0</v>
      </c>
      <c r="FY14" s="133" t="n">
        <f aca="false">IF(OR(FY$4="",$B14=""),0,SUMIF('DADOS BRUTOS'!$A$3:$A$500,$B14,'DADOS BRUTOS'!CY$3:CY$500)+IF($C14="",0,SUMIF('DADOS BRUTOS'!$A$3:$A$500,$C14,'DADOS BRUTOS'!CY$3:CY$500)))</f>
        <v>0</v>
      </c>
      <c r="FZ14" s="133" t="n">
        <f aca="false">IF(OR(FZ$4="",$B14=""),0,SUMIF('DADOS BRUTOS'!$A$3:$A$500,$B14,'DADOS BRUTOS'!CZ$3:CZ$500)+IF($C14="",0,SUMIF('DADOS BRUTOS'!$A$3:$A$500,$C14,'DADOS BRUTOS'!CZ$3:CZ$500)))</f>
        <v>0</v>
      </c>
      <c r="GA14" s="133" t="n">
        <f aca="false">IF(OR(GA$4="",$B14=""),0,SUMIF('DADOS BRUTOS'!$A$3:$A$500,$B14,'DADOS BRUTOS'!DA$3:DA$500)+IF($C14="",0,SUMIF('DADOS BRUTOS'!$A$3:$A$500,$C14,'DADOS BRUTOS'!DA$3:DA$500)))</f>
        <v>0</v>
      </c>
      <c r="GB14" s="133" t="n">
        <f aca="false">IF(OR(GB$4="",$B14=""),0,SUMIF('DADOS BRUTOS'!$A$3:$A$500,$B14,'DADOS BRUTOS'!DB$3:DB$500)+IF($C14="",0,SUMIF('DADOS BRUTOS'!$A$3:$A$500,$C14,'DADOS BRUTOS'!DB$3:DB$500)))</f>
        <v>0</v>
      </c>
      <c r="GC14" s="133" t="n">
        <f aca="false">IF(OR(GC$4="",$B14=""),0,SUMIF('DADOS BRUTOS'!$A$3:$A$500,$B14,'DADOS BRUTOS'!DC$3:DC$500)+IF($C14="",0,SUMIF('DADOS BRUTOS'!$A$3:$A$500,$C14,'DADOS BRUTOS'!DC$3:DC$500)))</f>
        <v>0</v>
      </c>
      <c r="GD14" s="133" t="n">
        <f aca="false">IF(OR(GD$4="",$B14=""),0,SUMIF('DADOS BRUTOS'!$A$3:$A$500,$B14,'DADOS BRUTOS'!DD$3:DD$500)+IF($C14="",0,SUMIF('DADOS BRUTOS'!$A$3:$A$500,$C14,'DADOS BRUTOS'!DD$3:DD$500)))</f>
        <v>0</v>
      </c>
      <c r="GE14" s="133" t="n">
        <f aca="false">IF(OR(GE$4="",$B14=""),0,SUMIF('DADOS BRUTOS'!$A$3:$A$500,$B14,'DADOS BRUTOS'!DE$3:DE$500)+IF($C14="",0,SUMIF('DADOS BRUTOS'!$A$3:$A$500,$C14,'DADOS BRUTOS'!DE$3:DE$500)))</f>
        <v>0</v>
      </c>
      <c r="GF14" s="133" t="n">
        <f aca="false">IF(OR(GF$4="",$B14=""),0,SUMIF('DADOS BRUTOS'!$A$3:$A$500,$B14,'DADOS BRUTOS'!DF$3:DF$500)+IF($C14="",0,SUMIF('DADOS BRUTOS'!$A$3:$A$500,$C14,'DADOS BRUTOS'!DF$3:DF$500)))</f>
        <v>0</v>
      </c>
      <c r="GG14" s="133" t="n">
        <f aca="false">IF(OR(GG$4="",$B14=""),0,SUMIF('DADOS BRUTOS'!$A$3:$A$500,$B14,'DADOS BRUTOS'!DG$3:DG$500)+IF($C14="",0,SUMIF('DADOS BRUTOS'!$A$3:$A$500,$C14,'DADOS BRUTOS'!DG$3:DG$500)))</f>
        <v>0</v>
      </c>
      <c r="GH14" s="133" t="n">
        <f aca="false">IF(OR(GH$4="",$B14=""),0,SUMIF('DADOS BRUTOS'!$A$3:$A$500,$B14,'DADOS BRUTOS'!DH$3:DH$500)+IF($C14="",0,SUMIF('DADOS BRUTOS'!$A$3:$A$500,$C14,'DADOS BRUTOS'!DH$3:DH$500)))</f>
        <v>0</v>
      </c>
      <c r="GI14" s="133" t="n">
        <f aca="false">IF(OR(GI$4="",$B14=""),0,SUMIF('DADOS BRUTOS'!$A$3:$A$500,$B14,'DADOS BRUTOS'!DI$3:DI$500)+IF($C14="",0,SUMIF('DADOS BRUTOS'!$A$3:$A$500,$C14,'DADOS BRUTOS'!DI$3:DI$500)))</f>
        <v>0</v>
      </c>
      <c r="GJ14" s="133" t="n">
        <f aca="false">IF(OR(GJ$4="",$B14=""),0,SUMIF('DADOS BRUTOS'!$A$3:$A$500,$B14,'DADOS BRUTOS'!DJ$3:DJ$500)+IF($C14="",0,SUMIF('DADOS BRUTOS'!$A$3:$A$500,$C14,'DADOS BRUTOS'!DJ$3:DJ$500)))</f>
        <v>0</v>
      </c>
      <c r="GK14" s="133" t="n">
        <f aca="false">IF(OR(GK$4="",$B14=""),0,SUMIF('DADOS BRUTOS'!$A$3:$A$500,$B14,'DADOS BRUTOS'!DK$3:DK$500)+IF($C14="",0,SUMIF('DADOS BRUTOS'!$A$3:$A$500,$C14,'DADOS BRUTOS'!DK$3:DK$500)))</f>
        <v>0</v>
      </c>
      <c r="GL14" s="133" t="n">
        <f aca="false">IF(OR(GL$4="",$B14=""),0,SUMIF('DADOS BRUTOS'!$A$3:$A$500,$B14,'DADOS BRUTOS'!DL$3:DL$500)+IF($C14="",0,SUMIF('DADOS BRUTOS'!$A$3:$A$500,$C14,'DADOS BRUTOS'!DL$3:DL$500)))</f>
        <v>0</v>
      </c>
      <c r="GM14" s="133" t="n">
        <f aca="false">IF(OR(GM$4="",$B14=""),0,SUMIF('DADOS BRUTOS'!$A$3:$A$500,$B14,'DADOS BRUTOS'!DM$3:DM$500)+IF($C14="",0,SUMIF('DADOS BRUTOS'!$A$3:$A$500,$C14,'DADOS BRUTOS'!DM$3:DM$500)))</f>
        <v>0</v>
      </c>
      <c r="GN14" s="133" t="n">
        <f aca="false">IF(OR(GN$4="",$B14=""),0,SUMIF('DADOS BRUTOS'!$A$3:$A$500,$B14,'DADOS BRUTOS'!DN$3:DN$500)+IF($C14="",0,SUMIF('DADOS BRUTOS'!$A$3:$A$500,$C14,'DADOS BRUTOS'!DN$3:DN$500)))</f>
        <v>0</v>
      </c>
      <c r="GO14" s="133" t="n">
        <f aca="false">IF(OR(GO$4="",$B14=""),0,SUMIF('DADOS BRUTOS'!$A$3:$A$500,$B14,'DADOS BRUTOS'!DO$3:DO$500)+IF($C14="",0,SUMIF('DADOS BRUTOS'!$A$3:$A$500,$C14,'DADOS BRUTOS'!DO$3:DO$500)))</f>
        <v>0</v>
      </c>
      <c r="GP14" s="133" t="n">
        <f aca="false">IF(OR(GP$4="",$B14=""),0,SUMIF('DADOS BRUTOS'!$A$3:$A$500,$B14,'DADOS BRUTOS'!DP$3:DP$500)+IF($C14="",0,SUMIF('DADOS BRUTOS'!$A$3:$A$500,$C14,'DADOS BRUTOS'!DP$3:DP$500)))</f>
        <v>0</v>
      </c>
      <c r="GQ14" s="133" t="n">
        <f aca="false">IF(OR(GQ$4="",$B14=""),0,SUMIF('DADOS BRUTOS'!$A$3:$A$500,$B14,'DADOS BRUTOS'!DQ$3:DQ$500)+IF($C14="",0,SUMIF('DADOS BRUTOS'!$A$3:$A$500,$C14,'DADOS BRUTOS'!DQ$3:DQ$500)))</f>
        <v>0</v>
      </c>
      <c r="GR14" s="133" t="n">
        <f aca="false">IF(OR(GR$4="",$B14=""),0,SUMIF('DADOS BRUTOS'!$A$3:$A$500,$B14,'DADOS BRUTOS'!DR$3:DR$500)+IF($C14="",0,SUMIF('DADOS BRUTOS'!$A$3:$A$500,$C14,'DADOS BRUTOS'!DR$3:DR$500)))</f>
        <v>0</v>
      </c>
      <c r="GS14" s="133" t="n">
        <f aca="false">IF(OR(GS$4="",$B14=""),0,SUMIF('DADOS BRUTOS'!$A$3:$A$500,$B14,'DADOS BRUTOS'!DS$3:DS$500)+IF($C14="",0,SUMIF('DADOS BRUTOS'!$A$3:$A$500,$C14,'DADOS BRUTOS'!DS$3:DS$500)))</f>
        <v>0</v>
      </c>
      <c r="GT14" s="133" t="n">
        <f aca="false">IF(OR(GT$4="",$B14=""),0,SUMIF('DADOS BRUTOS'!$A$3:$A$500,$B14,'DADOS BRUTOS'!DT$3:DT$500)+IF($C14="",0,SUMIF('DADOS BRUTOS'!$A$3:$A$500,$C14,'DADOS BRUTOS'!DT$3:DT$500)))</f>
        <v>0</v>
      </c>
      <c r="GU14" s="133" t="n">
        <f aca="false">IF(OR(GU$4="",$B14=""),0,SUMIF('DADOS BRUTOS'!$A$3:$A$500,$B14,'DADOS BRUTOS'!DU$3:DU$500)+IF($C14="",0,SUMIF('DADOS BRUTOS'!$A$3:$A$500,$C14,'DADOS BRUTOS'!DU$3:DU$500)))</f>
        <v>0</v>
      </c>
      <c r="GV14" s="133" t="n">
        <f aca="false">IF(OR(GV$4="",$B14=""),0,SUMIF('DADOS BRUTOS'!$A$3:$A$500,$B14,'DADOS BRUTOS'!DV$3:DV$500)+IF($C14="",0,SUMIF('DADOS BRUTOS'!$A$3:$A$500,$C14,'DADOS BRUTOS'!DV$3:DV$500)))</f>
        <v>0</v>
      </c>
      <c r="GW14" s="133" t="n">
        <f aca="false">IF(OR(GW$4="",$B14=""),0,SUMIF('DADOS BRUTOS'!$A$3:$A$500,$B14,'DADOS BRUTOS'!DW$3:DW$500)+IF($C14="",0,SUMIF('DADOS BRUTOS'!$A$3:$A$500,$C14,'DADOS BRUTOS'!DW$3:DW$500)))</f>
        <v>0</v>
      </c>
      <c r="GX14" s="133" t="n">
        <f aca="false">IF(OR(GX$4="",$B14=""),0,SUMIF('DADOS BRUTOS'!$A$3:$A$500,$B14,'DADOS BRUTOS'!DX$3:DX$500)+IF($C14="",0,SUMIF('DADOS BRUTOS'!$A$3:$A$500,$C14,'DADOS BRUTOS'!DX$3:DX$500)))</f>
        <v>0</v>
      </c>
      <c r="GY14" s="133" t="n">
        <f aca="false">IF(OR(GY$4="",$B14=""),0,SUMIF('DADOS BRUTOS'!$A$3:$A$500,$B14,'DADOS BRUTOS'!DY$3:DY$500)+IF($C14="",0,SUMIF('DADOS BRUTOS'!$A$3:$A$500,$C14,'DADOS BRUTOS'!DY$3:DY$500)))</f>
        <v>0</v>
      </c>
      <c r="GZ14" s="133" t="n">
        <f aca="false">IF(OR(GZ$4="",$B14=""),0,SUMIF('DADOS BRUTOS'!$A$3:$A$500,$B14,'DADOS BRUTOS'!DZ$3:DZ$500)+IF($C14="",0,SUMIF('DADOS BRUTOS'!$A$3:$A$500,$C14,'DADOS BRUTOS'!DZ$3:DZ$500)))</f>
        <v>0</v>
      </c>
      <c r="HA14" s="133" t="n">
        <f aca="false">IF(OR(HA$4="",$B14=""),0,SUMIF('DADOS BRUTOS'!$A$3:$A$500,$B14,'DADOS BRUTOS'!EA$3:EA$500)+IF($C14="",0,SUMIF('DADOS BRUTOS'!$A$3:$A$500,$C14,'DADOS BRUTOS'!EA$3:EA$500)))</f>
        <v>0</v>
      </c>
      <c r="HB14" s="133" t="n">
        <f aca="false">IF(OR(HB$4="",$B14=""),0,SUMIF('DADOS BRUTOS'!$A$3:$A$500,$B14,'DADOS BRUTOS'!EB$3:EB$500)+IF($C14="",0,SUMIF('DADOS BRUTOS'!$A$3:$A$500,$C14,'DADOS BRUTOS'!EB$3:EB$500)))</f>
        <v>0</v>
      </c>
      <c r="HC14" s="133" t="n">
        <f aca="false">IF(OR(HC$4="",$B14=""),0,SUMIF('DADOS BRUTOS'!$A$3:$A$500,$B14,'DADOS BRUTOS'!EC$3:EC$500)+IF($C14="",0,SUMIF('DADOS BRUTOS'!$A$3:$A$500,$C14,'DADOS BRUTOS'!EC$3:EC$500)))</f>
        <v>0</v>
      </c>
      <c r="HD14" s="133" t="n">
        <f aca="false">IF(OR(HD$4="",$B14=""),0,SUMIF('DADOS BRUTOS'!$A$3:$A$500,$B14,'DADOS BRUTOS'!ED$3:ED$500)+IF($C14="",0,SUMIF('DADOS BRUTOS'!$A$3:$A$500,$C14,'DADOS BRUTOS'!ED$3:ED$500)))</f>
        <v>0</v>
      </c>
      <c r="HE14" s="133" t="n">
        <f aca="false">IF(OR(HE$4="",$B14=""),0,SUMIF('DADOS BRUTOS'!$A$3:$A$500,$B14,'DADOS BRUTOS'!EE$3:EE$500)+IF($C14="",0,SUMIF('DADOS BRUTOS'!$A$3:$A$500,$C14,'DADOS BRUTOS'!EE$3:EE$500)))</f>
        <v>0</v>
      </c>
      <c r="HF14" s="133" t="n">
        <f aca="false">IF(OR(HF$4="",$B14=""),0,SUMIF('DADOS BRUTOS'!$A$3:$A$500,$B14,'DADOS BRUTOS'!EF$3:EF$500)+IF($C14="",0,SUMIF('DADOS BRUTOS'!$A$3:$A$500,$C14,'DADOS BRUTOS'!EF$3:EF$500)))</f>
        <v>0</v>
      </c>
      <c r="HG14" s="133" t="n">
        <f aca="false">IF(OR(HG$4="",$B14=""),0,SUMIF('DADOS BRUTOS'!$A$3:$A$500,$B14,'DADOS BRUTOS'!EG$3:EG$500)+IF($C14="",0,SUMIF('DADOS BRUTOS'!$A$3:$A$500,$C14,'DADOS BRUTOS'!EG$3:EG$500)))</f>
        <v>0</v>
      </c>
      <c r="HH14" s="133" t="n">
        <f aca="false">IF(OR(HH$4="",$B14=""),0,SUMIF('DADOS BRUTOS'!$A$3:$A$500,$B14,'DADOS BRUTOS'!EH$3:EH$500)+IF($C14="",0,SUMIF('DADOS BRUTOS'!$A$3:$A$500,$C14,'DADOS BRUTOS'!EH$3:EH$500)))</f>
        <v>0</v>
      </c>
      <c r="HI14" s="133" t="n">
        <f aca="false">IF(OR(HI$4="",$B14=""),0,SUMIF('DADOS BRUTOS'!$A$3:$A$500,$B14,'DADOS BRUTOS'!EI$3:EI$500)+IF($C14="",0,SUMIF('DADOS BRUTOS'!$A$3:$A$500,$C14,'DADOS BRUTOS'!EI$3:EI$500)))</f>
        <v>0</v>
      </c>
      <c r="HJ14" s="133" t="n">
        <f aca="false">IF(OR(HJ$4="",$B14=""),0,SUMIF('DADOS BRUTOS'!$A$3:$A$500,$B14,'DADOS BRUTOS'!EJ$3:EJ$500)+IF($C14="",0,SUMIF('DADOS BRUTOS'!$A$3:$A$500,$C14,'DADOS BRUTOS'!EJ$3:EJ$500)))</f>
        <v>0</v>
      </c>
      <c r="HK14" s="133" t="n">
        <f aca="false">IF(OR(HK$4="",$B14=""),0,SUMIF('DADOS BRUTOS'!$A$3:$A$500,$B14,'DADOS BRUTOS'!EK$3:EK$500)+IF($C14="",0,SUMIF('DADOS BRUTOS'!$A$3:$A$500,$C14,'DADOS BRUTOS'!EK$3:EK$500)))</f>
        <v>0</v>
      </c>
      <c r="HL14" s="133" t="n">
        <f aca="false">IF(OR(HL$4="",$B14=""),0,SUMIF('DADOS BRUTOS'!$A$3:$A$500,$B14,'DADOS BRUTOS'!EL$3:EL$500)+IF($C14="",0,SUMIF('DADOS BRUTOS'!$A$3:$A$500,$C14,'DADOS BRUTOS'!EL$3:EL$500)))</f>
        <v>0</v>
      </c>
      <c r="HM14" s="133" t="n">
        <f aca="false">IF(OR(HM$4="",$B14=""),0,SUMIF('DADOS BRUTOS'!$A$3:$A$500,$B14,'DADOS BRUTOS'!EM$3:EM$500)+IF($C14="",0,SUMIF('DADOS BRUTOS'!$A$3:$A$500,$C14,'DADOS BRUTOS'!EM$3:EM$500)))</f>
        <v>0</v>
      </c>
      <c r="HN14" s="133" t="n">
        <f aca="false">IF(OR(HN$4="",$B14=""),0,SUMIF('DADOS BRUTOS'!$A$3:$A$500,$B14,'DADOS BRUTOS'!EN$3:EN$500)+IF($C14="",0,SUMIF('DADOS BRUTOS'!$A$3:$A$500,$C14,'DADOS BRUTOS'!EN$3:EN$500)))</f>
        <v>0</v>
      </c>
      <c r="HO14" s="133" t="n">
        <f aca="false">IF(OR(HO$4="",$B14=""),0,SUMIF('DADOS BRUTOS'!$A$3:$A$500,$B14,'DADOS BRUTOS'!EO$3:EO$500)+IF($C14="",0,SUMIF('DADOS BRUTOS'!$A$3:$A$500,$C14,'DADOS BRUTOS'!EO$3:EO$500)))</f>
        <v>0</v>
      </c>
      <c r="HP14" s="133" t="n">
        <f aca="false">IF(OR(HP$4="",$B14=""),0,SUMIF('DADOS BRUTOS'!$A$3:$A$500,$B14,'DADOS BRUTOS'!EP$3:EP$500)+IF($C14="",0,SUMIF('DADOS BRUTOS'!$A$3:$A$500,$C14,'DADOS BRUTOS'!EP$3:EP$500)))</f>
        <v>0</v>
      </c>
      <c r="HQ14" s="133" t="n">
        <f aca="false">IF(OR(HQ$4="",$B14=""),0,SUMIF('DADOS BRUTOS'!$A$3:$A$500,$B14,'DADOS BRUTOS'!EQ$3:EQ$500)+IF($C14="",0,SUMIF('DADOS BRUTOS'!$A$3:$A$500,$C14,'DADOS BRUTOS'!EQ$3:EQ$500)))</f>
        <v>0</v>
      </c>
      <c r="HR14" s="133" t="n">
        <f aca="false">IF(OR(HR$4="",$B14=""),0,SUMIF('DADOS BRUTOS'!$A$3:$A$500,$B14,'DADOS BRUTOS'!ER$3:ER$500)+IF($C14="",0,SUMIF('DADOS BRUTOS'!$A$3:$A$500,$C14,'DADOS BRUTOS'!ER$3:ER$500)))</f>
        <v>0</v>
      </c>
      <c r="HS14" s="133" t="n">
        <f aca="false">IF(OR(HS$4="",$B14=""),0,SUMIF('DADOS BRUTOS'!$A$3:$A$500,$B14,'DADOS BRUTOS'!ES$3:ES$500)+IF($C14="",0,SUMIF('DADOS BRUTOS'!$A$3:$A$500,$C14,'DADOS BRUTOS'!ES$3:ES$500)))</f>
        <v>0</v>
      </c>
      <c r="HT14" s="133" t="n">
        <f aca="false">IF(OR(HT$4="",$B14=""),0,SUMIF('DADOS BRUTOS'!$A$3:$A$500,$B14,'DADOS BRUTOS'!ET$3:ET$500)+IF($C14="",0,SUMIF('DADOS BRUTOS'!$A$3:$A$500,$C14,'DADOS BRUTOS'!ET$3:ET$500)))</f>
        <v>0</v>
      </c>
      <c r="HU14" s="133" t="n">
        <f aca="false">IF(OR(HU$4="",$B14=""),0,SUMIF('DADOS BRUTOS'!$A$3:$A$500,$B14,'DADOS BRUTOS'!EU$3:EU$500)+IF($C14="",0,SUMIF('DADOS BRUTOS'!$A$3:$A$500,$C14,'DADOS BRUTOS'!EU$3:EU$500)))</f>
        <v>0</v>
      </c>
      <c r="HV14" s="133" t="n">
        <f aca="false">IF(OR(HV$4="",$B14=""),0,SUMIF('DADOS BRUTOS'!$A$3:$A$500,$B14,'DADOS BRUTOS'!EV$3:EV$500)+IF($C14="",0,SUMIF('DADOS BRUTOS'!$A$3:$A$500,$C14,'DADOS BRUTOS'!EV$3:EV$500)))</f>
        <v>0</v>
      </c>
      <c r="HW14" s="133" t="n">
        <f aca="false">IF(OR(HW$4="",$B14=""),0,SUMIF('DADOS BRUTOS'!$A$3:$A$500,$B14,'DADOS BRUTOS'!EW$3:EW$500)+IF($C14="",0,SUMIF('DADOS BRUTOS'!$A$3:$A$500,$C14,'DADOS BRUTOS'!EW$3:EW$500)))</f>
        <v>0</v>
      </c>
      <c r="HX14" s="133" t="n">
        <f aca="false">IF(OR(HX$4="",$B14=""),0,SUMIF('DADOS BRUTOS'!$A$3:$A$500,$B14,'DADOS BRUTOS'!EX$3:EX$500)+IF($C14="",0,SUMIF('DADOS BRUTOS'!$A$3:$A$500,$C14,'DADOS BRUTOS'!EX$3:EX$500)))</f>
        <v>0</v>
      </c>
      <c r="HY14" s="133" t="n">
        <f aca="false">IF(OR(HY$4="",$B14=""),0,SUMIF('DADOS BRUTOS'!$A$3:$A$500,$B14,'DADOS BRUTOS'!EY$3:EY$500)+IF($C14="",0,SUMIF('DADOS BRUTOS'!$A$3:$A$500,$C14,'DADOS BRUTOS'!EY$3:EY$500)))</f>
        <v>0</v>
      </c>
      <c r="HZ14" s="133" t="n">
        <f aca="false">IF(OR(HZ$4="",$B14=""),0,SUMIF('DADOS BRUTOS'!$A$3:$A$500,$B14,'DADOS BRUTOS'!EZ$3:EZ$500)+IF($C14="",0,SUMIF('DADOS BRUTOS'!$A$3:$A$500,$C14,'DADOS BRUTOS'!EZ$3:EZ$500)))</f>
        <v>0</v>
      </c>
      <c r="IA14" s="133" t="n">
        <f aca="false">IF(OR(IA$4="",$B14=""),0,SUMIF('DADOS BRUTOS'!$A$3:$A$500,$B14,'DADOS BRUTOS'!FA$3:FA$500)+IF($C14="",0,SUMIF('DADOS BRUTOS'!$A$3:$A$500,$C14,'DADOS BRUTOS'!FA$3:FA$500)))</f>
        <v>0</v>
      </c>
      <c r="IB14" s="133" t="n">
        <f aca="false">IF(OR(IB$4="",$B14=""),0,SUMIF('DADOS BRUTOS'!$A$3:$A$500,$B14,'DADOS BRUTOS'!FB$3:FB$500)+IF($C14="",0,SUMIF('DADOS BRUTOS'!$A$3:$A$500,$C14,'DADOS BRUTOS'!FB$3:FB$500)))</f>
        <v>0</v>
      </c>
      <c r="IC14" s="133" t="n">
        <f aca="false">IF(OR(IC$4="",$B14=""),0,SUMIF('DADOS BRUTOS'!$A$3:$A$500,$B14,'DADOS BRUTOS'!FC$3:FC$500)+IF($C14="",0,SUMIF('DADOS BRUTOS'!$A$3:$A$500,$C14,'DADOS BRUTOS'!FC$3:FC$500)))</f>
        <v>0</v>
      </c>
      <c r="ID14" s="133" t="n">
        <f aca="false">IF(OR(ID$4="",$B14=""),0,SUMIF('DADOS BRUTOS'!$A$3:$A$500,$B14,'DADOS BRUTOS'!FD$3:FD$500)+IF($C14="",0,SUMIF('DADOS BRUTOS'!$A$3:$A$500,$C14,'DADOS BRUTOS'!FD$3:FD$500)))</f>
        <v>0</v>
      </c>
      <c r="IE14" s="133" t="n">
        <f aca="false">IF(OR(IE$4="",$B14=""),0,SUMIF('DADOS BRUTOS'!$A$3:$A$500,$B14,'DADOS BRUTOS'!FE$3:FE$500)+IF($C14="",0,SUMIF('DADOS BRUTOS'!$A$3:$A$500,$C14,'DADOS BRUTOS'!FE$3:FE$500)))</f>
        <v>0</v>
      </c>
      <c r="IF14" s="133" t="n">
        <f aca="false">IF(OR(IF$4="",$B14=""),0,SUMIF('DADOS BRUTOS'!$A$3:$A$500,$B14,'DADOS BRUTOS'!FF$3:FF$500)+IF($C14="",0,SUMIF('DADOS BRUTOS'!$A$3:$A$500,$C14,'DADOS BRUTOS'!FF$3:FF$500)))</f>
        <v>0</v>
      </c>
      <c r="IG14" s="133" t="n">
        <f aca="false">IF(OR(IG$4="",$B14=""),0,SUMIF('DADOS BRUTOS'!$A$3:$A$500,$B14,'DADOS BRUTOS'!FG$3:FG$500)+IF($C14="",0,SUMIF('DADOS BRUTOS'!$A$3:$A$500,$C14,'DADOS BRUTOS'!FG$3:FG$500)))</f>
        <v>0</v>
      </c>
      <c r="IH14" s="133" t="n">
        <f aca="false">IF(OR(IH$4="",$B14=""),0,SUMIF('DADOS BRUTOS'!$A$3:$A$500,$B14,'DADOS BRUTOS'!FH$3:FH$500)+IF($C14="",0,SUMIF('DADOS BRUTOS'!$A$3:$A$500,$C14,'DADOS BRUTOS'!FH$3:FH$500)))</f>
        <v>0</v>
      </c>
      <c r="II14" s="133" t="n">
        <f aca="false">IF(OR(II$4="",$B14=""),0,SUMIF('DADOS BRUTOS'!$A$3:$A$500,$B14,'DADOS BRUTOS'!FI$3:FI$500)+IF($C14="",0,SUMIF('DADOS BRUTOS'!$A$3:$A$500,$C14,'DADOS BRUTOS'!FI$3:FI$500)))</f>
        <v>0</v>
      </c>
      <c r="IJ14" s="133" t="n">
        <f aca="false">IF(OR(IJ$4="",$B14=""),0,SUMIF('DADOS BRUTOS'!$A$3:$A$500,$B14,'DADOS BRUTOS'!FJ$3:FJ$500)+IF($C14="",0,SUMIF('DADOS BRUTOS'!$A$3:$A$500,$C14,'DADOS BRUTOS'!FJ$3:FJ$500)))</f>
        <v>0</v>
      </c>
      <c r="IK14" s="133" t="n">
        <f aca="false">IF(OR(IK$4="",$B14=""),0,SUMIF('DADOS BRUTOS'!$A$3:$A$500,$B14,'DADOS BRUTOS'!FK$3:FK$500)+IF($C14="",0,SUMIF('DADOS BRUTOS'!$A$3:$A$500,$C14,'DADOS BRUTOS'!FK$3:FK$500)))</f>
        <v>0</v>
      </c>
      <c r="IL14" s="133" t="n">
        <f aca="false">IF(OR(IL$4="",$B14=""),0,SUMIF('DADOS BRUTOS'!$A$3:$A$500,$B14,'DADOS BRUTOS'!FL$3:FL$500)+IF($C14="",0,SUMIF('DADOS BRUTOS'!$A$3:$A$500,$C14,'DADOS BRUTOS'!FL$3:FL$500)))</f>
        <v>0</v>
      </c>
      <c r="IM14" s="133" t="n">
        <f aca="false">IF(OR(IM$4="",$B14=""),0,SUMIF('DADOS BRUTOS'!$A$3:$A$500,$B14,'DADOS BRUTOS'!FM$3:FM$500)+IF($C14="",0,SUMIF('DADOS BRUTOS'!$A$3:$A$500,$C14,'DADOS BRUTOS'!FM$3:FM$500)))</f>
        <v>0</v>
      </c>
      <c r="IN14" s="133" t="n">
        <f aca="false">IF(OR(IN$4="",$B14=""),0,SUMIF('DADOS BRUTOS'!$A$3:$A$500,$B14,'DADOS BRUTOS'!FN$3:FN$500)+IF($C14="",0,SUMIF('DADOS BRUTOS'!$A$3:$A$500,$C14,'DADOS BRUTOS'!FN$3:FN$500)))</f>
        <v>0</v>
      </c>
      <c r="IO14" s="133" t="n">
        <f aca="false">IF(OR(IO$4="",$B14=""),0,SUMIF('DADOS BRUTOS'!$A$3:$A$500,$B14,'DADOS BRUTOS'!FO$3:FO$500)+IF($C14="",0,SUMIF('DADOS BRUTOS'!$A$3:$A$500,$C14,'DADOS BRUTOS'!FO$3:FO$500)))</f>
        <v>0</v>
      </c>
      <c r="IP14" s="133" t="n">
        <f aca="false">IF(OR(IP$4="",$B14=""),0,SUMIF('DADOS BRUTOS'!$A$3:$A$500,$B14,'DADOS BRUTOS'!FP$3:FP$500)+IF($C14="",0,SUMIF('DADOS BRUTOS'!$A$3:$A$500,$C14,'DADOS BRUTOS'!FP$3:FP$500)))</f>
        <v>0</v>
      </c>
      <c r="IQ14" s="133" t="n">
        <f aca="false">IF(OR(IQ$4="",$B14=""),0,SUMIF('DADOS BRUTOS'!$A$3:$A$500,$B14,'DADOS BRUTOS'!FQ$3:FQ$500)+IF($C14="",0,SUMIF('DADOS BRUTOS'!$A$3:$A$500,$C14,'DADOS BRUTOS'!FQ$3:FQ$500)))</f>
        <v>0</v>
      </c>
      <c r="IR14" s="133" t="n">
        <f aca="false">IF(OR(IR$4="",$B14=""),0,SUMIF('DADOS BRUTOS'!$A$3:$A$500,$B14,'DADOS BRUTOS'!FR$3:FR$500)+IF($C14="",0,SUMIF('DADOS BRUTOS'!$A$3:$A$500,$C14,'DADOS BRUTOS'!FR$3:FR$500)))</f>
        <v>0</v>
      </c>
      <c r="IS14" s="133" t="n">
        <f aca="false">IF(OR(IS$4="",$B14=""),0,SUMIF('DADOS BRUTOS'!$A$3:$A$500,$B14,'DADOS BRUTOS'!FS$3:FS$500)+IF($C14="",0,SUMIF('DADOS BRUTOS'!$A$3:$A$500,$C14,'DADOS BRUTOS'!FS$3:FS$500)))</f>
        <v>0</v>
      </c>
      <c r="IT14" s="133" t="n">
        <f aca="false">IF(OR(IT$4="",$B14=""),0,SUMIF('DADOS BRUTOS'!$A$3:$A$500,$B14,'DADOS BRUTOS'!FT$3:FT$500)+IF($C14="",0,SUMIF('DADOS BRUTOS'!$A$3:$A$500,$C14,'DADOS BRUTOS'!FT$3:FT$500)))</f>
        <v>0</v>
      </c>
      <c r="IU14" s="133" t="n">
        <f aca="false">IF(OR(IU$4="",$B14=""),0,SUMIF('DADOS BRUTOS'!$A$3:$A$500,$B14,'DADOS BRUTOS'!FU$3:FU$500)+IF($C14="",0,SUMIF('DADOS BRUTOS'!$A$3:$A$500,$C14,'DADOS BRUTOS'!FU$3:FU$500)))</f>
        <v>0</v>
      </c>
      <c r="IV14" s="133" t="n">
        <f aca="false">IF(OR(IV$4="",$B14=""),0,SUMIF('DADOS BRUTOS'!$A$3:$A$500,$B14,'DADOS BRUTOS'!FV$3:FV$500)+IF($C14="",0,SUMIF('DADOS BRUTOS'!$A$3:$A$500,$C14,'DADOS BRUTOS'!FV$3:FV$500)))</f>
        <v>0</v>
      </c>
      <c r="IW14" s="133" t="n">
        <f aca="false">IF(OR(IW$4="",$B14=""),0,SUMIF('DADOS BRUTOS'!$A$3:$A$500,$B14,'DADOS BRUTOS'!FW$3:FW$500)+IF($C14="",0,SUMIF('DADOS BRUTOS'!$A$3:$A$500,$C14,'DADOS BRUTOS'!FW$3:FW$500)))</f>
        <v>0</v>
      </c>
      <c r="IX14" s="133" t="n">
        <f aca="false">IF(OR(IX$4="",$B14=""),0,SUMIF('DADOS BRUTOS'!$A$3:$A$500,$B14,'DADOS BRUTOS'!FX$3:FX$500)+IF($C14="",0,SUMIF('DADOS BRUTOS'!$A$3:$A$500,$C14,'DADOS BRUTOS'!FX$3:FX$500)))</f>
        <v>0</v>
      </c>
      <c r="IY14" s="133" t="n">
        <f aca="false">IF(OR(IY$4="",$B14=""),0,SUMIF('DADOS BRUTOS'!$A$3:$A$500,$B14,'DADOS BRUTOS'!FY$3:FY$500)+IF($C14="",0,SUMIF('DADOS BRUTOS'!$A$3:$A$500,$C14,'DADOS BRUTOS'!FY$3:FY$500)))</f>
        <v>0</v>
      </c>
      <c r="IZ14" s="133" t="n">
        <f aca="false">IF(OR(IZ$4="",$B14=""),0,SUMIF('DADOS BRUTOS'!$A$3:$A$500,$B14,'DADOS BRUTOS'!FZ$3:FZ$500)+IF($C14="",0,SUMIF('DADOS BRUTOS'!$A$3:$A$500,$C14,'DADOS BRUTOS'!FZ$3:FZ$500)))</f>
        <v>0</v>
      </c>
      <c r="JA14" s="133" t="n">
        <f aca="false">IF(OR(JA$4="",$B14=""),0,SUMIF('DADOS BRUTOS'!$A$3:$A$500,$B14,'DADOS BRUTOS'!GA$3:GA$500)+IF($C14="",0,SUMIF('DADOS BRUTOS'!$A$3:$A$500,$C14,'DADOS BRUTOS'!GA$3:GA$500)))</f>
        <v>0</v>
      </c>
      <c r="JB14" s="133" t="n">
        <f aca="false">IF(OR(JB$4="",$B14=""),0,SUMIF('DADOS BRUTOS'!$A$3:$A$500,$B14,'DADOS BRUTOS'!GB$3:GB$500)+IF($C14="",0,SUMIF('DADOS BRUTOS'!$A$3:$A$500,$C14,'DADOS BRUTOS'!GB$3:GB$500)))</f>
        <v>0</v>
      </c>
      <c r="JC14" s="133" t="n">
        <f aca="false">IF(OR(JC$4="",$B14=""),0,SUMIF('DADOS BRUTOS'!$A$3:$A$500,$B14,'DADOS BRUTOS'!GC$3:GC$500)+IF($C14="",0,SUMIF('DADOS BRUTOS'!$A$3:$A$500,$C14,'DADOS BRUTOS'!GC$3:GC$500)))</f>
        <v>0</v>
      </c>
      <c r="JD14" s="133" t="n">
        <f aca="false">IF(OR(JD$4="",$B14=""),0,SUMIF('DADOS BRUTOS'!$A$3:$A$500,$B14,'DADOS BRUTOS'!GD$3:GD$500)+IF($C14="",0,SUMIF('DADOS BRUTOS'!$A$3:$A$500,$C14,'DADOS BRUTOS'!GD$3:GD$500)))</f>
        <v>0</v>
      </c>
      <c r="JE14" s="133" t="n">
        <f aca="false">IF(OR(JE$4="",$B14=""),0,SUMIF('DADOS BRUTOS'!$A$3:$A$500,$B14,'DADOS BRUTOS'!GE$3:GE$500)+IF($C14="",0,SUMIF('DADOS BRUTOS'!$A$3:$A$500,$C14,'DADOS BRUTOS'!GE$3:GE$500)))</f>
        <v>0</v>
      </c>
      <c r="JF14" s="133" t="n">
        <f aca="false">IF(OR(JF$4="",$B14=""),0,SUMIF('DADOS BRUTOS'!$A$3:$A$500,$B14,'DADOS BRUTOS'!GF$3:GF$500)+IF($C14="",0,SUMIF('DADOS BRUTOS'!$A$3:$A$500,$C14,'DADOS BRUTOS'!GF$3:GF$500)))</f>
        <v>0</v>
      </c>
      <c r="JG14" s="133" t="n">
        <f aca="false">IF(OR(JG$4="",$B14=""),0,SUMIF('DADOS BRUTOS'!$A$3:$A$500,$B14,'DADOS BRUTOS'!GG$3:GG$500)+IF($C14="",0,SUMIF('DADOS BRUTOS'!$A$3:$A$500,$C14,'DADOS BRUTOS'!GG$3:GG$500)))</f>
        <v>0</v>
      </c>
      <c r="JH14" s="133" t="n">
        <f aca="false">IF(OR(JH$4="",$B14=""),0,SUMIF('DADOS BRUTOS'!$A$3:$A$500,$B14,'DADOS BRUTOS'!GH$3:GH$500)+IF($C14="",0,SUMIF('DADOS BRUTOS'!$A$3:$A$500,$C14,'DADOS BRUTOS'!GH$3:GH$500)))</f>
        <v>0</v>
      </c>
      <c r="JI14" s="133" t="n">
        <f aca="false">IF(OR(JI$4="",$B14=""),0,SUMIF('DADOS BRUTOS'!$A$3:$A$500,$B14,'DADOS BRUTOS'!GI$3:GI$500)+IF($C14="",0,SUMIF('DADOS BRUTOS'!$A$3:$A$500,$C14,'DADOS BRUTOS'!GI$3:GI$500)))</f>
        <v>0</v>
      </c>
      <c r="JJ14" s="133" t="n">
        <f aca="false">IF(OR(JJ$4="",$B14=""),0,SUMIF('DADOS BRUTOS'!$A$3:$A$500,$B14,'DADOS BRUTOS'!GJ$3:GJ$500)+IF($C14="",0,SUMIF('DADOS BRUTOS'!$A$3:$A$500,$C14,'DADOS BRUTOS'!GJ$3:GJ$500)))</f>
        <v>0</v>
      </c>
      <c r="JK14" s="133" t="n">
        <f aca="false">IF(OR(JK$4="",$B14=""),0,SUMIF('DADOS BRUTOS'!$A$3:$A$500,$B14,'DADOS BRUTOS'!GK$3:GK$500)+IF($C14="",0,SUMIF('DADOS BRUTOS'!$A$3:$A$500,$C14,'DADOS BRUTOS'!GK$3:GK$500)))</f>
        <v>0</v>
      </c>
      <c r="JL14" s="133" t="n">
        <f aca="false">IF(OR(JL$4="",$B14=""),0,SUMIF('DADOS BRUTOS'!$A$3:$A$500,$B14,'DADOS BRUTOS'!GL$3:GL$500)+IF($C14="",0,SUMIF('DADOS BRUTOS'!$A$3:$A$500,$C14,'DADOS BRUTOS'!GL$3:GL$500)))</f>
        <v>0</v>
      </c>
      <c r="JM14" s="133" t="n">
        <f aca="false">IF(OR(JM$4="",$B14=""),0,SUMIF('DADOS BRUTOS'!$A$3:$A$500,$B14,'DADOS BRUTOS'!GM$3:GM$500)+IF($C14="",0,SUMIF('DADOS BRUTOS'!$A$3:$A$500,$C14,'DADOS BRUTOS'!GM$3:GM$500)))</f>
        <v>0</v>
      </c>
      <c r="JN14" s="133" t="n">
        <f aca="false">IF(OR(JN$4="",$B14=""),0,SUMIF('DADOS BRUTOS'!$A$3:$A$500,$B14,'DADOS BRUTOS'!GN$3:GN$500)+IF($C14="",0,SUMIF('DADOS BRUTOS'!$A$3:$A$500,$C14,'DADOS BRUTOS'!GN$3:GN$500)))</f>
        <v>0</v>
      </c>
      <c r="JO14" s="133" t="n">
        <f aca="false">IF(OR(JO$4="",$B14=""),0,SUMIF('DADOS BRUTOS'!$A$3:$A$500,$B14,'DADOS BRUTOS'!GO$3:GO$500)+IF($C14="",0,SUMIF('DADOS BRUTOS'!$A$3:$A$500,$C14,'DADOS BRUTOS'!GO$3:GO$500)))</f>
        <v>0</v>
      </c>
      <c r="JP14" s="133" t="n">
        <f aca="false">IF(OR(JP$4="",$B14=""),0,SUMIF('DADOS BRUTOS'!$A$3:$A$500,$B14,'DADOS BRUTOS'!GP$3:GP$500)+IF($C14="",0,SUMIF('DADOS BRUTOS'!$A$3:$A$500,$C14,'DADOS BRUTOS'!GP$3:GP$500)))</f>
        <v>0</v>
      </c>
      <c r="JQ14" s="133" t="n">
        <f aca="false">IF(OR(JQ$4="",$B14=""),0,SUMIF('DADOS BRUTOS'!$A$3:$A$500,$B14,'DADOS BRUTOS'!GQ$3:GQ$500)+IF($C14="",0,SUMIF('DADOS BRUTOS'!$A$3:$A$500,$C14,'DADOS BRUTOS'!GQ$3:GQ$500)))</f>
        <v>0</v>
      </c>
      <c r="JR14" s="133" t="n">
        <f aca="false">IF(OR(JR$4="",$B14=""),0,SUMIF('DADOS BRUTOS'!$A$3:$A$500,$B14,'DADOS BRUTOS'!GR$3:GR$500)+IF($C14="",0,SUMIF('DADOS BRUTOS'!$A$3:$A$500,$C14,'DADOS BRUTOS'!GR$3:GR$500)))</f>
        <v>0</v>
      </c>
      <c r="JS14" s="133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0</v>
      </c>
      <c r="E15" s="50" t="n">
        <f aca="false">SUMIF($CB$4:$JS$4,E$4,$CB15:$JS15)</f>
        <v>0</v>
      </c>
      <c r="F15" s="50" t="n">
        <f aca="false">SUMIF($CB$4:$JS$4,F$4,$CB15:$JS15)</f>
        <v>0</v>
      </c>
      <c r="G15" s="50" t="n">
        <f aca="false">SUMIF($CB$4:$JS$4,G$4,$CB15:$JS15)</f>
        <v>0</v>
      </c>
      <c r="H15" s="50" t="n">
        <f aca="false">SUMIF($CB$4:$JS$4,H$4,$CB15:$JS15)</f>
        <v>0</v>
      </c>
      <c r="I15" s="50" t="n">
        <f aca="false">SUMIF($CB$4:$JS$4,I$4,$CB15:$JS15)</f>
        <v>0</v>
      </c>
      <c r="J15" s="50" t="n">
        <f aca="false">SUMIF($CB$4:$JS$4,J$4,$CB15:$JS15)</f>
        <v>0</v>
      </c>
      <c r="K15" s="50" t="n">
        <f aca="false">SUMIF($CB$4:$JS$4,K$4,$CB15:$JS15)</f>
        <v>672.9</v>
      </c>
      <c r="L15" s="50" t="n">
        <f aca="false">SUMIF($CB$4:$JS$4,L$4,$CB15:$JS15)</f>
        <v>5281.41</v>
      </c>
      <c r="M15" s="50" t="n">
        <f aca="false">SUMIF($CB$4:$JS$4,M$4,$CB15:$JS15)</f>
        <v>6232.49</v>
      </c>
      <c r="N15" s="50" t="n">
        <f aca="false">SUMIF($CB$4:$JS$4,N$4,$CB15:$JS15)</f>
        <v>9500.17</v>
      </c>
      <c r="O15" s="50" t="n">
        <f aca="false">SUMIF($CB$4:$JS$4,O$4,$CB15:$JS15)</f>
        <v>55945.36</v>
      </c>
      <c r="P15" s="50" t="n">
        <f aca="false">SUMIF($CB$4:$JS$4,P$4,$CB15:$JS15)</f>
        <v>58948.93</v>
      </c>
      <c r="Q15" s="50" t="n">
        <f aca="false">SUMIF($CB$4:$JS$4,Q$4,$CB15:$JS15)</f>
        <v>144547.58</v>
      </c>
      <c r="R15" s="50" t="n">
        <f aca="false">SUMIF($CB$4:$JS$4,R$4,$CB15:$JS15)</f>
        <v>11787.59</v>
      </c>
      <c r="S15" s="50" t="n">
        <f aca="false">SUMIF($CB$4:$JS$4,S$4,$CB15:$JS15)</f>
        <v>6734.81</v>
      </c>
      <c r="T15" s="50" t="n">
        <f aca="false">SUMIF($CB$4:$JS$4,T$4,$CB15:$JS15)</f>
        <v>2323.6</v>
      </c>
      <c r="U15" s="50" t="n">
        <f aca="false">SUMIF($CB$4:$JS$4,U$4,$CB15:$JS15)</f>
        <v>28516.02</v>
      </c>
      <c r="V15" s="50" t="n">
        <f aca="false">SUMIF($CB$4:$JS$4,V$4,$CB15:$JS15)</f>
        <v>24451.29</v>
      </c>
      <c r="W15" s="50" t="n">
        <f aca="false">SUMIF($CB$4:$JS$4,W$4,$CB15:$JS15)</f>
        <v>63176.57</v>
      </c>
      <c r="X15" s="50" t="n">
        <f aca="false">SUMIF($CB$4:$JS$4,X$4,$CB15:$JS15)</f>
        <v>125549</v>
      </c>
      <c r="Y15" s="50" t="n">
        <f aca="false">SUMIF($CB$4:$JS$4,Y$4,$CB15:$JS15)</f>
        <v>107406.86</v>
      </c>
      <c r="Z15" s="50" t="n">
        <f aca="false">SUMIF($CB$4:$JS$4,Z$4,$CB15:$JS15)</f>
        <v>73087.59</v>
      </c>
      <c r="AA15" s="50" t="n">
        <f aca="false">SUMIF($CB$4:$JS$4,AA$4,$CB15:$JS15)</f>
        <v>12181.83</v>
      </c>
      <c r="AB15" s="50" t="n">
        <f aca="false">SUMIF($CB$4:$JS$4,AB$4,$CB15:$JS15)</f>
        <v>6653</v>
      </c>
      <c r="AC15" s="50" t="n">
        <f aca="false">SUMIF($CB$4:$JS$4,AC$4,$CB15:$JS15)</f>
        <v>0</v>
      </c>
      <c r="AD15" s="50" t="n">
        <f aca="false">SUMIF($CB$4:$JS$4,AD$4,$CB15:$JS15)</f>
        <v>1456.4</v>
      </c>
      <c r="AE15" s="50" t="n">
        <f aca="false">SUMIF($CB$4:$JS$4,AE$4,$CB15:$JS15)</f>
        <v>1802.48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0</v>
      </c>
      <c r="AM15" s="50" t="n">
        <f aca="false">SUMIF($CB$4:$JS$4,AM$4,$CB15:$JS15)</f>
        <v>0</v>
      </c>
      <c r="AN15" s="50" t="n">
        <f aca="false">SUMIF($CB$4:$JS$4,AN$4,$CB15:$JS15)</f>
        <v>0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0</v>
      </c>
      <c r="AT15" s="50" t="n">
        <f aca="false">SUMIF($CB$4:$JS$4,AT$4,$CB15:$JS15)</f>
        <v>0</v>
      </c>
      <c r="AU15" s="50" t="n">
        <f aca="false">SUMIF($CB$4:$JS$4,AU$4,$CB15:$JS15)</f>
        <v>2846.91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0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749102.79</v>
      </c>
      <c r="BZ15" s="45" t="n">
        <f aca="false">SUMPRODUCT(($CB$4:$JS$4&lt;&gt;"")*($CB$4:$JS$4&lt;=$D$4),$CB15:$JS15,$CB$1:$JS$1)</f>
        <v>0</v>
      </c>
      <c r="CB15" s="133" t="n">
        <f aca="false">IF(OR(CB$4="",$B15=""),0,SUMIF('DADOS BRUTOS'!$A$3:$A$500,$B15,'DADOS BRUTOS'!B$3:B$500)+IF($C15="",0,SUMIF('DADOS BRUTOS'!$A$3:$A$500,$C15,'DADOS BRUTOS'!B$3:B$500)))</f>
        <v>0</v>
      </c>
      <c r="CC15" s="133" t="n">
        <f aca="false">IF(OR(CC$4="",$B15=""),0,SUMIF('DADOS BRUTOS'!$A$3:$A$500,$B15,'DADOS BRUTOS'!C$3:C$500)+IF($C15="",0,SUMIF('DADOS BRUTOS'!$A$3:$A$500,$C15,'DADOS BRUTOS'!C$3:C$500)))</f>
        <v>0</v>
      </c>
      <c r="CD15" s="133" t="n">
        <f aca="false">IF(OR(CD$4="",$B15=""),0,SUMIF('DADOS BRUTOS'!$A$3:$A$500,$B15,'DADOS BRUTOS'!D$3:D$500)+IF($C15="",0,SUMIF('DADOS BRUTOS'!$A$3:$A$500,$C15,'DADOS BRUTOS'!D$3:D$500)))</f>
        <v>0</v>
      </c>
      <c r="CE15" s="133" t="n">
        <f aca="false">IF(OR(CE$4="",$B15=""),0,SUMIF('DADOS BRUTOS'!$A$3:$A$500,$B15,'DADOS BRUTOS'!E$3:E$500)+IF($C15="",0,SUMIF('DADOS BRUTOS'!$A$3:$A$500,$C15,'DADOS BRUTOS'!E$3:E$500)))</f>
        <v>0</v>
      </c>
      <c r="CF15" s="133" t="n">
        <f aca="false">IF(OR(CF$4="",$B15=""),0,SUMIF('DADOS BRUTOS'!$A$3:$A$500,$B15,'DADOS BRUTOS'!F$3:F$500)+IF($C15="",0,SUMIF('DADOS BRUTOS'!$A$3:$A$500,$C15,'DADOS BRUTOS'!F$3:F$500)))</f>
        <v>0</v>
      </c>
      <c r="CG15" s="133" t="n">
        <f aca="false">IF(OR(CG$4="",$B15=""),0,SUMIF('DADOS BRUTOS'!$A$3:$A$500,$B15,'DADOS BRUTOS'!G$3:G$500)+IF($C15="",0,SUMIF('DADOS BRUTOS'!$A$3:$A$500,$C15,'DADOS BRUTOS'!G$3:G$500)))</f>
        <v>0</v>
      </c>
      <c r="CH15" s="133" t="n">
        <f aca="false">IF(OR(CH$4="",$B15=""),0,SUMIF('DADOS BRUTOS'!$A$3:$A$500,$B15,'DADOS BRUTOS'!H$3:H$500)+IF($C15="",0,SUMIF('DADOS BRUTOS'!$A$3:$A$500,$C15,'DADOS BRUTOS'!H$3:H$500)))</f>
        <v>0</v>
      </c>
      <c r="CI15" s="133" t="n">
        <f aca="false">IF(OR(CI$4="",$B15=""),0,SUMIF('DADOS BRUTOS'!$A$3:$A$500,$B15,'DADOS BRUTOS'!I$3:I$500)+IF($C15="",0,SUMIF('DADOS BRUTOS'!$A$3:$A$500,$C15,'DADOS BRUTOS'!I$3:I$500)))</f>
        <v>0</v>
      </c>
      <c r="CJ15" s="133" t="n">
        <f aca="false">IF(OR(CJ$4="",$B15=""),0,SUMIF('DADOS BRUTOS'!$A$3:$A$500,$B15,'DADOS BRUTOS'!J$3:J$500)+IF($C15="",0,SUMIF('DADOS BRUTOS'!$A$3:$A$500,$C15,'DADOS BRUTOS'!J$3:J$500)))</f>
        <v>0</v>
      </c>
      <c r="CK15" s="133" t="n">
        <f aca="false">IF(OR(CK$4="",$B15=""),0,SUMIF('DADOS BRUTOS'!$A$3:$A$500,$B15,'DADOS BRUTOS'!K$3:K$500)+IF($C15="",0,SUMIF('DADOS BRUTOS'!$A$3:$A$500,$C15,'DADOS BRUTOS'!K$3:K$500)))</f>
        <v>0</v>
      </c>
      <c r="CL15" s="133" t="n">
        <f aca="false">IF(OR(CL$4="",$B15=""),0,SUMIF('DADOS BRUTOS'!$A$3:$A$500,$B15,'DADOS BRUTOS'!L$3:L$500)+IF($C15="",0,SUMIF('DADOS BRUTOS'!$A$3:$A$500,$C15,'DADOS BRUTOS'!L$3:L$500)))</f>
        <v>0</v>
      </c>
      <c r="CM15" s="133" t="n">
        <f aca="false">IF(OR(CM$4="",$B15=""),0,SUMIF('DADOS BRUTOS'!$A$3:$A$500,$B15,'DADOS BRUTOS'!M$3:M$500)+IF($C15="",0,SUMIF('DADOS BRUTOS'!$A$3:$A$500,$C15,'DADOS BRUTOS'!M$3:M$500)))</f>
        <v>0</v>
      </c>
      <c r="CN15" s="133" t="n">
        <f aca="false">IF(OR(CN$4="",$B15=""),0,SUMIF('DADOS BRUTOS'!$A$3:$A$500,$B15,'DADOS BRUTOS'!N$3:N$500)+IF($C15="",0,SUMIF('DADOS BRUTOS'!$A$3:$A$500,$C15,'DADOS BRUTOS'!N$3:N$500)))</f>
        <v>0</v>
      </c>
      <c r="CO15" s="133" t="n">
        <f aca="false">IF(OR(CO$4="",$B15=""),0,SUMIF('DADOS BRUTOS'!$A$3:$A$500,$B15,'DADOS BRUTOS'!O$3:O$500)+IF($C15="",0,SUMIF('DADOS BRUTOS'!$A$3:$A$500,$C15,'DADOS BRUTOS'!O$3:O$500)))</f>
        <v>0</v>
      </c>
      <c r="CP15" s="133" t="n">
        <f aca="false">IF(OR(CP$4="",$B15=""),0,SUMIF('DADOS BRUTOS'!$A$3:$A$500,$B15,'DADOS BRUTOS'!P$3:P$500)+IF($C15="",0,SUMIF('DADOS BRUTOS'!$A$3:$A$500,$C15,'DADOS BRUTOS'!P$3:P$500)))</f>
        <v>0</v>
      </c>
      <c r="CQ15" s="133" t="n">
        <f aca="false">IF(OR(CQ$4="",$B15=""),0,SUMIF('DADOS BRUTOS'!$A$3:$A$500,$B15,'DADOS BRUTOS'!Q$3:Q$500)+IF($C15="",0,SUMIF('DADOS BRUTOS'!$A$3:$A$500,$C15,'DADOS BRUTOS'!Q$3:Q$500)))</f>
        <v>0</v>
      </c>
      <c r="CR15" s="133" t="n">
        <f aca="false">IF(OR(CR$4="",$B15=""),0,SUMIF('DADOS BRUTOS'!$A$3:$A$500,$B15,'DADOS BRUTOS'!R$3:R$500)+IF($C15="",0,SUMIF('DADOS BRUTOS'!$A$3:$A$500,$C15,'DADOS BRUTOS'!R$3:R$500)))</f>
        <v>0</v>
      </c>
      <c r="CS15" s="133" t="n">
        <f aca="false">IF(OR(CS$4="",$B15=""),0,SUMIF('DADOS BRUTOS'!$A$3:$A$500,$B15,'DADOS BRUTOS'!S$3:S$500)+IF($C15="",0,SUMIF('DADOS BRUTOS'!$A$3:$A$500,$C15,'DADOS BRUTOS'!S$3:S$500)))</f>
        <v>0</v>
      </c>
      <c r="CT15" s="133" t="n">
        <f aca="false">IF(OR(CT$4="",$B15=""),0,SUMIF('DADOS BRUTOS'!$A$3:$A$500,$B15,'DADOS BRUTOS'!T$3:T$500)+IF($C15="",0,SUMIF('DADOS BRUTOS'!$A$3:$A$500,$C15,'DADOS BRUTOS'!T$3:T$500)))</f>
        <v>0</v>
      </c>
      <c r="CU15" s="133" t="n">
        <f aca="false">IF(OR(CU$4="",$B15=""),0,SUMIF('DADOS BRUTOS'!$A$3:$A$500,$B15,'DADOS BRUTOS'!U$3:U$500)+IF($C15="",0,SUMIF('DADOS BRUTOS'!$A$3:$A$500,$C15,'DADOS BRUTOS'!U$3:U$500)))</f>
        <v>672.9</v>
      </c>
      <c r="CV15" s="133" t="n">
        <f aca="false">IF(OR(CV$4="",$B15=""),0,SUMIF('DADOS BRUTOS'!$A$3:$A$500,$B15,'DADOS BRUTOS'!V$3:V$500)+IF($C15="",0,SUMIF('DADOS BRUTOS'!$A$3:$A$500,$C15,'DADOS BRUTOS'!V$3:V$500)))</f>
        <v>5281.41</v>
      </c>
      <c r="CW15" s="133" t="n">
        <f aca="false">IF(OR(CW$4="",$B15=""),0,SUMIF('DADOS BRUTOS'!$A$3:$A$500,$B15,'DADOS BRUTOS'!W$3:W$500)+IF($C15="",0,SUMIF('DADOS BRUTOS'!$A$3:$A$500,$C15,'DADOS BRUTOS'!W$3:W$500)))</f>
        <v>6232.49</v>
      </c>
      <c r="CX15" s="133" t="n">
        <f aca="false">IF(OR(CX$4="",$B15=""),0,SUMIF('DADOS BRUTOS'!$A$3:$A$500,$B15,'DADOS BRUTOS'!X$3:X$500)+IF($C15="",0,SUMIF('DADOS BRUTOS'!$A$3:$A$500,$C15,'DADOS BRUTOS'!X$3:X$500)))</f>
        <v>9500.17</v>
      </c>
      <c r="CY15" s="133" t="n">
        <f aca="false">IF(OR(CY$4="",$B15=""),0,SUMIF('DADOS BRUTOS'!$A$3:$A$500,$B15,'DADOS BRUTOS'!Y$3:Y$500)+IF($C15="",0,SUMIF('DADOS BRUTOS'!$A$3:$A$500,$C15,'DADOS BRUTOS'!Y$3:Y$500)))</f>
        <v>55945.36</v>
      </c>
      <c r="CZ15" s="133" t="n">
        <f aca="false">IF(OR(CZ$4="",$B15=""),0,SUMIF('DADOS BRUTOS'!$A$3:$A$500,$B15,'DADOS BRUTOS'!Z$3:Z$500)+IF($C15="",0,SUMIF('DADOS BRUTOS'!$A$3:$A$500,$C15,'DADOS BRUTOS'!Z$3:Z$500)))</f>
        <v>58948.93</v>
      </c>
      <c r="DA15" s="133" t="n">
        <f aca="false">IF(OR(DA$4="",$B15=""),0,SUMIF('DADOS BRUTOS'!$A$3:$A$500,$B15,'DADOS BRUTOS'!AA$3:AA$500)+IF($C15="",0,SUMIF('DADOS BRUTOS'!$A$3:$A$500,$C15,'DADOS BRUTOS'!AA$3:AA$500)))</f>
        <v>144547.58</v>
      </c>
      <c r="DB15" s="133" t="n">
        <f aca="false">IF(OR(DB$4="",$B15=""),0,SUMIF('DADOS BRUTOS'!$A$3:$A$500,$B15,'DADOS BRUTOS'!AB$3:AB$500)+IF($C15="",0,SUMIF('DADOS BRUTOS'!$A$3:$A$500,$C15,'DADOS BRUTOS'!AB$3:AB$500)))</f>
        <v>11787.59</v>
      </c>
      <c r="DC15" s="133" t="n">
        <f aca="false">IF(OR(DC$4="",$B15=""),0,SUMIF('DADOS BRUTOS'!$A$3:$A$500,$B15,'DADOS BRUTOS'!AC$3:AC$500)+IF($C15="",0,SUMIF('DADOS BRUTOS'!$A$3:$A$500,$C15,'DADOS BRUTOS'!AC$3:AC$500)))</f>
        <v>6734.81</v>
      </c>
      <c r="DD15" s="133" t="n">
        <f aca="false">IF(OR(DD$4="",$B15=""),0,SUMIF('DADOS BRUTOS'!$A$3:$A$500,$B15,'DADOS BRUTOS'!AD$3:AD$500)+IF($C15="",0,SUMIF('DADOS BRUTOS'!$A$3:$A$500,$C15,'DADOS BRUTOS'!AD$3:AD$500)))</f>
        <v>2323.6</v>
      </c>
      <c r="DE15" s="133" t="n">
        <f aca="false">IF(OR(DE$4="",$B15=""),0,SUMIF('DADOS BRUTOS'!$A$3:$A$500,$B15,'DADOS BRUTOS'!AE$3:AE$500)+IF($C15="",0,SUMIF('DADOS BRUTOS'!$A$3:$A$500,$C15,'DADOS BRUTOS'!AE$3:AE$500)))</f>
        <v>28516.02</v>
      </c>
      <c r="DF15" s="133" t="n">
        <f aca="false">IF(OR(DF$4="",$B15=""),0,SUMIF('DADOS BRUTOS'!$A$3:$A$500,$B15,'DADOS BRUTOS'!AF$3:AF$500)+IF($C15="",0,SUMIF('DADOS BRUTOS'!$A$3:$A$500,$C15,'DADOS BRUTOS'!AF$3:AF$500)))</f>
        <v>24451.29</v>
      </c>
      <c r="DG15" s="133" t="n">
        <f aca="false">IF(OR(DG$4="",$B15=""),0,SUMIF('DADOS BRUTOS'!$A$3:$A$500,$B15,'DADOS BRUTOS'!AG$3:AG$500)+IF($C15="",0,SUMIF('DADOS BRUTOS'!$A$3:$A$500,$C15,'DADOS BRUTOS'!AG$3:AG$500)))</f>
        <v>63176.57</v>
      </c>
      <c r="DH15" s="133" t="n">
        <f aca="false">IF(OR(DH$4="",$B15=""),0,SUMIF('DADOS BRUTOS'!$A$3:$A$500,$B15,'DADOS BRUTOS'!AH$3:AH$500)+IF($C15="",0,SUMIF('DADOS BRUTOS'!$A$3:$A$500,$C15,'DADOS BRUTOS'!AH$3:AH$500)))</f>
        <v>125549</v>
      </c>
      <c r="DI15" s="133" t="n">
        <f aca="false">IF(OR(DI$4="",$B15=""),0,SUMIF('DADOS BRUTOS'!$A$3:$A$500,$B15,'DADOS BRUTOS'!AI$3:AI$500)+IF($C15="",0,SUMIF('DADOS BRUTOS'!$A$3:$A$500,$C15,'DADOS BRUTOS'!AI$3:AI$500)))</f>
        <v>107406.86</v>
      </c>
      <c r="DJ15" s="133" t="n">
        <f aca="false">IF(OR(DJ$4="",$B15=""),0,SUMIF('DADOS BRUTOS'!$A$3:$A$500,$B15,'DADOS BRUTOS'!AJ$3:AJ$500)+IF($C15="",0,SUMIF('DADOS BRUTOS'!$A$3:$A$500,$C15,'DADOS BRUTOS'!AJ$3:AJ$500)))</f>
        <v>73087.59</v>
      </c>
      <c r="DK15" s="133" t="n">
        <f aca="false">IF(OR(DK$4="",$B15=""),0,SUMIF('DADOS BRUTOS'!$A$3:$A$500,$B15,'DADOS BRUTOS'!AK$3:AK$500)+IF($C15="",0,SUMIF('DADOS BRUTOS'!$A$3:$A$500,$C15,'DADOS BRUTOS'!AK$3:AK$500)))</f>
        <v>12181.83</v>
      </c>
      <c r="DL15" s="133" t="n">
        <f aca="false">IF(OR(DL$4="",$B15=""),0,SUMIF('DADOS BRUTOS'!$A$3:$A$500,$B15,'DADOS BRUTOS'!AL$3:AL$500)+IF($C15="",0,SUMIF('DADOS BRUTOS'!$A$3:$A$500,$C15,'DADOS BRUTOS'!AL$3:AL$500)))</f>
        <v>6653</v>
      </c>
      <c r="DM15" s="133" t="n">
        <f aca="false">IF(OR(DM$4="",$B15=""),0,SUMIF('DADOS BRUTOS'!$A$3:$A$500,$B15,'DADOS BRUTOS'!AM$3:AM$500)+IF($C15="",0,SUMIF('DADOS BRUTOS'!$A$3:$A$500,$C15,'DADOS BRUTOS'!AM$3:AM$500)))</f>
        <v>0</v>
      </c>
      <c r="DN15" s="133" t="n">
        <f aca="false">IF(OR(DN$4="",$B15=""),0,SUMIF('DADOS BRUTOS'!$A$3:$A$500,$B15,'DADOS BRUTOS'!AN$3:AN$500)+IF($C15="",0,SUMIF('DADOS BRUTOS'!$A$3:$A$500,$C15,'DADOS BRUTOS'!AN$3:AN$500)))</f>
        <v>1456.4</v>
      </c>
      <c r="DO15" s="133" t="n">
        <f aca="false">IF(OR(DO$4="",$B15=""),0,SUMIF('DADOS BRUTOS'!$A$3:$A$500,$B15,'DADOS BRUTOS'!AO$3:AO$500)+IF($C15="",0,SUMIF('DADOS BRUTOS'!$A$3:$A$500,$C15,'DADOS BRUTOS'!AO$3:AO$500)))</f>
        <v>1802.48</v>
      </c>
      <c r="DP15" s="133" t="n">
        <f aca="false">IF(OR(DP$4="",$B15=""),0,SUMIF('DADOS BRUTOS'!$A$3:$A$500,$B15,'DADOS BRUTOS'!AP$3:AP$500)+IF($C15="",0,SUMIF('DADOS BRUTOS'!$A$3:$A$500,$C15,'DADOS BRUTOS'!AP$3:AP$500)))</f>
        <v>0</v>
      </c>
      <c r="DQ15" s="133" t="n">
        <f aca="false">IF(OR(DQ$4="",$B15=""),0,SUMIF('DADOS BRUTOS'!$A$3:$A$500,$B15,'DADOS BRUTOS'!AQ$3:AQ$500)+IF($C15="",0,SUMIF('DADOS BRUTOS'!$A$3:$A$500,$C15,'DADOS BRUTOS'!AQ$3:AQ$500)))</f>
        <v>0</v>
      </c>
      <c r="DR15" s="133" t="n">
        <f aca="false">IF(OR(DR$4="",$B15=""),0,SUMIF('DADOS BRUTOS'!$A$3:$A$500,$B15,'DADOS BRUTOS'!AR$3:AR$500)+IF($C15="",0,SUMIF('DADOS BRUTOS'!$A$3:$A$500,$C15,'DADOS BRUTOS'!AR$3:AR$500)))</f>
        <v>0</v>
      </c>
      <c r="DS15" s="133" t="n">
        <f aca="false">IF(OR(DS$4="",$B15=""),0,SUMIF('DADOS BRUTOS'!$A$3:$A$500,$B15,'DADOS BRUTOS'!AS$3:AS$500)+IF($C15="",0,SUMIF('DADOS BRUTOS'!$A$3:$A$500,$C15,'DADOS BRUTOS'!AS$3:AS$500)))</f>
        <v>0</v>
      </c>
      <c r="DT15" s="133" t="n">
        <f aca="false">IF(OR(DT$4="",$B15=""),0,SUMIF('DADOS BRUTOS'!$A$3:$A$500,$B15,'DADOS BRUTOS'!AT$3:AT$500)+IF($C15="",0,SUMIF('DADOS BRUTOS'!$A$3:$A$500,$C15,'DADOS BRUTOS'!AT$3:AT$500)))</f>
        <v>0</v>
      </c>
      <c r="DU15" s="133" t="n">
        <f aca="false">IF(OR(DU$4="",$B15=""),0,SUMIF('DADOS BRUTOS'!$A$3:$A$500,$B15,'DADOS BRUTOS'!AU$3:AU$500)+IF($C15="",0,SUMIF('DADOS BRUTOS'!$A$3:$A$500,$C15,'DADOS BRUTOS'!AU$3:AU$500)))</f>
        <v>0</v>
      </c>
      <c r="DV15" s="133" t="n">
        <f aca="false">IF(OR(DV$4="",$B15=""),0,SUMIF('DADOS BRUTOS'!$A$3:$A$500,$B15,'DADOS BRUTOS'!AV$3:AV$500)+IF($C15="",0,SUMIF('DADOS BRUTOS'!$A$3:$A$500,$C15,'DADOS BRUTOS'!AV$3:AV$500)))</f>
        <v>0</v>
      </c>
      <c r="DW15" s="133" t="n">
        <f aca="false">IF(OR(DW$4="",$B15=""),0,SUMIF('DADOS BRUTOS'!$A$3:$A$500,$B15,'DADOS BRUTOS'!AW$3:AW$500)+IF($C15="",0,SUMIF('DADOS BRUTOS'!$A$3:$A$500,$C15,'DADOS BRUTOS'!AW$3:AW$500)))</f>
        <v>0</v>
      </c>
      <c r="DX15" s="133" t="n">
        <f aca="false">IF(OR(DX$4="",$B15=""),0,SUMIF('DADOS BRUTOS'!$A$3:$A$500,$B15,'DADOS BRUTOS'!AX$3:AX$500)+IF($C15="",0,SUMIF('DADOS BRUTOS'!$A$3:$A$500,$C15,'DADOS BRUTOS'!AX$3:AX$500)))</f>
        <v>0</v>
      </c>
      <c r="DY15" s="133" t="n">
        <f aca="false">IF(OR(DY$4="",$B15=""),0,SUMIF('DADOS BRUTOS'!$A$3:$A$500,$B15,'DADOS BRUTOS'!AY$3:AY$500)+IF($C15="",0,SUMIF('DADOS BRUTOS'!$A$3:$A$500,$C15,'DADOS BRUTOS'!AY$3:AY$500)))</f>
        <v>0</v>
      </c>
      <c r="DZ15" s="133" t="n">
        <f aca="false">IF(OR(DZ$4="",$B15=""),0,SUMIF('DADOS BRUTOS'!$A$3:$A$500,$B15,'DADOS BRUTOS'!AZ$3:AZ$500)+IF($C15="",0,SUMIF('DADOS BRUTOS'!$A$3:$A$500,$C15,'DADOS BRUTOS'!AZ$3:AZ$500)))</f>
        <v>0</v>
      </c>
      <c r="EA15" s="133" t="n">
        <f aca="false">IF(OR(EA$4="",$B15=""),0,SUMIF('DADOS BRUTOS'!$A$3:$A$500,$B15,'DADOS BRUTOS'!BA$3:BA$500)+IF($C15="",0,SUMIF('DADOS BRUTOS'!$A$3:$A$500,$C15,'DADOS BRUTOS'!BA$3:BA$500)))</f>
        <v>0</v>
      </c>
      <c r="EB15" s="133" t="n">
        <f aca="false">IF(OR(EB$4="",$B15=""),0,SUMIF('DADOS BRUTOS'!$A$3:$A$500,$B15,'DADOS BRUTOS'!BB$3:BB$500)+IF($C15="",0,SUMIF('DADOS BRUTOS'!$A$3:$A$500,$C15,'DADOS BRUTOS'!BB$3:BB$500)))</f>
        <v>0</v>
      </c>
      <c r="EC15" s="133" t="n">
        <f aca="false">IF(OR(EC$4="",$B15=""),0,SUMIF('DADOS BRUTOS'!$A$3:$A$500,$B15,'DADOS BRUTOS'!BC$3:BC$500)+IF($C15="",0,SUMIF('DADOS BRUTOS'!$A$3:$A$500,$C15,'DADOS BRUTOS'!BC$3:BC$500)))</f>
        <v>0</v>
      </c>
      <c r="ED15" s="133" t="n">
        <f aca="false">IF(OR(ED$4="",$B15=""),0,SUMIF('DADOS BRUTOS'!$A$3:$A$500,$B15,'DADOS BRUTOS'!BD$3:BD$500)+IF($C15="",0,SUMIF('DADOS BRUTOS'!$A$3:$A$500,$C15,'DADOS BRUTOS'!BD$3:BD$500)))</f>
        <v>0</v>
      </c>
      <c r="EE15" s="133" t="n">
        <f aca="false">IF(OR(EE$4="",$B15=""),0,SUMIF('DADOS BRUTOS'!$A$3:$A$500,$B15,'DADOS BRUTOS'!BE$3:BE$500)+IF($C15="",0,SUMIF('DADOS BRUTOS'!$A$3:$A$500,$C15,'DADOS BRUTOS'!BE$3:BE$500)))</f>
        <v>2846.91</v>
      </c>
      <c r="EF15" s="133" t="n">
        <f aca="false">IF(OR(EF$4="",$B15=""),0,SUMIF('DADOS BRUTOS'!$A$3:$A$500,$B15,'DADOS BRUTOS'!BF$3:BF$500)+IF($C15="",0,SUMIF('DADOS BRUTOS'!$A$3:$A$500,$C15,'DADOS BRUTOS'!BF$3:BF$500)))</f>
        <v>0</v>
      </c>
      <c r="EG15" s="133" t="n">
        <f aca="false">IF(OR(EG$4="",$B15=""),0,SUMIF('DADOS BRUTOS'!$A$3:$A$500,$B15,'DADOS BRUTOS'!BG$3:BG$500)+IF($C15="",0,SUMIF('DADOS BRUTOS'!$A$3:$A$500,$C15,'DADOS BRUTOS'!BG$3:BG$500)))</f>
        <v>0</v>
      </c>
      <c r="EH15" s="133" t="n">
        <f aca="false">IF(OR(EH$4="",$B15=""),0,SUMIF('DADOS BRUTOS'!$A$3:$A$500,$B15,'DADOS BRUTOS'!BH$3:BH$500)+IF($C15="",0,SUMIF('DADOS BRUTOS'!$A$3:$A$500,$C15,'DADOS BRUTOS'!BH$3:BH$500)))</f>
        <v>0</v>
      </c>
      <c r="EI15" s="133" t="n">
        <f aca="false">IF(OR(EI$4="",$B15=""),0,SUMIF('DADOS BRUTOS'!$A$3:$A$500,$B15,'DADOS BRUTOS'!BI$3:BI$500)+IF($C15="",0,SUMIF('DADOS BRUTOS'!$A$3:$A$500,$C15,'DADOS BRUTOS'!BI$3:BI$500)))</f>
        <v>0</v>
      </c>
      <c r="EJ15" s="133" t="n">
        <f aca="false">IF(OR(EJ$4="",$B15=""),0,SUMIF('DADOS BRUTOS'!$A$3:$A$500,$B15,'DADOS BRUTOS'!BJ$3:BJ$500)+IF($C15="",0,SUMIF('DADOS BRUTOS'!$A$3:$A$500,$C15,'DADOS BRUTOS'!BJ$3:BJ$500)))</f>
        <v>0</v>
      </c>
      <c r="EK15" s="133" t="n">
        <f aca="false">IF(OR(EK$4="",$B15=""),0,SUMIF('DADOS BRUTOS'!$A$3:$A$500,$B15,'DADOS BRUTOS'!BK$3:BK$500)+IF($C15="",0,SUMIF('DADOS BRUTOS'!$A$3:$A$500,$C15,'DADOS BRUTOS'!BK$3:BK$500)))</f>
        <v>0</v>
      </c>
      <c r="EL15" s="133" t="n">
        <f aca="false">IF(OR(EL$4="",$B15=""),0,SUMIF('DADOS BRUTOS'!$A$3:$A$500,$B15,'DADOS BRUTOS'!BL$3:BL$500)+IF($C15="",0,SUMIF('DADOS BRUTOS'!$A$3:$A$500,$C15,'DADOS BRUTOS'!BL$3:BL$500)))</f>
        <v>0</v>
      </c>
      <c r="EM15" s="133" t="n">
        <f aca="false">IF(OR(EM$4="",$B15=""),0,SUMIF('DADOS BRUTOS'!$A$3:$A$500,$B15,'DADOS BRUTOS'!BM$3:BM$500)+IF($C15="",0,SUMIF('DADOS BRUTOS'!$A$3:$A$500,$C15,'DADOS BRUTOS'!BM$3:BM$500)))</f>
        <v>0</v>
      </c>
      <c r="EN15" s="133" t="n">
        <f aca="false">IF(OR(EN$4="",$B15=""),0,SUMIF('DADOS BRUTOS'!$A$3:$A$500,$B15,'DADOS BRUTOS'!BN$3:BN$500)+IF($C15="",0,SUMIF('DADOS BRUTOS'!$A$3:$A$500,$C15,'DADOS BRUTOS'!BN$3:BN$500)))</f>
        <v>0</v>
      </c>
      <c r="EO15" s="133" t="n">
        <f aca="false">IF(OR(EO$4="",$B15=""),0,SUMIF('DADOS BRUTOS'!$A$3:$A$500,$B15,'DADOS BRUTOS'!BO$3:BO$500)+IF($C15="",0,SUMIF('DADOS BRUTOS'!$A$3:$A$500,$C15,'DADOS BRUTOS'!BO$3:BO$500)))</f>
        <v>0</v>
      </c>
      <c r="EP15" s="133" t="n">
        <f aca="false">IF(OR(EP$4="",$B15=""),0,SUMIF('DADOS BRUTOS'!$A$3:$A$500,$B15,'DADOS BRUTOS'!BP$3:BP$500)+IF($C15="",0,SUMIF('DADOS BRUTOS'!$A$3:$A$500,$C15,'DADOS BRUTOS'!BP$3:BP$500)))</f>
        <v>0</v>
      </c>
      <c r="EQ15" s="133" t="n">
        <f aca="false">IF(OR(EQ$4="",$B15=""),0,SUMIF('DADOS BRUTOS'!$A$3:$A$500,$B15,'DADOS BRUTOS'!BQ$3:BQ$500)+IF($C15="",0,SUMIF('DADOS BRUTOS'!$A$3:$A$500,$C15,'DADOS BRUTOS'!BQ$3:BQ$500)))</f>
        <v>0</v>
      </c>
      <c r="ER15" s="133" t="n">
        <f aca="false">IF(OR(ER$4="",$B15=""),0,SUMIF('DADOS BRUTOS'!$A$3:$A$500,$B15,'DADOS BRUTOS'!BR$3:BR$500)+IF($C15="",0,SUMIF('DADOS BRUTOS'!$A$3:$A$500,$C15,'DADOS BRUTOS'!BR$3:BR$500)))</f>
        <v>0</v>
      </c>
      <c r="ES15" s="133" t="n">
        <f aca="false">IF(OR(ES$4="",$B15=""),0,SUMIF('DADOS BRUTOS'!$A$3:$A$500,$B15,'DADOS BRUTOS'!BS$3:BS$500)+IF($C15="",0,SUMIF('DADOS BRUTOS'!$A$3:$A$500,$C15,'DADOS BRUTOS'!BS$3:BS$500)))</f>
        <v>0</v>
      </c>
      <c r="ET15" s="133" t="n">
        <f aca="false">IF(OR(ET$4="",$B15=""),0,SUMIF('DADOS BRUTOS'!$A$3:$A$500,$B15,'DADOS BRUTOS'!BT$3:BT$500)+IF($C15="",0,SUMIF('DADOS BRUTOS'!$A$3:$A$500,$C15,'DADOS BRUTOS'!BT$3:BT$500)))</f>
        <v>0</v>
      </c>
      <c r="EU15" s="133" t="n">
        <f aca="false">IF(OR(EU$4="",$B15=""),0,SUMIF('DADOS BRUTOS'!$A$3:$A$500,$B15,'DADOS BRUTOS'!BU$3:BU$500)+IF($C15="",0,SUMIF('DADOS BRUTOS'!$A$3:$A$500,$C15,'DADOS BRUTOS'!BU$3:BU$500)))</f>
        <v>0</v>
      </c>
      <c r="EV15" s="133" t="n">
        <f aca="false">IF(OR(EV$4="",$B15=""),0,SUMIF('DADOS BRUTOS'!$A$3:$A$500,$B15,'DADOS BRUTOS'!BV$3:BV$500)+IF($C15="",0,SUMIF('DADOS BRUTOS'!$A$3:$A$500,$C15,'DADOS BRUTOS'!BV$3:BV$500)))</f>
        <v>0</v>
      </c>
      <c r="EW15" s="133" t="n">
        <f aca="false">IF(OR(EW$4="",$B15=""),0,SUMIF('DADOS BRUTOS'!$A$3:$A$500,$B15,'DADOS BRUTOS'!BW$3:BW$500)+IF($C15="",0,SUMIF('DADOS BRUTOS'!$A$3:$A$500,$C15,'DADOS BRUTOS'!BW$3:BW$500)))</f>
        <v>0</v>
      </c>
      <c r="EX15" s="133" t="n">
        <f aca="false">IF(OR(EX$4="",$B15=""),0,SUMIF('DADOS BRUTOS'!$A$3:$A$500,$B15,'DADOS BRUTOS'!BX$3:BX$500)+IF($C15="",0,SUMIF('DADOS BRUTOS'!$A$3:$A$500,$C15,'DADOS BRUTOS'!BX$3:BX$500)))</f>
        <v>0</v>
      </c>
      <c r="EY15" s="133" t="n">
        <f aca="false">IF(OR(EY$4="",$B15=""),0,SUMIF('DADOS BRUTOS'!$A$3:$A$500,$B15,'DADOS BRUTOS'!BY$3:BY$500)+IF($C15="",0,SUMIF('DADOS BRUTOS'!$A$3:$A$500,$C15,'DADOS BRUTOS'!BY$3:BY$500)))</f>
        <v>0</v>
      </c>
      <c r="EZ15" s="133" t="n">
        <f aca="false">IF(OR(EZ$4="",$B15=""),0,SUMIF('DADOS BRUTOS'!$A$3:$A$500,$B15,'DADOS BRUTOS'!BZ$3:BZ$500)+IF($C15="",0,SUMIF('DADOS BRUTOS'!$A$3:$A$500,$C15,'DADOS BRUTOS'!BZ$3:BZ$500)))</f>
        <v>0</v>
      </c>
      <c r="FA15" s="133" t="n">
        <f aca="false">IF(OR(FA$4="",$B15=""),0,SUMIF('DADOS BRUTOS'!$A$3:$A$500,$B15,'DADOS BRUTOS'!CA$3:CA$500)+IF($C15="",0,SUMIF('DADOS BRUTOS'!$A$3:$A$500,$C15,'DADOS BRUTOS'!CA$3:CA$500)))</f>
        <v>0</v>
      </c>
      <c r="FB15" s="133" t="n">
        <f aca="false">IF(OR(FB$4="",$B15=""),0,SUMIF('DADOS BRUTOS'!$A$3:$A$500,$B15,'DADOS BRUTOS'!CB$3:CB$500)+IF($C15="",0,SUMIF('DADOS BRUTOS'!$A$3:$A$500,$C15,'DADOS BRUTOS'!CB$3:CB$500)))</f>
        <v>0</v>
      </c>
      <c r="FC15" s="133" t="n">
        <f aca="false">IF(OR(FC$4="",$B15=""),0,SUMIF('DADOS BRUTOS'!$A$3:$A$500,$B15,'DADOS BRUTOS'!CC$3:CC$500)+IF($C15="",0,SUMIF('DADOS BRUTOS'!$A$3:$A$500,$C15,'DADOS BRUTOS'!CC$3:CC$500)))</f>
        <v>0</v>
      </c>
      <c r="FD15" s="133" t="n">
        <f aca="false">IF(OR(FD$4="",$B15=""),0,SUMIF('DADOS BRUTOS'!$A$3:$A$500,$B15,'DADOS BRUTOS'!CD$3:CD$500)+IF($C15="",0,SUMIF('DADOS BRUTOS'!$A$3:$A$500,$C15,'DADOS BRUTOS'!CD$3:CD$500)))</f>
        <v>0</v>
      </c>
      <c r="FE15" s="133" t="n">
        <f aca="false">IF(OR(FE$4="",$B15=""),0,SUMIF('DADOS BRUTOS'!$A$3:$A$500,$B15,'DADOS BRUTOS'!CE$3:CE$500)+IF($C15="",0,SUMIF('DADOS BRUTOS'!$A$3:$A$500,$C15,'DADOS BRUTOS'!CE$3:CE$500)))</f>
        <v>0</v>
      </c>
      <c r="FF15" s="133" t="n">
        <f aca="false">IF(OR(FF$4="",$B15=""),0,SUMIF('DADOS BRUTOS'!$A$3:$A$500,$B15,'DADOS BRUTOS'!CF$3:CF$500)+IF($C15="",0,SUMIF('DADOS BRUTOS'!$A$3:$A$500,$C15,'DADOS BRUTOS'!CF$3:CF$500)))</f>
        <v>0</v>
      </c>
      <c r="FG15" s="133" t="n">
        <f aca="false">IF(OR(FG$4="",$B15=""),0,SUMIF('DADOS BRUTOS'!$A$3:$A$500,$B15,'DADOS BRUTOS'!CG$3:CG$500)+IF($C15="",0,SUMIF('DADOS BRUTOS'!$A$3:$A$500,$C15,'DADOS BRUTOS'!CG$3:CG$500)))</f>
        <v>0</v>
      </c>
      <c r="FH15" s="133" t="n">
        <f aca="false">IF(OR(FH$4="",$B15=""),0,SUMIF('DADOS BRUTOS'!$A$3:$A$500,$B15,'DADOS BRUTOS'!CH$3:CH$500)+IF($C15="",0,SUMIF('DADOS BRUTOS'!$A$3:$A$500,$C15,'DADOS BRUTOS'!CH$3:CH$500)))</f>
        <v>0</v>
      </c>
      <c r="FI15" s="133" t="n">
        <f aca="false">IF(OR(FI$4="",$B15=""),0,SUMIF('DADOS BRUTOS'!$A$3:$A$500,$B15,'DADOS BRUTOS'!CI$3:CI$500)+IF($C15="",0,SUMIF('DADOS BRUTOS'!$A$3:$A$500,$C15,'DADOS BRUTOS'!CI$3:CI$500)))</f>
        <v>0</v>
      </c>
      <c r="FJ15" s="133" t="n">
        <f aca="false">IF(OR(FJ$4="",$B15=""),0,SUMIF('DADOS BRUTOS'!$A$3:$A$500,$B15,'DADOS BRUTOS'!CJ$3:CJ$500)+IF($C15="",0,SUMIF('DADOS BRUTOS'!$A$3:$A$500,$C15,'DADOS BRUTOS'!CJ$3:CJ$500)))</f>
        <v>0</v>
      </c>
      <c r="FK15" s="133" t="n">
        <f aca="false">IF(OR(FK$4="",$B15=""),0,SUMIF('DADOS BRUTOS'!$A$3:$A$500,$B15,'DADOS BRUTOS'!CK$3:CK$500)+IF($C15="",0,SUMIF('DADOS BRUTOS'!$A$3:$A$500,$C15,'DADOS BRUTOS'!CK$3:CK$500)))</f>
        <v>0</v>
      </c>
      <c r="FL15" s="133" t="n">
        <f aca="false">IF(OR(FL$4="",$B15=""),0,SUMIF('DADOS BRUTOS'!$A$3:$A$500,$B15,'DADOS BRUTOS'!CL$3:CL$500)+IF($C15="",0,SUMIF('DADOS BRUTOS'!$A$3:$A$500,$C15,'DADOS BRUTOS'!CL$3:CL$500)))</f>
        <v>0</v>
      </c>
      <c r="FM15" s="133" t="n">
        <f aca="false">IF(OR(FM$4="",$B15=""),0,SUMIF('DADOS BRUTOS'!$A$3:$A$500,$B15,'DADOS BRUTOS'!CM$3:CM$500)+IF($C15="",0,SUMIF('DADOS BRUTOS'!$A$3:$A$500,$C15,'DADOS BRUTOS'!CM$3:CM$500)))</f>
        <v>0</v>
      </c>
      <c r="FN15" s="133" t="n">
        <f aca="false">IF(OR(FN$4="",$B15=""),0,SUMIF('DADOS BRUTOS'!$A$3:$A$500,$B15,'DADOS BRUTOS'!CN$3:CN$500)+IF($C15="",0,SUMIF('DADOS BRUTOS'!$A$3:$A$500,$C15,'DADOS BRUTOS'!CN$3:CN$500)))</f>
        <v>0</v>
      </c>
      <c r="FO15" s="133" t="n">
        <f aca="false">IF(OR(FO$4="",$B15=""),0,SUMIF('DADOS BRUTOS'!$A$3:$A$500,$B15,'DADOS BRUTOS'!CO$3:CO$500)+IF($C15="",0,SUMIF('DADOS BRUTOS'!$A$3:$A$500,$C15,'DADOS BRUTOS'!CO$3:CO$500)))</f>
        <v>0</v>
      </c>
      <c r="FP15" s="133" t="n">
        <f aca="false">IF(OR(FP$4="",$B15=""),0,SUMIF('DADOS BRUTOS'!$A$3:$A$500,$B15,'DADOS BRUTOS'!CP$3:CP$500)+IF($C15="",0,SUMIF('DADOS BRUTOS'!$A$3:$A$500,$C15,'DADOS BRUTOS'!CP$3:CP$500)))</f>
        <v>0</v>
      </c>
      <c r="FQ15" s="133" t="n">
        <f aca="false">IF(OR(FQ$4="",$B15=""),0,SUMIF('DADOS BRUTOS'!$A$3:$A$500,$B15,'DADOS BRUTOS'!CQ$3:CQ$500)+IF($C15="",0,SUMIF('DADOS BRUTOS'!$A$3:$A$500,$C15,'DADOS BRUTOS'!CQ$3:CQ$500)))</f>
        <v>0</v>
      </c>
      <c r="FR15" s="133" t="n">
        <f aca="false">IF(OR(FR$4="",$B15=""),0,SUMIF('DADOS BRUTOS'!$A$3:$A$500,$B15,'DADOS BRUTOS'!CR$3:CR$500)+IF($C15="",0,SUMIF('DADOS BRUTOS'!$A$3:$A$500,$C15,'DADOS BRUTOS'!CR$3:CR$500)))</f>
        <v>0</v>
      </c>
      <c r="FS15" s="133" t="n">
        <f aca="false">IF(OR(FS$4="",$B15=""),0,SUMIF('DADOS BRUTOS'!$A$3:$A$500,$B15,'DADOS BRUTOS'!CS$3:CS$500)+IF($C15="",0,SUMIF('DADOS BRUTOS'!$A$3:$A$500,$C15,'DADOS BRUTOS'!CS$3:CS$500)))</f>
        <v>0</v>
      </c>
      <c r="FT15" s="133" t="n">
        <f aca="false">IF(OR(FT$4="",$B15=""),0,SUMIF('DADOS BRUTOS'!$A$3:$A$500,$B15,'DADOS BRUTOS'!CT$3:CT$500)+IF($C15="",0,SUMIF('DADOS BRUTOS'!$A$3:$A$500,$C15,'DADOS BRUTOS'!CT$3:CT$500)))</f>
        <v>0</v>
      </c>
      <c r="FU15" s="133" t="n">
        <f aca="false">IF(OR(FU$4="",$B15=""),0,SUMIF('DADOS BRUTOS'!$A$3:$A$500,$B15,'DADOS BRUTOS'!CU$3:CU$500)+IF($C15="",0,SUMIF('DADOS BRUTOS'!$A$3:$A$500,$C15,'DADOS BRUTOS'!CU$3:CU$500)))</f>
        <v>0</v>
      </c>
      <c r="FV15" s="133" t="n">
        <f aca="false">IF(OR(FV$4="",$B15=""),0,SUMIF('DADOS BRUTOS'!$A$3:$A$500,$B15,'DADOS BRUTOS'!CV$3:CV$500)+IF($C15="",0,SUMIF('DADOS BRUTOS'!$A$3:$A$500,$C15,'DADOS BRUTOS'!CV$3:CV$500)))</f>
        <v>0</v>
      </c>
      <c r="FW15" s="133" t="n">
        <f aca="false">IF(OR(FW$4="",$B15=""),0,SUMIF('DADOS BRUTOS'!$A$3:$A$500,$B15,'DADOS BRUTOS'!CW$3:CW$500)+IF($C15="",0,SUMIF('DADOS BRUTOS'!$A$3:$A$500,$C15,'DADOS BRUTOS'!CW$3:CW$500)))</f>
        <v>0</v>
      </c>
      <c r="FX15" s="133" t="n">
        <f aca="false">IF(OR(FX$4="",$B15=""),0,SUMIF('DADOS BRUTOS'!$A$3:$A$500,$B15,'DADOS BRUTOS'!CX$3:CX$500)+IF($C15="",0,SUMIF('DADOS BRUTOS'!$A$3:$A$500,$C15,'DADOS BRUTOS'!CX$3:CX$500)))</f>
        <v>0</v>
      </c>
      <c r="FY15" s="133" t="n">
        <f aca="false">IF(OR(FY$4="",$B15=""),0,SUMIF('DADOS BRUTOS'!$A$3:$A$500,$B15,'DADOS BRUTOS'!CY$3:CY$500)+IF($C15="",0,SUMIF('DADOS BRUTOS'!$A$3:$A$500,$C15,'DADOS BRUTOS'!CY$3:CY$500)))</f>
        <v>0</v>
      </c>
      <c r="FZ15" s="133" t="n">
        <f aca="false">IF(OR(FZ$4="",$B15=""),0,SUMIF('DADOS BRUTOS'!$A$3:$A$500,$B15,'DADOS BRUTOS'!CZ$3:CZ$500)+IF($C15="",0,SUMIF('DADOS BRUTOS'!$A$3:$A$500,$C15,'DADOS BRUTOS'!CZ$3:CZ$500)))</f>
        <v>0</v>
      </c>
      <c r="GA15" s="133" t="n">
        <f aca="false">IF(OR(GA$4="",$B15=""),0,SUMIF('DADOS BRUTOS'!$A$3:$A$500,$B15,'DADOS BRUTOS'!DA$3:DA$500)+IF($C15="",0,SUMIF('DADOS BRUTOS'!$A$3:$A$500,$C15,'DADOS BRUTOS'!DA$3:DA$500)))</f>
        <v>0</v>
      </c>
      <c r="GB15" s="133" t="n">
        <f aca="false">IF(OR(GB$4="",$B15=""),0,SUMIF('DADOS BRUTOS'!$A$3:$A$500,$B15,'DADOS BRUTOS'!DB$3:DB$500)+IF($C15="",0,SUMIF('DADOS BRUTOS'!$A$3:$A$500,$C15,'DADOS BRUTOS'!DB$3:DB$500)))</f>
        <v>0</v>
      </c>
      <c r="GC15" s="133" t="n">
        <f aca="false">IF(OR(GC$4="",$B15=""),0,SUMIF('DADOS BRUTOS'!$A$3:$A$500,$B15,'DADOS BRUTOS'!DC$3:DC$500)+IF($C15="",0,SUMIF('DADOS BRUTOS'!$A$3:$A$500,$C15,'DADOS BRUTOS'!DC$3:DC$500)))</f>
        <v>0</v>
      </c>
      <c r="GD15" s="133" t="n">
        <f aca="false">IF(OR(GD$4="",$B15=""),0,SUMIF('DADOS BRUTOS'!$A$3:$A$500,$B15,'DADOS BRUTOS'!DD$3:DD$500)+IF($C15="",0,SUMIF('DADOS BRUTOS'!$A$3:$A$500,$C15,'DADOS BRUTOS'!DD$3:DD$500)))</f>
        <v>0</v>
      </c>
      <c r="GE15" s="133" t="n">
        <f aca="false">IF(OR(GE$4="",$B15=""),0,SUMIF('DADOS BRUTOS'!$A$3:$A$500,$B15,'DADOS BRUTOS'!DE$3:DE$500)+IF($C15="",0,SUMIF('DADOS BRUTOS'!$A$3:$A$500,$C15,'DADOS BRUTOS'!DE$3:DE$500)))</f>
        <v>0</v>
      </c>
      <c r="GF15" s="133" t="n">
        <f aca="false">IF(OR(GF$4="",$B15=""),0,SUMIF('DADOS BRUTOS'!$A$3:$A$500,$B15,'DADOS BRUTOS'!DF$3:DF$500)+IF($C15="",0,SUMIF('DADOS BRUTOS'!$A$3:$A$500,$C15,'DADOS BRUTOS'!DF$3:DF$500)))</f>
        <v>0</v>
      </c>
      <c r="GG15" s="133" t="n">
        <f aca="false">IF(OR(GG$4="",$B15=""),0,SUMIF('DADOS BRUTOS'!$A$3:$A$500,$B15,'DADOS BRUTOS'!DG$3:DG$500)+IF($C15="",0,SUMIF('DADOS BRUTOS'!$A$3:$A$500,$C15,'DADOS BRUTOS'!DG$3:DG$500)))</f>
        <v>0</v>
      </c>
      <c r="GH15" s="133" t="n">
        <f aca="false">IF(OR(GH$4="",$B15=""),0,SUMIF('DADOS BRUTOS'!$A$3:$A$500,$B15,'DADOS BRUTOS'!DH$3:DH$500)+IF($C15="",0,SUMIF('DADOS BRUTOS'!$A$3:$A$500,$C15,'DADOS BRUTOS'!DH$3:DH$500)))</f>
        <v>0</v>
      </c>
      <c r="GI15" s="133" t="n">
        <f aca="false">IF(OR(GI$4="",$B15=""),0,SUMIF('DADOS BRUTOS'!$A$3:$A$500,$B15,'DADOS BRUTOS'!DI$3:DI$500)+IF($C15="",0,SUMIF('DADOS BRUTOS'!$A$3:$A$500,$C15,'DADOS BRUTOS'!DI$3:DI$500)))</f>
        <v>0</v>
      </c>
      <c r="GJ15" s="133" t="n">
        <f aca="false">IF(OR(GJ$4="",$B15=""),0,SUMIF('DADOS BRUTOS'!$A$3:$A$500,$B15,'DADOS BRUTOS'!DJ$3:DJ$500)+IF($C15="",0,SUMIF('DADOS BRUTOS'!$A$3:$A$500,$C15,'DADOS BRUTOS'!DJ$3:DJ$500)))</f>
        <v>0</v>
      </c>
      <c r="GK15" s="133" t="n">
        <f aca="false">IF(OR(GK$4="",$B15=""),0,SUMIF('DADOS BRUTOS'!$A$3:$A$500,$B15,'DADOS BRUTOS'!DK$3:DK$500)+IF($C15="",0,SUMIF('DADOS BRUTOS'!$A$3:$A$500,$C15,'DADOS BRUTOS'!DK$3:DK$500)))</f>
        <v>0</v>
      </c>
      <c r="GL15" s="133" t="n">
        <f aca="false">IF(OR(GL$4="",$B15=""),0,SUMIF('DADOS BRUTOS'!$A$3:$A$500,$B15,'DADOS BRUTOS'!DL$3:DL$500)+IF($C15="",0,SUMIF('DADOS BRUTOS'!$A$3:$A$500,$C15,'DADOS BRUTOS'!DL$3:DL$500)))</f>
        <v>0</v>
      </c>
      <c r="GM15" s="133" t="n">
        <f aca="false">IF(OR(GM$4="",$B15=""),0,SUMIF('DADOS BRUTOS'!$A$3:$A$500,$B15,'DADOS BRUTOS'!DM$3:DM$500)+IF($C15="",0,SUMIF('DADOS BRUTOS'!$A$3:$A$500,$C15,'DADOS BRUTOS'!DM$3:DM$500)))</f>
        <v>0</v>
      </c>
      <c r="GN15" s="133" t="n">
        <f aca="false">IF(OR(GN$4="",$B15=""),0,SUMIF('DADOS BRUTOS'!$A$3:$A$500,$B15,'DADOS BRUTOS'!DN$3:DN$500)+IF($C15="",0,SUMIF('DADOS BRUTOS'!$A$3:$A$500,$C15,'DADOS BRUTOS'!DN$3:DN$500)))</f>
        <v>0</v>
      </c>
      <c r="GO15" s="133" t="n">
        <f aca="false">IF(OR(GO$4="",$B15=""),0,SUMIF('DADOS BRUTOS'!$A$3:$A$500,$B15,'DADOS BRUTOS'!DO$3:DO$500)+IF($C15="",0,SUMIF('DADOS BRUTOS'!$A$3:$A$500,$C15,'DADOS BRUTOS'!DO$3:DO$500)))</f>
        <v>0</v>
      </c>
      <c r="GP15" s="133" t="n">
        <f aca="false">IF(OR(GP$4="",$B15=""),0,SUMIF('DADOS BRUTOS'!$A$3:$A$500,$B15,'DADOS BRUTOS'!DP$3:DP$500)+IF($C15="",0,SUMIF('DADOS BRUTOS'!$A$3:$A$500,$C15,'DADOS BRUTOS'!DP$3:DP$500)))</f>
        <v>0</v>
      </c>
      <c r="GQ15" s="133" t="n">
        <f aca="false">IF(OR(GQ$4="",$B15=""),0,SUMIF('DADOS BRUTOS'!$A$3:$A$500,$B15,'DADOS BRUTOS'!DQ$3:DQ$500)+IF($C15="",0,SUMIF('DADOS BRUTOS'!$A$3:$A$500,$C15,'DADOS BRUTOS'!DQ$3:DQ$500)))</f>
        <v>0</v>
      </c>
      <c r="GR15" s="133" t="n">
        <f aca="false">IF(OR(GR$4="",$B15=""),0,SUMIF('DADOS BRUTOS'!$A$3:$A$500,$B15,'DADOS BRUTOS'!DR$3:DR$500)+IF($C15="",0,SUMIF('DADOS BRUTOS'!$A$3:$A$500,$C15,'DADOS BRUTOS'!DR$3:DR$500)))</f>
        <v>0</v>
      </c>
      <c r="GS15" s="133" t="n">
        <f aca="false">IF(OR(GS$4="",$B15=""),0,SUMIF('DADOS BRUTOS'!$A$3:$A$500,$B15,'DADOS BRUTOS'!DS$3:DS$500)+IF($C15="",0,SUMIF('DADOS BRUTOS'!$A$3:$A$500,$C15,'DADOS BRUTOS'!DS$3:DS$500)))</f>
        <v>0</v>
      </c>
      <c r="GT15" s="133" t="n">
        <f aca="false">IF(OR(GT$4="",$B15=""),0,SUMIF('DADOS BRUTOS'!$A$3:$A$500,$B15,'DADOS BRUTOS'!DT$3:DT$500)+IF($C15="",0,SUMIF('DADOS BRUTOS'!$A$3:$A$500,$C15,'DADOS BRUTOS'!DT$3:DT$500)))</f>
        <v>0</v>
      </c>
      <c r="GU15" s="133" t="n">
        <f aca="false">IF(OR(GU$4="",$B15=""),0,SUMIF('DADOS BRUTOS'!$A$3:$A$500,$B15,'DADOS BRUTOS'!DU$3:DU$500)+IF($C15="",0,SUMIF('DADOS BRUTOS'!$A$3:$A$500,$C15,'DADOS BRUTOS'!DU$3:DU$500)))</f>
        <v>0</v>
      </c>
      <c r="GV15" s="133" t="n">
        <f aca="false">IF(OR(GV$4="",$B15=""),0,SUMIF('DADOS BRUTOS'!$A$3:$A$500,$B15,'DADOS BRUTOS'!DV$3:DV$500)+IF($C15="",0,SUMIF('DADOS BRUTOS'!$A$3:$A$500,$C15,'DADOS BRUTOS'!DV$3:DV$500)))</f>
        <v>0</v>
      </c>
      <c r="GW15" s="133" t="n">
        <f aca="false">IF(OR(GW$4="",$B15=""),0,SUMIF('DADOS BRUTOS'!$A$3:$A$500,$B15,'DADOS BRUTOS'!DW$3:DW$500)+IF($C15="",0,SUMIF('DADOS BRUTOS'!$A$3:$A$500,$C15,'DADOS BRUTOS'!DW$3:DW$500)))</f>
        <v>0</v>
      </c>
      <c r="GX15" s="133" t="n">
        <f aca="false">IF(OR(GX$4="",$B15=""),0,SUMIF('DADOS BRUTOS'!$A$3:$A$500,$B15,'DADOS BRUTOS'!DX$3:DX$500)+IF($C15="",0,SUMIF('DADOS BRUTOS'!$A$3:$A$500,$C15,'DADOS BRUTOS'!DX$3:DX$500)))</f>
        <v>0</v>
      </c>
      <c r="GY15" s="133" t="n">
        <f aca="false">IF(OR(GY$4="",$B15=""),0,SUMIF('DADOS BRUTOS'!$A$3:$A$500,$B15,'DADOS BRUTOS'!DY$3:DY$500)+IF($C15="",0,SUMIF('DADOS BRUTOS'!$A$3:$A$500,$C15,'DADOS BRUTOS'!DY$3:DY$500)))</f>
        <v>0</v>
      </c>
      <c r="GZ15" s="133" t="n">
        <f aca="false">IF(OR(GZ$4="",$B15=""),0,SUMIF('DADOS BRUTOS'!$A$3:$A$500,$B15,'DADOS BRUTOS'!DZ$3:DZ$500)+IF($C15="",0,SUMIF('DADOS BRUTOS'!$A$3:$A$500,$C15,'DADOS BRUTOS'!DZ$3:DZ$500)))</f>
        <v>0</v>
      </c>
      <c r="HA15" s="133" t="n">
        <f aca="false">IF(OR(HA$4="",$B15=""),0,SUMIF('DADOS BRUTOS'!$A$3:$A$500,$B15,'DADOS BRUTOS'!EA$3:EA$500)+IF($C15="",0,SUMIF('DADOS BRUTOS'!$A$3:$A$500,$C15,'DADOS BRUTOS'!EA$3:EA$500)))</f>
        <v>0</v>
      </c>
      <c r="HB15" s="133" t="n">
        <f aca="false">IF(OR(HB$4="",$B15=""),0,SUMIF('DADOS BRUTOS'!$A$3:$A$500,$B15,'DADOS BRUTOS'!EB$3:EB$500)+IF($C15="",0,SUMIF('DADOS BRUTOS'!$A$3:$A$500,$C15,'DADOS BRUTOS'!EB$3:EB$500)))</f>
        <v>0</v>
      </c>
      <c r="HC15" s="133" t="n">
        <f aca="false">IF(OR(HC$4="",$B15=""),0,SUMIF('DADOS BRUTOS'!$A$3:$A$500,$B15,'DADOS BRUTOS'!EC$3:EC$500)+IF($C15="",0,SUMIF('DADOS BRUTOS'!$A$3:$A$500,$C15,'DADOS BRUTOS'!EC$3:EC$500)))</f>
        <v>0</v>
      </c>
      <c r="HD15" s="133" t="n">
        <f aca="false">IF(OR(HD$4="",$B15=""),0,SUMIF('DADOS BRUTOS'!$A$3:$A$500,$B15,'DADOS BRUTOS'!ED$3:ED$500)+IF($C15="",0,SUMIF('DADOS BRUTOS'!$A$3:$A$500,$C15,'DADOS BRUTOS'!ED$3:ED$500)))</f>
        <v>0</v>
      </c>
      <c r="HE15" s="133" t="n">
        <f aca="false">IF(OR(HE$4="",$B15=""),0,SUMIF('DADOS BRUTOS'!$A$3:$A$500,$B15,'DADOS BRUTOS'!EE$3:EE$500)+IF($C15="",0,SUMIF('DADOS BRUTOS'!$A$3:$A$500,$C15,'DADOS BRUTOS'!EE$3:EE$500)))</f>
        <v>0</v>
      </c>
      <c r="HF15" s="133" t="n">
        <f aca="false">IF(OR(HF$4="",$B15=""),0,SUMIF('DADOS BRUTOS'!$A$3:$A$500,$B15,'DADOS BRUTOS'!EF$3:EF$500)+IF($C15="",0,SUMIF('DADOS BRUTOS'!$A$3:$A$500,$C15,'DADOS BRUTOS'!EF$3:EF$500)))</f>
        <v>0</v>
      </c>
      <c r="HG15" s="133" t="n">
        <f aca="false">IF(OR(HG$4="",$B15=""),0,SUMIF('DADOS BRUTOS'!$A$3:$A$500,$B15,'DADOS BRUTOS'!EG$3:EG$500)+IF($C15="",0,SUMIF('DADOS BRUTOS'!$A$3:$A$500,$C15,'DADOS BRUTOS'!EG$3:EG$500)))</f>
        <v>0</v>
      </c>
      <c r="HH15" s="133" t="n">
        <f aca="false">IF(OR(HH$4="",$B15=""),0,SUMIF('DADOS BRUTOS'!$A$3:$A$500,$B15,'DADOS BRUTOS'!EH$3:EH$500)+IF($C15="",0,SUMIF('DADOS BRUTOS'!$A$3:$A$500,$C15,'DADOS BRUTOS'!EH$3:EH$500)))</f>
        <v>0</v>
      </c>
      <c r="HI15" s="133" t="n">
        <f aca="false">IF(OR(HI$4="",$B15=""),0,SUMIF('DADOS BRUTOS'!$A$3:$A$500,$B15,'DADOS BRUTOS'!EI$3:EI$500)+IF($C15="",0,SUMIF('DADOS BRUTOS'!$A$3:$A$500,$C15,'DADOS BRUTOS'!EI$3:EI$500)))</f>
        <v>0</v>
      </c>
      <c r="HJ15" s="133" t="n">
        <f aca="false">IF(OR(HJ$4="",$B15=""),0,SUMIF('DADOS BRUTOS'!$A$3:$A$500,$B15,'DADOS BRUTOS'!EJ$3:EJ$500)+IF($C15="",0,SUMIF('DADOS BRUTOS'!$A$3:$A$500,$C15,'DADOS BRUTOS'!EJ$3:EJ$500)))</f>
        <v>0</v>
      </c>
      <c r="HK15" s="133" t="n">
        <f aca="false">IF(OR(HK$4="",$B15=""),0,SUMIF('DADOS BRUTOS'!$A$3:$A$500,$B15,'DADOS BRUTOS'!EK$3:EK$500)+IF($C15="",0,SUMIF('DADOS BRUTOS'!$A$3:$A$500,$C15,'DADOS BRUTOS'!EK$3:EK$500)))</f>
        <v>0</v>
      </c>
      <c r="HL15" s="133" t="n">
        <f aca="false">IF(OR(HL$4="",$B15=""),0,SUMIF('DADOS BRUTOS'!$A$3:$A$500,$B15,'DADOS BRUTOS'!EL$3:EL$500)+IF($C15="",0,SUMIF('DADOS BRUTOS'!$A$3:$A$500,$C15,'DADOS BRUTOS'!EL$3:EL$500)))</f>
        <v>0</v>
      </c>
      <c r="HM15" s="133" t="n">
        <f aca="false">IF(OR(HM$4="",$B15=""),0,SUMIF('DADOS BRUTOS'!$A$3:$A$500,$B15,'DADOS BRUTOS'!EM$3:EM$500)+IF($C15="",0,SUMIF('DADOS BRUTOS'!$A$3:$A$500,$C15,'DADOS BRUTOS'!EM$3:EM$500)))</f>
        <v>0</v>
      </c>
      <c r="HN15" s="133" t="n">
        <f aca="false">IF(OR(HN$4="",$B15=""),0,SUMIF('DADOS BRUTOS'!$A$3:$A$500,$B15,'DADOS BRUTOS'!EN$3:EN$500)+IF($C15="",0,SUMIF('DADOS BRUTOS'!$A$3:$A$500,$C15,'DADOS BRUTOS'!EN$3:EN$500)))</f>
        <v>0</v>
      </c>
      <c r="HO15" s="133" t="n">
        <f aca="false">IF(OR(HO$4="",$B15=""),0,SUMIF('DADOS BRUTOS'!$A$3:$A$500,$B15,'DADOS BRUTOS'!EO$3:EO$500)+IF($C15="",0,SUMIF('DADOS BRUTOS'!$A$3:$A$500,$C15,'DADOS BRUTOS'!EO$3:EO$500)))</f>
        <v>0</v>
      </c>
      <c r="HP15" s="133" t="n">
        <f aca="false">IF(OR(HP$4="",$B15=""),0,SUMIF('DADOS BRUTOS'!$A$3:$A$500,$B15,'DADOS BRUTOS'!EP$3:EP$500)+IF($C15="",0,SUMIF('DADOS BRUTOS'!$A$3:$A$500,$C15,'DADOS BRUTOS'!EP$3:EP$500)))</f>
        <v>0</v>
      </c>
      <c r="HQ15" s="133" t="n">
        <f aca="false">IF(OR(HQ$4="",$B15=""),0,SUMIF('DADOS BRUTOS'!$A$3:$A$500,$B15,'DADOS BRUTOS'!EQ$3:EQ$500)+IF($C15="",0,SUMIF('DADOS BRUTOS'!$A$3:$A$500,$C15,'DADOS BRUTOS'!EQ$3:EQ$500)))</f>
        <v>0</v>
      </c>
      <c r="HR15" s="133" t="n">
        <f aca="false">IF(OR(HR$4="",$B15=""),0,SUMIF('DADOS BRUTOS'!$A$3:$A$500,$B15,'DADOS BRUTOS'!ER$3:ER$500)+IF($C15="",0,SUMIF('DADOS BRUTOS'!$A$3:$A$500,$C15,'DADOS BRUTOS'!ER$3:ER$500)))</f>
        <v>0</v>
      </c>
      <c r="HS15" s="133" t="n">
        <f aca="false">IF(OR(HS$4="",$B15=""),0,SUMIF('DADOS BRUTOS'!$A$3:$A$500,$B15,'DADOS BRUTOS'!ES$3:ES$500)+IF($C15="",0,SUMIF('DADOS BRUTOS'!$A$3:$A$500,$C15,'DADOS BRUTOS'!ES$3:ES$500)))</f>
        <v>0</v>
      </c>
      <c r="HT15" s="133" t="n">
        <f aca="false">IF(OR(HT$4="",$B15=""),0,SUMIF('DADOS BRUTOS'!$A$3:$A$500,$B15,'DADOS BRUTOS'!ET$3:ET$500)+IF($C15="",0,SUMIF('DADOS BRUTOS'!$A$3:$A$500,$C15,'DADOS BRUTOS'!ET$3:ET$500)))</f>
        <v>0</v>
      </c>
      <c r="HU15" s="133" t="n">
        <f aca="false">IF(OR(HU$4="",$B15=""),0,SUMIF('DADOS BRUTOS'!$A$3:$A$500,$B15,'DADOS BRUTOS'!EU$3:EU$500)+IF($C15="",0,SUMIF('DADOS BRUTOS'!$A$3:$A$500,$C15,'DADOS BRUTOS'!EU$3:EU$500)))</f>
        <v>0</v>
      </c>
      <c r="HV15" s="133" t="n">
        <f aca="false">IF(OR(HV$4="",$B15=""),0,SUMIF('DADOS BRUTOS'!$A$3:$A$500,$B15,'DADOS BRUTOS'!EV$3:EV$500)+IF($C15="",0,SUMIF('DADOS BRUTOS'!$A$3:$A$500,$C15,'DADOS BRUTOS'!EV$3:EV$500)))</f>
        <v>0</v>
      </c>
      <c r="HW15" s="133" t="n">
        <f aca="false">IF(OR(HW$4="",$B15=""),0,SUMIF('DADOS BRUTOS'!$A$3:$A$500,$B15,'DADOS BRUTOS'!EW$3:EW$500)+IF($C15="",0,SUMIF('DADOS BRUTOS'!$A$3:$A$500,$C15,'DADOS BRUTOS'!EW$3:EW$500)))</f>
        <v>0</v>
      </c>
      <c r="HX15" s="133" t="n">
        <f aca="false">IF(OR(HX$4="",$B15=""),0,SUMIF('DADOS BRUTOS'!$A$3:$A$500,$B15,'DADOS BRUTOS'!EX$3:EX$500)+IF($C15="",0,SUMIF('DADOS BRUTOS'!$A$3:$A$500,$C15,'DADOS BRUTOS'!EX$3:EX$500)))</f>
        <v>0</v>
      </c>
      <c r="HY15" s="133" t="n">
        <f aca="false">IF(OR(HY$4="",$B15=""),0,SUMIF('DADOS BRUTOS'!$A$3:$A$500,$B15,'DADOS BRUTOS'!EY$3:EY$500)+IF($C15="",0,SUMIF('DADOS BRUTOS'!$A$3:$A$500,$C15,'DADOS BRUTOS'!EY$3:EY$500)))</f>
        <v>0</v>
      </c>
      <c r="HZ15" s="133" t="n">
        <f aca="false">IF(OR(HZ$4="",$B15=""),0,SUMIF('DADOS BRUTOS'!$A$3:$A$500,$B15,'DADOS BRUTOS'!EZ$3:EZ$500)+IF($C15="",0,SUMIF('DADOS BRUTOS'!$A$3:$A$500,$C15,'DADOS BRUTOS'!EZ$3:EZ$500)))</f>
        <v>0</v>
      </c>
      <c r="IA15" s="133" t="n">
        <f aca="false">IF(OR(IA$4="",$B15=""),0,SUMIF('DADOS BRUTOS'!$A$3:$A$500,$B15,'DADOS BRUTOS'!FA$3:FA$500)+IF($C15="",0,SUMIF('DADOS BRUTOS'!$A$3:$A$500,$C15,'DADOS BRUTOS'!FA$3:FA$500)))</f>
        <v>0</v>
      </c>
      <c r="IB15" s="133" t="n">
        <f aca="false">IF(OR(IB$4="",$B15=""),0,SUMIF('DADOS BRUTOS'!$A$3:$A$500,$B15,'DADOS BRUTOS'!FB$3:FB$500)+IF($C15="",0,SUMIF('DADOS BRUTOS'!$A$3:$A$500,$C15,'DADOS BRUTOS'!FB$3:FB$500)))</f>
        <v>0</v>
      </c>
      <c r="IC15" s="133" t="n">
        <f aca="false">IF(OR(IC$4="",$B15=""),0,SUMIF('DADOS BRUTOS'!$A$3:$A$500,$B15,'DADOS BRUTOS'!FC$3:FC$500)+IF($C15="",0,SUMIF('DADOS BRUTOS'!$A$3:$A$500,$C15,'DADOS BRUTOS'!FC$3:FC$500)))</f>
        <v>0</v>
      </c>
      <c r="ID15" s="133" t="n">
        <f aca="false">IF(OR(ID$4="",$B15=""),0,SUMIF('DADOS BRUTOS'!$A$3:$A$500,$B15,'DADOS BRUTOS'!FD$3:FD$500)+IF($C15="",0,SUMIF('DADOS BRUTOS'!$A$3:$A$500,$C15,'DADOS BRUTOS'!FD$3:FD$500)))</f>
        <v>0</v>
      </c>
      <c r="IE15" s="133" t="n">
        <f aca="false">IF(OR(IE$4="",$B15=""),0,SUMIF('DADOS BRUTOS'!$A$3:$A$500,$B15,'DADOS BRUTOS'!FE$3:FE$500)+IF($C15="",0,SUMIF('DADOS BRUTOS'!$A$3:$A$500,$C15,'DADOS BRUTOS'!FE$3:FE$500)))</f>
        <v>0</v>
      </c>
      <c r="IF15" s="133" t="n">
        <f aca="false">IF(OR(IF$4="",$B15=""),0,SUMIF('DADOS BRUTOS'!$A$3:$A$500,$B15,'DADOS BRUTOS'!FF$3:FF$500)+IF($C15="",0,SUMIF('DADOS BRUTOS'!$A$3:$A$500,$C15,'DADOS BRUTOS'!FF$3:FF$500)))</f>
        <v>0</v>
      </c>
      <c r="IG15" s="133" t="n">
        <f aca="false">IF(OR(IG$4="",$B15=""),0,SUMIF('DADOS BRUTOS'!$A$3:$A$500,$B15,'DADOS BRUTOS'!FG$3:FG$500)+IF($C15="",0,SUMIF('DADOS BRUTOS'!$A$3:$A$500,$C15,'DADOS BRUTOS'!FG$3:FG$500)))</f>
        <v>0</v>
      </c>
      <c r="IH15" s="133" t="n">
        <f aca="false">IF(OR(IH$4="",$B15=""),0,SUMIF('DADOS BRUTOS'!$A$3:$A$500,$B15,'DADOS BRUTOS'!FH$3:FH$500)+IF($C15="",0,SUMIF('DADOS BRUTOS'!$A$3:$A$500,$C15,'DADOS BRUTOS'!FH$3:FH$500)))</f>
        <v>0</v>
      </c>
      <c r="II15" s="133" t="n">
        <f aca="false">IF(OR(II$4="",$B15=""),0,SUMIF('DADOS BRUTOS'!$A$3:$A$500,$B15,'DADOS BRUTOS'!FI$3:FI$500)+IF($C15="",0,SUMIF('DADOS BRUTOS'!$A$3:$A$500,$C15,'DADOS BRUTOS'!FI$3:FI$500)))</f>
        <v>0</v>
      </c>
      <c r="IJ15" s="133" t="n">
        <f aca="false">IF(OR(IJ$4="",$B15=""),0,SUMIF('DADOS BRUTOS'!$A$3:$A$500,$B15,'DADOS BRUTOS'!FJ$3:FJ$500)+IF($C15="",0,SUMIF('DADOS BRUTOS'!$A$3:$A$500,$C15,'DADOS BRUTOS'!FJ$3:FJ$500)))</f>
        <v>0</v>
      </c>
      <c r="IK15" s="133" t="n">
        <f aca="false">IF(OR(IK$4="",$B15=""),0,SUMIF('DADOS BRUTOS'!$A$3:$A$500,$B15,'DADOS BRUTOS'!FK$3:FK$500)+IF($C15="",0,SUMIF('DADOS BRUTOS'!$A$3:$A$500,$C15,'DADOS BRUTOS'!FK$3:FK$500)))</f>
        <v>0</v>
      </c>
      <c r="IL15" s="133" t="n">
        <f aca="false">IF(OR(IL$4="",$B15=""),0,SUMIF('DADOS BRUTOS'!$A$3:$A$500,$B15,'DADOS BRUTOS'!FL$3:FL$500)+IF($C15="",0,SUMIF('DADOS BRUTOS'!$A$3:$A$500,$C15,'DADOS BRUTOS'!FL$3:FL$500)))</f>
        <v>0</v>
      </c>
      <c r="IM15" s="133" t="n">
        <f aca="false">IF(OR(IM$4="",$B15=""),0,SUMIF('DADOS BRUTOS'!$A$3:$A$500,$B15,'DADOS BRUTOS'!FM$3:FM$500)+IF($C15="",0,SUMIF('DADOS BRUTOS'!$A$3:$A$500,$C15,'DADOS BRUTOS'!FM$3:FM$500)))</f>
        <v>0</v>
      </c>
      <c r="IN15" s="133" t="n">
        <f aca="false">IF(OR(IN$4="",$B15=""),0,SUMIF('DADOS BRUTOS'!$A$3:$A$500,$B15,'DADOS BRUTOS'!FN$3:FN$500)+IF($C15="",0,SUMIF('DADOS BRUTOS'!$A$3:$A$500,$C15,'DADOS BRUTOS'!FN$3:FN$500)))</f>
        <v>0</v>
      </c>
      <c r="IO15" s="133" t="n">
        <f aca="false">IF(OR(IO$4="",$B15=""),0,SUMIF('DADOS BRUTOS'!$A$3:$A$500,$B15,'DADOS BRUTOS'!FO$3:FO$500)+IF($C15="",0,SUMIF('DADOS BRUTOS'!$A$3:$A$500,$C15,'DADOS BRUTOS'!FO$3:FO$500)))</f>
        <v>0</v>
      </c>
      <c r="IP15" s="133" t="n">
        <f aca="false">IF(OR(IP$4="",$B15=""),0,SUMIF('DADOS BRUTOS'!$A$3:$A$500,$B15,'DADOS BRUTOS'!FP$3:FP$500)+IF($C15="",0,SUMIF('DADOS BRUTOS'!$A$3:$A$500,$C15,'DADOS BRUTOS'!FP$3:FP$500)))</f>
        <v>0</v>
      </c>
      <c r="IQ15" s="133" t="n">
        <f aca="false">IF(OR(IQ$4="",$B15=""),0,SUMIF('DADOS BRUTOS'!$A$3:$A$500,$B15,'DADOS BRUTOS'!FQ$3:FQ$500)+IF($C15="",0,SUMIF('DADOS BRUTOS'!$A$3:$A$500,$C15,'DADOS BRUTOS'!FQ$3:FQ$500)))</f>
        <v>0</v>
      </c>
      <c r="IR15" s="133" t="n">
        <f aca="false">IF(OR(IR$4="",$B15=""),0,SUMIF('DADOS BRUTOS'!$A$3:$A$500,$B15,'DADOS BRUTOS'!FR$3:FR$500)+IF($C15="",0,SUMIF('DADOS BRUTOS'!$A$3:$A$500,$C15,'DADOS BRUTOS'!FR$3:FR$500)))</f>
        <v>0</v>
      </c>
      <c r="IS15" s="133" t="n">
        <f aca="false">IF(OR(IS$4="",$B15=""),0,SUMIF('DADOS BRUTOS'!$A$3:$A$500,$B15,'DADOS BRUTOS'!FS$3:FS$500)+IF($C15="",0,SUMIF('DADOS BRUTOS'!$A$3:$A$500,$C15,'DADOS BRUTOS'!FS$3:FS$500)))</f>
        <v>0</v>
      </c>
      <c r="IT15" s="133" t="n">
        <f aca="false">IF(OR(IT$4="",$B15=""),0,SUMIF('DADOS BRUTOS'!$A$3:$A$500,$B15,'DADOS BRUTOS'!FT$3:FT$500)+IF($C15="",0,SUMIF('DADOS BRUTOS'!$A$3:$A$500,$C15,'DADOS BRUTOS'!FT$3:FT$500)))</f>
        <v>0</v>
      </c>
      <c r="IU15" s="133" t="n">
        <f aca="false">IF(OR(IU$4="",$B15=""),0,SUMIF('DADOS BRUTOS'!$A$3:$A$500,$B15,'DADOS BRUTOS'!FU$3:FU$500)+IF($C15="",0,SUMIF('DADOS BRUTOS'!$A$3:$A$500,$C15,'DADOS BRUTOS'!FU$3:FU$500)))</f>
        <v>0</v>
      </c>
      <c r="IV15" s="133" t="n">
        <f aca="false">IF(OR(IV$4="",$B15=""),0,SUMIF('DADOS BRUTOS'!$A$3:$A$500,$B15,'DADOS BRUTOS'!FV$3:FV$500)+IF($C15="",0,SUMIF('DADOS BRUTOS'!$A$3:$A$500,$C15,'DADOS BRUTOS'!FV$3:FV$500)))</f>
        <v>0</v>
      </c>
      <c r="IW15" s="133" t="n">
        <f aca="false">IF(OR(IW$4="",$B15=""),0,SUMIF('DADOS BRUTOS'!$A$3:$A$500,$B15,'DADOS BRUTOS'!FW$3:FW$500)+IF($C15="",0,SUMIF('DADOS BRUTOS'!$A$3:$A$500,$C15,'DADOS BRUTOS'!FW$3:FW$500)))</f>
        <v>0</v>
      </c>
      <c r="IX15" s="133" t="n">
        <f aca="false">IF(OR(IX$4="",$B15=""),0,SUMIF('DADOS BRUTOS'!$A$3:$A$500,$B15,'DADOS BRUTOS'!FX$3:FX$500)+IF($C15="",0,SUMIF('DADOS BRUTOS'!$A$3:$A$500,$C15,'DADOS BRUTOS'!FX$3:FX$500)))</f>
        <v>0</v>
      </c>
      <c r="IY15" s="133" t="n">
        <f aca="false">IF(OR(IY$4="",$B15=""),0,SUMIF('DADOS BRUTOS'!$A$3:$A$500,$B15,'DADOS BRUTOS'!FY$3:FY$500)+IF($C15="",0,SUMIF('DADOS BRUTOS'!$A$3:$A$500,$C15,'DADOS BRUTOS'!FY$3:FY$500)))</f>
        <v>0</v>
      </c>
      <c r="IZ15" s="133" t="n">
        <f aca="false">IF(OR(IZ$4="",$B15=""),0,SUMIF('DADOS BRUTOS'!$A$3:$A$500,$B15,'DADOS BRUTOS'!FZ$3:FZ$500)+IF($C15="",0,SUMIF('DADOS BRUTOS'!$A$3:$A$500,$C15,'DADOS BRUTOS'!FZ$3:FZ$500)))</f>
        <v>0</v>
      </c>
      <c r="JA15" s="133" t="n">
        <f aca="false">IF(OR(JA$4="",$B15=""),0,SUMIF('DADOS BRUTOS'!$A$3:$A$500,$B15,'DADOS BRUTOS'!GA$3:GA$500)+IF($C15="",0,SUMIF('DADOS BRUTOS'!$A$3:$A$500,$C15,'DADOS BRUTOS'!GA$3:GA$500)))</f>
        <v>0</v>
      </c>
      <c r="JB15" s="133" t="n">
        <f aca="false">IF(OR(JB$4="",$B15=""),0,SUMIF('DADOS BRUTOS'!$A$3:$A$500,$B15,'DADOS BRUTOS'!GB$3:GB$500)+IF($C15="",0,SUMIF('DADOS BRUTOS'!$A$3:$A$500,$C15,'DADOS BRUTOS'!GB$3:GB$500)))</f>
        <v>0</v>
      </c>
      <c r="JC15" s="133" t="n">
        <f aca="false">IF(OR(JC$4="",$B15=""),0,SUMIF('DADOS BRUTOS'!$A$3:$A$500,$B15,'DADOS BRUTOS'!GC$3:GC$500)+IF($C15="",0,SUMIF('DADOS BRUTOS'!$A$3:$A$500,$C15,'DADOS BRUTOS'!GC$3:GC$500)))</f>
        <v>0</v>
      </c>
      <c r="JD15" s="133" t="n">
        <f aca="false">IF(OR(JD$4="",$B15=""),0,SUMIF('DADOS BRUTOS'!$A$3:$A$500,$B15,'DADOS BRUTOS'!GD$3:GD$500)+IF($C15="",0,SUMIF('DADOS BRUTOS'!$A$3:$A$500,$C15,'DADOS BRUTOS'!GD$3:GD$500)))</f>
        <v>0</v>
      </c>
      <c r="JE15" s="133" t="n">
        <f aca="false">IF(OR(JE$4="",$B15=""),0,SUMIF('DADOS BRUTOS'!$A$3:$A$500,$B15,'DADOS BRUTOS'!GE$3:GE$500)+IF($C15="",0,SUMIF('DADOS BRUTOS'!$A$3:$A$500,$C15,'DADOS BRUTOS'!GE$3:GE$500)))</f>
        <v>0</v>
      </c>
      <c r="JF15" s="133" t="n">
        <f aca="false">IF(OR(JF$4="",$B15=""),0,SUMIF('DADOS BRUTOS'!$A$3:$A$500,$B15,'DADOS BRUTOS'!GF$3:GF$500)+IF($C15="",0,SUMIF('DADOS BRUTOS'!$A$3:$A$500,$C15,'DADOS BRUTOS'!GF$3:GF$500)))</f>
        <v>0</v>
      </c>
      <c r="JG15" s="133" t="n">
        <f aca="false">IF(OR(JG$4="",$B15=""),0,SUMIF('DADOS BRUTOS'!$A$3:$A$500,$B15,'DADOS BRUTOS'!GG$3:GG$500)+IF($C15="",0,SUMIF('DADOS BRUTOS'!$A$3:$A$500,$C15,'DADOS BRUTOS'!GG$3:GG$500)))</f>
        <v>0</v>
      </c>
      <c r="JH15" s="133" t="n">
        <f aca="false">IF(OR(JH$4="",$B15=""),0,SUMIF('DADOS BRUTOS'!$A$3:$A$500,$B15,'DADOS BRUTOS'!GH$3:GH$500)+IF($C15="",0,SUMIF('DADOS BRUTOS'!$A$3:$A$500,$C15,'DADOS BRUTOS'!GH$3:GH$500)))</f>
        <v>0</v>
      </c>
      <c r="JI15" s="133" t="n">
        <f aca="false">IF(OR(JI$4="",$B15=""),0,SUMIF('DADOS BRUTOS'!$A$3:$A$500,$B15,'DADOS BRUTOS'!GI$3:GI$500)+IF($C15="",0,SUMIF('DADOS BRUTOS'!$A$3:$A$500,$C15,'DADOS BRUTOS'!GI$3:GI$500)))</f>
        <v>0</v>
      </c>
      <c r="JJ15" s="133" t="n">
        <f aca="false">IF(OR(JJ$4="",$B15=""),0,SUMIF('DADOS BRUTOS'!$A$3:$A$500,$B15,'DADOS BRUTOS'!GJ$3:GJ$500)+IF($C15="",0,SUMIF('DADOS BRUTOS'!$A$3:$A$500,$C15,'DADOS BRUTOS'!GJ$3:GJ$500)))</f>
        <v>0</v>
      </c>
      <c r="JK15" s="133" t="n">
        <f aca="false">IF(OR(JK$4="",$B15=""),0,SUMIF('DADOS BRUTOS'!$A$3:$A$500,$B15,'DADOS BRUTOS'!GK$3:GK$500)+IF($C15="",0,SUMIF('DADOS BRUTOS'!$A$3:$A$500,$C15,'DADOS BRUTOS'!GK$3:GK$500)))</f>
        <v>0</v>
      </c>
      <c r="JL15" s="133" t="n">
        <f aca="false">IF(OR(JL$4="",$B15=""),0,SUMIF('DADOS BRUTOS'!$A$3:$A$500,$B15,'DADOS BRUTOS'!GL$3:GL$500)+IF($C15="",0,SUMIF('DADOS BRUTOS'!$A$3:$A$500,$C15,'DADOS BRUTOS'!GL$3:GL$500)))</f>
        <v>0</v>
      </c>
      <c r="JM15" s="133" t="n">
        <f aca="false">IF(OR(JM$4="",$B15=""),0,SUMIF('DADOS BRUTOS'!$A$3:$A$500,$B15,'DADOS BRUTOS'!GM$3:GM$500)+IF($C15="",0,SUMIF('DADOS BRUTOS'!$A$3:$A$500,$C15,'DADOS BRUTOS'!GM$3:GM$500)))</f>
        <v>0</v>
      </c>
      <c r="JN15" s="133" t="n">
        <f aca="false">IF(OR(JN$4="",$B15=""),0,SUMIF('DADOS BRUTOS'!$A$3:$A$500,$B15,'DADOS BRUTOS'!GN$3:GN$500)+IF($C15="",0,SUMIF('DADOS BRUTOS'!$A$3:$A$500,$C15,'DADOS BRUTOS'!GN$3:GN$500)))</f>
        <v>0</v>
      </c>
      <c r="JO15" s="133" t="n">
        <f aca="false">IF(OR(JO$4="",$B15=""),0,SUMIF('DADOS BRUTOS'!$A$3:$A$500,$B15,'DADOS BRUTOS'!GO$3:GO$500)+IF($C15="",0,SUMIF('DADOS BRUTOS'!$A$3:$A$500,$C15,'DADOS BRUTOS'!GO$3:GO$500)))</f>
        <v>0</v>
      </c>
      <c r="JP15" s="133" t="n">
        <f aca="false">IF(OR(JP$4="",$B15=""),0,SUMIF('DADOS BRUTOS'!$A$3:$A$500,$B15,'DADOS BRUTOS'!GP$3:GP$500)+IF($C15="",0,SUMIF('DADOS BRUTOS'!$A$3:$A$500,$C15,'DADOS BRUTOS'!GP$3:GP$500)))</f>
        <v>0</v>
      </c>
      <c r="JQ15" s="133" t="n">
        <f aca="false">IF(OR(JQ$4="",$B15=""),0,SUMIF('DADOS BRUTOS'!$A$3:$A$500,$B15,'DADOS BRUTOS'!GQ$3:GQ$500)+IF($C15="",0,SUMIF('DADOS BRUTOS'!$A$3:$A$500,$C15,'DADOS BRUTOS'!GQ$3:GQ$500)))</f>
        <v>0</v>
      </c>
      <c r="JR15" s="133" t="n">
        <f aca="false">IF(OR(JR$4="",$B15=""),0,SUMIF('DADOS BRUTOS'!$A$3:$A$500,$B15,'DADOS BRUTOS'!GR$3:GR$500)+IF($C15="",0,SUMIF('DADOS BRUTOS'!$A$3:$A$500,$C15,'DADOS BRUTOS'!GR$3:GR$500)))</f>
        <v>0</v>
      </c>
      <c r="JS15" s="133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0</v>
      </c>
      <c r="E16" s="50" t="n">
        <f aca="false">SUMIF($CB$4:$JS$4,E$4,$CB16:$JS16)</f>
        <v>0</v>
      </c>
      <c r="F16" s="50" t="n">
        <f aca="false">SUMIF($CB$4:$JS$4,F$4,$CB16:$JS16)</f>
        <v>0</v>
      </c>
      <c r="G16" s="50" t="n">
        <f aca="false">SUMIF($CB$4:$JS$4,G$4,$CB16:$JS16)</f>
        <v>0</v>
      </c>
      <c r="H16" s="50" t="n">
        <f aca="false">SUMIF($CB$4:$JS$4,H$4,$CB16:$JS16)</f>
        <v>0</v>
      </c>
      <c r="I16" s="50" t="n">
        <f aca="false">SUMIF($CB$4:$JS$4,I$4,$CB16:$JS16)</f>
        <v>0</v>
      </c>
      <c r="J16" s="50" t="n">
        <f aca="false">SUMIF($CB$4:$JS$4,J$4,$CB16:$JS16)</f>
        <v>29688.12</v>
      </c>
      <c r="K16" s="50" t="n">
        <f aca="false">SUMIF($CB$4:$JS$4,K$4,$CB16:$JS16)</f>
        <v>5465.88</v>
      </c>
      <c r="L16" s="50" t="n">
        <f aca="false">SUMIF($CB$4:$JS$4,L$4,$CB16:$JS16)</f>
        <v>0</v>
      </c>
      <c r="M16" s="50" t="n">
        <f aca="false">SUMIF($CB$4:$JS$4,M$4,$CB16:$JS16)</f>
        <v>15003.12</v>
      </c>
      <c r="N16" s="50" t="n">
        <f aca="false">SUMIF($CB$4:$JS$4,N$4,$CB16:$JS16)</f>
        <v>8525.88</v>
      </c>
      <c r="O16" s="50" t="n">
        <f aca="false">SUMIF($CB$4:$JS$4,O$4,$CB16:$JS16)</f>
        <v>9755.94</v>
      </c>
      <c r="P16" s="50" t="n">
        <f aca="false">SUMIF($CB$4:$JS$4,P$4,$CB16:$JS16)</f>
        <v>13712.62</v>
      </c>
      <c r="Q16" s="50" t="n">
        <f aca="false">SUMIF($CB$4:$JS$4,Q$4,$CB16:$JS16)</f>
        <v>9641.44</v>
      </c>
      <c r="R16" s="50" t="n">
        <f aca="false">SUMIF($CB$4:$JS$4,R$4,$CB16:$JS16)</f>
        <v>1604.07</v>
      </c>
      <c r="S16" s="50" t="n">
        <f aca="false">SUMIF($CB$4:$JS$4,S$4,$CB16:$JS16)</f>
        <v>10302.97</v>
      </c>
      <c r="T16" s="50" t="n">
        <f aca="false">SUMIF($CB$4:$JS$4,T$4,$CB16:$JS16)</f>
        <v>3859.6</v>
      </c>
      <c r="U16" s="50" t="n">
        <f aca="false">SUMIF($CB$4:$JS$4,U$4,$CB16:$JS16)</f>
        <v>140.4</v>
      </c>
      <c r="V16" s="50" t="n">
        <f aca="false">SUMIF($CB$4:$JS$4,V$4,$CB16:$JS16)</f>
        <v>665</v>
      </c>
      <c r="W16" s="50" t="n">
        <f aca="false">SUMIF($CB$4:$JS$4,W$4,$CB16:$JS16)</f>
        <v>0</v>
      </c>
      <c r="X16" s="50" t="n">
        <f aca="false">SUMIF($CB$4:$JS$4,X$4,$CB16:$JS16)</f>
        <v>0</v>
      </c>
      <c r="Y16" s="50" t="n">
        <f aca="false">SUMIF($CB$4:$JS$4,Y$4,$CB16:$JS16)</f>
        <v>0</v>
      </c>
      <c r="Z16" s="50" t="n">
        <f aca="false">SUMIF($CB$4:$JS$4,Z$4,$CB16:$JS16)</f>
        <v>0</v>
      </c>
      <c r="AA16" s="50" t="n">
        <f aca="false">SUMIF($CB$4:$JS$4,AA$4,$CB16:$JS16)</f>
        <v>3801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0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0</v>
      </c>
      <c r="AM16" s="50" t="n">
        <f aca="false">SUMIF($CB$4:$JS$4,AM$4,$CB16:$JS16)</f>
        <v>0</v>
      </c>
      <c r="AN16" s="50" t="n">
        <f aca="false">SUMIF($CB$4:$JS$4,AN$4,$CB16:$JS16)</f>
        <v>2905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115071.04</v>
      </c>
      <c r="BZ16" s="45" t="n">
        <f aca="false">SUMPRODUCT(($CB$4:$JS$4&lt;&gt;"")*($CB$4:$JS$4&lt;=$D$4),$CB16:$JS16,$CB$1:$JS$1)</f>
        <v>0</v>
      </c>
      <c r="CB16" s="133" t="n">
        <f aca="false">IF(OR(CB$4="",$B16=""),0,SUMIF('DADOS BRUTOS'!$A$3:$A$500,$B16,'DADOS BRUTOS'!B$3:B$500)+IF($C16="",0,SUMIF('DADOS BRUTOS'!$A$3:$A$500,$C16,'DADOS BRUTOS'!B$3:B$500)))</f>
        <v>0</v>
      </c>
      <c r="CC16" s="133" t="n">
        <f aca="false">IF(OR(CC$4="",$B16=""),0,SUMIF('DADOS BRUTOS'!$A$3:$A$500,$B16,'DADOS BRUTOS'!C$3:C$500)+IF($C16="",0,SUMIF('DADOS BRUTOS'!$A$3:$A$500,$C16,'DADOS BRUTOS'!C$3:C$500)))</f>
        <v>0</v>
      </c>
      <c r="CD16" s="133" t="n">
        <f aca="false">IF(OR(CD$4="",$B16=""),0,SUMIF('DADOS BRUTOS'!$A$3:$A$500,$B16,'DADOS BRUTOS'!D$3:D$500)+IF($C16="",0,SUMIF('DADOS BRUTOS'!$A$3:$A$500,$C16,'DADOS BRUTOS'!D$3:D$500)))</f>
        <v>0</v>
      </c>
      <c r="CE16" s="133" t="n">
        <f aca="false">IF(OR(CE$4="",$B16=""),0,SUMIF('DADOS BRUTOS'!$A$3:$A$500,$B16,'DADOS BRUTOS'!E$3:E$500)+IF($C16="",0,SUMIF('DADOS BRUTOS'!$A$3:$A$500,$C16,'DADOS BRUTOS'!E$3:E$500)))</f>
        <v>0</v>
      </c>
      <c r="CF16" s="133" t="n">
        <f aca="false">IF(OR(CF$4="",$B16=""),0,SUMIF('DADOS BRUTOS'!$A$3:$A$500,$B16,'DADOS BRUTOS'!F$3:F$500)+IF($C16="",0,SUMIF('DADOS BRUTOS'!$A$3:$A$500,$C16,'DADOS BRUTOS'!F$3:F$500)))</f>
        <v>0</v>
      </c>
      <c r="CG16" s="133" t="n">
        <f aca="false">IF(OR(CG$4="",$B16=""),0,SUMIF('DADOS BRUTOS'!$A$3:$A$500,$B16,'DADOS BRUTOS'!G$3:G$500)+IF($C16="",0,SUMIF('DADOS BRUTOS'!$A$3:$A$500,$C16,'DADOS BRUTOS'!G$3:G$500)))</f>
        <v>0</v>
      </c>
      <c r="CH16" s="133" t="n">
        <f aca="false">IF(OR(CH$4="",$B16=""),0,SUMIF('DADOS BRUTOS'!$A$3:$A$500,$B16,'DADOS BRUTOS'!H$3:H$500)+IF($C16="",0,SUMIF('DADOS BRUTOS'!$A$3:$A$500,$C16,'DADOS BRUTOS'!H$3:H$500)))</f>
        <v>0</v>
      </c>
      <c r="CI16" s="133" t="n">
        <f aca="false">IF(OR(CI$4="",$B16=""),0,SUMIF('DADOS BRUTOS'!$A$3:$A$500,$B16,'DADOS BRUTOS'!I$3:I$500)+IF($C16="",0,SUMIF('DADOS BRUTOS'!$A$3:$A$500,$C16,'DADOS BRUTOS'!I$3:I$500)))</f>
        <v>0</v>
      </c>
      <c r="CJ16" s="133" t="n">
        <f aca="false">IF(OR(CJ$4="",$B16=""),0,SUMIF('DADOS BRUTOS'!$A$3:$A$500,$B16,'DADOS BRUTOS'!J$3:J$500)+IF($C16="",0,SUMIF('DADOS BRUTOS'!$A$3:$A$500,$C16,'DADOS BRUTOS'!J$3:J$500)))</f>
        <v>0</v>
      </c>
      <c r="CK16" s="133" t="n">
        <f aca="false">IF(OR(CK$4="",$B16=""),0,SUMIF('DADOS BRUTOS'!$A$3:$A$500,$B16,'DADOS BRUTOS'!K$3:K$500)+IF($C16="",0,SUMIF('DADOS BRUTOS'!$A$3:$A$500,$C16,'DADOS BRUTOS'!K$3:K$500)))</f>
        <v>0</v>
      </c>
      <c r="CL16" s="133" t="n">
        <f aca="false">IF(OR(CL$4="",$B16=""),0,SUMIF('DADOS BRUTOS'!$A$3:$A$500,$B16,'DADOS BRUTOS'!L$3:L$500)+IF($C16="",0,SUMIF('DADOS BRUTOS'!$A$3:$A$500,$C16,'DADOS BRUTOS'!L$3:L$500)))</f>
        <v>0</v>
      </c>
      <c r="CM16" s="133" t="n">
        <f aca="false">IF(OR(CM$4="",$B16=""),0,SUMIF('DADOS BRUTOS'!$A$3:$A$500,$B16,'DADOS BRUTOS'!M$3:M$500)+IF($C16="",0,SUMIF('DADOS BRUTOS'!$A$3:$A$500,$C16,'DADOS BRUTOS'!M$3:M$500)))</f>
        <v>0</v>
      </c>
      <c r="CN16" s="133" t="n">
        <f aca="false">IF(OR(CN$4="",$B16=""),0,SUMIF('DADOS BRUTOS'!$A$3:$A$500,$B16,'DADOS BRUTOS'!N$3:N$500)+IF($C16="",0,SUMIF('DADOS BRUTOS'!$A$3:$A$500,$C16,'DADOS BRUTOS'!N$3:N$500)))</f>
        <v>0</v>
      </c>
      <c r="CO16" s="133" t="n">
        <f aca="false">IF(OR(CO$4="",$B16=""),0,SUMIF('DADOS BRUTOS'!$A$3:$A$500,$B16,'DADOS BRUTOS'!O$3:O$500)+IF($C16="",0,SUMIF('DADOS BRUTOS'!$A$3:$A$500,$C16,'DADOS BRUTOS'!O$3:O$500)))</f>
        <v>0</v>
      </c>
      <c r="CP16" s="133" t="n">
        <f aca="false">IF(OR(CP$4="",$B16=""),0,SUMIF('DADOS BRUTOS'!$A$3:$A$500,$B16,'DADOS BRUTOS'!P$3:P$500)+IF($C16="",0,SUMIF('DADOS BRUTOS'!$A$3:$A$500,$C16,'DADOS BRUTOS'!P$3:P$500)))</f>
        <v>0</v>
      </c>
      <c r="CQ16" s="133" t="n">
        <f aca="false">IF(OR(CQ$4="",$B16=""),0,SUMIF('DADOS BRUTOS'!$A$3:$A$500,$B16,'DADOS BRUTOS'!Q$3:Q$500)+IF($C16="",0,SUMIF('DADOS BRUTOS'!$A$3:$A$500,$C16,'DADOS BRUTOS'!Q$3:Q$500)))</f>
        <v>0</v>
      </c>
      <c r="CR16" s="133" t="n">
        <f aca="false">IF(OR(CR$4="",$B16=""),0,SUMIF('DADOS BRUTOS'!$A$3:$A$500,$B16,'DADOS BRUTOS'!R$3:R$500)+IF($C16="",0,SUMIF('DADOS BRUTOS'!$A$3:$A$500,$C16,'DADOS BRUTOS'!R$3:R$500)))</f>
        <v>0</v>
      </c>
      <c r="CS16" s="133" t="n">
        <f aca="false">IF(OR(CS$4="",$B16=""),0,SUMIF('DADOS BRUTOS'!$A$3:$A$500,$B16,'DADOS BRUTOS'!S$3:S$500)+IF($C16="",0,SUMIF('DADOS BRUTOS'!$A$3:$A$500,$C16,'DADOS BRUTOS'!S$3:S$500)))</f>
        <v>0</v>
      </c>
      <c r="CT16" s="133" t="n">
        <f aca="false">IF(OR(CT$4="",$B16=""),0,SUMIF('DADOS BRUTOS'!$A$3:$A$500,$B16,'DADOS BRUTOS'!T$3:T$500)+IF($C16="",0,SUMIF('DADOS BRUTOS'!$A$3:$A$500,$C16,'DADOS BRUTOS'!T$3:T$500)))</f>
        <v>29688.12</v>
      </c>
      <c r="CU16" s="133" t="n">
        <f aca="false">IF(OR(CU$4="",$B16=""),0,SUMIF('DADOS BRUTOS'!$A$3:$A$500,$B16,'DADOS BRUTOS'!U$3:U$500)+IF($C16="",0,SUMIF('DADOS BRUTOS'!$A$3:$A$500,$C16,'DADOS BRUTOS'!U$3:U$500)))</f>
        <v>5465.88</v>
      </c>
      <c r="CV16" s="133" t="n">
        <f aca="false">IF(OR(CV$4="",$B16=""),0,SUMIF('DADOS BRUTOS'!$A$3:$A$500,$B16,'DADOS BRUTOS'!V$3:V$500)+IF($C16="",0,SUMIF('DADOS BRUTOS'!$A$3:$A$500,$C16,'DADOS BRUTOS'!V$3:V$500)))</f>
        <v>0</v>
      </c>
      <c r="CW16" s="133" t="n">
        <f aca="false">IF(OR(CW$4="",$B16=""),0,SUMIF('DADOS BRUTOS'!$A$3:$A$500,$B16,'DADOS BRUTOS'!W$3:W$500)+IF($C16="",0,SUMIF('DADOS BRUTOS'!$A$3:$A$500,$C16,'DADOS BRUTOS'!W$3:W$500)))</f>
        <v>15003.12</v>
      </c>
      <c r="CX16" s="133" t="n">
        <f aca="false">IF(OR(CX$4="",$B16=""),0,SUMIF('DADOS BRUTOS'!$A$3:$A$500,$B16,'DADOS BRUTOS'!X$3:X$500)+IF($C16="",0,SUMIF('DADOS BRUTOS'!$A$3:$A$500,$C16,'DADOS BRUTOS'!X$3:X$500)))</f>
        <v>8525.88</v>
      </c>
      <c r="CY16" s="133" t="n">
        <f aca="false">IF(OR(CY$4="",$B16=""),0,SUMIF('DADOS BRUTOS'!$A$3:$A$500,$B16,'DADOS BRUTOS'!Y$3:Y$500)+IF($C16="",0,SUMIF('DADOS BRUTOS'!$A$3:$A$500,$C16,'DADOS BRUTOS'!Y$3:Y$500)))</f>
        <v>9755.94</v>
      </c>
      <c r="CZ16" s="133" t="n">
        <f aca="false">IF(OR(CZ$4="",$B16=""),0,SUMIF('DADOS BRUTOS'!$A$3:$A$500,$B16,'DADOS BRUTOS'!Z$3:Z$500)+IF($C16="",0,SUMIF('DADOS BRUTOS'!$A$3:$A$500,$C16,'DADOS BRUTOS'!Z$3:Z$500)))</f>
        <v>13712.62</v>
      </c>
      <c r="DA16" s="133" t="n">
        <f aca="false">IF(OR(DA$4="",$B16=""),0,SUMIF('DADOS BRUTOS'!$A$3:$A$500,$B16,'DADOS BRUTOS'!AA$3:AA$500)+IF($C16="",0,SUMIF('DADOS BRUTOS'!$A$3:$A$500,$C16,'DADOS BRUTOS'!AA$3:AA$500)))</f>
        <v>9641.44</v>
      </c>
      <c r="DB16" s="133" t="n">
        <f aca="false">IF(OR(DB$4="",$B16=""),0,SUMIF('DADOS BRUTOS'!$A$3:$A$500,$B16,'DADOS BRUTOS'!AB$3:AB$500)+IF($C16="",0,SUMIF('DADOS BRUTOS'!$A$3:$A$500,$C16,'DADOS BRUTOS'!AB$3:AB$500)))</f>
        <v>1604.07</v>
      </c>
      <c r="DC16" s="133" t="n">
        <f aca="false">IF(OR(DC$4="",$B16=""),0,SUMIF('DADOS BRUTOS'!$A$3:$A$500,$B16,'DADOS BRUTOS'!AC$3:AC$500)+IF($C16="",0,SUMIF('DADOS BRUTOS'!$A$3:$A$500,$C16,'DADOS BRUTOS'!AC$3:AC$500)))</f>
        <v>10302.97</v>
      </c>
      <c r="DD16" s="133" t="n">
        <f aca="false">IF(OR(DD$4="",$B16=""),0,SUMIF('DADOS BRUTOS'!$A$3:$A$500,$B16,'DADOS BRUTOS'!AD$3:AD$500)+IF($C16="",0,SUMIF('DADOS BRUTOS'!$A$3:$A$500,$C16,'DADOS BRUTOS'!AD$3:AD$500)))</f>
        <v>3859.6</v>
      </c>
      <c r="DE16" s="133" t="n">
        <f aca="false">IF(OR(DE$4="",$B16=""),0,SUMIF('DADOS BRUTOS'!$A$3:$A$500,$B16,'DADOS BRUTOS'!AE$3:AE$500)+IF($C16="",0,SUMIF('DADOS BRUTOS'!$A$3:$A$500,$C16,'DADOS BRUTOS'!AE$3:AE$500)))</f>
        <v>140.4</v>
      </c>
      <c r="DF16" s="133" t="n">
        <f aca="false">IF(OR(DF$4="",$B16=""),0,SUMIF('DADOS BRUTOS'!$A$3:$A$500,$B16,'DADOS BRUTOS'!AF$3:AF$500)+IF($C16="",0,SUMIF('DADOS BRUTOS'!$A$3:$A$500,$C16,'DADOS BRUTOS'!AF$3:AF$500)))</f>
        <v>665</v>
      </c>
      <c r="DG16" s="133" t="n">
        <f aca="false">IF(OR(DG$4="",$B16=""),0,SUMIF('DADOS BRUTOS'!$A$3:$A$500,$B16,'DADOS BRUTOS'!AG$3:AG$500)+IF($C16="",0,SUMIF('DADOS BRUTOS'!$A$3:$A$500,$C16,'DADOS BRUTOS'!AG$3:AG$500)))</f>
        <v>0</v>
      </c>
      <c r="DH16" s="133" t="n">
        <f aca="false">IF(OR(DH$4="",$B16=""),0,SUMIF('DADOS BRUTOS'!$A$3:$A$500,$B16,'DADOS BRUTOS'!AH$3:AH$500)+IF($C16="",0,SUMIF('DADOS BRUTOS'!$A$3:$A$500,$C16,'DADOS BRUTOS'!AH$3:AH$500)))</f>
        <v>0</v>
      </c>
      <c r="DI16" s="133" t="n">
        <f aca="false">IF(OR(DI$4="",$B16=""),0,SUMIF('DADOS BRUTOS'!$A$3:$A$500,$B16,'DADOS BRUTOS'!AI$3:AI$500)+IF($C16="",0,SUMIF('DADOS BRUTOS'!$A$3:$A$500,$C16,'DADOS BRUTOS'!AI$3:AI$500)))</f>
        <v>0</v>
      </c>
      <c r="DJ16" s="133" t="n">
        <f aca="false">IF(OR(DJ$4="",$B16=""),0,SUMIF('DADOS BRUTOS'!$A$3:$A$500,$B16,'DADOS BRUTOS'!AJ$3:AJ$500)+IF($C16="",0,SUMIF('DADOS BRUTOS'!$A$3:$A$500,$C16,'DADOS BRUTOS'!AJ$3:AJ$500)))</f>
        <v>0</v>
      </c>
      <c r="DK16" s="133" t="n">
        <f aca="false">IF(OR(DK$4="",$B16=""),0,SUMIF('DADOS BRUTOS'!$A$3:$A$500,$B16,'DADOS BRUTOS'!AK$3:AK$500)+IF($C16="",0,SUMIF('DADOS BRUTOS'!$A$3:$A$500,$C16,'DADOS BRUTOS'!AK$3:AK$500)))</f>
        <v>3801</v>
      </c>
      <c r="DL16" s="133" t="n">
        <f aca="false">IF(OR(DL$4="",$B16=""),0,SUMIF('DADOS BRUTOS'!$A$3:$A$500,$B16,'DADOS BRUTOS'!AL$3:AL$500)+IF($C16="",0,SUMIF('DADOS BRUTOS'!$A$3:$A$500,$C16,'DADOS BRUTOS'!AL$3:AL$500)))</f>
        <v>0</v>
      </c>
      <c r="DM16" s="133" t="n">
        <f aca="false">IF(OR(DM$4="",$B16=""),0,SUMIF('DADOS BRUTOS'!$A$3:$A$500,$B16,'DADOS BRUTOS'!AM$3:AM$500)+IF($C16="",0,SUMIF('DADOS BRUTOS'!$A$3:$A$500,$C16,'DADOS BRUTOS'!AM$3:AM$500)))</f>
        <v>0</v>
      </c>
      <c r="DN16" s="133" t="n">
        <f aca="false">IF(OR(DN$4="",$B16=""),0,SUMIF('DADOS BRUTOS'!$A$3:$A$500,$B16,'DADOS BRUTOS'!AN$3:AN$500)+IF($C16="",0,SUMIF('DADOS BRUTOS'!$A$3:$A$500,$C16,'DADOS BRUTOS'!AN$3:AN$500)))</f>
        <v>0</v>
      </c>
      <c r="DO16" s="133" t="n">
        <f aca="false">IF(OR(DO$4="",$B16=""),0,SUMIF('DADOS BRUTOS'!$A$3:$A$500,$B16,'DADOS BRUTOS'!AO$3:AO$500)+IF($C16="",0,SUMIF('DADOS BRUTOS'!$A$3:$A$500,$C16,'DADOS BRUTOS'!AO$3:AO$500)))</f>
        <v>0</v>
      </c>
      <c r="DP16" s="133" t="n">
        <f aca="false">IF(OR(DP$4="",$B16=""),0,SUMIF('DADOS BRUTOS'!$A$3:$A$500,$B16,'DADOS BRUTOS'!AP$3:AP$500)+IF($C16="",0,SUMIF('DADOS BRUTOS'!$A$3:$A$500,$C16,'DADOS BRUTOS'!AP$3:AP$500)))</f>
        <v>0</v>
      </c>
      <c r="DQ16" s="133" t="n">
        <f aca="false">IF(OR(DQ$4="",$B16=""),0,SUMIF('DADOS BRUTOS'!$A$3:$A$500,$B16,'DADOS BRUTOS'!AQ$3:AQ$500)+IF($C16="",0,SUMIF('DADOS BRUTOS'!$A$3:$A$500,$C16,'DADOS BRUTOS'!AQ$3:AQ$500)))</f>
        <v>0</v>
      </c>
      <c r="DR16" s="133" t="n">
        <f aca="false">IF(OR(DR$4="",$B16=""),0,SUMIF('DADOS BRUTOS'!$A$3:$A$500,$B16,'DADOS BRUTOS'!AR$3:AR$500)+IF($C16="",0,SUMIF('DADOS BRUTOS'!$A$3:$A$500,$C16,'DADOS BRUTOS'!AR$3:AR$500)))</f>
        <v>0</v>
      </c>
      <c r="DS16" s="133" t="n">
        <f aca="false">IF(OR(DS$4="",$B16=""),0,SUMIF('DADOS BRUTOS'!$A$3:$A$500,$B16,'DADOS BRUTOS'!AS$3:AS$500)+IF($C16="",0,SUMIF('DADOS BRUTOS'!$A$3:$A$500,$C16,'DADOS BRUTOS'!AS$3:AS$500)))</f>
        <v>0</v>
      </c>
      <c r="DT16" s="133" t="n">
        <f aca="false">IF(OR(DT$4="",$B16=""),0,SUMIF('DADOS BRUTOS'!$A$3:$A$500,$B16,'DADOS BRUTOS'!AT$3:AT$500)+IF($C16="",0,SUMIF('DADOS BRUTOS'!$A$3:$A$500,$C16,'DADOS BRUTOS'!AT$3:AT$500)))</f>
        <v>0</v>
      </c>
      <c r="DU16" s="133" t="n">
        <f aca="false">IF(OR(DU$4="",$B16=""),0,SUMIF('DADOS BRUTOS'!$A$3:$A$500,$B16,'DADOS BRUTOS'!AU$3:AU$500)+IF($C16="",0,SUMIF('DADOS BRUTOS'!$A$3:$A$500,$C16,'DADOS BRUTOS'!AU$3:AU$500)))</f>
        <v>0</v>
      </c>
      <c r="DV16" s="133" t="n">
        <f aca="false">IF(OR(DV$4="",$B16=""),0,SUMIF('DADOS BRUTOS'!$A$3:$A$500,$B16,'DADOS BRUTOS'!AV$3:AV$500)+IF($C16="",0,SUMIF('DADOS BRUTOS'!$A$3:$A$500,$C16,'DADOS BRUTOS'!AV$3:AV$500)))</f>
        <v>0</v>
      </c>
      <c r="DW16" s="133" t="n">
        <f aca="false">IF(OR(DW$4="",$B16=""),0,SUMIF('DADOS BRUTOS'!$A$3:$A$500,$B16,'DADOS BRUTOS'!AW$3:AW$500)+IF($C16="",0,SUMIF('DADOS BRUTOS'!$A$3:$A$500,$C16,'DADOS BRUTOS'!AW$3:AW$500)))</f>
        <v>0</v>
      </c>
      <c r="DX16" s="133" t="n">
        <f aca="false">IF(OR(DX$4="",$B16=""),0,SUMIF('DADOS BRUTOS'!$A$3:$A$500,$B16,'DADOS BRUTOS'!AX$3:AX$500)+IF($C16="",0,SUMIF('DADOS BRUTOS'!$A$3:$A$500,$C16,'DADOS BRUTOS'!AX$3:AX$500)))</f>
        <v>2905</v>
      </c>
      <c r="DY16" s="133" t="n">
        <f aca="false">IF(OR(DY$4="",$B16=""),0,SUMIF('DADOS BRUTOS'!$A$3:$A$500,$B16,'DADOS BRUTOS'!AY$3:AY$500)+IF($C16="",0,SUMIF('DADOS BRUTOS'!$A$3:$A$500,$C16,'DADOS BRUTOS'!AY$3:AY$500)))</f>
        <v>0</v>
      </c>
      <c r="DZ16" s="133" t="n">
        <f aca="false">IF(OR(DZ$4="",$B16=""),0,SUMIF('DADOS BRUTOS'!$A$3:$A$500,$B16,'DADOS BRUTOS'!AZ$3:AZ$500)+IF($C16="",0,SUMIF('DADOS BRUTOS'!$A$3:$A$500,$C16,'DADOS BRUTOS'!AZ$3:AZ$500)))</f>
        <v>0</v>
      </c>
      <c r="EA16" s="133" t="n">
        <f aca="false">IF(OR(EA$4="",$B16=""),0,SUMIF('DADOS BRUTOS'!$A$3:$A$500,$B16,'DADOS BRUTOS'!BA$3:BA$500)+IF($C16="",0,SUMIF('DADOS BRUTOS'!$A$3:$A$500,$C16,'DADOS BRUTOS'!BA$3:BA$500)))</f>
        <v>0</v>
      </c>
      <c r="EB16" s="133" t="n">
        <f aca="false">IF(OR(EB$4="",$B16=""),0,SUMIF('DADOS BRUTOS'!$A$3:$A$500,$B16,'DADOS BRUTOS'!BB$3:BB$500)+IF($C16="",0,SUMIF('DADOS BRUTOS'!$A$3:$A$500,$C16,'DADOS BRUTOS'!BB$3:BB$500)))</f>
        <v>0</v>
      </c>
      <c r="EC16" s="133" t="n">
        <f aca="false">IF(OR(EC$4="",$B16=""),0,SUMIF('DADOS BRUTOS'!$A$3:$A$500,$B16,'DADOS BRUTOS'!BC$3:BC$500)+IF($C16="",0,SUMIF('DADOS BRUTOS'!$A$3:$A$500,$C16,'DADOS BRUTOS'!BC$3:BC$500)))</f>
        <v>0</v>
      </c>
      <c r="ED16" s="133" t="n">
        <f aca="false">IF(OR(ED$4="",$B16=""),0,SUMIF('DADOS BRUTOS'!$A$3:$A$500,$B16,'DADOS BRUTOS'!BD$3:BD$500)+IF($C16="",0,SUMIF('DADOS BRUTOS'!$A$3:$A$500,$C16,'DADOS BRUTOS'!BD$3:BD$500)))</f>
        <v>0</v>
      </c>
      <c r="EE16" s="133" t="n">
        <f aca="false">IF(OR(EE$4="",$B16=""),0,SUMIF('DADOS BRUTOS'!$A$3:$A$500,$B16,'DADOS BRUTOS'!BE$3:BE$500)+IF($C16="",0,SUMIF('DADOS BRUTOS'!$A$3:$A$500,$C16,'DADOS BRUTOS'!BE$3:BE$500)))</f>
        <v>0</v>
      </c>
      <c r="EF16" s="133" t="n">
        <f aca="false">IF(OR(EF$4="",$B16=""),0,SUMIF('DADOS BRUTOS'!$A$3:$A$500,$B16,'DADOS BRUTOS'!BF$3:BF$500)+IF($C16="",0,SUMIF('DADOS BRUTOS'!$A$3:$A$500,$C16,'DADOS BRUTOS'!BF$3:BF$500)))</f>
        <v>0</v>
      </c>
      <c r="EG16" s="133" t="n">
        <f aca="false">IF(OR(EG$4="",$B16=""),0,SUMIF('DADOS BRUTOS'!$A$3:$A$500,$B16,'DADOS BRUTOS'!BG$3:BG$500)+IF($C16="",0,SUMIF('DADOS BRUTOS'!$A$3:$A$500,$C16,'DADOS BRUTOS'!BG$3:BG$500)))</f>
        <v>0</v>
      </c>
      <c r="EH16" s="133" t="n">
        <f aca="false">IF(OR(EH$4="",$B16=""),0,SUMIF('DADOS BRUTOS'!$A$3:$A$500,$B16,'DADOS BRUTOS'!BH$3:BH$500)+IF($C16="",0,SUMIF('DADOS BRUTOS'!$A$3:$A$500,$C16,'DADOS BRUTOS'!BH$3:BH$500)))</f>
        <v>0</v>
      </c>
      <c r="EI16" s="133" t="n">
        <f aca="false">IF(OR(EI$4="",$B16=""),0,SUMIF('DADOS BRUTOS'!$A$3:$A$500,$B16,'DADOS BRUTOS'!BI$3:BI$500)+IF($C16="",0,SUMIF('DADOS BRUTOS'!$A$3:$A$500,$C16,'DADOS BRUTOS'!BI$3:BI$500)))</f>
        <v>0</v>
      </c>
      <c r="EJ16" s="133" t="n">
        <f aca="false">IF(OR(EJ$4="",$B16=""),0,SUMIF('DADOS BRUTOS'!$A$3:$A$500,$B16,'DADOS BRUTOS'!BJ$3:BJ$500)+IF($C16="",0,SUMIF('DADOS BRUTOS'!$A$3:$A$500,$C16,'DADOS BRUTOS'!BJ$3:BJ$500)))</f>
        <v>0</v>
      </c>
      <c r="EK16" s="133" t="n">
        <f aca="false">IF(OR(EK$4="",$B16=""),0,SUMIF('DADOS BRUTOS'!$A$3:$A$500,$B16,'DADOS BRUTOS'!BK$3:BK$500)+IF($C16="",0,SUMIF('DADOS BRUTOS'!$A$3:$A$500,$C16,'DADOS BRUTOS'!BK$3:BK$500)))</f>
        <v>0</v>
      </c>
      <c r="EL16" s="133" t="n">
        <f aca="false">IF(OR(EL$4="",$B16=""),0,SUMIF('DADOS BRUTOS'!$A$3:$A$500,$B16,'DADOS BRUTOS'!BL$3:BL$500)+IF($C16="",0,SUMIF('DADOS BRUTOS'!$A$3:$A$500,$C16,'DADOS BRUTOS'!BL$3:BL$500)))</f>
        <v>0</v>
      </c>
      <c r="EM16" s="133" t="n">
        <f aca="false">IF(OR(EM$4="",$B16=""),0,SUMIF('DADOS BRUTOS'!$A$3:$A$500,$B16,'DADOS BRUTOS'!BM$3:BM$500)+IF($C16="",0,SUMIF('DADOS BRUTOS'!$A$3:$A$500,$C16,'DADOS BRUTOS'!BM$3:BM$500)))</f>
        <v>0</v>
      </c>
      <c r="EN16" s="133" t="n">
        <f aca="false">IF(OR(EN$4="",$B16=""),0,SUMIF('DADOS BRUTOS'!$A$3:$A$500,$B16,'DADOS BRUTOS'!BN$3:BN$500)+IF($C16="",0,SUMIF('DADOS BRUTOS'!$A$3:$A$500,$C16,'DADOS BRUTOS'!BN$3:BN$500)))</f>
        <v>0</v>
      </c>
      <c r="EO16" s="133" t="n">
        <f aca="false">IF(OR(EO$4="",$B16=""),0,SUMIF('DADOS BRUTOS'!$A$3:$A$500,$B16,'DADOS BRUTOS'!BO$3:BO$500)+IF($C16="",0,SUMIF('DADOS BRUTOS'!$A$3:$A$500,$C16,'DADOS BRUTOS'!BO$3:BO$500)))</f>
        <v>0</v>
      </c>
      <c r="EP16" s="133" t="n">
        <f aca="false">IF(OR(EP$4="",$B16=""),0,SUMIF('DADOS BRUTOS'!$A$3:$A$500,$B16,'DADOS BRUTOS'!BP$3:BP$500)+IF($C16="",0,SUMIF('DADOS BRUTOS'!$A$3:$A$500,$C16,'DADOS BRUTOS'!BP$3:BP$500)))</f>
        <v>0</v>
      </c>
      <c r="EQ16" s="133" t="n">
        <f aca="false">IF(OR(EQ$4="",$B16=""),0,SUMIF('DADOS BRUTOS'!$A$3:$A$500,$B16,'DADOS BRUTOS'!BQ$3:BQ$500)+IF($C16="",0,SUMIF('DADOS BRUTOS'!$A$3:$A$500,$C16,'DADOS BRUTOS'!BQ$3:BQ$500)))</f>
        <v>0</v>
      </c>
      <c r="ER16" s="133" t="n">
        <f aca="false">IF(OR(ER$4="",$B16=""),0,SUMIF('DADOS BRUTOS'!$A$3:$A$500,$B16,'DADOS BRUTOS'!BR$3:BR$500)+IF($C16="",0,SUMIF('DADOS BRUTOS'!$A$3:$A$500,$C16,'DADOS BRUTOS'!BR$3:BR$500)))</f>
        <v>0</v>
      </c>
      <c r="ES16" s="133" t="n">
        <f aca="false">IF(OR(ES$4="",$B16=""),0,SUMIF('DADOS BRUTOS'!$A$3:$A$500,$B16,'DADOS BRUTOS'!BS$3:BS$500)+IF($C16="",0,SUMIF('DADOS BRUTOS'!$A$3:$A$500,$C16,'DADOS BRUTOS'!BS$3:BS$500)))</f>
        <v>0</v>
      </c>
      <c r="ET16" s="133" t="n">
        <f aca="false">IF(OR(ET$4="",$B16=""),0,SUMIF('DADOS BRUTOS'!$A$3:$A$500,$B16,'DADOS BRUTOS'!BT$3:BT$500)+IF($C16="",0,SUMIF('DADOS BRUTOS'!$A$3:$A$500,$C16,'DADOS BRUTOS'!BT$3:BT$500)))</f>
        <v>0</v>
      </c>
      <c r="EU16" s="133" t="n">
        <f aca="false">IF(OR(EU$4="",$B16=""),0,SUMIF('DADOS BRUTOS'!$A$3:$A$500,$B16,'DADOS BRUTOS'!BU$3:BU$500)+IF($C16="",0,SUMIF('DADOS BRUTOS'!$A$3:$A$500,$C16,'DADOS BRUTOS'!BU$3:BU$500)))</f>
        <v>0</v>
      </c>
      <c r="EV16" s="133" t="n">
        <f aca="false">IF(OR(EV$4="",$B16=""),0,SUMIF('DADOS BRUTOS'!$A$3:$A$500,$B16,'DADOS BRUTOS'!BV$3:BV$500)+IF($C16="",0,SUMIF('DADOS BRUTOS'!$A$3:$A$500,$C16,'DADOS BRUTOS'!BV$3:BV$500)))</f>
        <v>0</v>
      </c>
      <c r="EW16" s="133" t="n">
        <f aca="false">IF(OR(EW$4="",$B16=""),0,SUMIF('DADOS BRUTOS'!$A$3:$A$500,$B16,'DADOS BRUTOS'!BW$3:BW$500)+IF($C16="",0,SUMIF('DADOS BRUTOS'!$A$3:$A$500,$C16,'DADOS BRUTOS'!BW$3:BW$500)))</f>
        <v>0</v>
      </c>
      <c r="EX16" s="133" t="n">
        <f aca="false">IF(OR(EX$4="",$B16=""),0,SUMIF('DADOS BRUTOS'!$A$3:$A$500,$B16,'DADOS BRUTOS'!BX$3:BX$500)+IF($C16="",0,SUMIF('DADOS BRUTOS'!$A$3:$A$500,$C16,'DADOS BRUTOS'!BX$3:BX$500)))</f>
        <v>0</v>
      </c>
      <c r="EY16" s="133" t="n">
        <f aca="false">IF(OR(EY$4="",$B16=""),0,SUMIF('DADOS BRUTOS'!$A$3:$A$500,$B16,'DADOS BRUTOS'!BY$3:BY$500)+IF($C16="",0,SUMIF('DADOS BRUTOS'!$A$3:$A$500,$C16,'DADOS BRUTOS'!BY$3:BY$500)))</f>
        <v>0</v>
      </c>
      <c r="EZ16" s="133" t="n">
        <f aca="false">IF(OR(EZ$4="",$B16=""),0,SUMIF('DADOS BRUTOS'!$A$3:$A$500,$B16,'DADOS BRUTOS'!BZ$3:BZ$500)+IF($C16="",0,SUMIF('DADOS BRUTOS'!$A$3:$A$500,$C16,'DADOS BRUTOS'!BZ$3:BZ$500)))</f>
        <v>0</v>
      </c>
      <c r="FA16" s="133" t="n">
        <f aca="false">IF(OR(FA$4="",$B16=""),0,SUMIF('DADOS BRUTOS'!$A$3:$A$500,$B16,'DADOS BRUTOS'!CA$3:CA$500)+IF($C16="",0,SUMIF('DADOS BRUTOS'!$A$3:$A$500,$C16,'DADOS BRUTOS'!CA$3:CA$500)))</f>
        <v>0</v>
      </c>
      <c r="FB16" s="133" t="n">
        <f aca="false">IF(OR(FB$4="",$B16=""),0,SUMIF('DADOS BRUTOS'!$A$3:$A$500,$B16,'DADOS BRUTOS'!CB$3:CB$500)+IF($C16="",0,SUMIF('DADOS BRUTOS'!$A$3:$A$500,$C16,'DADOS BRUTOS'!CB$3:CB$500)))</f>
        <v>0</v>
      </c>
      <c r="FC16" s="133" t="n">
        <f aca="false">IF(OR(FC$4="",$B16=""),0,SUMIF('DADOS BRUTOS'!$A$3:$A$500,$B16,'DADOS BRUTOS'!CC$3:CC$500)+IF($C16="",0,SUMIF('DADOS BRUTOS'!$A$3:$A$500,$C16,'DADOS BRUTOS'!CC$3:CC$500)))</f>
        <v>0</v>
      </c>
      <c r="FD16" s="133" t="n">
        <f aca="false">IF(OR(FD$4="",$B16=""),0,SUMIF('DADOS BRUTOS'!$A$3:$A$500,$B16,'DADOS BRUTOS'!CD$3:CD$500)+IF($C16="",0,SUMIF('DADOS BRUTOS'!$A$3:$A$500,$C16,'DADOS BRUTOS'!CD$3:CD$500)))</f>
        <v>0</v>
      </c>
      <c r="FE16" s="133" t="n">
        <f aca="false">IF(OR(FE$4="",$B16=""),0,SUMIF('DADOS BRUTOS'!$A$3:$A$500,$B16,'DADOS BRUTOS'!CE$3:CE$500)+IF($C16="",0,SUMIF('DADOS BRUTOS'!$A$3:$A$500,$C16,'DADOS BRUTOS'!CE$3:CE$500)))</f>
        <v>0</v>
      </c>
      <c r="FF16" s="133" t="n">
        <f aca="false">IF(OR(FF$4="",$B16=""),0,SUMIF('DADOS BRUTOS'!$A$3:$A$500,$B16,'DADOS BRUTOS'!CF$3:CF$500)+IF($C16="",0,SUMIF('DADOS BRUTOS'!$A$3:$A$500,$C16,'DADOS BRUTOS'!CF$3:CF$500)))</f>
        <v>0</v>
      </c>
      <c r="FG16" s="133" t="n">
        <f aca="false">IF(OR(FG$4="",$B16=""),0,SUMIF('DADOS BRUTOS'!$A$3:$A$500,$B16,'DADOS BRUTOS'!CG$3:CG$500)+IF($C16="",0,SUMIF('DADOS BRUTOS'!$A$3:$A$500,$C16,'DADOS BRUTOS'!CG$3:CG$500)))</f>
        <v>0</v>
      </c>
      <c r="FH16" s="133" t="n">
        <f aca="false">IF(OR(FH$4="",$B16=""),0,SUMIF('DADOS BRUTOS'!$A$3:$A$500,$B16,'DADOS BRUTOS'!CH$3:CH$500)+IF($C16="",0,SUMIF('DADOS BRUTOS'!$A$3:$A$500,$C16,'DADOS BRUTOS'!CH$3:CH$500)))</f>
        <v>0</v>
      </c>
      <c r="FI16" s="133" t="n">
        <f aca="false">IF(OR(FI$4="",$B16=""),0,SUMIF('DADOS BRUTOS'!$A$3:$A$500,$B16,'DADOS BRUTOS'!CI$3:CI$500)+IF($C16="",0,SUMIF('DADOS BRUTOS'!$A$3:$A$500,$C16,'DADOS BRUTOS'!CI$3:CI$500)))</f>
        <v>0</v>
      </c>
      <c r="FJ16" s="133" t="n">
        <f aca="false">IF(OR(FJ$4="",$B16=""),0,SUMIF('DADOS BRUTOS'!$A$3:$A$500,$B16,'DADOS BRUTOS'!CJ$3:CJ$500)+IF($C16="",0,SUMIF('DADOS BRUTOS'!$A$3:$A$500,$C16,'DADOS BRUTOS'!CJ$3:CJ$500)))</f>
        <v>0</v>
      </c>
      <c r="FK16" s="133" t="n">
        <f aca="false">IF(OR(FK$4="",$B16=""),0,SUMIF('DADOS BRUTOS'!$A$3:$A$500,$B16,'DADOS BRUTOS'!CK$3:CK$500)+IF($C16="",0,SUMIF('DADOS BRUTOS'!$A$3:$A$500,$C16,'DADOS BRUTOS'!CK$3:CK$500)))</f>
        <v>0</v>
      </c>
      <c r="FL16" s="133" t="n">
        <f aca="false">IF(OR(FL$4="",$B16=""),0,SUMIF('DADOS BRUTOS'!$A$3:$A$500,$B16,'DADOS BRUTOS'!CL$3:CL$500)+IF($C16="",0,SUMIF('DADOS BRUTOS'!$A$3:$A$500,$C16,'DADOS BRUTOS'!CL$3:CL$500)))</f>
        <v>0</v>
      </c>
      <c r="FM16" s="133" t="n">
        <f aca="false">IF(OR(FM$4="",$B16=""),0,SUMIF('DADOS BRUTOS'!$A$3:$A$500,$B16,'DADOS BRUTOS'!CM$3:CM$500)+IF($C16="",0,SUMIF('DADOS BRUTOS'!$A$3:$A$500,$C16,'DADOS BRUTOS'!CM$3:CM$500)))</f>
        <v>0</v>
      </c>
      <c r="FN16" s="133" t="n">
        <f aca="false">IF(OR(FN$4="",$B16=""),0,SUMIF('DADOS BRUTOS'!$A$3:$A$500,$B16,'DADOS BRUTOS'!CN$3:CN$500)+IF($C16="",0,SUMIF('DADOS BRUTOS'!$A$3:$A$500,$C16,'DADOS BRUTOS'!CN$3:CN$500)))</f>
        <v>0</v>
      </c>
      <c r="FO16" s="133" t="n">
        <f aca="false">IF(OR(FO$4="",$B16=""),0,SUMIF('DADOS BRUTOS'!$A$3:$A$500,$B16,'DADOS BRUTOS'!CO$3:CO$500)+IF($C16="",0,SUMIF('DADOS BRUTOS'!$A$3:$A$500,$C16,'DADOS BRUTOS'!CO$3:CO$500)))</f>
        <v>0</v>
      </c>
      <c r="FP16" s="133" t="n">
        <f aca="false">IF(OR(FP$4="",$B16=""),0,SUMIF('DADOS BRUTOS'!$A$3:$A$500,$B16,'DADOS BRUTOS'!CP$3:CP$500)+IF($C16="",0,SUMIF('DADOS BRUTOS'!$A$3:$A$500,$C16,'DADOS BRUTOS'!CP$3:CP$500)))</f>
        <v>0</v>
      </c>
      <c r="FQ16" s="133" t="n">
        <f aca="false">IF(OR(FQ$4="",$B16=""),0,SUMIF('DADOS BRUTOS'!$A$3:$A$500,$B16,'DADOS BRUTOS'!CQ$3:CQ$500)+IF($C16="",0,SUMIF('DADOS BRUTOS'!$A$3:$A$500,$C16,'DADOS BRUTOS'!CQ$3:CQ$500)))</f>
        <v>0</v>
      </c>
      <c r="FR16" s="133" t="n">
        <f aca="false">IF(OR(FR$4="",$B16=""),0,SUMIF('DADOS BRUTOS'!$A$3:$A$500,$B16,'DADOS BRUTOS'!CR$3:CR$500)+IF($C16="",0,SUMIF('DADOS BRUTOS'!$A$3:$A$500,$C16,'DADOS BRUTOS'!CR$3:CR$500)))</f>
        <v>0</v>
      </c>
      <c r="FS16" s="133" t="n">
        <f aca="false">IF(OR(FS$4="",$B16=""),0,SUMIF('DADOS BRUTOS'!$A$3:$A$500,$B16,'DADOS BRUTOS'!CS$3:CS$500)+IF($C16="",0,SUMIF('DADOS BRUTOS'!$A$3:$A$500,$C16,'DADOS BRUTOS'!CS$3:CS$500)))</f>
        <v>0</v>
      </c>
      <c r="FT16" s="133" t="n">
        <f aca="false">IF(OR(FT$4="",$B16=""),0,SUMIF('DADOS BRUTOS'!$A$3:$A$500,$B16,'DADOS BRUTOS'!CT$3:CT$500)+IF($C16="",0,SUMIF('DADOS BRUTOS'!$A$3:$A$500,$C16,'DADOS BRUTOS'!CT$3:CT$500)))</f>
        <v>0</v>
      </c>
      <c r="FU16" s="133" t="n">
        <f aca="false">IF(OR(FU$4="",$B16=""),0,SUMIF('DADOS BRUTOS'!$A$3:$A$500,$B16,'DADOS BRUTOS'!CU$3:CU$500)+IF($C16="",0,SUMIF('DADOS BRUTOS'!$A$3:$A$500,$C16,'DADOS BRUTOS'!CU$3:CU$500)))</f>
        <v>0</v>
      </c>
      <c r="FV16" s="133" t="n">
        <f aca="false">IF(OR(FV$4="",$B16=""),0,SUMIF('DADOS BRUTOS'!$A$3:$A$500,$B16,'DADOS BRUTOS'!CV$3:CV$500)+IF($C16="",0,SUMIF('DADOS BRUTOS'!$A$3:$A$500,$C16,'DADOS BRUTOS'!CV$3:CV$500)))</f>
        <v>0</v>
      </c>
      <c r="FW16" s="133" t="n">
        <f aca="false">IF(OR(FW$4="",$B16=""),0,SUMIF('DADOS BRUTOS'!$A$3:$A$500,$B16,'DADOS BRUTOS'!CW$3:CW$500)+IF($C16="",0,SUMIF('DADOS BRUTOS'!$A$3:$A$500,$C16,'DADOS BRUTOS'!CW$3:CW$500)))</f>
        <v>0</v>
      </c>
      <c r="FX16" s="133" t="n">
        <f aca="false">IF(OR(FX$4="",$B16=""),0,SUMIF('DADOS BRUTOS'!$A$3:$A$500,$B16,'DADOS BRUTOS'!CX$3:CX$500)+IF($C16="",0,SUMIF('DADOS BRUTOS'!$A$3:$A$500,$C16,'DADOS BRUTOS'!CX$3:CX$500)))</f>
        <v>0</v>
      </c>
      <c r="FY16" s="133" t="n">
        <f aca="false">IF(OR(FY$4="",$B16=""),0,SUMIF('DADOS BRUTOS'!$A$3:$A$500,$B16,'DADOS BRUTOS'!CY$3:CY$500)+IF($C16="",0,SUMIF('DADOS BRUTOS'!$A$3:$A$500,$C16,'DADOS BRUTOS'!CY$3:CY$500)))</f>
        <v>0</v>
      </c>
      <c r="FZ16" s="133" t="n">
        <f aca="false">IF(OR(FZ$4="",$B16=""),0,SUMIF('DADOS BRUTOS'!$A$3:$A$500,$B16,'DADOS BRUTOS'!CZ$3:CZ$500)+IF($C16="",0,SUMIF('DADOS BRUTOS'!$A$3:$A$500,$C16,'DADOS BRUTOS'!CZ$3:CZ$500)))</f>
        <v>0</v>
      </c>
      <c r="GA16" s="133" t="n">
        <f aca="false">IF(OR(GA$4="",$B16=""),0,SUMIF('DADOS BRUTOS'!$A$3:$A$500,$B16,'DADOS BRUTOS'!DA$3:DA$500)+IF($C16="",0,SUMIF('DADOS BRUTOS'!$A$3:$A$500,$C16,'DADOS BRUTOS'!DA$3:DA$500)))</f>
        <v>0</v>
      </c>
      <c r="GB16" s="133" t="n">
        <f aca="false">IF(OR(GB$4="",$B16=""),0,SUMIF('DADOS BRUTOS'!$A$3:$A$500,$B16,'DADOS BRUTOS'!DB$3:DB$500)+IF($C16="",0,SUMIF('DADOS BRUTOS'!$A$3:$A$500,$C16,'DADOS BRUTOS'!DB$3:DB$500)))</f>
        <v>0</v>
      </c>
      <c r="GC16" s="133" t="n">
        <f aca="false">IF(OR(GC$4="",$B16=""),0,SUMIF('DADOS BRUTOS'!$A$3:$A$500,$B16,'DADOS BRUTOS'!DC$3:DC$500)+IF($C16="",0,SUMIF('DADOS BRUTOS'!$A$3:$A$500,$C16,'DADOS BRUTOS'!DC$3:DC$500)))</f>
        <v>0</v>
      </c>
      <c r="GD16" s="133" t="n">
        <f aca="false">IF(OR(GD$4="",$B16=""),0,SUMIF('DADOS BRUTOS'!$A$3:$A$500,$B16,'DADOS BRUTOS'!DD$3:DD$500)+IF($C16="",0,SUMIF('DADOS BRUTOS'!$A$3:$A$500,$C16,'DADOS BRUTOS'!DD$3:DD$500)))</f>
        <v>0</v>
      </c>
      <c r="GE16" s="133" t="n">
        <f aca="false">IF(OR(GE$4="",$B16=""),0,SUMIF('DADOS BRUTOS'!$A$3:$A$500,$B16,'DADOS BRUTOS'!DE$3:DE$500)+IF($C16="",0,SUMIF('DADOS BRUTOS'!$A$3:$A$500,$C16,'DADOS BRUTOS'!DE$3:DE$500)))</f>
        <v>0</v>
      </c>
      <c r="GF16" s="133" t="n">
        <f aca="false">IF(OR(GF$4="",$B16=""),0,SUMIF('DADOS BRUTOS'!$A$3:$A$500,$B16,'DADOS BRUTOS'!DF$3:DF$500)+IF($C16="",0,SUMIF('DADOS BRUTOS'!$A$3:$A$500,$C16,'DADOS BRUTOS'!DF$3:DF$500)))</f>
        <v>0</v>
      </c>
      <c r="GG16" s="133" t="n">
        <f aca="false">IF(OR(GG$4="",$B16=""),0,SUMIF('DADOS BRUTOS'!$A$3:$A$500,$B16,'DADOS BRUTOS'!DG$3:DG$500)+IF($C16="",0,SUMIF('DADOS BRUTOS'!$A$3:$A$500,$C16,'DADOS BRUTOS'!DG$3:DG$500)))</f>
        <v>0</v>
      </c>
      <c r="GH16" s="133" t="n">
        <f aca="false">IF(OR(GH$4="",$B16=""),0,SUMIF('DADOS BRUTOS'!$A$3:$A$500,$B16,'DADOS BRUTOS'!DH$3:DH$500)+IF($C16="",0,SUMIF('DADOS BRUTOS'!$A$3:$A$500,$C16,'DADOS BRUTOS'!DH$3:DH$500)))</f>
        <v>0</v>
      </c>
      <c r="GI16" s="133" t="n">
        <f aca="false">IF(OR(GI$4="",$B16=""),0,SUMIF('DADOS BRUTOS'!$A$3:$A$500,$B16,'DADOS BRUTOS'!DI$3:DI$500)+IF($C16="",0,SUMIF('DADOS BRUTOS'!$A$3:$A$500,$C16,'DADOS BRUTOS'!DI$3:DI$500)))</f>
        <v>0</v>
      </c>
      <c r="GJ16" s="133" t="n">
        <f aca="false">IF(OR(GJ$4="",$B16=""),0,SUMIF('DADOS BRUTOS'!$A$3:$A$500,$B16,'DADOS BRUTOS'!DJ$3:DJ$500)+IF($C16="",0,SUMIF('DADOS BRUTOS'!$A$3:$A$500,$C16,'DADOS BRUTOS'!DJ$3:DJ$500)))</f>
        <v>0</v>
      </c>
      <c r="GK16" s="133" t="n">
        <f aca="false">IF(OR(GK$4="",$B16=""),0,SUMIF('DADOS BRUTOS'!$A$3:$A$500,$B16,'DADOS BRUTOS'!DK$3:DK$500)+IF($C16="",0,SUMIF('DADOS BRUTOS'!$A$3:$A$500,$C16,'DADOS BRUTOS'!DK$3:DK$500)))</f>
        <v>0</v>
      </c>
      <c r="GL16" s="133" t="n">
        <f aca="false">IF(OR(GL$4="",$B16=""),0,SUMIF('DADOS BRUTOS'!$A$3:$A$500,$B16,'DADOS BRUTOS'!DL$3:DL$500)+IF($C16="",0,SUMIF('DADOS BRUTOS'!$A$3:$A$500,$C16,'DADOS BRUTOS'!DL$3:DL$500)))</f>
        <v>0</v>
      </c>
      <c r="GM16" s="133" t="n">
        <f aca="false">IF(OR(GM$4="",$B16=""),0,SUMIF('DADOS BRUTOS'!$A$3:$A$500,$B16,'DADOS BRUTOS'!DM$3:DM$500)+IF($C16="",0,SUMIF('DADOS BRUTOS'!$A$3:$A$500,$C16,'DADOS BRUTOS'!DM$3:DM$500)))</f>
        <v>0</v>
      </c>
      <c r="GN16" s="133" t="n">
        <f aca="false">IF(OR(GN$4="",$B16=""),0,SUMIF('DADOS BRUTOS'!$A$3:$A$500,$B16,'DADOS BRUTOS'!DN$3:DN$500)+IF($C16="",0,SUMIF('DADOS BRUTOS'!$A$3:$A$500,$C16,'DADOS BRUTOS'!DN$3:DN$500)))</f>
        <v>0</v>
      </c>
      <c r="GO16" s="133" t="n">
        <f aca="false">IF(OR(GO$4="",$B16=""),0,SUMIF('DADOS BRUTOS'!$A$3:$A$500,$B16,'DADOS BRUTOS'!DO$3:DO$500)+IF($C16="",0,SUMIF('DADOS BRUTOS'!$A$3:$A$500,$C16,'DADOS BRUTOS'!DO$3:DO$500)))</f>
        <v>0</v>
      </c>
      <c r="GP16" s="133" t="n">
        <f aca="false">IF(OR(GP$4="",$B16=""),0,SUMIF('DADOS BRUTOS'!$A$3:$A$500,$B16,'DADOS BRUTOS'!DP$3:DP$500)+IF($C16="",0,SUMIF('DADOS BRUTOS'!$A$3:$A$500,$C16,'DADOS BRUTOS'!DP$3:DP$500)))</f>
        <v>0</v>
      </c>
      <c r="GQ16" s="133" t="n">
        <f aca="false">IF(OR(GQ$4="",$B16=""),0,SUMIF('DADOS BRUTOS'!$A$3:$A$500,$B16,'DADOS BRUTOS'!DQ$3:DQ$500)+IF($C16="",0,SUMIF('DADOS BRUTOS'!$A$3:$A$500,$C16,'DADOS BRUTOS'!DQ$3:DQ$500)))</f>
        <v>0</v>
      </c>
      <c r="GR16" s="133" t="n">
        <f aca="false">IF(OR(GR$4="",$B16=""),0,SUMIF('DADOS BRUTOS'!$A$3:$A$500,$B16,'DADOS BRUTOS'!DR$3:DR$500)+IF($C16="",0,SUMIF('DADOS BRUTOS'!$A$3:$A$500,$C16,'DADOS BRUTOS'!DR$3:DR$500)))</f>
        <v>0</v>
      </c>
      <c r="GS16" s="133" t="n">
        <f aca="false">IF(OR(GS$4="",$B16=""),0,SUMIF('DADOS BRUTOS'!$A$3:$A$500,$B16,'DADOS BRUTOS'!DS$3:DS$500)+IF($C16="",0,SUMIF('DADOS BRUTOS'!$A$3:$A$500,$C16,'DADOS BRUTOS'!DS$3:DS$500)))</f>
        <v>0</v>
      </c>
      <c r="GT16" s="133" t="n">
        <f aca="false">IF(OR(GT$4="",$B16=""),0,SUMIF('DADOS BRUTOS'!$A$3:$A$500,$B16,'DADOS BRUTOS'!DT$3:DT$500)+IF($C16="",0,SUMIF('DADOS BRUTOS'!$A$3:$A$500,$C16,'DADOS BRUTOS'!DT$3:DT$500)))</f>
        <v>0</v>
      </c>
      <c r="GU16" s="133" t="n">
        <f aca="false">IF(OR(GU$4="",$B16=""),0,SUMIF('DADOS BRUTOS'!$A$3:$A$500,$B16,'DADOS BRUTOS'!DU$3:DU$500)+IF($C16="",0,SUMIF('DADOS BRUTOS'!$A$3:$A$500,$C16,'DADOS BRUTOS'!DU$3:DU$500)))</f>
        <v>0</v>
      </c>
      <c r="GV16" s="133" t="n">
        <f aca="false">IF(OR(GV$4="",$B16=""),0,SUMIF('DADOS BRUTOS'!$A$3:$A$500,$B16,'DADOS BRUTOS'!DV$3:DV$500)+IF($C16="",0,SUMIF('DADOS BRUTOS'!$A$3:$A$500,$C16,'DADOS BRUTOS'!DV$3:DV$500)))</f>
        <v>0</v>
      </c>
      <c r="GW16" s="133" t="n">
        <f aca="false">IF(OR(GW$4="",$B16=""),0,SUMIF('DADOS BRUTOS'!$A$3:$A$500,$B16,'DADOS BRUTOS'!DW$3:DW$500)+IF($C16="",0,SUMIF('DADOS BRUTOS'!$A$3:$A$500,$C16,'DADOS BRUTOS'!DW$3:DW$500)))</f>
        <v>0</v>
      </c>
      <c r="GX16" s="133" t="n">
        <f aca="false">IF(OR(GX$4="",$B16=""),0,SUMIF('DADOS BRUTOS'!$A$3:$A$500,$B16,'DADOS BRUTOS'!DX$3:DX$500)+IF($C16="",0,SUMIF('DADOS BRUTOS'!$A$3:$A$500,$C16,'DADOS BRUTOS'!DX$3:DX$500)))</f>
        <v>0</v>
      </c>
      <c r="GY16" s="133" t="n">
        <f aca="false">IF(OR(GY$4="",$B16=""),0,SUMIF('DADOS BRUTOS'!$A$3:$A$500,$B16,'DADOS BRUTOS'!DY$3:DY$500)+IF($C16="",0,SUMIF('DADOS BRUTOS'!$A$3:$A$500,$C16,'DADOS BRUTOS'!DY$3:DY$500)))</f>
        <v>0</v>
      </c>
      <c r="GZ16" s="133" t="n">
        <f aca="false">IF(OR(GZ$4="",$B16=""),0,SUMIF('DADOS BRUTOS'!$A$3:$A$500,$B16,'DADOS BRUTOS'!DZ$3:DZ$500)+IF($C16="",0,SUMIF('DADOS BRUTOS'!$A$3:$A$500,$C16,'DADOS BRUTOS'!DZ$3:DZ$500)))</f>
        <v>0</v>
      </c>
      <c r="HA16" s="133" t="n">
        <f aca="false">IF(OR(HA$4="",$B16=""),0,SUMIF('DADOS BRUTOS'!$A$3:$A$500,$B16,'DADOS BRUTOS'!EA$3:EA$500)+IF($C16="",0,SUMIF('DADOS BRUTOS'!$A$3:$A$500,$C16,'DADOS BRUTOS'!EA$3:EA$500)))</f>
        <v>0</v>
      </c>
      <c r="HB16" s="133" t="n">
        <f aca="false">IF(OR(HB$4="",$B16=""),0,SUMIF('DADOS BRUTOS'!$A$3:$A$500,$B16,'DADOS BRUTOS'!EB$3:EB$500)+IF($C16="",0,SUMIF('DADOS BRUTOS'!$A$3:$A$500,$C16,'DADOS BRUTOS'!EB$3:EB$500)))</f>
        <v>0</v>
      </c>
      <c r="HC16" s="133" t="n">
        <f aca="false">IF(OR(HC$4="",$B16=""),0,SUMIF('DADOS BRUTOS'!$A$3:$A$500,$B16,'DADOS BRUTOS'!EC$3:EC$500)+IF($C16="",0,SUMIF('DADOS BRUTOS'!$A$3:$A$500,$C16,'DADOS BRUTOS'!EC$3:EC$500)))</f>
        <v>0</v>
      </c>
      <c r="HD16" s="133" t="n">
        <f aca="false">IF(OR(HD$4="",$B16=""),0,SUMIF('DADOS BRUTOS'!$A$3:$A$500,$B16,'DADOS BRUTOS'!ED$3:ED$500)+IF($C16="",0,SUMIF('DADOS BRUTOS'!$A$3:$A$500,$C16,'DADOS BRUTOS'!ED$3:ED$500)))</f>
        <v>0</v>
      </c>
      <c r="HE16" s="133" t="n">
        <f aca="false">IF(OR(HE$4="",$B16=""),0,SUMIF('DADOS BRUTOS'!$A$3:$A$500,$B16,'DADOS BRUTOS'!EE$3:EE$500)+IF($C16="",0,SUMIF('DADOS BRUTOS'!$A$3:$A$500,$C16,'DADOS BRUTOS'!EE$3:EE$500)))</f>
        <v>0</v>
      </c>
      <c r="HF16" s="133" t="n">
        <f aca="false">IF(OR(HF$4="",$B16=""),0,SUMIF('DADOS BRUTOS'!$A$3:$A$500,$B16,'DADOS BRUTOS'!EF$3:EF$500)+IF($C16="",0,SUMIF('DADOS BRUTOS'!$A$3:$A$500,$C16,'DADOS BRUTOS'!EF$3:EF$500)))</f>
        <v>0</v>
      </c>
      <c r="HG16" s="133" t="n">
        <f aca="false">IF(OR(HG$4="",$B16=""),0,SUMIF('DADOS BRUTOS'!$A$3:$A$500,$B16,'DADOS BRUTOS'!EG$3:EG$500)+IF($C16="",0,SUMIF('DADOS BRUTOS'!$A$3:$A$500,$C16,'DADOS BRUTOS'!EG$3:EG$500)))</f>
        <v>0</v>
      </c>
      <c r="HH16" s="133" t="n">
        <f aca="false">IF(OR(HH$4="",$B16=""),0,SUMIF('DADOS BRUTOS'!$A$3:$A$500,$B16,'DADOS BRUTOS'!EH$3:EH$500)+IF($C16="",0,SUMIF('DADOS BRUTOS'!$A$3:$A$500,$C16,'DADOS BRUTOS'!EH$3:EH$500)))</f>
        <v>0</v>
      </c>
      <c r="HI16" s="133" t="n">
        <f aca="false">IF(OR(HI$4="",$B16=""),0,SUMIF('DADOS BRUTOS'!$A$3:$A$500,$B16,'DADOS BRUTOS'!EI$3:EI$500)+IF($C16="",0,SUMIF('DADOS BRUTOS'!$A$3:$A$500,$C16,'DADOS BRUTOS'!EI$3:EI$500)))</f>
        <v>0</v>
      </c>
      <c r="HJ16" s="133" t="n">
        <f aca="false">IF(OR(HJ$4="",$B16=""),0,SUMIF('DADOS BRUTOS'!$A$3:$A$500,$B16,'DADOS BRUTOS'!EJ$3:EJ$500)+IF($C16="",0,SUMIF('DADOS BRUTOS'!$A$3:$A$500,$C16,'DADOS BRUTOS'!EJ$3:EJ$500)))</f>
        <v>0</v>
      </c>
      <c r="HK16" s="133" t="n">
        <f aca="false">IF(OR(HK$4="",$B16=""),0,SUMIF('DADOS BRUTOS'!$A$3:$A$500,$B16,'DADOS BRUTOS'!EK$3:EK$500)+IF($C16="",0,SUMIF('DADOS BRUTOS'!$A$3:$A$500,$C16,'DADOS BRUTOS'!EK$3:EK$500)))</f>
        <v>0</v>
      </c>
      <c r="HL16" s="133" t="n">
        <f aca="false">IF(OR(HL$4="",$B16=""),0,SUMIF('DADOS BRUTOS'!$A$3:$A$500,$B16,'DADOS BRUTOS'!EL$3:EL$500)+IF($C16="",0,SUMIF('DADOS BRUTOS'!$A$3:$A$500,$C16,'DADOS BRUTOS'!EL$3:EL$500)))</f>
        <v>0</v>
      </c>
      <c r="HM16" s="133" t="n">
        <f aca="false">IF(OR(HM$4="",$B16=""),0,SUMIF('DADOS BRUTOS'!$A$3:$A$500,$B16,'DADOS BRUTOS'!EM$3:EM$500)+IF($C16="",0,SUMIF('DADOS BRUTOS'!$A$3:$A$500,$C16,'DADOS BRUTOS'!EM$3:EM$500)))</f>
        <v>0</v>
      </c>
      <c r="HN16" s="133" t="n">
        <f aca="false">IF(OR(HN$4="",$B16=""),0,SUMIF('DADOS BRUTOS'!$A$3:$A$500,$B16,'DADOS BRUTOS'!EN$3:EN$500)+IF($C16="",0,SUMIF('DADOS BRUTOS'!$A$3:$A$500,$C16,'DADOS BRUTOS'!EN$3:EN$500)))</f>
        <v>0</v>
      </c>
      <c r="HO16" s="133" t="n">
        <f aca="false">IF(OR(HO$4="",$B16=""),0,SUMIF('DADOS BRUTOS'!$A$3:$A$500,$B16,'DADOS BRUTOS'!EO$3:EO$500)+IF($C16="",0,SUMIF('DADOS BRUTOS'!$A$3:$A$500,$C16,'DADOS BRUTOS'!EO$3:EO$500)))</f>
        <v>0</v>
      </c>
      <c r="HP16" s="133" t="n">
        <f aca="false">IF(OR(HP$4="",$B16=""),0,SUMIF('DADOS BRUTOS'!$A$3:$A$500,$B16,'DADOS BRUTOS'!EP$3:EP$500)+IF($C16="",0,SUMIF('DADOS BRUTOS'!$A$3:$A$500,$C16,'DADOS BRUTOS'!EP$3:EP$500)))</f>
        <v>0</v>
      </c>
      <c r="HQ16" s="133" t="n">
        <f aca="false">IF(OR(HQ$4="",$B16=""),0,SUMIF('DADOS BRUTOS'!$A$3:$A$500,$B16,'DADOS BRUTOS'!EQ$3:EQ$500)+IF($C16="",0,SUMIF('DADOS BRUTOS'!$A$3:$A$500,$C16,'DADOS BRUTOS'!EQ$3:EQ$500)))</f>
        <v>0</v>
      </c>
      <c r="HR16" s="133" t="n">
        <f aca="false">IF(OR(HR$4="",$B16=""),0,SUMIF('DADOS BRUTOS'!$A$3:$A$500,$B16,'DADOS BRUTOS'!ER$3:ER$500)+IF($C16="",0,SUMIF('DADOS BRUTOS'!$A$3:$A$500,$C16,'DADOS BRUTOS'!ER$3:ER$500)))</f>
        <v>0</v>
      </c>
      <c r="HS16" s="133" t="n">
        <f aca="false">IF(OR(HS$4="",$B16=""),0,SUMIF('DADOS BRUTOS'!$A$3:$A$500,$B16,'DADOS BRUTOS'!ES$3:ES$500)+IF($C16="",0,SUMIF('DADOS BRUTOS'!$A$3:$A$500,$C16,'DADOS BRUTOS'!ES$3:ES$500)))</f>
        <v>0</v>
      </c>
      <c r="HT16" s="133" t="n">
        <f aca="false">IF(OR(HT$4="",$B16=""),0,SUMIF('DADOS BRUTOS'!$A$3:$A$500,$B16,'DADOS BRUTOS'!ET$3:ET$500)+IF($C16="",0,SUMIF('DADOS BRUTOS'!$A$3:$A$500,$C16,'DADOS BRUTOS'!ET$3:ET$500)))</f>
        <v>0</v>
      </c>
      <c r="HU16" s="133" t="n">
        <f aca="false">IF(OR(HU$4="",$B16=""),0,SUMIF('DADOS BRUTOS'!$A$3:$A$500,$B16,'DADOS BRUTOS'!EU$3:EU$500)+IF($C16="",0,SUMIF('DADOS BRUTOS'!$A$3:$A$500,$C16,'DADOS BRUTOS'!EU$3:EU$500)))</f>
        <v>0</v>
      </c>
      <c r="HV16" s="133" t="n">
        <f aca="false">IF(OR(HV$4="",$B16=""),0,SUMIF('DADOS BRUTOS'!$A$3:$A$500,$B16,'DADOS BRUTOS'!EV$3:EV$500)+IF($C16="",0,SUMIF('DADOS BRUTOS'!$A$3:$A$500,$C16,'DADOS BRUTOS'!EV$3:EV$500)))</f>
        <v>0</v>
      </c>
      <c r="HW16" s="133" t="n">
        <f aca="false">IF(OR(HW$4="",$B16=""),0,SUMIF('DADOS BRUTOS'!$A$3:$A$500,$B16,'DADOS BRUTOS'!EW$3:EW$500)+IF($C16="",0,SUMIF('DADOS BRUTOS'!$A$3:$A$500,$C16,'DADOS BRUTOS'!EW$3:EW$500)))</f>
        <v>0</v>
      </c>
      <c r="HX16" s="133" t="n">
        <f aca="false">IF(OR(HX$4="",$B16=""),0,SUMIF('DADOS BRUTOS'!$A$3:$A$500,$B16,'DADOS BRUTOS'!EX$3:EX$500)+IF($C16="",0,SUMIF('DADOS BRUTOS'!$A$3:$A$500,$C16,'DADOS BRUTOS'!EX$3:EX$500)))</f>
        <v>0</v>
      </c>
      <c r="HY16" s="133" t="n">
        <f aca="false">IF(OR(HY$4="",$B16=""),0,SUMIF('DADOS BRUTOS'!$A$3:$A$500,$B16,'DADOS BRUTOS'!EY$3:EY$500)+IF($C16="",0,SUMIF('DADOS BRUTOS'!$A$3:$A$500,$C16,'DADOS BRUTOS'!EY$3:EY$500)))</f>
        <v>0</v>
      </c>
      <c r="HZ16" s="133" t="n">
        <f aca="false">IF(OR(HZ$4="",$B16=""),0,SUMIF('DADOS BRUTOS'!$A$3:$A$500,$B16,'DADOS BRUTOS'!EZ$3:EZ$500)+IF($C16="",0,SUMIF('DADOS BRUTOS'!$A$3:$A$500,$C16,'DADOS BRUTOS'!EZ$3:EZ$500)))</f>
        <v>0</v>
      </c>
      <c r="IA16" s="133" t="n">
        <f aca="false">IF(OR(IA$4="",$B16=""),0,SUMIF('DADOS BRUTOS'!$A$3:$A$500,$B16,'DADOS BRUTOS'!FA$3:FA$500)+IF($C16="",0,SUMIF('DADOS BRUTOS'!$A$3:$A$500,$C16,'DADOS BRUTOS'!FA$3:FA$500)))</f>
        <v>0</v>
      </c>
      <c r="IB16" s="133" t="n">
        <f aca="false">IF(OR(IB$4="",$B16=""),0,SUMIF('DADOS BRUTOS'!$A$3:$A$500,$B16,'DADOS BRUTOS'!FB$3:FB$500)+IF($C16="",0,SUMIF('DADOS BRUTOS'!$A$3:$A$500,$C16,'DADOS BRUTOS'!FB$3:FB$500)))</f>
        <v>0</v>
      </c>
      <c r="IC16" s="133" t="n">
        <f aca="false">IF(OR(IC$4="",$B16=""),0,SUMIF('DADOS BRUTOS'!$A$3:$A$500,$B16,'DADOS BRUTOS'!FC$3:FC$500)+IF($C16="",0,SUMIF('DADOS BRUTOS'!$A$3:$A$500,$C16,'DADOS BRUTOS'!FC$3:FC$500)))</f>
        <v>0</v>
      </c>
      <c r="ID16" s="133" t="n">
        <f aca="false">IF(OR(ID$4="",$B16=""),0,SUMIF('DADOS BRUTOS'!$A$3:$A$500,$B16,'DADOS BRUTOS'!FD$3:FD$500)+IF($C16="",0,SUMIF('DADOS BRUTOS'!$A$3:$A$500,$C16,'DADOS BRUTOS'!FD$3:FD$500)))</f>
        <v>0</v>
      </c>
      <c r="IE16" s="133" t="n">
        <f aca="false">IF(OR(IE$4="",$B16=""),0,SUMIF('DADOS BRUTOS'!$A$3:$A$500,$B16,'DADOS BRUTOS'!FE$3:FE$500)+IF($C16="",0,SUMIF('DADOS BRUTOS'!$A$3:$A$500,$C16,'DADOS BRUTOS'!FE$3:FE$500)))</f>
        <v>0</v>
      </c>
      <c r="IF16" s="133" t="n">
        <f aca="false">IF(OR(IF$4="",$B16=""),0,SUMIF('DADOS BRUTOS'!$A$3:$A$500,$B16,'DADOS BRUTOS'!FF$3:FF$500)+IF($C16="",0,SUMIF('DADOS BRUTOS'!$A$3:$A$500,$C16,'DADOS BRUTOS'!FF$3:FF$500)))</f>
        <v>0</v>
      </c>
      <c r="IG16" s="133" t="n">
        <f aca="false">IF(OR(IG$4="",$B16=""),0,SUMIF('DADOS BRUTOS'!$A$3:$A$500,$B16,'DADOS BRUTOS'!FG$3:FG$500)+IF($C16="",0,SUMIF('DADOS BRUTOS'!$A$3:$A$500,$C16,'DADOS BRUTOS'!FG$3:FG$500)))</f>
        <v>0</v>
      </c>
      <c r="IH16" s="133" t="n">
        <f aca="false">IF(OR(IH$4="",$B16=""),0,SUMIF('DADOS BRUTOS'!$A$3:$A$500,$B16,'DADOS BRUTOS'!FH$3:FH$500)+IF($C16="",0,SUMIF('DADOS BRUTOS'!$A$3:$A$500,$C16,'DADOS BRUTOS'!FH$3:FH$500)))</f>
        <v>0</v>
      </c>
      <c r="II16" s="133" t="n">
        <f aca="false">IF(OR(II$4="",$B16=""),0,SUMIF('DADOS BRUTOS'!$A$3:$A$500,$B16,'DADOS BRUTOS'!FI$3:FI$500)+IF($C16="",0,SUMIF('DADOS BRUTOS'!$A$3:$A$500,$C16,'DADOS BRUTOS'!FI$3:FI$500)))</f>
        <v>0</v>
      </c>
      <c r="IJ16" s="133" t="n">
        <f aca="false">IF(OR(IJ$4="",$B16=""),0,SUMIF('DADOS BRUTOS'!$A$3:$A$500,$B16,'DADOS BRUTOS'!FJ$3:FJ$500)+IF($C16="",0,SUMIF('DADOS BRUTOS'!$A$3:$A$500,$C16,'DADOS BRUTOS'!FJ$3:FJ$500)))</f>
        <v>0</v>
      </c>
      <c r="IK16" s="133" t="n">
        <f aca="false">IF(OR(IK$4="",$B16=""),0,SUMIF('DADOS BRUTOS'!$A$3:$A$500,$B16,'DADOS BRUTOS'!FK$3:FK$500)+IF($C16="",0,SUMIF('DADOS BRUTOS'!$A$3:$A$500,$C16,'DADOS BRUTOS'!FK$3:FK$500)))</f>
        <v>0</v>
      </c>
      <c r="IL16" s="133" t="n">
        <f aca="false">IF(OR(IL$4="",$B16=""),0,SUMIF('DADOS BRUTOS'!$A$3:$A$500,$B16,'DADOS BRUTOS'!FL$3:FL$500)+IF($C16="",0,SUMIF('DADOS BRUTOS'!$A$3:$A$500,$C16,'DADOS BRUTOS'!FL$3:FL$500)))</f>
        <v>0</v>
      </c>
      <c r="IM16" s="133" t="n">
        <f aca="false">IF(OR(IM$4="",$B16=""),0,SUMIF('DADOS BRUTOS'!$A$3:$A$500,$B16,'DADOS BRUTOS'!FM$3:FM$500)+IF($C16="",0,SUMIF('DADOS BRUTOS'!$A$3:$A$500,$C16,'DADOS BRUTOS'!FM$3:FM$500)))</f>
        <v>0</v>
      </c>
      <c r="IN16" s="133" t="n">
        <f aca="false">IF(OR(IN$4="",$B16=""),0,SUMIF('DADOS BRUTOS'!$A$3:$A$500,$B16,'DADOS BRUTOS'!FN$3:FN$500)+IF($C16="",0,SUMIF('DADOS BRUTOS'!$A$3:$A$500,$C16,'DADOS BRUTOS'!FN$3:FN$500)))</f>
        <v>0</v>
      </c>
      <c r="IO16" s="133" t="n">
        <f aca="false">IF(OR(IO$4="",$B16=""),0,SUMIF('DADOS BRUTOS'!$A$3:$A$500,$B16,'DADOS BRUTOS'!FO$3:FO$500)+IF($C16="",0,SUMIF('DADOS BRUTOS'!$A$3:$A$500,$C16,'DADOS BRUTOS'!FO$3:FO$500)))</f>
        <v>0</v>
      </c>
      <c r="IP16" s="133" t="n">
        <f aca="false">IF(OR(IP$4="",$B16=""),0,SUMIF('DADOS BRUTOS'!$A$3:$A$500,$B16,'DADOS BRUTOS'!FP$3:FP$500)+IF($C16="",0,SUMIF('DADOS BRUTOS'!$A$3:$A$500,$C16,'DADOS BRUTOS'!FP$3:FP$500)))</f>
        <v>0</v>
      </c>
      <c r="IQ16" s="133" t="n">
        <f aca="false">IF(OR(IQ$4="",$B16=""),0,SUMIF('DADOS BRUTOS'!$A$3:$A$500,$B16,'DADOS BRUTOS'!FQ$3:FQ$500)+IF($C16="",0,SUMIF('DADOS BRUTOS'!$A$3:$A$500,$C16,'DADOS BRUTOS'!FQ$3:FQ$500)))</f>
        <v>0</v>
      </c>
      <c r="IR16" s="133" t="n">
        <f aca="false">IF(OR(IR$4="",$B16=""),0,SUMIF('DADOS BRUTOS'!$A$3:$A$500,$B16,'DADOS BRUTOS'!FR$3:FR$500)+IF($C16="",0,SUMIF('DADOS BRUTOS'!$A$3:$A$500,$C16,'DADOS BRUTOS'!FR$3:FR$500)))</f>
        <v>0</v>
      </c>
      <c r="IS16" s="133" t="n">
        <f aca="false">IF(OR(IS$4="",$B16=""),0,SUMIF('DADOS BRUTOS'!$A$3:$A$500,$B16,'DADOS BRUTOS'!FS$3:FS$500)+IF($C16="",0,SUMIF('DADOS BRUTOS'!$A$3:$A$500,$C16,'DADOS BRUTOS'!FS$3:FS$500)))</f>
        <v>0</v>
      </c>
      <c r="IT16" s="133" t="n">
        <f aca="false">IF(OR(IT$4="",$B16=""),0,SUMIF('DADOS BRUTOS'!$A$3:$A$500,$B16,'DADOS BRUTOS'!FT$3:FT$500)+IF($C16="",0,SUMIF('DADOS BRUTOS'!$A$3:$A$500,$C16,'DADOS BRUTOS'!FT$3:FT$500)))</f>
        <v>0</v>
      </c>
      <c r="IU16" s="133" t="n">
        <f aca="false">IF(OR(IU$4="",$B16=""),0,SUMIF('DADOS BRUTOS'!$A$3:$A$500,$B16,'DADOS BRUTOS'!FU$3:FU$500)+IF($C16="",0,SUMIF('DADOS BRUTOS'!$A$3:$A$500,$C16,'DADOS BRUTOS'!FU$3:FU$500)))</f>
        <v>0</v>
      </c>
      <c r="IV16" s="133" t="n">
        <f aca="false">IF(OR(IV$4="",$B16=""),0,SUMIF('DADOS BRUTOS'!$A$3:$A$500,$B16,'DADOS BRUTOS'!FV$3:FV$500)+IF($C16="",0,SUMIF('DADOS BRUTOS'!$A$3:$A$500,$C16,'DADOS BRUTOS'!FV$3:FV$500)))</f>
        <v>0</v>
      </c>
      <c r="IW16" s="133" t="n">
        <f aca="false">IF(OR(IW$4="",$B16=""),0,SUMIF('DADOS BRUTOS'!$A$3:$A$500,$B16,'DADOS BRUTOS'!FW$3:FW$500)+IF($C16="",0,SUMIF('DADOS BRUTOS'!$A$3:$A$500,$C16,'DADOS BRUTOS'!FW$3:FW$500)))</f>
        <v>0</v>
      </c>
      <c r="IX16" s="133" t="n">
        <f aca="false">IF(OR(IX$4="",$B16=""),0,SUMIF('DADOS BRUTOS'!$A$3:$A$500,$B16,'DADOS BRUTOS'!FX$3:FX$500)+IF($C16="",0,SUMIF('DADOS BRUTOS'!$A$3:$A$500,$C16,'DADOS BRUTOS'!FX$3:FX$500)))</f>
        <v>0</v>
      </c>
      <c r="IY16" s="133" t="n">
        <f aca="false">IF(OR(IY$4="",$B16=""),0,SUMIF('DADOS BRUTOS'!$A$3:$A$500,$B16,'DADOS BRUTOS'!FY$3:FY$500)+IF($C16="",0,SUMIF('DADOS BRUTOS'!$A$3:$A$500,$C16,'DADOS BRUTOS'!FY$3:FY$500)))</f>
        <v>0</v>
      </c>
      <c r="IZ16" s="133" t="n">
        <f aca="false">IF(OR(IZ$4="",$B16=""),0,SUMIF('DADOS BRUTOS'!$A$3:$A$500,$B16,'DADOS BRUTOS'!FZ$3:FZ$500)+IF($C16="",0,SUMIF('DADOS BRUTOS'!$A$3:$A$500,$C16,'DADOS BRUTOS'!FZ$3:FZ$500)))</f>
        <v>0</v>
      </c>
      <c r="JA16" s="133" t="n">
        <f aca="false">IF(OR(JA$4="",$B16=""),0,SUMIF('DADOS BRUTOS'!$A$3:$A$500,$B16,'DADOS BRUTOS'!GA$3:GA$500)+IF($C16="",0,SUMIF('DADOS BRUTOS'!$A$3:$A$500,$C16,'DADOS BRUTOS'!GA$3:GA$500)))</f>
        <v>0</v>
      </c>
      <c r="JB16" s="133" t="n">
        <f aca="false">IF(OR(JB$4="",$B16=""),0,SUMIF('DADOS BRUTOS'!$A$3:$A$500,$B16,'DADOS BRUTOS'!GB$3:GB$500)+IF($C16="",0,SUMIF('DADOS BRUTOS'!$A$3:$A$500,$C16,'DADOS BRUTOS'!GB$3:GB$500)))</f>
        <v>0</v>
      </c>
      <c r="JC16" s="133" t="n">
        <f aca="false">IF(OR(JC$4="",$B16=""),0,SUMIF('DADOS BRUTOS'!$A$3:$A$500,$B16,'DADOS BRUTOS'!GC$3:GC$500)+IF($C16="",0,SUMIF('DADOS BRUTOS'!$A$3:$A$500,$C16,'DADOS BRUTOS'!GC$3:GC$500)))</f>
        <v>0</v>
      </c>
      <c r="JD16" s="133" t="n">
        <f aca="false">IF(OR(JD$4="",$B16=""),0,SUMIF('DADOS BRUTOS'!$A$3:$A$500,$B16,'DADOS BRUTOS'!GD$3:GD$500)+IF($C16="",0,SUMIF('DADOS BRUTOS'!$A$3:$A$500,$C16,'DADOS BRUTOS'!GD$3:GD$500)))</f>
        <v>0</v>
      </c>
      <c r="JE16" s="133" t="n">
        <f aca="false">IF(OR(JE$4="",$B16=""),0,SUMIF('DADOS BRUTOS'!$A$3:$A$500,$B16,'DADOS BRUTOS'!GE$3:GE$500)+IF($C16="",0,SUMIF('DADOS BRUTOS'!$A$3:$A$500,$C16,'DADOS BRUTOS'!GE$3:GE$500)))</f>
        <v>0</v>
      </c>
      <c r="JF16" s="133" t="n">
        <f aca="false">IF(OR(JF$4="",$B16=""),0,SUMIF('DADOS BRUTOS'!$A$3:$A$500,$B16,'DADOS BRUTOS'!GF$3:GF$500)+IF($C16="",0,SUMIF('DADOS BRUTOS'!$A$3:$A$500,$C16,'DADOS BRUTOS'!GF$3:GF$500)))</f>
        <v>0</v>
      </c>
      <c r="JG16" s="133" t="n">
        <f aca="false">IF(OR(JG$4="",$B16=""),0,SUMIF('DADOS BRUTOS'!$A$3:$A$500,$B16,'DADOS BRUTOS'!GG$3:GG$500)+IF($C16="",0,SUMIF('DADOS BRUTOS'!$A$3:$A$500,$C16,'DADOS BRUTOS'!GG$3:GG$500)))</f>
        <v>0</v>
      </c>
      <c r="JH16" s="133" t="n">
        <f aca="false">IF(OR(JH$4="",$B16=""),0,SUMIF('DADOS BRUTOS'!$A$3:$A$500,$B16,'DADOS BRUTOS'!GH$3:GH$500)+IF($C16="",0,SUMIF('DADOS BRUTOS'!$A$3:$A$500,$C16,'DADOS BRUTOS'!GH$3:GH$500)))</f>
        <v>0</v>
      </c>
      <c r="JI16" s="133" t="n">
        <f aca="false">IF(OR(JI$4="",$B16=""),0,SUMIF('DADOS BRUTOS'!$A$3:$A$500,$B16,'DADOS BRUTOS'!GI$3:GI$500)+IF($C16="",0,SUMIF('DADOS BRUTOS'!$A$3:$A$500,$C16,'DADOS BRUTOS'!GI$3:GI$500)))</f>
        <v>0</v>
      </c>
      <c r="JJ16" s="133" t="n">
        <f aca="false">IF(OR(JJ$4="",$B16=""),0,SUMIF('DADOS BRUTOS'!$A$3:$A$500,$B16,'DADOS BRUTOS'!GJ$3:GJ$500)+IF($C16="",0,SUMIF('DADOS BRUTOS'!$A$3:$A$500,$C16,'DADOS BRUTOS'!GJ$3:GJ$500)))</f>
        <v>0</v>
      </c>
      <c r="JK16" s="133" t="n">
        <f aca="false">IF(OR(JK$4="",$B16=""),0,SUMIF('DADOS BRUTOS'!$A$3:$A$500,$B16,'DADOS BRUTOS'!GK$3:GK$500)+IF($C16="",0,SUMIF('DADOS BRUTOS'!$A$3:$A$500,$C16,'DADOS BRUTOS'!GK$3:GK$500)))</f>
        <v>0</v>
      </c>
      <c r="JL16" s="133" t="n">
        <f aca="false">IF(OR(JL$4="",$B16=""),0,SUMIF('DADOS BRUTOS'!$A$3:$A$500,$B16,'DADOS BRUTOS'!GL$3:GL$500)+IF($C16="",0,SUMIF('DADOS BRUTOS'!$A$3:$A$500,$C16,'DADOS BRUTOS'!GL$3:GL$500)))</f>
        <v>0</v>
      </c>
      <c r="JM16" s="133" t="n">
        <f aca="false">IF(OR(JM$4="",$B16=""),0,SUMIF('DADOS BRUTOS'!$A$3:$A$500,$B16,'DADOS BRUTOS'!GM$3:GM$500)+IF($C16="",0,SUMIF('DADOS BRUTOS'!$A$3:$A$500,$C16,'DADOS BRUTOS'!GM$3:GM$500)))</f>
        <v>0</v>
      </c>
      <c r="JN16" s="133" t="n">
        <f aca="false">IF(OR(JN$4="",$B16=""),0,SUMIF('DADOS BRUTOS'!$A$3:$A$500,$B16,'DADOS BRUTOS'!GN$3:GN$500)+IF($C16="",0,SUMIF('DADOS BRUTOS'!$A$3:$A$500,$C16,'DADOS BRUTOS'!GN$3:GN$500)))</f>
        <v>0</v>
      </c>
      <c r="JO16" s="133" t="n">
        <f aca="false">IF(OR(JO$4="",$B16=""),0,SUMIF('DADOS BRUTOS'!$A$3:$A$500,$B16,'DADOS BRUTOS'!GO$3:GO$500)+IF($C16="",0,SUMIF('DADOS BRUTOS'!$A$3:$A$500,$C16,'DADOS BRUTOS'!GO$3:GO$500)))</f>
        <v>0</v>
      </c>
      <c r="JP16" s="133" t="n">
        <f aca="false">IF(OR(JP$4="",$B16=""),0,SUMIF('DADOS BRUTOS'!$A$3:$A$500,$B16,'DADOS BRUTOS'!GP$3:GP$500)+IF($C16="",0,SUMIF('DADOS BRUTOS'!$A$3:$A$500,$C16,'DADOS BRUTOS'!GP$3:GP$500)))</f>
        <v>0</v>
      </c>
      <c r="JQ16" s="133" t="n">
        <f aca="false">IF(OR(JQ$4="",$B16=""),0,SUMIF('DADOS BRUTOS'!$A$3:$A$500,$B16,'DADOS BRUTOS'!GQ$3:GQ$500)+IF($C16="",0,SUMIF('DADOS BRUTOS'!$A$3:$A$500,$C16,'DADOS BRUTOS'!GQ$3:GQ$500)))</f>
        <v>0</v>
      </c>
      <c r="JR16" s="133" t="n">
        <f aca="false">IF(OR(JR$4="",$B16=""),0,SUMIF('DADOS BRUTOS'!$A$3:$A$500,$B16,'DADOS BRUTOS'!GR$3:GR$500)+IF($C16="",0,SUMIF('DADOS BRUTOS'!$A$3:$A$500,$C16,'DADOS BRUTOS'!GR$3:GR$500)))</f>
        <v>0</v>
      </c>
      <c r="JS16" s="133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0</v>
      </c>
      <c r="E17" s="50" t="n">
        <f aca="false">SUMIF($CB$4:$JS$4,E$4,$CB17:$JS17)</f>
        <v>0</v>
      </c>
      <c r="F17" s="50" t="n">
        <f aca="false">SUMIF($CB$4:$JS$4,F$4,$CB17:$JS17)</f>
        <v>0</v>
      </c>
      <c r="G17" s="50" t="n">
        <f aca="false">SUMIF($CB$4:$JS$4,G$4,$CB17:$JS17)</f>
        <v>0</v>
      </c>
      <c r="H17" s="50" t="n">
        <f aca="false">SUMIF($CB$4:$JS$4,H$4,$CB17:$JS17)</f>
        <v>0</v>
      </c>
      <c r="I17" s="50" t="n">
        <f aca="false">SUMIF($CB$4:$JS$4,I$4,$CB17:$JS17)</f>
        <v>0</v>
      </c>
      <c r="J17" s="50" t="n">
        <f aca="false">SUMIF($CB$4:$JS$4,J$4,$CB17:$JS17)</f>
        <v>0</v>
      </c>
      <c r="K17" s="50" t="n">
        <f aca="false">SUMIF($CB$4:$JS$4,K$4,$CB17:$JS17)</f>
        <v>12009.9</v>
      </c>
      <c r="L17" s="50" t="n">
        <f aca="false">SUMIF($CB$4:$JS$4,L$4,$CB17:$JS17)</f>
        <v>107813.99</v>
      </c>
      <c r="M17" s="50" t="n">
        <f aca="false">SUMIF($CB$4:$JS$4,M$4,$CB17:$JS17)</f>
        <v>236848.02</v>
      </c>
      <c r="N17" s="50" t="n">
        <f aca="false">SUMIF($CB$4:$JS$4,N$4,$CB17:$JS17)</f>
        <v>285810.89</v>
      </c>
      <c r="O17" s="50" t="n">
        <f aca="false">SUMIF($CB$4:$JS$4,O$4,$CB17:$JS17)</f>
        <v>200940.58</v>
      </c>
      <c r="P17" s="50" t="n">
        <f aca="false">SUMIF($CB$4:$JS$4,P$4,$CB17:$JS17)</f>
        <v>146047.49</v>
      </c>
      <c r="Q17" s="50" t="n">
        <f aca="false">SUMIF($CB$4:$JS$4,Q$4,$CB17:$JS17)</f>
        <v>4650</v>
      </c>
      <c r="R17" s="50" t="n">
        <f aca="false">SUMIF($CB$4:$JS$4,R$4,$CB17:$JS17)</f>
        <v>860</v>
      </c>
      <c r="S17" s="50" t="n">
        <f aca="false">SUMIF($CB$4:$JS$4,S$4,$CB17:$JS17)</f>
        <v>2632</v>
      </c>
      <c r="T17" s="50" t="n">
        <f aca="false">SUMIF($CB$4:$JS$4,T$4,$CB17:$JS17)</f>
        <v>346.94</v>
      </c>
      <c r="U17" s="50" t="n">
        <f aca="false">SUMIF($CB$4:$JS$4,U$4,$CB17:$JS17)</f>
        <v>4280</v>
      </c>
      <c r="V17" s="50" t="n">
        <f aca="false">SUMIF($CB$4:$JS$4,V$4,$CB17:$JS17)</f>
        <v>6148</v>
      </c>
      <c r="W17" s="50" t="n">
        <f aca="false">SUMIF($CB$4:$JS$4,W$4,$CB17:$JS17)</f>
        <v>52256.6</v>
      </c>
      <c r="X17" s="50" t="n">
        <f aca="false">SUMIF($CB$4:$JS$4,X$4,$CB17:$JS17)</f>
        <v>0</v>
      </c>
      <c r="Y17" s="50" t="n">
        <f aca="false">SUMIF($CB$4:$JS$4,Y$4,$CB17:$JS17)</f>
        <v>0</v>
      </c>
      <c r="Z17" s="50" t="n">
        <f aca="false">SUMIF($CB$4:$JS$4,Z$4,$CB17:$JS17)</f>
        <v>24240</v>
      </c>
      <c r="AA17" s="50" t="n">
        <f aca="false">SUMIF($CB$4:$JS$4,AA$4,$CB17:$JS17)</f>
        <v>1528.38</v>
      </c>
      <c r="AB17" s="50" t="n">
        <f aca="false">SUMIF($CB$4:$JS$4,AB$4,$CB17:$JS17)</f>
        <v>1803.27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9357.88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1097573.94</v>
      </c>
      <c r="BZ17" s="45" t="n">
        <f aca="false">SUMPRODUCT(($CB$4:$JS$4&lt;&gt;"")*($CB$4:$JS$4&lt;=$D$4),$CB17:$JS17,$CB$1:$JS$1)</f>
        <v>0</v>
      </c>
      <c r="CB17" s="133" t="n">
        <f aca="false">IF(OR(CB$4="",$B17=""),0,SUMIF('DADOS BRUTOS'!$A$3:$A$500,$B17,'DADOS BRUTOS'!B$3:B$500)+IF($C17="",0,SUMIF('DADOS BRUTOS'!$A$3:$A$500,$C17,'DADOS BRUTOS'!B$3:B$500)))</f>
        <v>0</v>
      </c>
      <c r="CC17" s="133" t="n">
        <f aca="false">IF(OR(CC$4="",$B17=""),0,SUMIF('DADOS BRUTOS'!$A$3:$A$500,$B17,'DADOS BRUTOS'!C$3:C$500)+IF($C17="",0,SUMIF('DADOS BRUTOS'!$A$3:$A$500,$C17,'DADOS BRUTOS'!C$3:C$500)))</f>
        <v>0</v>
      </c>
      <c r="CD17" s="133" t="n">
        <f aca="false">IF(OR(CD$4="",$B17=""),0,SUMIF('DADOS BRUTOS'!$A$3:$A$500,$B17,'DADOS BRUTOS'!D$3:D$500)+IF($C17="",0,SUMIF('DADOS BRUTOS'!$A$3:$A$500,$C17,'DADOS BRUTOS'!D$3:D$500)))</f>
        <v>0</v>
      </c>
      <c r="CE17" s="133" t="n">
        <f aca="false">IF(OR(CE$4="",$B17=""),0,SUMIF('DADOS BRUTOS'!$A$3:$A$500,$B17,'DADOS BRUTOS'!E$3:E$500)+IF($C17="",0,SUMIF('DADOS BRUTOS'!$A$3:$A$500,$C17,'DADOS BRUTOS'!E$3:E$500)))</f>
        <v>0</v>
      </c>
      <c r="CF17" s="133" t="n">
        <f aca="false">IF(OR(CF$4="",$B17=""),0,SUMIF('DADOS BRUTOS'!$A$3:$A$500,$B17,'DADOS BRUTOS'!F$3:F$500)+IF($C17="",0,SUMIF('DADOS BRUTOS'!$A$3:$A$500,$C17,'DADOS BRUTOS'!F$3:F$500)))</f>
        <v>0</v>
      </c>
      <c r="CG17" s="133" t="n">
        <f aca="false">IF(OR(CG$4="",$B17=""),0,SUMIF('DADOS BRUTOS'!$A$3:$A$500,$B17,'DADOS BRUTOS'!G$3:G$500)+IF($C17="",0,SUMIF('DADOS BRUTOS'!$A$3:$A$500,$C17,'DADOS BRUTOS'!G$3:G$500)))</f>
        <v>0</v>
      </c>
      <c r="CH17" s="133" t="n">
        <f aca="false">IF(OR(CH$4="",$B17=""),0,SUMIF('DADOS BRUTOS'!$A$3:$A$500,$B17,'DADOS BRUTOS'!H$3:H$500)+IF($C17="",0,SUMIF('DADOS BRUTOS'!$A$3:$A$500,$C17,'DADOS BRUTOS'!H$3:H$500)))</f>
        <v>0</v>
      </c>
      <c r="CI17" s="133" t="n">
        <f aca="false">IF(OR(CI$4="",$B17=""),0,SUMIF('DADOS BRUTOS'!$A$3:$A$500,$B17,'DADOS BRUTOS'!I$3:I$500)+IF($C17="",0,SUMIF('DADOS BRUTOS'!$A$3:$A$500,$C17,'DADOS BRUTOS'!I$3:I$500)))</f>
        <v>0</v>
      </c>
      <c r="CJ17" s="133" t="n">
        <f aca="false">IF(OR(CJ$4="",$B17=""),0,SUMIF('DADOS BRUTOS'!$A$3:$A$500,$B17,'DADOS BRUTOS'!J$3:J$500)+IF($C17="",0,SUMIF('DADOS BRUTOS'!$A$3:$A$500,$C17,'DADOS BRUTOS'!J$3:J$500)))</f>
        <v>0</v>
      </c>
      <c r="CK17" s="133" t="n">
        <f aca="false">IF(OR(CK$4="",$B17=""),0,SUMIF('DADOS BRUTOS'!$A$3:$A$500,$B17,'DADOS BRUTOS'!K$3:K$500)+IF($C17="",0,SUMIF('DADOS BRUTOS'!$A$3:$A$500,$C17,'DADOS BRUTOS'!K$3:K$500)))</f>
        <v>0</v>
      </c>
      <c r="CL17" s="133" t="n">
        <f aca="false">IF(OR(CL$4="",$B17=""),0,SUMIF('DADOS BRUTOS'!$A$3:$A$500,$B17,'DADOS BRUTOS'!L$3:L$500)+IF($C17="",0,SUMIF('DADOS BRUTOS'!$A$3:$A$500,$C17,'DADOS BRUTOS'!L$3:L$500)))</f>
        <v>0</v>
      </c>
      <c r="CM17" s="133" t="n">
        <f aca="false">IF(OR(CM$4="",$B17=""),0,SUMIF('DADOS BRUTOS'!$A$3:$A$500,$B17,'DADOS BRUTOS'!M$3:M$500)+IF($C17="",0,SUMIF('DADOS BRUTOS'!$A$3:$A$500,$C17,'DADOS BRUTOS'!M$3:M$500)))</f>
        <v>0</v>
      </c>
      <c r="CN17" s="133" t="n">
        <f aca="false">IF(OR(CN$4="",$B17=""),0,SUMIF('DADOS BRUTOS'!$A$3:$A$500,$B17,'DADOS BRUTOS'!N$3:N$500)+IF($C17="",0,SUMIF('DADOS BRUTOS'!$A$3:$A$500,$C17,'DADOS BRUTOS'!N$3:N$500)))</f>
        <v>0</v>
      </c>
      <c r="CO17" s="133" t="n">
        <f aca="false">IF(OR(CO$4="",$B17=""),0,SUMIF('DADOS BRUTOS'!$A$3:$A$500,$B17,'DADOS BRUTOS'!O$3:O$500)+IF($C17="",0,SUMIF('DADOS BRUTOS'!$A$3:$A$500,$C17,'DADOS BRUTOS'!O$3:O$500)))</f>
        <v>0</v>
      </c>
      <c r="CP17" s="133" t="n">
        <f aca="false">IF(OR(CP$4="",$B17=""),0,SUMIF('DADOS BRUTOS'!$A$3:$A$500,$B17,'DADOS BRUTOS'!P$3:P$500)+IF($C17="",0,SUMIF('DADOS BRUTOS'!$A$3:$A$500,$C17,'DADOS BRUTOS'!P$3:P$500)))</f>
        <v>0</v>
      </c>
      <c r="CQ17" s="133" t="n">
        <f aca="false">IF(OR(CQ$4="",$B17=""),0,SUMIF('DADOS BRUTOS'!$A$3:$A$500,$B17,'DADOS BRUTOS'!Q$3:Q$500)+IF($C17="",0,SUMIF('DADOS BRUTOS'!$A$3:$A$500,$C17,'DADOS BRUTOS'!Q$3:Q$500)))</f>
        <v>0</v>
      </c>
      <c r="CR17" s="133" t="n">
        <f aca="false">IF(OR(CR$4="",$B17=""),0,SUMIF('DADOS BRUTOS'!$A$3:$A$500,$B17,'DADOS BRUTOS'!R$3:R$500)+IF($C17="",0,SUMIF('DADOS BRUTOS'!$A$3:$A$500,$C17,'DADOS BRUTOS'!R$3:R$500)))</f>
        <v>0</v>
      </c>
      <c r="CS17" s="133" t="n">
        <f aca="false">IF(OR(CS$4="",$B17=""),0,SUMIF('DADOS BRUTOS'!$A$3:$A$500,$B17,'DADOS BRUTOS'!S$3:S$500)+IF($C17="",0,SUMIF('DADOS BRUTOS'!$A$3:$A$500,$C17,'DADOS BRUTOS'!S$3:S$500)))</f>
        <v>0</v>
      </c>
      <c r="CT17" s="133" t="n">
        <f aca="false">IF(OR(CT$4="",$B17=""),0,SUMIF('DADOS BRUTOS'!$A$3:$A$500,$B17,'DADOS BRUTOS'!T$3:T$500)+IF($C17="",0,SUMIF('DADOS BRUTOS'!$A$3:$A$500,$C17,'DADOS BRUTOS'!T$3:T$500)))</f>
        <v>0</v>
      </c>
      <c r="CU17" s="133" t="n">
        <f aca="false">IF(OR(CU$4="",$B17=""),0,SUMIF('DADOS BRUTOS'!$A$3:$A$500,$B17,'DADOS BRUTOS'!U$3:U$500)+IF($C17="",0,SUMIF('DADOS BRUTOS'!$A$3:$A$500,$C17,'DADOS BRUTOS'!U$3:U$500)))</f>
        <v>12009.9</v>
      </c>
      <c r="CV17" s="133" t="n">
        <f aca="false">IF(OR(CV$4="",$B17=""),0,SUMIF('DADOS BRUTOS'!$A$3:$A$500,$B17,'DADOS BRUTOS'!V$3:V$500)+IF($C17="",0,SUMIF('DADOS BRUTOS'!$A$3:$A$500,$C17,'DADOS BRUTOS'!V$3:V$500)))</f>
        <v>107813.99</v>
      </c>
      <c r="CW17" s="133" t="n">
        <f aca="false">IF(OR(CW$4="",$B17=""),0,SUMIF('DADOS BRUTOS'!$A$3:$A$500,$B17,'DADOS BRUTOS'!W$3:W$500)+IF($C17="",0,SUMIF('DADOS BRUTOS'!$A$3:$A$500,$C17,'DADOS BRUTOS'!W$3:W$500)))</f>
        <v>236848.02</v>
      </c>
      <c r="CX17" s="133" t="n">
        <f aca="false">IF(OR(CX$4="",$B17=""),0,SUMIF('DADOS BRUTOS'!$A$3:$A$500,$B17,'DADOS BRUTOS'!X$3:X$500)+IF($C17="",0,SUMIF('DADOS BRUTOS'!$A$3:$A$500,$C17,'DADOS BRUTOS'!X$3:X$500)))</f>
        <v>285810.89</v>
      </c>
      <c r="CY17" s="133" t="n">
        <f aca="false">IF(OR(CY$4="",$B17=""),0,SUMIF('DADOS BRUTOS'!$A$3:$A$500,$B17,'DADOS BRUTOS'!Y$3:Y$500)+IF($C17="",0,SUMIF('DADOS BRUTOS'!$A$3:$A$500,$C17,'DADOS BRUTOS'!Y$3:Y$500)))</f>
        <v>200940.58</v>
      </c>
      <c r="CZ17" s="133" t="n">
        <f aca="false">IF(OR(CZ$4="",$B17=""),0,SUMIF('DADOS BRUTOS'!$A$3:$A$500,$B17,'DADOS BRUTOS'!Z$3:Z$500)+IF($C17="",0,SUMIF('DADOS BRUTOS'!$A$3:$A$500,$C17,'DADOS BRUTOS'!Z$3:Z$500)))</f>
        <v>146047.49</v>
      </c>
      <c r="DA17" s="133" t="n">
        <f aca="false">IF(OR(DA$4="",$B17=""),0,SUMIF('DADOS BRUTOS'!$A$3:$A$500,$B17,'DADOS BRUTOS'!AA$3:AA$500)+IF($C17="",0,SUMIF('DADOS BRUTOS'!$A$3:$A$500,$C17,'DADOS BRUTOS'!AA$3:AA$500)))</f>
        <v>4650</v>
      </c>
      <c r="DB17" s="133" t="n">
        <f aca="false">IF(OR(DB$4="",$B17=""),0,SUMIF('DADOS BRUTOS'!$A$3:$A$500,$B17,'DADOS BRUTOS'!AB$3:AB$500)+IF($C17="",0,SUMIF('DADOS BRUTOS'!$A$3:$A$500,$C17,'DADOS BRUTOS'!AB$3:AB$500)))</f>
        <v>860</v>
      </c>
      <c r="DC17" s="133" t="n">
        <f aca="false">IF(OR(DC$4="",$B17=""),0,SUMIF('DADOS BRUTOS'!$A$3:$A$500,$B17,'DADOS BRUTOS'!AC$3:AC$500)+IF($C17="",0,SUMIF('DADOS BRUTOS'!$A$3:$A$500,$C17,'DADOS BRUTOS'!AC$3:AC$500)))</f>
        <v>2632</v>
      </c>
      <c r="DD17" s="133" t="n">
        <f aca="false">IF(OR(DD$4="",$B17=""),0,SUMIF('DADOS BRUTOS'!$A$3:$A$500,$B17,'DADOS BRUTOS'!AD$3:AD$500)+IF($C17="",0,SUMIF('DADOS BRUTOS'!$A$3:$A$500,$C17,'DADOS BRUTOS'!AD$3:AD$500)))</f>
        <v>346.94</v>
      </c>
      <c r="DE17" s="133" t="n">
        <f aca="false">IF(OR(DE$4="",$B17=""),0,SUMIF('DADOS BRUTOS'!$A$3:$A$500,$B17,'DADOS BRUTOS'!AE$3:AE$500)+IF($C17="",0,SUMIF('DADOS BRUTOS'!$A$3:$A$500,$C17,'DADOS BRUTOS'!AE$3:AE$500)))</f>
        <v>4280</v>
      </c>
      <c r="DF17" s="133" t="n">
        <f aca="false">IF(OR(DF$4="",$B17=""),0,SUMIF('DADOS BRUTOS'!$A$3:$A$500,$B17,'DADOS BRUTOS'!AF$3:AF$500)+IF($C17="",0,SUMIF('DADOS BRUTOS'!$A$3:$A$500,$C17,'DADOS BRUTOS'!AF$3:AF$500)))</f>
        <v>6148</v>
      </c>
      <c r="DG17" s="133" t="n">
        <f aca="false">IF(OR(DG$4="",$B17=""),0,SUMIF('DADOS BRUTOS'!$A$3:$A$500,$B17,'DADOS BRUTOS'!AG$3:AG$500)+IF($C17="",0,SUMIF('DADOS BRUTOS'!$A$3:$A$500,$C17,'DADOS BRUTOS'!AG$3:AG$500)))</f>
        <v>52256.6</v>
      </c>
      <c r="DH17" s="133" t="n">
        <f aca="false">IF(OR(DH$4="",$B17=""),0,SUMIF('DADOS BRUTOS'!$A$3:$A$500,$B17,'DADOS BRUTOS'!AH$3:AH$500)+IF($C17="",0,SUMIF('DADOS BRUTOS'!$A$3:$A$500,$C17,'DADOS BRUTOS'!AH$3:AH$500)))</f>
        <v>0</v>
      </c>
      <c r="DI17" s="133" t="n">
        <f aca="false">IF(OR(DI$4="",$B17=""),0,SUMIF('DADOS BRUTOS'!$A$3:$A$500,$B17,'DADOS BRUTOS'!AI$3:AI$500)+IF($C17="",0,SUMIF('DADOS BRUTOS'!$A$3:$A$500,$C17,'DADOS BRUTOS'!AI$3:AI$500)))</f>
        <v>0</v>
      </c>
      <c r="DJ17" s="133" t="n">
        <f aca="false">IF(OR(DJ$4="",$B17=""),0,SUMIF('DADOS BRUTOS'!$A$3:$A$500,$B17,'DADOS BRUTOS'!AJ$3:AJ$500)+IF($C17="",0,SUMIF('DADOS BRUTOS'!$A$3:$A$500,$C17,'DADOS BRUTOS'!AJ$3:AJ$500)))</f>
        <v>24240</v>
      </c>
      <c r="DK17" s="133" t="n">
        <f aca="false">IF(OR(DK$4="",$B17=""),0,SUMIF('DADOS BRUTOS'!$A$3:$A$500,$B17,'DADOS BRUTOS'!AK$3:AK$500)+IF($C17="",0,SUMIF('DADOS BRUTOS'!$A$3:$A$500,$C17,'DADOS BRUTOS'!AK$3:AK$500)))</f>
        <v>1528.38</v>
      </c>
      <c r="DL17" s="133" t="n">
        <f aca="false">IF(OR(DL$4="",$B17=""),0,SUMIF('DADOS BRUTOS'!$A$3:$A$500,$B17,'DADOS BRUTOS'!AL$3:AL$500)+IF($C17="",0,SUMIF('DADOS BRUTOS'!$A$3:$A$500,$C17,'DADOS BRUTOS'!AL$3:AL$500)))</f>
        <v>1803.27</v>
      </c>
      <c r="DM17" s="133" t="n">
        <f aca="false">IF(OR(DM$4="",$B17=""),0,SUMIF('DADOS BRUTOS'!$A$3:$A$500,$B17,'DADOS BRUTOS'!AM$3:AM$500)+IF($C17="",0,SUMIF('DADOS BRUTOS'!$A$3:$A$500,$C17,'DADOS BRUTOS'!AM$3:AM$500)))</f>
        <v>0</v>
      </c>
      <c r="DN17" s="133" t="n">
        <f aca="false">IF(OR(DN$4="",$B17=""),0,SUMIF('DADOS BRUTOS'!$A$3:$A$500,$B17,'DADOS BRUTOS'!AN$3:AN$500)+IF($C17="",0,SUMIF('DADOS BRUTOS'!$A$3:$A$500,$C17,'DADOS BRUTOS'!AN$3:AN$500)))</f>
        <v>0</v>
      </c>
      <c r="DO17" s="133" t="n">
        <f aca="false">IF(OR(DO$4="",$B17=""),0,SUMIF('DADOS BRUTOS'!$A$3:$A$500,$B17,'DADOS BRUTOS'!AO$3:AO$500)+IF($C17="",0,SUMIF('DADOS BRUTOS'!$A$3:$A$500,$C17,'DADOS BRUTOS'!AO$3:AO$500)))</f>
        <v>9357.88</v>
      </c>
      <c r="DP17" s="133" t="n">
        <f aca="false">IF(OR(DP$4="",$B17=""),0,SUMIF('DADOS BRUTOS'!$A$3:$A$500,$B17,'DADOS BRUTOS'!AP$3:AP$500)+IF($C17="",0,SUMIF('DADOS BRUTOS'!$A$3:$A$500,$C17,'DADOS BRUTOS'!AP$3:AP$500)))</f>
        <v>0</v>
      </c>
      <c r="DQ17" s="133" t="n">
        <f aca="false">IF(OR(DQ$4="",$B17=""),0,SUMIF('DADOS BRUTOS'!$A$3:$A$500,$B17,'DADOS BRUTOS'!AQ$3:AQ$500)+IF($C17="",0,SUMIF('DADOS BRUTOS'!$A$3:$A$500,$C17,'DADOS BRUTOS'!AQ$3:AQ$500)))</f>
        <v>0</v>
      </c>
      <c r="DR17" s="133" t="n">
        <f aca="false">IF(OR(DR$4="",$B17=""),0,SUMIF('DADOS BRUTOS'!$A$3:$A$500,$B17,'DADOS BRUTOS'!AR$3:AR$500)+IF($C17="",0,SUMIF('DADOS BRUTOS'!$A$3:$A$500,$C17,'DADOS BRUTOS'!AR$3:AR$500)))</f>
        <v>0</v>
      </c>
      <c r="DS17" s="133" t="n">
        <f aca="false">IF(OR(DS$4="",$B17=""),0,SUMIF('DADOS BRUTOS'!$A$3:$A$500,$B17,'DADOS BRUTOS'!AS$3:AS$500)+IF($C17="",0,SUMIF('DADOS BRUTOS'!$A$3:$A$500,$C17,'DADOS BRUTOS'!AS$3:AS$500)))</f>
        <v>0</v>
      </c>
      <c r="DT17" s="133" t="n">
        <f aca="false">IF(OR(DT$4="",$B17=""),0,SUMIF('DADOS BRUTOS'!$A$3:$A$500,$B17,'DADOS BRUTOS'!AT$3:AT$500)+IF($C17="",0,SUMIF('DADOS BRUTOS'!$A$3:$A$500,$C17,'DADOS BRUTOS'!AT$3:AT$500)))</f>
        <v>0</v>
      </c>
      <c r="DU17" s="133" t="n">
        <f aca="false">IF(OR(DU$4="",$B17=""),0,SUMIF('DADOS BRUTOS'!$A$3:$A$500,$B17,'DADOS BRUTOS'!AU$3:AU$500)+IF($C17="",0,SUMIF('DADOS BRUTOS'!$A$3:$A$500,$C17,'DADOS BRUTOS'!AU$3:AU$500)))</f>
        <v>0</v>
      </c>
      <c r="DV17" s="133" t="n">
        <f aca="false">IF(OR(DV$4="",$B17=""),0,SUMIF('DADOS BRUTOS'!$A$3:$A$500,$B17,'DADOS BRUTOS'!AV$3:AV$500)+IF($C17="",0,SUMIF('DADOS BRUTOS'!$A$3:$A$500,$C17,'DADOS BRUTOS'!AV$3:AV$500)))</f>
        <v>0</v>
      </c>
      <c r="DW17" s="133" t="n">
        <f aca="false">IF(OR(DW$4="",$B17=""),0,SUMIF('DADOS BRUTOS'!$A$3:$A$500,$B17,'DADOS BRUTOS'!AW$3:AW$500)+IF($C17="",0,SUMIF('DADOS BRUTOS'!$A$3:$A$500,$C17,'DADOS BRUTOS'!AW$3:AW$500)))</f>
        <v>0</v>
      </c>
      <c r="DX17" s="133" t="n">
        <f aca="false">IF(OR(DX$4="",$B17=""),0,SUMIF('DADOS BRUTOS'!$A$3:$A$500,$B17,'DADOS BRUTOS'!AX$3:AX$500)+IF($C17="",0,SUMIF('DADOS BRUTOS'!$A$3:$A$500,$C17,'DADOS BRUTOS'!AX$3:AX$500)))</f>
        <v>0</v>
      </c>
      <c r="DY17" s="133" t="n">
        <f aca="false">IF(OR(DY$4="",$B17=""),0,SUMIF('DADOS BRUTOS'!$A$3:$A$500,$B17,'DADOS BRUTOS'!AY$3:AY$500)+IF($C17="",0,SUMIF('DADOS BRUTOS'!$A$3:$A$500,$C17,'DADOS BRUTOS'!AY$3:AY$500)))</f>
        <v>0</v>
      </c>
      <c r="DZ17" s="133" t="n">
        <f aca="false">IF(OR(DZ$4="",$B17=""),0,SUMIF('DADOS BRUTOS'!$A$3:$A$500,$B17,'DADOS BRUTOS'!AZ$3:AZ$500)+IF($C17="",0,SUMIF('DADOS BRUTOS'!$A$3:$A$500,$C17,'DADOS BRUTOS'!AZ$3:AZ$500)))</f>
        <v>0</v>
      </c>
      <c r="EA17" s="133" t="n">
        <f aca="false">IF(OR(EA$4="",$B17=""),0,SUMIF('DADOS BRUTOS'!$A$3:$A$500,$B17,'DADOS BRUTOS'!BA$3:BA$500)+IF($C17="",0,SUMIF('DADOS BRUTOS'!$A$3:$A$500,$C17,'DADOS BRUTOS'!BA$3:BA$500)))</f>
        <v>0</v>
      </c>
      <c r="EB17" s="133" t="n">
        <f aca="false">IF(OR(EB$4="",$B17=""),0,SUMIF('DADOS BRUTOS'!$A$3:$A$500,$B17,'DADOS BRUTOS'!BB$3:BB$500)+IF($C17="",0,SUMIF('DADOS BRUTOS'!$A$3:$A$500,$C17,'DADOS BRUTOS'!BB$3:BB$500)))</f>
        <v>0</v>
      </c>
      <c r="EC17" s="133" t="n">
        <f aca="false">IF(OR(EC$4="",$B17=""),0,SUMIF('DADOS BRUTOS'!$A$3:$A$500,$B17,'DADOS BRUTOS'!BC$3:BC$500)+IF($C17="",0,SUMIF('DADOS BRUTOS'!$A$3:$A$500,$C17,'DADOS BRUTOS'!BC$3:BC$500)))</f>
        <v>0</v>
      </c>
      <c r="ED17" s="133" t="n">
        <f aca="false">IF(OR(ED$4="",$B17=""),0,SUMIF('DADOS BRUTOS'!$A$3:$A$500,$B17,'DADOS BRUTOS'!BD$3:BD$500)+IF($C17="",0,SUMIF('DADOS BRUTOS'!$A$3:$A$500,$C17,'DADOS BRUTOS'!BD$3:BD$500)))</f>
        <v>0</v>
      </c>
      <c r="EE17" s="133" t="n">
        <f aca="false">IF(OR(EE$4="",$B17=""),0,SUMIF('DADOS BRUTOS'!$A$3:$A$500,$B17,'DADOS BRUTOS'!BE$3:BE$500)+IF($C17="",0,SUMIF('DADOS BRUTOS'!$A$3:$A$500,$C17,'DADOS BRUTOS'!BE$3:BE$500)))</f>
        <v>0</v>
      </c>
      <c r="EF17" s="133" t="n">
        <f aca="false">IF(OR(EF$4="",$B17=""),0,SUMIF('DADOS BRUTOS'!$A$3:$A$500,$B17,'DADOS BRUTOS'!BF$3:BF$500)+IF($C17="",0,SUMIF('DADOS BRUTOS'!$A$3:$A$500,$C17,'DADOS BRUTOS'!BF$3:BF$500)))</f>
        <v>0</v>
      </c>
      <c r="EG17" s="133" t="n">
        <f aca="false">IF(OR(EG$4="",$B17=""),0,SUMIF('DADOS BRUTOS'!$A$3:$A$500,$B17,'DADOS BRUTOS'!BG$3:BG$500)+IF($C17="",0,SUMIF('DADOS BRUTOS'!$A$3:$A$500,$C17,'DADOS BRUTOS'!BG$3:BG$500)))</f>
        <v>0</v>
      </c>
      <c r="EH17" s="133" t="n">
        <f aca="false">IF(OR(EH$4="",$B17=""),0,SUMIF('DADOS BRUTOS'!$A$3:$A$500,$B17,'DADOS BRUTOS'!BH$3:BH$500)+IF($C17="",0,SUMIF('DADOS BRUTOS'!$A$3:$A$500,$C17,'DADOS BRUTOS'!BH$3:BH$500)))</f>
        <v>0</v>
      </c>
      <c r="EI17" s="133" t="n">
        <f aca="false">IF(OR(EI$4="",$B17=""),0,SUMIF('DADOS BRUTOS'!$A$3:$A$500,$B17,'DADOS BRUTOS'!BI$3:BI$500)+IF($C17="",0,SUMIF('DADOS BRUTOS'!$A$3:$A$500,$C17,'DADOS BRUTOS'!BI$3:BI$500)))</f>
        <v>0</v>
      </c>
      <c r="EJ17" s="133" t="n">
        <f aca="false">IF(OR(EJ$4="",$B17=""),0,SUMIF('DADOS BRUTOS'!$A$3:$A$500,$B17,'DADOS BRUTOS'!BJ$3:BJ$500)+IF($C17="",0,SUMIF('DADOS BRUTOS'!$A$3:$A$500,$C17,'DADOS BRUTOS'!BJ$3:BJ$500)))</f>
        <v>0</v>
      </c>
      <c r="EK17" s="133" t="n">
        <f aca="false">IF(OR(EK$4="",$B17=""),0,SUMIF('DADOS BRUTOS'!$A$3:$A$500,$B17,'DADOS BRUTOS'!BK$3:BK$500)+IF($C17="",0,SUMIF('DADOS BRUTOS'!$A$3:$A$500,$C17,'DADOS BRUTOS'!BK$3:BK$500)))</f>
        <v>0</v>
      </c>
      <c r="EL17" s="133" t="n">
        <f aca="false">IF(OR(EL$4="",$B17=""),0,SUMIF('DADOS BRUTOS'!$A$3:$A$500,$B17,'DADOS BRUTOS'!BL$3:BL$500)+IF($C17="",0,SUMIF('DADOS BRUTOS'!$A$3:$A$500,$C17,'DADOS BRUTOS'!BL$3:BL$500)))</f>
        <v>0</v>
      </c>
      <c r="EM17" s="133" t="n">
        <f aca="false">IF(OR(EM$4="",$B17=""),0,SUMIF('DADOS BRUTOS'!$A$3:$A$500,$B17,'DADOS BRUTOS'!BM$3:BM$500)+IF($C17="",0,SUMIF('DADOS BRUTOS'!$A$3:$A$500,$C17,'DADOS BRUTOS'!BM$3:BM$500)))</f>
        <v>0</v>
      </c>
      <c r="EN17" s="133" t="n">
        <f aca="false">IF(OR(EN$4="",$B17=""),0,SUMIF('DADOS BRUTOS'!$A$3:$A$500,$B17,'DADOS BRUTOS'!BN$3:BN$500)+IF($C17="",0,SUMIF('DADOS BRUTOS'!$A$3:$A$500,$C17,'DADOS BRUTOS'!BN$3:BN$500)))</f>
        <v>0</v>
      </c>
      <c r="EO17" s="133" t="n">
        <f aca="false">IF(OR(EO$4="",$B17=""),0,SUMIF('DADOS BRUTOS'!$A$3:$A$500,$B17,'DADOS BRUTOS'!BO$3:BO$500)+IF($C17="",0,SUMIF('DADOS BRUTOS'!$A$3:$A$500,$C17,'DADOS BRUTOS'!BO$3:BO$500)))</f>
        <v>0</v>
      </c>
      <c r="EP17" s="133" t="n">
        <f aca="false">IF(OR(EP$4="",$B17=""),0,SUMIF('DADOS BRUTOS'!$A$3:$A$500,$B17,'DADOS BRUTOS'!BP$3:BP$500)+IF($C17="",0,SUMIF('DADOS BRUTOS'!$A$3:$A$500,$C17,'DADOS BRUTOS'!BP$3:BP$500)))</f>
        <v>0</v>
      </c>
      <c r="EQ17" s="133" t="n">
        <f aca="false">IF(OR(EQ$4="",$B17=""),0,SUMIF('DADOS BRUTOS'!$A$3:$A$500,$B17,'DADOS BRUTOS'!BQ$3:BQ$500)+IF($C17="",0,SUMIF('DADOS BRUTOS'!$A$3:$A$500,$C17,'DADOS BRUTOS'!BQ$3:BQ$500)))</f>
        <v>0</v>
      </c>
      <c r="ER17" s="133" t="n">
        <f aca="false">IF(OR(ER$4="",$B17=""),0,SUMIF('DADOS BRUTOS'!$A$3:$A$500,$B17,'DADOS BRUTOS'!BR$3:BR$500)+IF($C17="",0,SUMIF('DADOS BRUTOS'!$A$3:$A$500,$C17,'DADOS BRUTOS'!BR$3:BR$500)))</f>
        <v>0</v>
      </c>
      <c r="ES17" s="133" t="n">
        <f aca="false">IF(OR(ES$4="",$B17=""),0,SUMIF('DADOS BRUTOS'!$A$3:$A$500,$B17,'DADOS BRUTOS'!BS$3:BS$500)+IF($C17="",0,SUMIF('DADOS BRUTOS'!$A$3:$A$500,$C17,'DADOS BRUTOS'!BS$3:BS$500)))</f>
        <v>0</v>
      </c>
      <c r="ET17" s="133" t="n">
        <f aca="false">IF(OR(ET$4="",$B17=""),0,SUMIF('DADOS BRUTOS'!$A$3:$A$500,$B17,'DADOS BRUTOS'!BT$3:BT$500)+IF($C17="",0,SUMIF('DADOS BRUTOS'!$A$3:$A$500,$C17,'DADOS BRUTOS'!BT$3:BT$500)))</f>
        <v>0</v>
      </c>
      <c r="EU17" s="133" t="n">
        <f aca="false">IF(OR(EU$4="",$B17=""),0,SUMIF('DADOS BRUTOS'!$A$3:$A$500,$B17,'DADOS BRUTOS'!BU$3:BU$500)+IF($C17="",0,SUMIF('DADOS BRUTOS'!$A$3:$A$500,$C17,'DADOS BRUTOS'!BU$3:BU$500)))</f>
        <v>0</v>
      </c>
      <c r="EV17" s="133" t="n">
        <f aca="false">IF(OR(EV$4="",$B17=""),0,SUMIF('DADOS BRUTOS'!$A$3:$A$500,$B17,'DADOS BRUTOS'!BV$3:BV$500)+IF($C17="",0,SUMIF('DADOS BRUTOS'!$A$3:$A$500,$C17,'DADOS BRUTOS'!BV$3:BV$500)))</f>
        <v>0</v>
      </c>
      <c r="EW17" s="133" t="n">
        <f aca="false">IF(OR(EW$4="",$B17=""),0,SUMIF('DADOS BRUTOS'!$A$3:$A$500,$B17,'DADOS BRUTOS'!BW$3:BW$500)+IF($C17="",0,SUMIF('DADOS BRUTOS'!$A$3:$A$500,$C17,'DADOS BRUTOS'!BW$3:BW$500)))</f>
        <v>0</v>
      </c>
      <c r="EX17" s="133" t="n">
        <f aca="false">IF(OR(EX$4="",$B17=""),0,SUMIF('DADOS BRUTOS'!$A$3:$A$500,$B17,'DADOS BRUTOS'!BX$3:BX$500)+IF($C17="",0,SUMIF('DADOS BRUTOS'!$A$3:$A$500,$C17,'DADOS BRUTOS'!BX$3:BX$500)))</f>
        <v>0</v>
      </c>
      <c r="EY17" s="133" t="n">
        <f aca="false">IF(OR(EY$4="",$B17=""),0,SUMIF('DADOS BRUTOS'!$A$3:$A$500,$B17,'DADOS BRUTOS'!BY$3:BY$500)+IF($C17="",0,SUMIF('DADOS BRUTOS'!$A$3:$A$500,$C17,'DADOS BRUTOS'!BY$3:BY$500)))</f>
        <v>0</v>
      </c>
      <c r="EZ17" s="133" t="n">
        <f aca="false">IF(OR(EZ$4="",$B17=""),0,SUMIF('DADOS BRUTOS'!$A$3:$A$500,$B17,'DADOS BRUTOS'!BZ$3:BZ$500)+IF($C17="",0,SUMIF('DADOS BRUTOS'!$A$3:$A$500,$C17,'DADOS BRUTOS'!BZ$3:BZ$500)))</f>
        <v>0</v>
      </c>
      <c r="FA17" s="133" t="n">
        <f aca="false">IF(OR(FA$4="",$B17=""),0,SUMIF('DADOS BRUTOS'!$A$3:$A$500,$B17,'DADOS BRUTOS'!CA$3:CA$500)+IF($C17="",0,SUMIF('DADOS BRUTOS'!$A$3:$A$500,$C17,'DADOS BRUTOS'!CA$3:CA$500)))</f>
        <v>0</v>
      </c>
      <c r="FB17" s="133" t="n">
        <f aca="false">IF(OR(FB$4="",$B17=""),0,SUMIF('DADOS BRUTOS'!$A$3:$A$500,$B17,'DADOS BRUTOS'!CB$3:CB$500)+IF($C17="",0,SUMIF('DADOS BRUTOS'!$A$3:$A$500,$C17,'DADOS BRUTOS'!CB$3:CB$500)))</f>
        <v>0</v>
      </c>
      <c r="FC17" s="133" t="n">
        <f aca="false">IF(OR(FC$4="",$B17=""),0,SUMIF('DADOS BRUTOS'!$A$3:$A$500,$B17,'DADOS BRUTOS'!CC$3:CC$500)+IF($C17="",0,SUMIF('DADOS BRUTOS'!$A$3:$A$500,$C17,'DADOS BRUTOS'!CC$3:CC$500)))</f>
        <v>0</v>
      </c>
      <c r="FD17" s="133" t="n">
        <f aca="false">IF(OR(FD$4="",$B17=""),0,SUMIF('DADOS BRUTOS'!$A$3:$A$500,$B17,'DADOS BRUTOS'!CD$3:CD$500)+IF($C17="",0,SUMIF('DADOS BRUTOS'!$A$3:$A$500,$C17,'DADOS BRUTOS'!CD$3:CD$500)))</f>
        <v>0</v>
      </c>
      <c r="FE17" s="133" t="n">
        <f aca="false">IF(OR(FE$4="",$B17=""),0,SUMIF('DADOS BRUTOS'!$A$3:$A$500,$B17,'DADOS BRUTOS'!CE$3:CE$500)+IF($C17="",0,SUMIF('DADOS BRUTOS'!$A$3:$A$500,$C17,'DADOS BRUTOS'!CE$3:CE$500)))</f>
        <v>0</v>
      </c>
      <c r="FF17" s="133" t="n">
        <f aca="false">IF(OR(FF$4="",$B17=""),0,SUMIF('DADOS BRUTOS'!$A$3:$A$500,$B17,'DADOS BRUTOS'!CF$3:CF$500)+IF($C17="",0,SUMIF('DADOS BRUTOS'!$A$3:$A$500,$C17,'DADOS BRUTOS'!CF$3:CF$500)))</f>
        <v>0</v>
      </c>
      <c r="FG17" s="133" t="n">
        <f aca="false">IF(OR(FG$4="",$B17=""),0,SUMIF('DADOS BRUTOS'!$A$3:$A$500,$B17,'DADOS BRUTOS'!CG$3:CG$500)+IF($C17="",0,SUMIF('DADOS BRUTOS'!$A$3:$A$500,$C17,'DADOS BRUTOS'!CG$3:CG$500)))</f>
        <v>0</v>
      </c>
      <c r="FH17" s="133" t="n">
        <f aca="false">IF(OR(FH$4="",$B17=""),0,SUMIF('DADOS BRUTOS'!$A$3:$A$500,$B17,'DADOS BRUTOS'!CH$3:CH$500)+IF($C17="",0,SUMIF('DADOS BRUTOS'!$A$3:$A$500,$C17,'DADOS BRUTOS'!CH$3:CH$500)))</f>
        <v>0</v>
      </c>
      <c r="FI17" s="133" t="n">
        <f aca="false">IF(OR(FI$4="",$B17=""),0,SUMIF('DADOS BRUTOS'!$A$3:$A$500,$B17,'DADOS BRUTOS'!CI$3:CI$500)+IF($C17="",0,SUMIF('DADOS BRUTOS'!$A$3:$A$500,$C17,'DADOS BRUTOS'!CI$3:CI$500)))</f>
        <v>0</v>
      </c>
      <c r="FJ17" s="133" t="n">
        <f aca="false">IF(OR(FJ$4="",$B17=""),0,SUMIF('DADOS BRUTOS'!$A$3:$A$500,$B17,'DADOS BRUTOS'!CJ$3:CJ$500)+IF($C17="",0,SUMIF('DADOS BRUTOS'!$A$3:$A$500,$C17,'DADOS BRUTOS'!CJ$3:CJ$500)))</f>
        <v>0</v>
      </c>
      <c r="FK17" s="133" t="n">
        <f aca="false">IF(OR(FK$4="",$B17=""),0,SUMIF('DADOS BRUTOS'!$A$3:$A$500,$B17,'DADOS BRUTOS'!CK$3:CK$500)+IF($C17="",0,SUMIF('DADOS BRUTOS'!$A$3:$A$500,$C17,'DADOS BRUTOS'!CK$3:CK$500)))</f>
        <v>0</v>
      </c>
      <c r="FL17" s="133" t="n">
        <f aca="false">IF(OR(FL$4="",$B17=""),0,SUMIF('DADOS BRUTOS'!$A$3:$A$500,$B17,'DADOS BRUTOS'!CL$3:CL$500)+IF($C17="",0,SUMIF('DADOS BRUTOS'!$A$3:$A$500,$C17,'DADOS BRUTOS'!CL$3:CL$500)))</f>
        <v>0</v>
      </c>
      <c r="FM17" s="133" t="n">
        <f aca="false">IF(OR(FM$4="",$B17=""),0,SUMIF('DADOS BRUTOS'!$A$3:$A$500,$B17,'DADOS BRUTOS'!CM$3:CM$500)+IF($C17="",0,SUMIF('DADOS BRUTOS'!$A$3:$A$500,$C17,'DADOS BRUTOS'!CM$3:CM$500)))</f>
        <v>0</v>
      </c>
      <c r="FN17" s="133" t="n">
        <f aca="false">IF(OR(FN$4="",$B17=""),0,SUMIF('DADOS BRUTOS'!$A$3:$A$500,$B17,'DADOS BRUTOS'!CN$3:CN$500)+IF($C17="",0,SUMIF('DADOS BRUTOS'!$A$3:$A$500,$C17,'DADOS BRUTOS'!CN$3:CN$500)))</f>
        <v>0</v>
      </c>
      <c r="FO17" s="133" t="n">
        <f aca="false">IF(OR(FO$4="",$B17=""),0,SUMIF('DADOS BRUTOS'!$A$3:$A$500,$B17,'DADOS BRUTOS'!CO$3:CO$500)+IF($C17="",0,SUMIF('DADOS BRUTOS'!$A$3:$A$500,$C17,'DADOS BRUTOS'!CO$3:CO$500)))</f>
        <v>0</v>
      </c>
      <c r="FP17" s="133" t="n">
        <f aca="false">IF(OR(FP$4="",$B17=""),0,SUMIF('DADOS BRUTOS'!$A$3:$A$500,$B17,'DADOS BRUTOS'!CP$3:CP$500)+IF($C17="",0,SUMIF('DADOS BRUTOS'!$A$3:$A$500,$C17,'DADOS BRUTOS'!CP$3:CP$500)))</f>
        <v>0</v>
      </c>
      <c r="FQ17" s="133" t="n">
        <f aca="false">IF(OR(FQ$4="",$B17=""),0,SUMIF('DADOS BRUTOS'!$A$3:$A$500,$B17,'DADOS BRUTOS'!CQ$3:CQ$500)+IF($C17="",0,SUMIF('DADOS BRUTOS'!$A$3:$A$500,$C17,'DADOS BRUTOS'!CQ$3:CQ$500)))</f>
        <v>0</v>
      </c>
      <c r="FR17" s="133" t="n">
        <f aca="false">IF(OR(FR$4="",$B17=""),0,SUMIF('DADOS BRUTOS'!$A$3:$A$500,$B17,'DADOS BRUTOS'!CR$3:CR$500)+IF($C17="",0,SUMIF('DADOS BRUTOS'!$A$3:$A$500,$C17,'DADOS BRUTOS'!CR$3:CR$500)))</f>
        <v>0</v>
      </c>
      <c r="FS17" s="133" t="n">
        <f aca="false">IF(OR(FS$4="",$B17=""),0,SUMIF('DADOS BRUTOS'!$A$3:$A$500,$B17,'DADOS BRUTOS'!CS$3:CS$500)+IF($C17="",0,SUMIF('DADOS BRUTOS'!$A$3:$A$500,$C17,'DADOS BRUTOS'!CS$3:CS$500)))</f>
        <v>0</v>
      </c>
      <c r="FT17" s="133" t="n">
        <f aca="false">IF(OR(FT$4="",$B17=""),0,SUMIF('DADOS BRUTOS'!$A$3:$A$500,$B17,'DADOS BRUTOS'!CT$3:CT$500)+IF($C17="",0,SUMIF('DADOS BRUTOS'!$A$3:$A$500,$C17,'DADOS BRUTOS'!CT$3:CT$500)))</f>
        <v>0</v>
      </c>
      <c r="FU17" s="133" t="n">
        <f aca="false">IF(OR(FU$4="",$B17=""),0,SUMIF('DADOS BRUTOS'!$A$3:$A$500,$B17,'DADOS BRUTOS'!CU$3:CU$500)+IF($C17="",0,SUMIF('DADOS BRUTOS'!$A$3:$A$500,$C17,'DADOS BRUTOS'!CU$3:CU$500)))</f>
        <v>0</v>
      </c>
      <c r="FV17" s="133" t="n">
        <f aca="false">IF(OR(FV$4="",$B17=""),0,SUMIF('DADOS BRUTOS'!$A$3:$A$500,$B17,'DADOS BRUTOS'!CV$3:CV$500)+IF($C17="",0,SUMIF('DADOS BRUTOS'!$A$3:$A$500,$C17,'DADOS BRUTOS'!CV$3:CV$500)))</f>
        <v>0</v>
      </c>
      <c r="FW17" s="133" t="n">
        <f aca="false">IF(OR(FW$4="",$B17=""),0,SUMIF('DADOS BRUTOS'!$A$3:$A$500,$B17,'DADOS BRUTOS'!CW$3:CW$500)+IF($C17="",0,SUMIF('DADOS BRUTOS'!$A$3:$A$500,$C17,'DADOS BRUTOS'!CW$3:CW$500)))</f>
        <v>0</v>
      </c>
      <c r="FX17" s="133" t="n">
        <f aca="false">IF(OR(FX$4="",$B17=""),0,SUMIF('DADOS BRUTOS'!$A$3:$A$500,$B17,'DADOS BRUTOS'!CX$3:CX$500)+IF($C17="",0,SUMIF('DADOS BRUTOS'!$A$3:$A$500,$C17,'DADOS BRUTOS'!CX$3:CX$500)))</f>
        <v>0</v>
      </c>
      <c r="FY17" s="133" t="n">
        <f aca="false">IF(OR(FY$4="",$B17=""),0,SUMIF('DADOS BRUTOS'!$A$3:$A$500,$B17,'DADOS BRUTOS'!CY$3:CY$500)+IF($C17="",0,SUMIF('DADOS BRUTOS'!$A$3:$A$500,$C17,'DADOS BRUTOS'!CY$3:CY$500)))</f>
        <v>0</v>
      </c>
      <c r="FZ17" s="133" t="n">
        <f aca="false">IF(OR(FZ$4="",$B17=""),0,SUMIF('DADOS BRUTOS'!$A$3:$A$500,$B17,'DADOS BRUTOS'!CZ$3:CZ$500)+IF($C17="",0,SUMIF('DADOS BRUTOS'!$A$3:$A$500,$C17,'DADOS BRUTOS'!CZ$3:CZ$500)))</f>
        <v>0</v>
      </c>
      <c r="GA17" s="133" t="n">
        <f aca="false">IF(OR(GA$4="",$B17=""),0,SUMIF('DADOS BRUTOS'!$A$3:$A$500,$B17,'DADOS BRUTOS'!DA$3:DA$500)+IF($C17="",0,SUMIF('DADOS BRUTOS'!$A$3:$A$500,$C17,'DADOS BRUTOS'!DA$3:DA$500)))</f>
        <v>0</v>
      </c>
      <c r="GB17" s="133" t="n">
        <f aca="false">IF(OR(GB$4="",$B17=""),0,SUMIF('DADOS BRUTOS'!$A$3:$A$500,$B17,'DADOS BRUTOS'!DB$3:DB$500)+IF($C17="",0,SUMIF('DADOS BRUTOS'!$A$3:$A$500,$C17,'DADOS BRUTOS'!DB$3:DB$500)))</f>
        <v>0</v>
      </c>
      <c r="GC17" s="133" t="n">
        <f aca="false">IF(OR(GC$4="",$B17=""),0,SUMIF('DADOS BRUTOS'!$A$3:$A$500,$B17,'DADOS BRUTOS'!DC$3:DC$500)+IF($C17="",0,SUMIF('DADOS BRUTOS'!$A$3:$A$500,$C17,'DADOS BRUTOS'!DC$3:DC$500)))</f>
        <v>0</v>
      </c>
      <c r="GD17" s="133" t="n">
        <f aca="false">IF(OR(GD$4="",$B17=""),0,SUMIF('DADOS BRUTOS'!$A$3:$A$500,$B17,'DADOS BRUTOS'!DD$3:DD$500)+IF($C17="",0,SUMIF('DADOS BRUTOS'!$A$3:$A$500,$C17,'DADOS BRUTOS'!DD$3:DD$500)))</f>
        <v>0</v>
      </c>
      <c r="GE17" s="133" t="n">
        <f aca="false">IF(OR(GE$4="",$B17=""),0,SUMIF('DADOS BRUTOS'!$A$3:$A$500,$B17,'DADOS BRUTOS'!DE$3:DE$500)+IF($C17="",0,SUMIF('DADOS BRUTOS'!$A$3:$A$500,$C17,'DADOS BRUTOS'!DE$3:DE$500)))</f>
        <v>0</v>
      </c>
      <c r="GF17" s="133" t="n">
        <f aca="false">IF(OR(GF$4="",$B17=""),0,SUMIF('DADOS BRUTOS'!$A$3:$A$500,$B17,'DADOS BRUTOS'!DF$3:DF$500)+IF($C17="",0,SUMIF('DADOS BRUTOS'!$A$3:$A$500,$C17,'DADOS BRUTOS'!DF$3:DF$500)))</f>
        <v>0</v>
      </c>
      <c r="GG17" s="133" t="n">
        <f aca="false">IF(OR(GG$4="",$B17=""),0,SUMIF('DADOS BRUTOS'!$A$3:$A$500,$B17,'DADOS BRUTOS'!DG$3:DG$500)+IF($C17="",0,SUMIF('DADOS BRUTOS'!$A$3:$A$500,$C17,'DADOS BRUTOS'!DG$3:DG$500)))</f>
        <v>0</v>
      </c>
      <c r="GH17" s="133" t="n">
        <f aca="false">IF(OR(GH$4="",$B17=""),0,SUMIF('DADOS BRUTOS'!$A$3:$A$500,$B17,'DADOS BRUTOS'!DH$3:DH$500)+IF($C17="",0,SUMIF('DADOS BRUTOS'!$A$3:$A$500,$C17,'DADOS BRUTOS'!DH$3:DH$500)))</f>
        <v>0</v>
      </c>
      <c r="GI17" s="133" t="n">
        <f aca="false">IF(OR(GI$4="",$B17=""),0,SUMIF('DADOS BRUTOS'!$A$3:$A$500,$B17,'DADOS BRUTOS'!DI$3:DI$500)+IF($C17="",0,SUMIF('DADOS BRUTOS'!$A$3:$A$500,$C17,'DADOS BRUTOS'!DI$3:DI$500)))</f>
        <v>0</v>
      </c>
      <c r="GJ17" s="133" t="n">
        <f aca="false">IF(OR(GJ$4="",$B17=""),0,SUMIF('DADOS BRUTOS'!$A$3:$A$500,$B17,'DADOS BRUTOS'!DJ$3:DJ$500)+IF($C17="",0,SUMIF('DADOS BRUTOS'!$A$3:$A$500,$C17,'DADOS BRUTOS'!DJ$3:DJ$500)))</f>
        <v>0</v>
      </c>
      <c r="GK17" s="133" t="n">
        <f aca="false">IF(OR(GK$4="",$B17=""),0,SUMIF('DADOS BRUTOS'!$A$3:$A$500,$B17,'DADOS BRUTOS'!DK$3:DK$500)+IF($C17="",0,SUMIF('DADOS BRUTOS'!$A$3:$A$500,$C17,'DADOS BRUTOS'!DK$3:DK$500)))</f>
        <v>0</v>
      </c>
      <c r="GL17" s="133" t="n">
        <f aca="false">IF(OR(GL$4="",$B17=""),0,SUMIF('DADOS BRUTOS'!$A$3:$A$500,$B17,'DADOS BRUTOS'!DL$3:DL$500)+IF($C17="",0,SUMIF('DADOS BRUTOS'!$A$3:$A$500,$C17,'DADOS BRUTOS'!DL$3:DL$500)))</f>
        <v>0</v>
      </c>
      <c r="GM17" s="133" t="n">
        <f aca="false">IF(OR(GM$4="",$B17=""),0,SUMIF('DADOS BRUTOS'!$A$3:$A$500,$B17,'DADOS BRUTOS'!DM$3:DM$500)+IF($C17="",0,SUMIF('DADOS BRUTOS'!$A$3:$A$500,$C17,'DADOS BRUTOS'!DM$3:DM$500)))</f>
        <v>0</v>
      </c>
      <c r="GN17" s="133" t="n">
        <f aca="false">IF(OR(GN$4="",$B17=""),0,SUMIF('DADOS BRUTOS'!$A$3:$A$500,$B17,'DADOS BRUTOS'!DN$3:DN$500)+IF($C17="",0,SUMIF('DADOS BRUTOS'!$A$3:$A$500,$C17,'DADOS BRUTOS'!DN$3:DN$500)))</f>
        <v>0</v>
      </c>
      <c r="GO17" s="133" t="n">
        <f aca="false">IF(OR(GO$4="",$B17=""),0,SUMIF('DADOS BRUTOS'!$A$3:$A$500,$B17,'DADOS BRUTOS'!DO$3:DO$500)+IF($C17="",0,SUMIF('DADOS BRUTOS'!$A$3:$A$500,$C17,'DADOS BRUTOS'!DO$3:DO$500)))</f>
        <v>0</v>
      </c>
      <c r="GP17" s="133" t="n">
        <f aca="false">IF(OR(GP$4="",$B17=""),0,SUMIF('DADOS BRUTOS'!$A$3:$A$500,$B17,'DADOS BRUTOS'!DP$3:DP$500)+IF($C17="",0,SUMIF('DADOS BRUTOS'!$A$3:$A$500,$C17,'DADOS BRUTOS'!DP$3:DP$500)))</f>
        <v>0</v>
      </c>
      <c r="GQ17" s="133" t="n">
        <f aca="false">IF(OR(GQ$4="",$B17=""),0,SUMIF('DADOS BRUTOS'!$A$3:$A$500,$B17,'DADOS BRUTOS'!DQ$3:DQ$500)+IF($C17="",0,SUMIF('DADOS BRUTOS'!$A$3:$A$500,$C17,'DADOS BRUTOS'!DQ$3:DQ$500)))</f>
        <v>0</v>
      </c>
      <c r="GR17" s="133" t="n">
        <f aca="false">IF(OR(GR$4="",$B17=""),0,SUMIF('DADOS BRUTOS'!$A$3:$A$500,$B17,'DADOS BRUTOS'!DR$3:DR$500)+IF($C17="",0,SUMIF('DADOS BRUTOS'!$A$3:$A$500,$C17,'DADOS BRUTOS'!DR$3:DR$500)))</f>
        <v>0</v>
      </c>
      <c r="GS17" s="133" t="n">
        <f aca="false">IF(OR(GS$4="",$B17=""),0,SUMIF('DADOS BRUTOS'!$A$3:$A$500,$B17,'DADOS BRUTOS'!DS$3:DS$500)+IF($C17="",0,SUMIF('DADOS BRUTOS'!$A$3:$A$500,$C17,'DADOS BRUTOS'!DS$3:DS$500)))</f>
        <v>0</v>
      </c>
      <c r="GT17" s="133" t="n">
        <f aca="false">IF(OR(GT$4="",$B17=""),0,SUMIF('DADOS BRUTOS'!$A$3:$A$500,$B17,'DADOS BRUTOS'!DT$3:DT$500)+IF($C17="",0,SUMIF('DADOS BRUTOS'!$A$3:$A$500,$C17,'DADOS BRUTOS'!DT$3:DT$500)))</f>
        <v>0</v>
      </c>
      <c r="GU17" s="133" t="n">
        <f aca="false">IF(OR(GU$4="",$B17=""),0,SUMIF('DADOS BRUTOS'!$A$3:$A$500,$B17,'DADOS BRUTOS'!DU$3:DU$500)+IF($C17="",0,SUMIF('DADOS BRUTOS'!$A$3:$A$500,$C17,'DADOS BRUTOS'!DU$3:DU$500)))</f>
        <v>0</v>
      </c>
      <c r="GV17" s="133" t="n">
        <f aca="false">IF(OR(GV$4="",$B17=""),0,SUMIF('DADOS BRUTOS'!$A$3:$A$500,$B17,'DADOS BRUTOS'!DV$3:DV$500)+IF($C17="",0,SUMIF('DADOS BRUTOS'!$A$3:$A$500,$C17,'DADOS BRUTOS'!DV$3:DV$500)))</f>
        <v>0</v>
      </c>
      <c r="GW17" s="133" t="n">
        <f aca="false">IF(OR(GW$4="",$B17=""),0,SUMIF('DADOS BRUTOS'!$A$3:$A$500,$B17,'DADOS BRUTOS'!DW$3:DW$500)+IF($C17="",0,SUMIF('DADOS BRUTOS'!$A$3:$A$500,$C17,'DADOS BRUTOS'!DW$3:DW$500)))</f>
        <v>0</v>
      </c>
      <c r="GX17" s="133" t="n">
        <f aca="false">IF(OR(GX$4="",$B17=""),0,SUMIF('DADOS BRUTOS'!$A$3:$A$500,$B17,'DADOS BRUTOS'!DX$3:DX$500)+IF($C17="",0,SUMIF('DADOS BRUTOS'!$A$3:$A$500,$C17,'DADOS BRUTOS'!DX$3:DX$500)))</f>
        <v>0</v>
      </c>
      <c r="GY17" s="133" t="n">
        <f aca="false">IF(OR(GY$4="",$B17=""),0,SUMIF('DADOS BRUTOS'!$A$3:$A$500,$B17,'DADOS BRUTOS'!DY$3:DY$500)+IF($C17="",0,SUMIF('DADOS BRUTOS'!$A$3:$A$500,$C17,'DADOS BRUTOS'!DY$3:DY$500)))</f>
        <v>0</v>
      </c>
      <c r="GZ17" s="133" t="n">
        <f aca="false">IF(OR(GZ$4="",$B17=""),0,SUMIF('DADOS BRUTOS'!$A$3:$A$500,$B17,'DADOS BRUTOS'!DZ$3:DZ$500)+IF($C17="",0,SUMIF('DADOS BRUTOS'!$A$3:$A$500,$C17,'DADOS BRUTOS'!DZ$3:DZ$500)))</f>
        <v>0</v>
      </c>
      <c r="HA17" s="133" t="n">
        <f aca="false">IF(OR(HA$4="",$B17=""),0,SUMIF('DADOS BRUTOS'!$A$3:$A$500,$B17,'DADOS BRUTOS'!EA$3:EA$500)+IF($C17="",0,SUMIF('DADOS BRUTOS'!$A$3:$A$500,$C17,'DADOS BRUTOS'!EA$3:EA$500)))</f>
        <v>0</v>
      </c>
      <c r="HB17" s="133" t="n">
        <f aca="false">IF(OR(HB$4="",$B17=""),0,SUMIF('DADOS BRUTOS'!$A$3:$A$500,$B17,'DADOS BRUTOS'!EB$3:EB$500)+IF($C17="",0,SUMIF('DADOS BRUTOS'!$A$3:$A$500,$C17,'DADOS BRUTOS'!EB$3:EB$500)))</f>
        <v>0</v>
      </c>
      <c r="HC17" s="133" t="n">
        <f aca="false">IF(OR(HC$4="",$B17=""),0,SUMIF('DADOS BRUTOS'!$A$3:$A$500,$B17,'DADOS BRUTOS'!EC$3:EC$500)+IF($C17="",0,SUMIF('DADOS BRUTOS'!$A$3:$A$500,$C17,'DADOS BRUTOS'!EC$3:EC$500)))</f>
        <v>0</v>
      </c>
      <c r="HD17" s="133" t="n">
        <f aca="false">IF(OR(HD$4="",$B17=""),0,SUMIF('DADOS BRUTOS'!$A$3:$A$500,$B17,'DADOS BRUTOS'!ED$3:ED$500)+IF($C17="",0,SUMIF('DADOS BRUTOS'!$A$3:$A$500,$C17,'DADOS BRUTOS'!ED$3:ED$500)))</f>
        <v>0</v>
      </c>
      <c r="HE17" s="133" t="n">
        <f aca="false">IF(OR(HE$4="",$B17=""),0,SUMIF('DADOS BRUTOS'!$A$3:$A$500,$B17,'DADOS BRUTOS'!EE$3:EE$500)+IF($C17="",0,SUMIF('DADOS BRUTOS'!$A$3:$A$500,$C17,'DADOS BRUTOS'!EE$3:EE$500)))</f>
        <v>0</v>
      </c>
      <c r="HF17" s="133" t="n">
        <f aca="false">IF(OR(HF$4="",$B17=""),0,SUMIF('DADOS BRUTOS'!$A$3:$A$500,$B17,'DADOS BRUTOS'!EF$3:EF$500)+IF($C17="",0,SUMIF('DADOS BRUTOS'!$A$3:$A$500,$C17,'DADOS BRUTOS'!EF$3:EF$500)))</f>
        <v>0</v>
      </c>
      <c r="HG17" s="133" t="n">
        <f aca="false">IF(OR(HG$4="",$B17=""),0,SUMIF('DADOS BRUTOS'!$A$3:$A$500,$B17,'DADOS BRUTOS'!EG$3:EG$500)+IF($C17="",0,SUMIF('DADOS BRUTOS'!$A$3:$A$500,$C17,'DADOS BRUTOS'!EG$3:EG$500)))</f>
        <v>0</v>
      </c>
      <c r="HH17" s="133" t="n">
        <f aca="false">IF(OR(HH$4="",$B17=""),0,SUMIF('DADOS BRUTOS'!$A$3:$A$500,$B17,'DADOS BRUTOS'!EH$3:EH$500)+IF($C17="",0,SUMIF('DADOS BRUTOS'!$A$3:$A$500,$C17,'DADOS BRUTOS'!EH$3:EH$500)))</f>
        <v>0</v>
      </c>
      <c r="HI17" s="133" t="n">
        <f aca="false">IF(OR(HI$4="",$B17=""),0,SUMIF('DADOS BRUTOS'!$A$3:$A$500,$B17,'DADOS BRUTOS'!EI$3:EI$500)+IF($C17="",0,SUMIF('DADOS BRUTOS'!$A$3:$A$500,$C17,'DADOS BRUTOS'!EI$3:EI$500)))</f>
        <v>0</v>
      </c>
      <c r="HJ17" s="133" t="n">
        <f aca="false">IF(OR(HJ$4="",$B17=""),0,SUMIF('DADOS BRUTOS'!$A$3:$A$500,$B17,'DADOS BRUTOS'!EJ$3:EJ$500)+IF($C17="",0,SUMIF('DADOS BRUTOS'!$A$3:$A$500,$C17,'DADOS BRUTOS'!EJ$3:EJ$500)))</f>
        <v>0</v>
      </c>
      <c r="HK17" s="133" t="n">
        <f aca="false">IF(OR(HK$4="",$B17=""),0,SUMIF('DADOS BRUTOS'!$A$3:$A$500,$B17,'DADOS BRUTOS'!EK$3:EK$500)+IF($C17="",0,SUMIF('DADOS BRUTOS'!$A$3:$A$500,$C17,'DADOS BRUTOS'!EK$3:EK$500)))</f>
        <v>0</v>
      </c>
      <c r="HL17" s="133" t="n">
        <f aca="false">IF(OR(HL$4="",$B17=""),0,SUMIF('DADOS BRUTOS'!$A$3:$A$500,$B17,'DADOS BRUTOS'!EL$3:EL$500)+IF($C17="",0,SUMIF('DADOS BRUTOS'!$A$3:$A$500,$C17,'DADOS BRUTOS'!EL$3:EL$500)))</f>
        <v>0</v>
      </c>
      <c r="HM17" s="133" t="n">
        <f aca="false">IF(OR(HM$4="",$B17=""),0,SUMIF('DADOS BRUTOS'!$A$3:$A$500,$B17,'DADOS BRUTOS'!EM$3:EM$500)+IF($C17="",0,SUMIF('DADOS BRUTOS'!$A$3:$A$500,$C17,'DADOS BRUTOS'!EM$3:EM$500)))</f>
        <v>0</v>
      </c>
      <c r="HN17" s="133" t="n">
        <f aca="false">IF(OR(HN$4="",$B17=""),0,SUMIF('DADOS BRUTOS'!$A$3:$A$500,$B17,'DADOS BRUTOS'!EN$3:EN$500)+IF($C17="",0,SUMIF('DADOS BRUTOS'!$A$3:$A$500,$C17,'DADOS BRUTOS'!EN$3:EN$500)))</f>
        <v>0</v>
      </c>
      <c r="HO17" s="133" t="n">
        <f aca="false">IF(OR(HO$4="",$B17=""),0,SUMIF('DADOS BRUTOS'!$A$3:$A$500,$B17,'DADOS BRUTOS'!EO$3:EO$500)+IF($C17="",0,SUMIF('DADOS BRUTOS'!$A$3:$A$500,$C17,'DADOS BRUTOS'!EO$3:EO$500)))</f>
        <v>0</v>
      </c>
      <c r="HP17" s="133" t="n">
        <f aca="false">IF(OR(HP$4="",$B17=""),0,SUMIF('DADOS BRUTOS'!$A$3:$A$500,$B17,'DADOS BRUTOS'!EP$3:EP$500)+IF($C17="",0,SUMIF('DADOS BRUTOS'!$A$3:$A$500,$C17,'DADOS BRUTOS'!EP$3:EP$500)))</f>
        <v>0</v>
      </c>
      <c r="HQ17" s="133" t="n">
        <f aca="false">IF(OR(HQ$4="",$B17=""),0,SUMIF('DADOS BRUTOS'!$A$3:$A$500,$B17,'DADOS BRUTOS'!EQ$3:EQ$500)+IF($C17="",0,SUMIF('DADOS BRUTOS'!$A$3:$A$500,$C17,'DADOS BRUTOS'!EQ$3:EQ$500)))</f>
        <v>0</v>
      </c>
      <c r="HR17" s="133" t="n">
        <f aca="false">IF(OR(HR$4="",$B17=""),0,SUMIF('DADOS BRUTOS'!$A$3:$A$500,$B17,'DADOS BRUTOS'!ER$3:ER$500)+IF($C17="",0,SUMIF('DADOS BRUTOS'!$A$3:$A$500,$C17,'DADOS BRUTOS'!ER$3:ER$500)))</f>
        <v>0</v>
      </c>
      <c r="HS17" s="133" t="n">
        <f aca="false">IF(OR(HS$4="",$B17=""),0,SUMIF('DADOS BRUTOS'!$A$3:$A$500,$B17,'DADOS BRUTOS'!ES$3:ES$500)+IF($C17="",0,SUMIF('DADOS BRUTOS'!$A$3:$A$500,$C17,'DADOS BRUTOS'!ES$3:ES$500)))</f>
        <v>0</v>
      </c>
      <c r="HT17" s="133" t="n">
        <f aca="false">IF(OR(HT$4="",$B17=""),0,SUMIF('DADOS BRUTOS'!$A$3:$A$500,$B17,'DADOS BRUTOS'!ET$3:ET$500)+IF($C17="",0,SUMIF('DADOS BRUTOS'!$A$3:$A$500,$C17,'DADOS BRUTOS'!ET$3:ET$500)))</f>
        <v>0</v>
      </c>
      <c r="HU17" s="133" t="n">
        <f aca="false">IF(OR(HU$4="",$B17=""),0,SUMIF('DADOS BRUTOS'!$A$3:$A$500,$B17,'DADOS BRUTOS'!EU$3:EU$500)+IF($C17="",0,SUMIF('DADOS BRUTOS'!$A$3:$A$500,$C17,'DADOS BRUTOS'!EU$3:EU$500)))</f>
        <v>0</v>
      </c>
      <c r="HV17" s="133" t="n">
        <f aca="false">IF(OR(HV$4="",$B17=""),0,SUMIF('DADOS BRUTOS'!$A$3:$A$500,$B17,'DADOS BRUTOS'!EV$3:EV$500)+IF($C17="",0,SUMIF('DADOS BRUTOS'!$A$3:$A$500,$C17,'DADOS BRUTOS'!EV$3:EV$500)))</f>
        <v>0</v>
      </c>
      <c r="HW17" s="133" t="n">
        <f aca="false">IF(OR(HW$4="",$B17=""),0,SUMIF('DADOS BRUTOS'!$A$3:$A$500,$B17,'DADOS BRUTOS'!EW$3:EW$500)+IF($C17="",0,SUMIF('DADOS BRUTOS'!$A$3:$A$500,$C17,'DADOS BRUTOS'!EW$3:EW$500)))</f>
        <v>0</v>
      </c>
      <c r="HX17" s="133" t="n">
        <f aca="false">IF(OR(HX$4="",$B17=""),0,SUMIF('DADOS BRUTOS'!$A$3:$A$500,$B17,'DADOS BRUTOS'!EX$3:EX$500)+IF($C17="",0,SUMIF('DADOS BRUTOS'!$A$3:$A$500,$C17,'DADOS BRUTOS'!EX$3:EX$500)))</f>
        <v>0</v>
      </c>
      <c r="HY17" s="133" t="n">
        <f aca="false">IF(OR(HY$4="",$B17=""),0,SUMIF('DADOS BRUTOS'!$A$3:$A$500,$B17,'DADOS BRUTOS'!EY$3:EY$500)+IF($C17="",0,SUMIF('DADOS BRUTOS'!$A$3:$A$500,$C17,'DADOS BRUTOS'!EY$3:EY$500)))</f>
        <v>0</v>
      </c>
      <c r="HZ17" s="133" t="n">
        <f aca="false">IF(OR(HZ$4="",$B17=""),0,SUMIF('DADOS BRUTOS'!$A$3:$A$500,$B17,'DADOS BRUTOS'!EZ$3:EZ$500)+IF($C17="",0,SUMIF('DADOS BRUTOS'!$A$3:$A$500,$C17,'DADOS BRUTOS'!EZ$3:EZ$500)))</f>
        <v>0</v>
      </c>
      <c r="IA17" s="133" t="n">
        <f aca="false">IF(OR(IA$4="",$B17=""),0,SUMIF('DADOS BRUTOS'!$A$3:$A$500,$B17,'DADOS BRUTOS'!FA$3:FA$500)+IF($C17="",0,SUMIF('DADOS BRUTOS'!$A$3:$A$500,$C17,'DADOS BRUTOS'!FA$3:FA$500)))</f>
        <v>0</v>
      </c>
      <c r="IB17" s="133" t="n">
        <f aca="false">IF(OR(IB$4="",$B17=""),0,SUMIF('DADOS BRUTOS'!$A$3:$A$500,$B17,'DADOS BRUTOS'!FB$3:FB$500)+IF($C17="",0,SUMIF('DADOS BRUTOS'!$A$3:$A$500,$C17,'DADOS BRUTOS'!FB$3:FB$500)))</f>
        <v>0</v>
      </c>
      <c r="IC17" s="133" t="n">
        <f aca="false">IF(OR(IC$4="",$B17=""),0,SUMIF('DADOS BRUTOS'!$A$3:$A$500,$B17,'DADOS BRUTOS'!FC$3:FC$500)+IF($C17="",0,SUMIF('DADOS BRUTOS'!$A$3:$A$500,$C17,'DADOS BRUTOS'!FC$3:FC$500)))</f>
        <v>0</v>
      </c>
      <c r="ID17" s="133" t="n">
        <f aca="false">IF(OR(ID$4="",$B17=""),0,SUMIF('DADOS BRUTOS'!$A$3:$A$500,$B17,'DADOS BRUTOS'!FD$3:FD$500)+IF($C17="",0,SUMIF('DADOS BRUTOS'!$A$3:$A$500,$C17,'DADOS BRUTOS'!FD$3:FD$500)))</f>
        <v>0</v>
      </c>
      <c r="IE17" s="133" t="n">
        <f aca="false">IF(OR(IE$4="",$B17=""),0,SUMIF('DADOS BRUTOS'!$A$3:$A$500,$B17,'DADOS BRUTOS'!FE$3:FE$500)+IF($C17="",0,SUMIF('DADOS BRUTOS'!$A$3:$A$500,$C17,'DADOS BRUTOS'!FE$3:FE$500)))</f>
        <v>0</v>
      </c>
      <c r="IF17" s="133" t="n">
        <f aca="false">IF(OR(IF$4="",$B17=""),0,SUMIF('DADOS BRUTOS'!$A$3:$A$500,$B17,'DADOS BRUTOS'!FF$3:FF$500)+IF($C17="",0,SUMIF('DADOS BRUTOS'!$A$3:$A$500,$C17,'DADOS BRUTOS'!FF$3:FF$500)))</f>
        <v>0</v>
      </c>
      <c r="IG17" s="133" t="n">
        <f aca="false">IF(OR(IG$4="",$B17=""),0,SUMIF('DADOS BRUTOS'!$A$3:$A$500,$B17,'DADOS BRUTOS'!FG$3:FG$500)+IF($C17="",0,SUMIF('DADOS BRUTOS'!$A$3:$A$500,$C17,'DADOS BRUTOS'!FG$3:FG$500)))</f>
        <v>0</v>
      </c>
      <c r="IH17" s="133" t="n">
        <f aca="false">IF(OR(IH$4="",$B17=""),0,SUMIF('DADOS BRUTOS'!$A$3:$A$500,$B17,'DADOS BRUTOS'!FH$3:FH$500)+IF($C17="",0,SUMIF('DADOS BRUTOS'!$A$3:$A$500,$C17,'DADOS BRUTOS'!FH$3:FH$500)))</f>
        <v>0</v>
      </c>
      <c r="II17" s="133" t="n">
        <f aca="false">IF(OR(II$4="",$B17=""),0,SUMIF('DADOS BRUTOS'!$A$3:$A$500,$B17,'DADOS BRUTOS'!FI$3:FI$500)+IF($C17="",0,SUMIF('DADOS BRUTOS'!$A$3:$A$500,$C17,'DADOS BRUTOS'!FI$3:FI$500)))</f>
        <v>0</v>
      </c>
      <c r="IJ17" s="133" t="n">
        <f aca="false">IF(OR(IJ$4="",$B17=""),0,SUMIF('DADOS BRUTOS'!$A$3:$A$500,$B17,'DADOS BRUTOS'!FJ$3:FJ$500)+IF($C17="",0,SUMIF('DADOS BRUTOS'!$A$3:$A$500,$C17,'DADOS BRUTOS'!FJ$3:FJ$500)))</f>
        <v>0</v>
      </c>
      <c r="IK17" s="133" t="n">
        <f aca="false">IF(OR(IK$4="",$B17=""),0,SUMIF('DADOS BRUTOS'!$A$3:$A$500,$B17,'DADOS BRUTOS'!FK$3:FK$500)+IF($C17="",0,SUMIF('DADOS BRUTOS'!$A$3:$A$500,$C17,'DADOS BRUTOS'!FK$3:FK$500)))</f>
        <v>0</v>
      </c>
      <c r="IL17" s="133" t="n">
        <f aca="false">IF(OR(IL$4="",$B17=""),0,SUMIF('DADOS BRUTOS'!$A$3:$A$500,$B17,'DADOS BRUTOS'!FL$3:FL$500)+IF($C17="",0,SUMIF('DADOS BRUTOS'!$A$3:$A$500,$C17,'DADOS BRUTOS'!FL$3:FL$500)))</f>
        <v>0</v>
      </c>
      <c r="IM17" s="133" t="n">
        <f aca="false">IF(OR(IM$4="",$B17=""),0,SUMIF('DADOS BRUTOS'!$A$3:$A$500,$B17,'DADOS BRUTOS'!FM$3:FM$500)+IF($C17="",0,SUMIF('DADOS BRUTOS'!$A$3:$A$500,$C17,'DADOS BRUTOS'!FM$3:FM$500)))</f>
        <v>0</v>
      </c>
      <c r="IN17" s="133" t="n">
        <f aca="false">IF(OR(IN$4="",$B17=""),0,SUMIF('DADOS BRUTOS'!$A$3:$A$500,$B17,'DADOS BRUTOS'!FN$3:FN$500)+IF($C17="",0,SUMIF('DADOS BRUTOS'!$A$3:$A$500,$C17,'DADOS BRUTOS'!FN$3:FN$500)))</f>
        <v>0</v>
      </c>
      <c r="IO17" s="133" t="n">
        <f aca="false">IF(OR(IO$4="",$B17=""),0,SUMIF('DADOS BRUTOS'!$A$3:$A$500,$B17,'DADOS BRUTOS'!FO$3:FO$500)+IF($C17="",0,SUMIF('DADOS BRUTOS'!$A$3:$A$500,$C17,'DADOS BRUTOS'!FO$3:FO$500)))</f>
        <v>0</v>
      </c>
      <c r="IP17" s="133" t="n">
        <f aca="false">IF(OR(IP$4="",$B17=""),0,SUMIF('DADOS BRUTOS'!$A$3:$A$500,$B17,'DADOS BRUTOS'!FP$3:FP$500)+IF($C17="",0,SUMIF('DADOS BRUTOS'!$A$3:$A$500,$C17,'DADOS BRUTOS'!FP$3:FP$500)))</f>
        <v>0</v>
      </c>
      <c r="IQ17" s="133" t="n">
        <f aca="false">IF(OR(IQ$4="",$B17=""),0,SUMIF('DADOS BRUTOS'!$A$3:$A$500,$B17,'DADOS BRUTOS'!FQ$3:FQ$500)+IF($C17="",0,SUMIF('DADOS BRUTOS'!$A$3:$A$500,$C17,'DADOS BRUTOS'!FQ$3:FQ$500)))</f>
        <v>0</v>
      </c>
      <c r="IR17" s="133" t="n">
        <f aca="false">IF(OR(IR$4="",$B17=""),0,SUMIF('DADOS BRUTOS'!$A$3:$A$500,$B17,'DADOS BRUTOS'!FR$3:FR$500)+IF($C17="",0,SUMIF('DADOS BRUTOS'!$A$3:$A$500,$C17,'DADOS BRUTOS'!FR$3:FR$500)))</f>
        <v>0</v>
      </c>
      <c r="IS17" s="133" t="n">
        <f aca="false">IF(OR(IS$4="",$B17=""),0,SUMIF('DADOS BRUTOS'!$A$3:$A$500,$B17,'DADOS BRUTOS'!FS$3:FS$500)+IF($C17="",0,SUMIF('DADOS BRUTOS'!$A$3:$A$500,$C17,'DADOS BRUTOS'!FS$3:FS$500)))</f>
        <v>0</v>
      </c>
      <c r="IT17" s="133" t="n">
        <f aca="false">IF(OR(IT$4="",$B17=""),0,SUMIF('DADOS BRUTOS'!$A$3:$A$500,$B17,'DADOS BRUTOS'!FT$3:FT$500)+IF($C17="",0,SUMIF('DADOS BRUTOS'!$A$3:$A$500,$C17,'DADOS BRUTOS'!FT$3:FT$500)))</f>
        <v>0</v>
      </c>
      <c r="IU17" s="133" t="n">
        <f aca="false">IF(OR(IU$4="",$B17=""),0,SUMIF('DADOS BRUTOS'!$A$3:$A$500,$B17,'DADOS BRUTOS'!FU$3:FU$500)+IF($C17="",0,SUMIF('DADOS BRUTOS'!$A$3:$A$500,$C17,'DADOS BRUTOS'!FU$3:FU$500)))</f>
        <v>0</v>
      </c>
      <c r="IV17" s="133" t="n">
        <f aca="false">IF(OR(IV$4="",$B17=""),0,SUMIF('DADOS BRUTOS'!$A$3:$A$500,$B17,'DADOS BRUTOS'!FV$3:FV$500)+IF($C17="",0,SUMIF('DADOS BRUTOS'!$A$3:$A$500,$C17,'DADOS BRUTOS'!FV$3:FV$500)))</f>
        <v>0</v>
      </c>
      <c r="IW17" s="133" t="n">
        <f aca="false">IF(OR(IW$4="",$B17=""),0,SUMIF('DADOS BRUTOS'!$A$3:$A$500,$B17,'DADOS BRUTOS'!FW$3:FW$500)+IF($C17="",0,SUMIF('DADOS BRUTOS'!$A$3:$A$500,$C17,'DADOS BRUTOS'!FW$3:FW$500)))</f>
        <v>0</v>
      </c>
      <c r="IX17" s="133" t="n">
        <f aca="false">IF(OR(IX$4="",$B17=""),0,SUMIF('DADOS BRUTOS'!$A$3:$A$500,$B17,'DADOS BRUTOS'!FX$3:FX$500)+IF($C17="",0,SUMIF('DADOS BRUTOS'!$A$3:$A$500,$C17,'DADOS BRUTOS'!FX$3:FX$500)))</f>
        <v>0</v>
      </c>
      <c r="IY17" s="133" t="n">
        <f aca="false">IF(OR(IY$4="",$B17=""),0,SUMIF('DADOS BRUTOS'!$A$3:$A$500,$B17,'DADOS BRUTOS'!FY$3:FY$500)+IF($C17="",0,SUMIF('DADOS BRUTOS'!$A$3:$A$500,$C17,'DADOS BRUTOS'!FY$3:FY$500)))</f>
        <v>0</v>
      </c>
      <c r="IZ17" s="133" t="n">
        <f aca="false">IF(OR(IZ$4="",$B17=""),0,SUMIF('DADOS BRUTOS'!$A$3:$A$500,$B17,'DADOS BRUTOS'!FZ$3:FZ$500)+IF($C17="",0,SUMIF('DADOS BRUTOS'!$A$3:$A$500,$C17,'DADOS BRUTOS'!FZ$3:FZ$500)))</f>
        <v>0</v>
      </c>
      <c r="JA17" s="133" t="n">
        <f aca="false">IF(OR(JA$4="",$B17=""),0,SUMIF('DADOS BRUTOS'!$A$3:$A$500,$B17,'DADOS BRUTOS'!GA$3:GA$500)+IF($C17="",0,SUMIF('DADOS BRUTOS'!$A$3:$A$500,$C17,'DADOS BRUTOS'!GA$3:GA$500)))</f>
        <v>0</v>
      </c>
      <c r="JB17" s="133" t="n">
        <f aca="false">IF(OR(JB$4="",$B17=""),0,SUMIF('DADOS BRUTOS'!$A$3:$A$500,$B17,'DADOS BRUTOS'!GB$3:GB$500)+IF($C17="",0,SUMIF('DADOS BRUTOS'!$A$3:$A$500,$C17,'DADOS BRUTOS'!GB$3:GB$500)))</f>
        <v>0</v>
      </c>
      <c r="JC17" s="133" t="n">
        <f aca="false">IF(OR(JC$4="",$B17=""),0,SUMIF('DADOS BRUTOS'!$A$3:$A$500,$B17,'DADOS BRUTOS'!GC$3:GC$500)+IF($C17="",0,SUMIF('DADOS BRUTOS'!$A$3:$A$500,$C17,'DADOS BRUTOS'!GC$3:GC$500)))</f>
        <v>0</v>
      </c>
      <c r="JD17" s="133" t="n">
        <f aca="false">IF(OR(JD$4="",$B17=""),0,SUMIF('DADOS BRUTOS'!$A$3:$A$500,$B17,'DADOS BRUTOS'!GD$3:GD$500)+IF($C17="",0,SUMIF('DADOS BRUTOS'!$A$3:$A$500,$C17,'DADOS BRUTOS'!GD$3:GD$500)))</f>
        <v>0</v>
      </c>
      <c r="JE17" s="133" t="n">
        <f aca="false">IF(OR(JE$4="",$B17=""),0,SUMIF('DADOS BRUTOS'!$A$3:$A$500,$B17,'DADOS BRUTOS'!GE$3:GE$500)+IF($C17="",0,SUMIF('DADOS BRUTOS'!$A$3:$A$500,$C17,'DADOS BRUTOS'!GE$3:GE$500)))</f>
        <v>0</v>
      </c>
      <c r="JF17" s="133" t="n">
        <f aca="false">IF(OR(JF$4="",$B17=""),0,SUMIF('DADOS BRUTOS'!$A$3:$A$500,$B17,'DADOS BRUTOS'!GF$3:GF$500)+IF($C17="",0,SUMIF('DADOS BRUTOS'!$A$3:$A$500,$C17,'DADOS BRUTOS'!GF$3:GF$500)))</f>
        <v>0</v>
      </c>
      <c r="JG17" s="133" t="n">
        <f aca="false">IF(OR(JG$4="",$B17=""),0,SUMIF('DADOS BRUTOS'!$A$3:$A$500,$B17,'DADOS BRUTOS'!GG$3:GG$500)+IF($C17="",0,SUMIF('DADOS BRUTOS'!$A$3:$A$500,$C17,'DADOS BRUTOS'!GG$3:GG$500)))</f>
        <v>0</v>
      </c>
      <c r="JH17" s="133" t="n">
        <f aca="false">IF(OR(JH$4="",$B17=""),0,SUMIF('DADOS BRUTOS'!$A$3:$A$500,$B17,'DADOS BRUTOS'!GH$3:GH$500)+IF($C17="",0,SUMIF('DADOS BRUTOS'!$A$3:$A$500,$C17,'DADOS BRUTOS'!GH$3:GH$500)))</f>
        <v>0</v>
      </c>
      <c r="JI17" s="133" t="n">
        <f aca="false">IF(OR(JI$4="",$B17=""),0,SUMIF('DADOS BRUTOS'!$A$3:$A$500,$B17,'DADOS BRUTOS'!GI$3:GI$500)+IF($C17="",0,SUMIF('DADOS BRUTOS'!$A$3:$A$500,$C17,'DADOS BRUTOS'!GI$3:GI$500)))</f>
        <v>0</v>
      </c>
      <c r="JJ17" s="133" t="n">
        <f aca="false">IF(OR(JJ$4="",$B17=""),0,SUMIF('DADOS BRUTOS'!$A$3:$A$500,$B17,'DADOS BRUTOS'!GJ$3:GJ$500)+IF($C17="",0,SUMIF('DADOS BRUTOS'!$A$3:$A$500,$C17,'DADOS BRUTOS'!GJ$3:GJ$500)))</f>
        <v>0</v>
      </c>
      <c r="JK17" s="133" t="n">
        <f aca="false">IF(OR(JK$4="",$B17=""),0,SUMIF('DADOS BRUTOS'!$A$3:$A$500,$B17,'DADOS BRUTOS'!GK$3:GK$500)+IF($C17="",0,SUMIF('DADOS BRUTOS'!$A$3:$A$500,$C17,'DADOS BRUTOS'!GK$3:GK$500)))</f>
        <v>0</v>
      </c>
      <c r="JL17" s="133" t="n">
        <f aca="false">IF(OR(JL$4="",$B17=""),0,SUMIF('DADOS BRUTOS'!$A$3:$A$500,$B17,'DADOS BRUTOS'!GL$3:GL$500)+IF($C17="",0,SUMIF('DADOS BRUTOS'!$A$3:$A$500,$C17,'DADOS BRUTOS'!GL$3:GL$500)))</f>
        <v>0</v>
      </c>
      <c r="JM17" s="133" t="n">
        <f aca="false">IF(OR(JM$4="",$B17=""),0,SUMIF('DADOS BRUTOS'!$A$3:$A$500,$B17,'DADOS BRUTOS'!GM$3:GM$500)+IF($C17="",0,SUMIF('DADOS BRUTOS'!$A$3:$A$500,$C17,'DADOS BRUTOS'!GM$3:GM$500)))</f>
        <v>0</v>
      </c>
      <c r="JN17" s="133" t="n">
        <f aca="false">IF(OR(JN$4="",$B17=""),0,SUMIF('DADOS BRUTOS'!$A$3:$A$500,$B17,'DADOS BRUTOS'!GN$3:GN$500)+IF($C17="",0,SUMIF('DADOS BRUTOS'!$A$3:$A$500,$C17,'DADOS BRUTOS'!GN$3:GN$500)))</f>
        <v>0</v>
      </c>
      <c r="JO17" s="133" t="n">
        <f aca="false">IF(OR(JO$4="",$B17=""),0,SUMIF('DADOS BRUTOS'!$A$3:$A$500,$B17,'DADOS BRUTOS'!GO$3:GO$500)+IF($C17="",0,SUMIF('DADOS BRUTOS'!$A$3:$A$500,$C17,'DADOS BRUTOS'!GO$3:GO$500)))</f>
        <v>0</v>
      </c>
      <c r="JP17" s="133" t="n">
        <f aca="false">IF(OR(JP$4="",$B17=""),0,SUMIF('DADOS BRUTOS'!$A$3:$A$500,$B17,'DADOS BRUTOS'!GP$3:GP$500)+IF($C17="",0,SUMIF('DADOS BRUTOS'!$A$3:$A$500,$C17,'DADOS BRUTOS'!GP$3:GP$500)))</f>
        <v>0</v>
      </c>
      <c r="JQ17" s="133" t="n">
        <f aca="false">IF(OR(JQ$4="",$B17=""),0,SUMIF('DADOS BRUTOS'!$A$3:$A$500,$B17,'DADOS BRUTOS'!GQ$3:GQ$500)+IF($C17="",0,SUMIF('DADOS BRUTOS'!$A$3:$A$500,$C17,'DADOS BRUTOS'!GQ$3:GQ$500)))</f>
        <v>0</v>
      </c>
      <c r="JR17" s="133" t="n">
        <f aca="false">IF(OR(JR$4="",$B17=""),0,SUMIF('DADOS BRUTOS'!$A$3:$A$500,$B17,'DADOS BRUTOS'!GR$3:GR$500)+IF($C17="",0,SUMIF('DADOS BRUTOS'!$A$3:$A$500,$C17,'DADOS BRUTOS'!GR$3:GR$500)))</f>
        <v>0</v>
      </c>
      <c r="JS17" s="133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0</v>
      </c>
      <c r="E18" s="50" t="n">
        <f aca="false">SUMIF($CB$4:$JS$4,E$4,$CB18:$JS18)</f>
        <v>0</v>
      </c>
      <c r="F18" s="50" t="n">
        <f aca="false">SUMIF($CB$4:$JS$4,F$4,$CB18:$JS18)</f>
        <v>0</v>
      </c>
      <c r="G18" s="50" t="n">
        <f aca="false">SUMIF($CB$4:$JS$4,G$4,$CB18:$JS18)</f>
        <v>0</v>
      </c>
      <c r="H18" s="50" t="n">
        <f aca="false">SUMIF($CB$4:$JS$4,H$4,$CB18:$JS18)</f>
        <v>0</v>
      </c>
      <c r="I18" s="50" t="n">
        <f aca="false">SUMIF($CB$4:$JS$4,I$4,$CB18:$JS18)</f>
        <v>0</v>
      </c>
      <c r="J18" s="50" t="n">
        <f aca="false">SUMIF($CB$4:$JS$4,J$4,$CB18:$JS18)</f>
        <v>0</v>
      </c>
      <c r="K18" s="50" t="n">
        <f aca="false">SUMIF($CB$4:$JS$4,K$4,$CB18:$JS18)</f>
        <v>0</v>
      </c>
      <c r="L18" s="50" t="n">
        <f aca="false">SUMIF($CB$4:$JS$4,L$4,$CB18:$JS18)</f>
        <v>0</v>
      </c>
      <c r="M18" s="50" t="n">
        <f aca="false">SUMIF($CB$4:$JS$4,M$4,$CB18:$JS18)</f>
        <v>0</v>
      </c>
      <c r="N18" s="50" t="n">
        <f aca="false">SUMIF($CB$4:$JS$4,N$4,$CB18:$JS18)</f>
        <v>0</v>
      </c>
      <c r="O18" s="50" t="n">
        <f aca="false">SUMIF($CB$4:$JS$4,O$4,$CB18:$JS18)</f>
        <v>3866</v>
      </c>
      <c r="P18" s="50" t="n">
        <f aca="false">SUMIF($CB$4:$JS$4,P$4,$CB18:$JS18)</f>
        <v>58166.5</v>
      </c>
      <c r="Q18" s="50" t="n">
        <f aca="false">SUMIF($CB$4:$JS$4,Q$4,$CB18:$JS18)</f>
        <v>21398.48</v>
      </c>
      <c r="R18" s="50" t="n">
        <f aca="false">SUMIF($CB$4:$JS$4,R$4,$CB18:$JS18)</f>
        <v>104829.66</v>
      </c>
      <c r="S18" s="50" t="n">
        <f aca="false">SUMIF($CB$4:$JS$4,S$4,$CB18:$JS18)</f>
        <v>21701.49</v>
      </c>
      <c r="T18" s="50" t="n">
        <f aca="false">SUMIF($CB$4:$JS$4,T$4,$CB18:$JS18)</f>
        <v>203306.37</v>
      </c>
      <c r="U18" s="50" t="n">
        <f aca="false">SUMIF($CB$4:$JS$4,U$4,$CB18:$JS18)</f>
        <v>269416.54</v>
      </c>
      <c r="V18" s="50" t="n">
        <f aca="false">SUMIF($CB$4:$JS$4,V$4,$CB18:$JS18)</f>
        <v>202541.18</v>
      </c>
      <c r="W18" s="50" t="n">
        <f aca="false">SUMIF($CB$4:$JS$4,W$4,$CB18:$JS18)</f>
        <v>53252.58</v>
      </c>
      <c r="X18" s="50" t="n">
        <f aca="false">SUMIF($CB$4:$JS$4,X$4,$CB18:$JS18)</f>
        <v>0</v>
      </c>
      <c r="Y18" s="50" t="n">
        <f aca="false">SUMIF($CB$4:$JS$4,Y$4,$CB18:$JS18)</f>
        <v>58007.08</v>
      </c>
      <c r="Z18" s="50" t="n">
        <f aca="false">SUMIF($CB$4:$JS$4,Z$4,$CB18:$JS18)</f>
        <v>0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2100</v>
      </c>
      <c r="AF18" s="50" t="n">
        <f aca="false">SUMIF($CB$4:$JS$4,AF$4,$CB18:$JS18)</f>
        <v>1023.88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999609.76</v>
      </c>
      <c r="BZ18" s="45" t="n">
        <f aca="false">SUMPRODUCT(($CB$4:$JS$4&lt;&gt;"")*($CB$4:$JS$4&lt;=$D$4),$CB18:$JS18,$CB$1:$JS$1)</f>
        <v>0</v>
      </c>
      <c r="CB18" s="133" t="n">
        <f aca="false">IF(OR(CB$4="",$B18=""),0,SUMIF('DADOS BRUTOS'!$A$3:$A$500,$B18,'DADOS BRUTOS'!B$3:B$500)+IF($C18="",0,SUMIF('DADOS BRUTOS'!$A$3:$A$500,$C18,'DADOS BRUTOS'!B$3:B$500)))</f>
        <v>0</v>
      </c>
      <c r="CC18" s="133" t="n">
        <f aca="false">IF(OR(CC$4="",$B18=""),0,SUMIF('DADOS BRUTOS'!$A$3:$A$500,$B18,'DADOS BRUTOS'!C$3:C$500)+IF($C18="",0,SUMIF('DADOS BRUTOS'!$A$3:$A$500,$C18,'DADOS BRUTOS'!C$3:C$500)))</f>
        <v>0</v>
      </c>
      <c r="CD18" s="133" t="n">
        <f aca="false">IF(OR(CD$4="",$B18=""),0,SUMIF('DADOS BRUTOS'!$A$3:$A$500,$B18,'DADOS BRUTOS'!D$3:D$500)+IF($C18="",0,SUMIF('DADOS BRUTOS'!$A$3:$A$500,$C18,'DADOS BRUTOS'!D$3:D$500)))</f>
        <v>0</v>
      </c>
      <c r="CE18" s="133" t="n">
        <f aca="false">IF(OR(CE$4="",$B18=""),0,SUMIF('DADOS BRUTOS'!$A$3:$A$500,$B18,'DADOS BRUTOS'!E$3:E$500)+IF($C18="",0,SUMIF('DADOS BRUTOS'!$A$3:$A$500,$C18,'DADOS BRUTOS'!E$3:E$500)))</f>
        <v>0</v>
      </c>
      <c r="CF18" s="133" t="n">
        <f aca="false">IF(OR(CF$4="",$B18=""),0,SUMIF('DADOS BRUTOS'!$A$3:$A$500,$B18,'DADOS BRUTOS'!F$3:F$500)+IF($C18="",0,SUMIF('DADOS BRUTOS'!$A$3:$A$500,$C18,'DADOS BRUTOS'!F$3:F$500)))</f>
        <v>0</v>
      </c>
      <c r="CG18" s="133" t="n">
        <f aca="false">IF(OR(CG$4="",$B18=""),0,SUMIF('DADOS BRUTOS'!$A$3:$A$500,$B18,'DADOS BRUTOS'!G$3:G$500)+IF($C18="",0,SUMIF('DADOS BRUTOS'!$A$3:$A$500,$C18,'DADOS BRUTOS'!G$3:G$500)))</f>
        <v>0</v>
      </c>
      <c r="CH18" s="133" t="n">
        <f aca="false">IF(OR(CH$4="",$B18=""),0,SUMIF('DADOS BRUTOS'!$A$3:$A$500,$B18,'DADOS BRUTOS'!H$3:H$500)+IF($C18="",0,SUMIF('DADOS BRUTOS'!$A$3:$A$500,$C18,'DADOS BRUTOS'!H$3:H$500)))</f>
        <v>0</v>
      </c>
      <c r="CI18" s="133" t="n">
        <f aca="false">IF(OR(CI$4="",$B18=""),0,SUMIF('DADOS BRUTOS'!$A$3:$A$500,$B18,'DADOS BRUTOS'!I$3:I$500)+IF($C18="",0,SUMIF('DADOS BRUTOS'!$A$3:$A$500,$C18,'DADOS BRUTOS'!I$3:I$500)))</f>
        <v>0</v>
      </c>
      <c r="CJ18" s="133" t="n">
        <f aca="false">IF(OR(CJ$4="",$B18=""),0,SUMIF('DADOS BRUTOS'!$A$3:$A$500,$B18,'DADOS BRUTOS'!J$3:J$500)+IF($C18="",0,SUMIF('DADOS BRUTOS'!$A$3:$A$500,$C18,'DADOS BRUTOS'!J$3:J$500)))</f>
        <v>0</v>
      </c>
      <c r="CK18" s="133" t="n">
        <f aca="false">IF(OR(CK$4="",$B18=""),0,SUMIF('DADOS BRUTOS'!$A$3:$A$500,$B18,'DADOS BRUTOS'!K$3:K$500)+IF($C18="",0,SUMIF('DADOS BRUTOS'!$A$3:$A$500,$C18,'DADOS BRUTOS'!K$3:K$500)))</f>
        <v>0</v>
      </c>
      <c r="CL18" s="133" t="n">
        <f aca="false">IF(OR(CL$4="",$B18=""),0,SUMIF('DADOS BRUTOS'!$A$3:$A$500,$B18,'DADOS BRUTOS'!L$3:L$500)+IF($C18="",0,SUMIF('DADOS BRUTOS'!$A$3:$A$500,$C18,'DADOS BRUTOS'!L$3:L$500)))</f>
        <v>0</v>
      </c>
      <c r="CM18" s="133" t="n">
        <f aca="false">IF(OR(CM$4="",$B18=""),0,SUMIF('DADOS BRUTOS'!$A$3:$A$500,$B18,'DADOS BRUTOS'!M$3:M$500)+IF($C18="",0,SUMIF('DADOS BRUTOS'!$A$3:$A$500,$C18,'DADOS BRUTOS'!M$3:M$500)))</f>
        <v>0</v>
      </c>
      <c r="CN18" s="133" t="n">
        <f aca="false">IF(OR(CN$4="",$B18=""),0,SUMIF('DADOS BRUTOS'!$A$3:$A$500,$B18,'DADOS BRUTOS'!N$3:N$500)+IF($C18="",0,SUMIF('DADOS BRUTOS'!$A$3:$A$500,$C18,'DADOS BRUTOS'!N$3:N$500)))</f>
        <v>0</v>
      </c>
      <c r="CO18" s="133" t="n">
        <f aca="false">IF(OR(CO$4="",$B18=""),0,SUMIF('DADOS BRUTOS'!$A$3:$A$500,$B18,'DADOS BRUTOS'!O$3:O$500)+IF($C18="",0,SUMIF('DADOS BRUTOS'!$A$3:$A$500,$C18,'DADOS BRUTOS'!O$3:O$500)))</f>
        <v>0</v>
      </c>
      <c r="CP18" s="133" t="n">
        <f aca="false">IF(OR(CP$4="",$B18=""),0,SUMIF('DADOS BRUTOS'!$A$3:$A$500,$B18,'DADOS BRUTOS'!P$3:P$500)+IF($C18="",0,SUMIF('DADOS BRUTOS'!$A$3:$A$500,$C18,'DADOS BRUTOS'!P$3:P$500)))</f>
        <v>0</v>
      </c>
      <c r="CQ18" s="133" t="n">
        <f aca="false">IF(OR(CQ$4="",$B18=""),0,SUMIF('DADOS BRUTOS'!$A$3:$A$500,$B18,'DADOS BRUTOS'!Q$3:Q$500)+IF($C18="",0,SUMIF('DADOS BRUTOS'!$A$3:$A$500,$C18,'DADOS BRUTOS'!Q$3:Q$500)))</f>
        <v>0</v>
      </c>
      <c r="CR18" s="133" t="n">
        <f aca="false">IF(OR(CR$4="",$B18=""),0,SUMIF('DADOS BRUTOS'!$A$3:$A$500,$B18,'DADOS BRUTOS'!R$3:R$500)+IF($C18="",0,SUMIF('DADOS BRUTOS'!$A$3:$A$500,$C18,'DADOS BRUTOS'!R$3:R$500)))</f>
        <v>0</v>
      </c>
      <c r="CS18" s="133" t="n">
        <f aca="false">IF(OR(CS$4="",$B18=""),0,SUMIF('DADOS BRUTOS'!$A$3:$A$500,$B18,'DADOS BRUTOS'!S$3:S$500)+IF($C18="",0,SUMIF('DADOS BRUTOS'!$A$3:$A$500,$C18,'DADOS BRUTOS'!S$3:S$500)))</f>
        <v>0</v>
      </c>
      <c r="CT18" s="133" t="n">
        <f aca="false">IF(OR(CT$4="",$B18=""),0,SUMIF('DADOS BRUTOS'!$A$3:$A$500,$B18,'DADOS BRUTOS'!T$3:T$500)+IF($C18="",0,SUMIF('DADOS BRUTOS'!$A$3:$A$500,$C18,'DADOS BRUTOS'!T$3:T$500)))</f>
        <v>0</v>
      </c>
      <c r="CU18" s="133" t="n">
        <f aca="false">IF(OR(CU$4="",$B18=""),0,SUMIF('DADOS BRUTOS'!$A$3:$A$500,$B18,'DADOS BRUTOS'!U$3:U$500)+IF($C18="",0,SUMIF('DADOS BRUTOS'!$A$3:$A$500,$C18,'DADOS BRUTOS'!U$3:U$500)))</f>
        <v>0</v>
      </c>
      <c r="CV18" s="133" t="n">
        <f aca="false">IF(OR(CV$4="",$B18=""),0,SUMIF('DADOS BRUTOS'!$A$3:$A$500,$B18,'DADOS BRUTOS'!V$3:V$500)+IF($C18="",0,SUMIF('DADOS BRUTOS'!$A$3:$A$500,$C18,'DADOS BRUTOS'!V$3:V$500)))</f>
        <v>0</v>
      </c>
      <c r="CW18" s="133" t="n">
        <f aca="false">IF(OR(CW$4="",$B18=""),0,SUMIF('DADOS BRUTOS'!$A$3:$A$500,$B18,'DADOS BRUTOS'!W$3:W$500)+IF($C18="",0,SUMIF('DADOS BRUTOS'!$A$3:$A$500,$C18,'DADOS BRUTOS'!W$3:W$500)))</f>
        <v>0</v>
      </c>
      <c r="CX18" s="133" t="n">
        <f aca="false">IF(OR(CX$4="",$B18=""),0,SUMIF('DADOS BRUTOS'!$A$3:$A$500,$B18,'DADOS BRUTOS'!X$3:X$500)+IF($C18="",0,SUMIF('DADOS BRUTOS'!$A$3:$A$500,$C18,'DADOS BRUTOS'!X$3:X$500)))</f>
        <v>0</v>
      </c>
      <c r="CY18" s="133" t="n">
        <f aca="false">IF(OR(CY$4="",$B18=""),0,SUMIF('DADOS BRUTOS'!$A$3:$A$500,$B18,'DADOS BRUTOS'!Y$3:Y$500)+IF($C18="",0,SUMIF('DADOS BRUTOS'!$A$3:$A$500,$C18,'DADOS BRUTOS'!Y$3:Y$500)))</f>
        <v>3866</v>
      </c>
      <c r="CZ18" s="133" t="n">
        <f aca="false">IF(OR(CZ$4="",$B18=""),0,SUMIF('DADOS BRUTOS'!$A$3:$A$500,$B18,'DADOS BRUTOS'!Z$3:Z$500)+IF($C18="",0,SUMIF('DADOS BRUTOS'!$A$3:$A$500,$C18,'DADOS BRUTOS'!Z$3:Z$500)))</f>
        <v>58166.5</v>
      </c>
      <c r="DA18" s="133" t="n">
        <f aca="false">IF(OR(DA$4="",$B18=""),0,SUMIF('DADOS BRUTOS'!$A$3:$A$500,$B18,'DADOS BRUTOS'!AA$3:AA$500)+IF($C18="",0,SUMIF('DADOS BRUTOS'!$A$3:$A$500,$C18,'DADOS BRUTOS'!AA$3:AA$500)))</f>
        <v>21398.48</v>
      </c>
      <c r="DB18" s="133" t="n">
        <f aca="false">IF(OR(DB$4="",$B18=""),0,SUMIF('DADOS BRUTOS'!$A$3:$A$500,$B18,'DADOS BRUTOS'!AB$3:AB$500)+IF($C18="",0,SUMIF('DADOS BRUTOS'!$A$3:$A$500,$C18,'DADOS BRUTOS'!AB$3:AB$500)))</f>
        <v>104829.66</v>
      </c>
      <c r="DC18" s="133" t="n">
        <f aca="false">IF(OR(DC$4="",$B18=""),0,SUMIF('DADOS BRUTOS'!$A$3:$A$500,$B18,'DADOS BRUTOS'!AC$3:AC$500)+IF($C18="",0,SUMIF('DADOS BRUTOS'!$A$3:$A$500,$C18,'DADOS BRUTOS'!AC$3:AC$500)))</f>
        <v>21701.49</v>
      </c>
      <c r="DD18" s="133" t="n">
        <f aca="false">IF(OR(DD$4="",$B18=""),0,SUMIF('DADOS BRUTOS'!$A$3:$A$500,$B18,'DADOS BRUTOS'!AD$3:AD$500)+IF($C18="",0,SUMIF('DADOS BRUTOS'!$A$3:$A$500,$C18,'DADOS BRUTOS'!AD$3:AD$500)))</f>
        <v>203306.37</v>
      </c>
      <c r="DE18" s="133" t="n">
        <f aca="false">IF(OR(DE$4="",$B18=""),0,SUMIF('DADOS BRUTOS'!$A$3:$A$500,$B18,'DADOS BRUTOS'!AE$3:AE$500)+IF($C18="",0,SUMIF('DADOS BRUTOS'!$A$3:$A$500,$C18,'DADOS BRUTOS'!AE$3:AE$500)))</f>
        <v>269416.54</v>
      </c>
      <c r="DF18" s="133" t="n">
        <f aca="false">IF(OR(DF$4="",$B18=""),0,SUMIF('DADOS BRUTOS'!$A$3:$A$500,$B18,'DADOS BRUTOS'!AF$3:AF$500)+IF($C18="",0,SUMIF('DADOS BRUTOS'!$A$3:$A$500,$C18,'DADOS BRUTOS'!AF$3:AF$500)))</f>
        <v>202541.18</v>
      </c>
      <c r="DG18" s="133" t="n">
        <f aca="false">IF(OR(DG$4="",$B18=""),0,SUMIF('DADOS BRUTOS'!$A$3:$A$500,$B18,'DADOS BRUTOS'!AG$3:AG$500)+IF($C18="",0,SUMIF('DADOS BRUTOS'!$A$3:$A$500,$C18,'DADOS BRUTOS'!AG$3:AG$500)))</f>
        <v>53252.58</v>
      </c>
      <c r="DH18" s="133" t="n">
        <f aca="false">IF(OR(DH$4="",$B18=""),0,SUMIF('DADOS BRUTOS'!$A$3:$A$500,$B18,'DADOS BRUTOS'!AH$3:AH$500)+IF($C18="",0,SUMIF('DADOS BRUTOS'!$A$3:$A$500,$C18,'DADOS BRUTOS'!AH$3:AH$500)))</f>
        <v>0</v>
      </c>
      <c r="DI18" s="133" t="n">
        <f aca="false">IF(OR(DI$4="",$B18=""),0,SUMIF('DADOS BRUTOS'!$A$3:$A$500,$B18,'DADOS BRUTOS'!AI$3:AI$500)+IF($C18="",0,SUMIF('DADOS BRUTOS'!$A$3:$A$500,$C18,'DADOS BRUTOS'!AI$3:AI$500)))</f>
        <v>58007.08</v>
      </c>
      <c r="DJ18" s="133" t="n">
        <f aca="false">IF(OR(DJ$4="",$B18=""),0,SUMIF('DADOS BRUTOS'!$A$3:$A$500,$B18,'DADOS BRUTOS'!AJ$3:AJ$500)+IF($C18="",0,SUMIF('DADOS BRUTOS'!$A$3:$A$500,$C18,'DADOS BRUTOS'!AJ$3:AJ$500)))</f>
        <v>0</v>
      </c>
      <c r="DK18" s="133" t="n">
        <f aca="false">IF(OR(DK$4="",$B18=""),0,SUMIF('DADOS BRUTOS'!$A$3:$A$500,$B18,'DADOS BRUTOS'!AK$3:AK$500)+IF($C18="",0,SUMIF('DADOS BRUTOS'!$A$3:$A$500,$C18,'DADOS BRUTOS'!AK$3:AK$500)))</f>
        <v>0</v>
      </c>
      <c r="DL18" s="133" t="n">
        <f aca="false">IF(OR(DL$4="",$B18=""),0,SUMIF('DADOS BRUTOS'!$A$3:$A$500,$B18,'DADOS BRUTOS'!AL$3:AL$500)+IF($C18="",0,SUMIF('DADOS BRUTOS'!$A$3:$A$500,$C18,'DADOS BRUTOS'!AL$3:AL$500)))</f>
        <v>0</v>
      </c>
      <c r="DM18" s="133" t="n">
        <f aca="false">IF(OR(DM$4="",$B18=""),0,SUMIF('DADOS BRUTOS'!$A$3:$A$500,$B18,'DADOS BRUTOS'!AM$3:AM$500)+IF($C18="",0,SUMIF('DADOS BRUTOS'!$A$3:$A$500,$C18,'DADOS BRUTOS'!AM$3:AM$500)))</f>
        <v>0</v>
      </c>
      <c r="DN18" s="133" t="n">
        <f aca="false">IF(OR(DN$4="",$B18=""),0,SUMIF('DADOS BRUTOS'!$A$3:$A$500,$B18,'DADOS BRUTOS'!AN$3:AN$500)+IF($C18="",0,SUMIF('DADOS BRUTOS'!$A$3:$A$500,$C18,'DADOS BRUTOS'!AN$3:AN$500)))</f>
        <v>0</v>
      </c>
      <c r="DO18" s="133" t="n">
        <f aca="false">IF(OR(DO$4="",$B18=""),0,SUMIF('DADOS BRUTOS'!$A$3:$A$500,$B18,'DADOS BRUTOS'!AO$3:AO$500)+IF($C18="",0,SUMIF('DADOS BRUTOS'!$A$3:$A$500,$C18,'DADOS BRUTOS'!AO$3:AO$500)))</f>
        <v>2100</v>
      </c>
      <c r="DP18" s="133" t="n">
        <f aca="false">IF(OR(DP$4="",$B18=""),0,SUMIF('DADOS BRUTOS'!$A$3:$A$500,$B18,'DADOS BRUTOS'!AP$3:AP$500)+IF($C18="",0,SUMIF('DADOS BRUTOS'!$A$3:$A$500,$C18,'DADOS BRUTOS'!AP$3:AP$500)))</f>
        <v>1023.88</v>
      </c>
      <c r="DQ18" s="133" t="n">
        <f aca="false">IF(OR(DQ$4="",$B18=""),0,SUMIF('DADOS BRUTOS'!$A$3:$A$500,$B18,'DADOS BRUTOS'!AQ$3:AQ$500)+IF($C18="",0,SUMIF('DADOS BRUTOS'!$A$3:$A$500,$C18,'DADOS BRUTOS'!AQ$3:AQ$500)))</f>
        <v>0</v>
      </c>
      <c r="DR18" s="133" t="n">
        <f aca="false">IF(OR(DR$4="",$B18=""),0,SUMIF('DADOS BRUTOS'!$A$3:$A$500,$B18,'DADOS BRUTOS'!AR$3:AR$500)+IF($C18="",0,SUMIF('DADOS BRUTOS'!$A$3:$A$500,$C18,'DADOS BRUTOS'!AR$3:AR$500)))</f>
        <v>0</v>
      </c>
      <c r="DS18" s="133" t="n">
        <f aca="false">IF(OR(DS$4="",$B18=""),0,SUMIF('DADOS BRUTOS'!$A$3:$A$500,$B18,'DADOS BRUTOS'!AS$3:AS$500)+IF($C18="",0,SUMIF('DADOS BRUTOS'!$A$3:$A$500,$C18,'DADOS BRUTOS'!AS$3:AS$500)))</f>
        <v>0</v>
      </c>
      <c r="DT18" s="133" t="n">
        <f aca="false">IF(OR(DT$4="",$B18=""),0,SUMIF('DADOS BRUTOS'!$A$3:$A$500,$B18,'DADOS BRUTOS'!AT$3:AT$500)+IF($C18="",0,SUMIF('DADOS BRUTOS'!$A$3:$A$500,$C18,'DADOS BRUTOS'!AT$3:AT$500)))</f>
        <v>0</v>
      </c>
      <c r="DU18" s="133" t="n">
        <f aca="false">IF(OR(DU$4="",$B18=""),0,SUMIF('DADOS BRUTOS'!$A$3:$A$500,$B18,'DADOS BRUTOS'!AU$3:AU$500)+IF($C18="",0,SUMIF('DADOS BRUTOS'!$A$3:$A$500,$C18,'DADOS BRUTOS'!AU$3:AU$500)))</f>
        <v>0</v>
      </c>
      <c r="DV18" s="133" t="n">
        <f aca="false">IF(OR(DV$4="",$B18=""),0,SUMIF('DADOS BRUTOS'!$A$3:$A$500,$B18,'DADOS BRUTOS'!AV$3:AV$500)+IF($C18="",0,SUMIF('DADOS BRUTOS'!$A$3:$A$500,$C18,'DADOS BRUTOS'!AV$3:AV$500)))</f>
        <v>0</v>
      </c>
      <c r="DW18" s="133" t="n">
        <f aca="false">IF(OR(DW$4="",$B18=""),0,SUMIF('DADOS BRUTOS'!$A$3:$A$500,$B18,'DADOS BRUTOS'!AW$3:AW$500)+IF($C18="",0,SUMIF('DADOS BRUTOS'!$A$3:$A$500,$C18,'DADOS BRUTOS'!AW$3:AW$500)))</f>
        <v>0</v>
      </c>
      <c r="DX18" s="133" t="n">
        <f aca="false">IF(OR(DX$4="",$B18=""),0,SUMIF('DADOS BRUTOS'!$A$3:$A$500,$B18,'DADOS BRUTOS'!AX$3:AX$500)+IF($C18="",0,SUMIF('DADOS BRUTOS'!$A$3:$A$500,$C18,'DADOS BRUTOS'!AX$3:AX$500)))</f>
        <v>0</v>
      </c>
      <c r="DY18" s="133" t="n">
        <f aca="false">IF(OR(DY$4="",$B18=""),0,SUMIF('DADOS BRUTOS'!$A$3:$A$500,$B18,'DADOS BRUTOS'!AY$3:AY$500)+IF($C18="",0,SUMIF('DADOS BRUTOS'!$A$3:$A$500,$C18,'DADOS BRUTOS'!AY$3:AY$500)))</f>
        <v>0</v>
      </c>
      <c r="DZ18" s="133" t="n">
        <f aca="false">IF(OR(DZ$4="",$B18=""),0,SUMIF('DADOS BRUTOS'!$A$3:$A$500,$B18,'DADOS BRUTOS'!AZ$3:AZ$500)+IF($C18="",0,SUMIF('DADOS BRUTOS'!$A$3:$A$500,$C18,'DADOS BRUTOS'!AZ$3:AZ$500)))</f>
        <v>0</v>
      </c>
      <c r="EA18" s="133" t="n">
        <f aca="false">IF(OR(EA$4="",$B18=""),0,SUMIF('DADOS BRUTOS'!$A$3:$A$500,$B18,'DADOS BRUTOS'!BA$3:BA$500)+IF($C18="",0,SUMIF('DADOS BRUTOS'!$A$3:$A$500,$C18,'DADOS BRUTOS'!BA$3:BA$500)))</f>
        <v>0</v>
      </c>
      <c r="EB18" s="133" t="n">
        <f aca="false">IF(OR(EB$4="",$B18=""),0,SUMIF('DADOS BRUTOS'!$A$3:$A$500,$B18,'DADOS BRUTOS'!BB$3:BB$500)+IF($C18="",0,SUMIF('DADOS BRUTOS'!$A$3:$A$500,$C18,'DADOS BRUTOS'!BB$3:BB$500)))</f>
        <v>0</v>
      </c>
      <c r="EC18" s="133" t="n">
        <f aca="false">IF(OR(EC$4="",$B18=""),0,SUMIF('DADOS BRUTOS'!$A$3:$A$500,$B18,'DADOS BRUTOS'!BC$3:BC$500)+IF($C18="",0,SUMIF('DADOS BRUTOS'!$A$3:$A$500,$C18,'DADOS BRUTOS'!BC$3:BC$500)))</f>
        <v>0</v>
      </c>
      <c r="ED18" s="133" t="n">
        <f aca="false">IF(OR(ED$4="",$B18=""),0,SUMIF('DADOS BRUTOS'!$A$3:$A$500,$B18,'DADOS BRUTOS'!BD$3:BD$500)+IF($C18="",0,SUMIF('DADOS BRUTOS'!$A$3:$A$500,$C18,'DADOS BRUTOS'!BD$3:BD$500)))</f>
        <v>0</v>
      </c>
      <c r="EE18" s="133" t="n">
        <f aca="false">IF(OR(EE$4="",$B18=""),0,SUMIF('DADOS BRUTOS'!$A$3:$A$500,$B18,'DADOS BRUTOS'!BE$3:BE$500)+IF($C18="",0,SUMIF('DADOS BRUTOS'!$A$3:$A$500,$C18,'DADOS BRUTOS'!BE$3:BE$500)))</f>
        <v>0</v>
      </c>
      <c r="EF18" s="133" t="n">
        <f aca="false">IF(OR(EF$4="",$B18=""),0,SUMIF('DADOS BRUTOS'!$A$3:$A$500,$B18,'DADOS BRUTOS'!BF$3:BF$500)+IF($C18="",0,SUMIF('DADOS BRUTOS'!$A$3:$A$500,$C18,'DADOS BRUTOS'!BF$3:BF$500)))</f>
        <v>0</v>
      </c>
      <c r="EG18" s="133" t="n">
        <f aca="false">IF(OR(EG$4="",$B18=""),0,SUMIF('DADOS BRUTOS'!$A$3:$A$500,$B18,'DADOS BRUTOS'!BG$3:BG$500)+IF($C18="",0,SUMIF('DADOS BRUTOS'!$A$3:$A$500,$C18,'DADOS BRUTOS'!BG$3:BG$500)))</f>
        <v>0</v>
      </c>
      <c r="EH18" s="133" t="n">
        <f aca="false">IF(OR(EH$4="",$B18=""),0,SUMIF('DADOS BRUTOS'!$A$3:$A$500,$B18,'DADOS BRUTOS'!BH$3:BH$500)+IF($C18="",0,SUMIF('DADOS BRUTOS'!$A$3:$A$500,$C18,'DADOS BRUTOS'!BH$3:BH$500)))</f>
        <v>0</v>
      </c>
      <c r="EI18" s="133" t="n">
        <f aca="false">IF(OR(EI$4="",$B18=""),0,SUMIF('DADOS BRUTOS'!$A$3:$A$500,$B18,'DADOS BRUTOS'!BI$3:BI$500)+IF($C18="",0,SUMIF('DADOS BRUTOS'!$A$3:$A$500,$C18,'DADOS BRUTOS'!BI$3:BI$500)))</f>
        <v>0</v>
      </c>
      <c r="EJ18" s="133" t="n">
        <f aca="false">IF(OR(EJ$4="",$B18=""),0,SUMIF('DADOS BRUTOS'!$A$3:$A$500,$B18,'DADOS BRUTOS'!BJ$3:BJ$500)+IF($C18="",0,SUMIF('DADOS BRUTOS'!$A$3:$A$500,$C18,'DADOS BRUTOS'!BJ$3:BJ$500)))</f>
        <v>0</v>
      </c>
      <c r="EK18" s="133" t="n">
        <f aca="false">IF(OR(EK$4="",$B18=""),0,SUMIF('DADOS BRUTOS'!$A$3:$A$500,$B18,'DADOS BRUTOS'!BK$3:BK$500)+IF($C18="",0,SUMIF('DADOS BRUTOS'!$A$3:$A$500,$C18,'DADOS BRUTOS'!BK$3:BK$500)))</f>
        <v>0</v>
      </c>
      <c r="EL18" s="133" t="n">
        <f aca="false">IF(OR(EL$4="",$B18=""),0,SUMIF('DADOS BRUTOS'!$A$3:$A$500,$B18,'DADOS BRUTOS'!BL$3:BL$500)+IF($C18="",0,SUMIF('DADOS BRUTOS'!$A$3:$A$500,$C18,'DADOS BRUTOS'!BL$3:BL$500)))</f>
        <v>0</v>
      </c>
      <c r="EM18" s="133" t="n">
        <f aca="false">IF(OR(EM$4="",$B18=""),0,SUMIF('DADOS BRUTOS'!$A$3:$A$500,$B18,'DADOS BRUTOS'!BM$3:BM$500)+IF($C18="",0,SUMIF('DADOS BRUTOS'!$A$3:$A$500,$C18,'DADOS BRUTOS'!BM$3:BM$500)))</f>
        <v>0</v>
      </c>
      <c r="EN18" s="133" t="n">
        <f aca="false">IF(OR(EN$4="",$B18=""),0,SUMIF('DADOS BRUTOS'!$A$3:$A$500,$B18,'DADOS BRUTOS'!BN$3:BN$500)+IF($C18="",0,SUMIF('DADOS BRUTOS'!$A$3:$A$500,$C18,'DADOS BRUTOS'!BN$3:BN$500)))</f>
        <v>0</v>
      </c>
      <c r="EO18" s="133" t="n">
        <f aca="false">IF(OR(EO$4="",$B18=""),0,SUMIF('DADOS BRUTOS'!$A$3:$A$500,$B18,'DADOS BRUTOS'!BO$3:BO$500)+IF($C18="",0,SUMIF('DADOS BRUTOS'!$A$3:$A$500,$C18,'DADOS BRUTOS'!BO$3:BO$500)))</f>
        <v>0</v>
      </c>
      <c r="EP18" s="133" t="n">
        <f aca="false">IF(OR(EP$4="",$B18=""),0,SUMIF('DADOS BRUTOS'!$A$3:$A$500,$B18,'DADOS BRUTOS'!BP$3:BP$500)+IF($C18="",0,SUMIF('DADOS BRUTOS'!$A$3:$A$500,$C18,'DADOS BRUTOS'!BP$3:BP$500)))</f>
        <v>0</v>
      </c>
      <c r="EQ18" s="133" t="n">
        <f aca="false">IF(OR(EQ$4="",$B18=""),0,SUMIF('DADOS BRUTOS'!$A$3:$A$500,$B18,'DADOS BRUTOS'!BQ$3:BQ$500)+IF($C18="",0,SUMIF('DADOS BRUTOS'!$A$3:$A$500,$C18,'DADOS BRUTOS'!BQ$3:BQ$500)))</f>
        <v>0</v>
      </c>
      <c r="ER18" s="133" t="n">
        <f aca="false">IF(OR(ER$4="",$B18=""),0,SUMIF('DADOS BRUTOS'!$A$3:$A$500,$B18,'DADOS BRUTOS'!BR$3:BR$500)+IF($C18="",0,SUMIF('DADOS BRUTOS'!$A$3:$A$500,$C18,'DADOS BRUTOS'!BR$3:BR$500)))</f>
        <v>0</v>
      </c>
      <c r="ES18" s="133" t="n">
        <f aca="false">IF(OR(ES$4="",$B18=""),0,SUMIF('DADOS BRUTOS'!$A$3:$A$500,$B18,'DADOS BRUTOS'!BS$3:BS$500)+IF($C18="",0,SUMIF('DADOS BRUTOS'!$A$3:$A$500,$C18,'DADOS BRUTOS'!BS$3:BS$500)))</f>
        <v>0</v>
      </c>
      <c r="ET18" s="133" t="n">
        <f aca="false">IF(OR(ET$4="",$B18=""),0,SUMIF('DADOS BRUTOS'!$A$3:$A$500,$B18,'DADOS BRUTOS'!BT$3:BT$500)+IF($C18="",0,SUMIF('DADOS BRUTOS'!$A$3:$A$500,$C18,'DADOS BRUTOS'!BT$3:BT$500)))</f>
        <v>0</v>
      </c>
      <c r="EU18" s="133" t="n">
        <f aca="false">IF(OR(EU$4="",$B18=""),0,SUMIF('DADOS BRUTOS'!$A$3:$A$500,$B18,'DADOS BRUTOS'!BU$3:BU$500)+IF($C18="",0,SUMIF('DADOS BRUTOS'!$A$3:$A$500,$C18,'DADOS BRUTOS'!BU$3:BU$500)))</f>
        <v>0</v>
      </c>
      <c r="EV18" s="133" t="n">
        <f aca="false">IF(OR(EV$4="",$B18=""),0,SUMIF('DADOS BRUTOS'!$A$3:$A$500,$B18,'DADOS BRUTOS'!BV$3:BV$500)+IF($C18="",0,SUMIF('DADOS BRUTOS'!$A$3:$A$500,$C18,'DADOS BRUTOS'!BV$3:BV$500)))</f>
        <v>0</v>
      </c>
      <c r="EW18" s="133" t="n">
        <f aca="false">IF(OR(EW$4="",$B18=""),0,SUMIF('DADOS BRUTOS'!$A$3:$A$500,$B18,'DADOS BRUTOS'!BW$3:BW$500)+IF($C18="",0,SUMIF('DADOS BRUTOS'!$A$3:$A$500,$C18,'DADOS BRUTOS'!BW$3:BW$500)))</f>
        <v>0</v>
      </c>
      <c r="EX18" s="133" t="n">
        <f aca="false">IF(OR(EX$4="",$B18=""),0,SUMIF('DADOS BRUTOS'!$A$3:$A$500,$B18,'DADOS BRUTOS'!BX$3:BX$500)+IF($C18="",0,SUMIF('DADOS BRUTOS'!$A$3:$A$500,$C18,'DADOS BRUTOS'!BX$3:BX$500)))</f>
        <v>0</v>
      </c>
      <c r="EY18" s="133" t="n">
        <f aca="false">IF(OR(EY$4="",$B18=""),0,SUMIF('DADOS BRUTOS'!$A$3:$A$500,$B18,'DADOS BRUTOS'!BY$3:BY$500)+IF($C18="",0,SUMIF('DADOS BRUTOS'!$A$3:$A$500,$C18,'DADOS BRUTOS'!BY$3:BY$500)))</f>
        <v>0</v>
      </c>
      <c r="EZ18" s="133" t="n">
        <f aca="false">IF(OR(EZ$4="",$B18=""),0,SUMIF('DADOS BRUTOS'!$A$3:$A$500,$B18,'DADOS BRUTOS'!BZ$3:BZ$500)+IF($C18="",0,SUMIF('DADOS BRUTOS'!$A$3:$A$500,$C18,'DADOS BRUTOS'!BZ$3:BZ$500)))</f>
        <v>0</v>
      </c>
      <c r="FA18" s="133" t="n">
        <f aca="false">IF(OR(FA$4="",$B18=""),0,SUMIF('DADOS BRUTOS'!$A$3:$A$500,$B18,'DADOS BRUTOS'!CA$3:CA$500)+IF($C18="",0,SUMIF('DADOS BRUTOS'!$A$3:$A$500,$C18,'DADOS BRUTOS'!CA$3:CA$500)))</f>
        <v>0</v>
      </c>
      <c r="FB18" s="133" t="n">
        <f aca="false">IF(OR(FB$4="",$B18=""),0,SUMIF('DADOS BRUTOS'!$A$3:$A$500,$B18,'DADOS BRUTOS'!CB$3:CB$500)+IF($C18="",0,SUMIF('DADOS BRUTOS'!$A$3:$A$500,$C18,'DADOS BRUTOS'!CB$3:CB$500)))</f>
        <v>0</v>
      </c>
      <c r="FC18" s="133" t="n">
        <f aca="false">IF(OR(FC$4="",$B18=""),0,SUMIF('DADOS BRUTOS'!$A$3:$A$500,$B18,'DADOS BRUTOS'!CC$3:CC$500)+IF($C18="",0,SUMIF('DADOS BRUTOS'!$A$3:$A$500,$C18,'DADOS BRUTOS'!CC$3:CC$500)))</f>
        <v>0</v>
      </c>
      <c r="FD18" s="133" t="n">
        <f aca="false">IF(OR(FD$4="",$B18=""),0,SUMIF('DADOS BRUTOS'!$A$3:$A$500,$B18,'DADOS BRUTOS'!CD$3:CD$500)+IF($C18="",0,SUMIF('DADOS BRUTOS'!$A$3:$A$500,$C18,'DADOS BRUTOS'!CD$3:CD$500)))</f>
        <v>0</v>
      </c>
      <c r="FE18" s="133" t="n">
        <f aca="false">IF(OR(FE$4="",$B18=""),0,SUMIF('DADOS BRUTOS'!$A$3:$A$500,$B18,'DADOS BRUTOS'!CE$3:CE$500)+IF($C18="",0,SUMIF('DADOS BRUTOS'!$A$3:$A$500,$C18,'DADOS BRUTOS'!CE$3:CE$500)))</f>
        <v>0</v>
      </c>
      <c r="FF18" s="133" t="n">
        <f aca="false">IF(OR(FF$4="",$B18=""),0,SUMIF('DADOS BRUTOS'!$A$3:$A$500,$B18,'DADOS BRUTOS'!CF$3:CF$500)+IF($C18="",0,SUMIF('DADOS BRUTOS'!$A$3:$A$500,$C18,'DADOS BRUTOS'!CF$3:CF$500)))</f>
        <v>0</v>
      </c>
      <c r="FG18" s="133" t="n">
        <f aca="false">IF(OR(FG$4="",$B18=""),0,SUMIF('DADOS BRUTOS'!$A$3:$A$500,$B18,'DADOS BRUTOS'!CG$3:CG$500)+IF($C18="",0,SUMIF('DADOS BRUTOS'!$A$3:$A$500,$C18,'DADOS BRUTOS'!CG$3:CG$500)))</f>
        <v>0</v>
      </c>
      <c r="FH18" s="133" t="n">
        <f aca="false">IF(OR(FH$4="",$B18=""),0,SUMIF('DADOS BRUTOS'!$A$3:$A$500,$B18,'DADOS BRUTOS'!CH$3:CH$500)+IF($C18="",0,SUMIF('DADOS BRUTOS'!$A$3:$A$500,$C18,'DADOS BRUTOS'!CH$3:CH$500)))</f>
        <v>0</v>
      </c>
      <c r="FI18" s="133" t="n">
        <f aca="false">IF(OR(FI$4="",$B18=""),0,SUMIF('DADOS BRUTOS'!$A$3:$A$500,$B18,'DADOS BRUTOS'!CI$3:CI$500)+IF($C18="",0,SUMIF('DADOS BRUTOS'!$A$3:$A$500,$C18,'DADOS BRUTOS'!CI$3:CI$500)))</f>
        <v>0</v>
      </c>
      <c r="FJ18" s="133" t="n">
        <f aca="false">IF(OR(FJ$4="",$B18=""),0,SUMIF('DADOS BRUTOS'!$A$3:$A$500,$B18,'DADOS BRUTOS'!CJ$3:CJ$500)+IF($C18="",0,SUMIF('DADOS BRUTOS'!$A$3:$A$500,$C18,'DADOS BRUTOS'!CJ$3:CJ$500)))</f>
        <v>0</v>
      </c>
      <c r="FK18" s="133" t="n">
        <f aca="false">IF(OR(FK$4="",$B18=""),0,SUMIF('DADOS BRUTOS'!$A$3:$A$500,$B18,'DADOS BRUTOS'!CK$3:CK$500)+IF($C18="",0,SUMIF('DADOS BRUTOS'!$A$3:$A$500,$C18,'DADOS BRUTOS'!CK$3:CK$500)))</f>
        <v>0</v>
      </c>
      <c r="FL18" s="133" t="n">
        <f aca="false">IF(OR(FL$4="",$B18=""),0,SUMIF('DADOS BRUTOS'!$A$3:$A$500,$B18,'DADOS BRUTOS'!CL$3:CL$500)+IF($C18="",0,SUMIF('DADOS BRUTOS'!$A$3:$A$500,$C18,'DADOS BRUTOS'!CL$3:CL$500)))</f>
        <v>0</v>
      </c>
      <c r="FM18" s="133" t="n">
        <f aca="false">IF(OR(FM$4="",$B18=""),0,SUMIF('DADOS BRUTOS'!$A$3:$A$500,$B18,'DADOS BRUTOS'!CM$3:CM$500)+IF($C18="",0,SUMIF('DADOS BRUTOS'!$A$3:$A$500,$C18,'DADOS BRUTOS'!CM$3:CM$500)))</f>
        <v>0</v>
      </c>
      <c r="FN18" s="133" t="n">
        <f aca="false">IF(OR(FN$4="",$B18=""),0,SUMIF('DADOS BRUTOS'!$A$3:$A$500,$B18,'DADOS BRUTOS'!CN$3:CN$500)+IF($C18="",0,SUMIF('DADOS BRUTOS'!$A$3:$A$500,$C18,'DADOS BRUTOS'!CN$3:CN$500)))</f>
        <v>0</v>
      </c>
      <c r="FO18" s="133" t="n">
        <f aca="false">IF(OR(FO$4="",$B18=""),0,SUMIF('DADOS BRUTOS'!$A$3:$A$500,$B18,'DADOS BRUTOS'!CO$3:CO$500)+IF($C18="",0,SUMIF('DADOS BRUTOS'!$A$3:$A$500,$C18,'DADOS BRUTOS'!CO$3:CO$500)))</f>
        <v>0</v>
      </c>
      <c r="FP18" s="133" t="n">
        <f aca="false">IF(OR(FP$4="",$B18=""),0,SUMIF('DADOS BRUTOS'!$A$3:$A$500,$B18,'DADOS BRUTOS'!CP$3:CP$500)+IF($C18="",0,SUMIF('DADOS BRUTOS'!$A$3:$A$500,$C18,'DADOS BRUTOS'!CP$3:CP$500)))</f>
        <v>0</v>
      </c>
      <c r="FQ18" s="133" t="n">
        <f aca="false">IF(OR(FQ$4="",$B18=""),0,SUMIF('DADOS BRUTOS'!$A$3:$A$500,$B18,'DADOS BRUTOS'!CQ$3:CQ$500)+IF($C18="",0,SUMIF('DADOS BRUTOS'!$A$3:$A$500,$C18,'DADOS BRUTOS'!CQ$3:CQ$500)))</f>
        <v>0</v>
      </c>
      <c r="FR18" s="133" t="n">
        <f aca="false">IF(OR(FR$4="",$B18=""),0,SUMIF('DADOS BRUTOS'!$A$3:$A$500,$B18,'DADOS BRUTOS'!CR$3:CR$500)+IF($C18="",0,SUMIF('DADOS BRUTOS'!$A$3:$A$500,$C18,'DADOS BRUTOS'!CR$3:CR$500)))</f>
        <v>0</v>
      </c>
      <c r="FS18" s="133" t="n">
        <f aca="false">IF(OR(FS$4="",$B18=""),0,SUMIF('DADOS BRUTOS'!$A$3:$A$500,$B18,'DADOS BRUTOS'!CS$3:CS$500)+IF($C18="",0,SUMIF('DADOS BRUTOS'!$A$3:$A$500,$C18,'DADOS BRUTOS'!CS$3:CS$500)))</f>
        <v>0</v>
      </c>
      <c r="FT18" s="133" t="n">
        <f aca="false">IF(OR(FT$4="",$B18=""),0,SUMIF('DADOS BRUTOS'!$A$3:$A$500,$B18,'DADOS BRUTOS'!CT$3:CT$500)+IF($C18="",0,SUMIF('DADOS BRUTOS'!$A$3:$A$500,$C18,'DADOS BRUTOS'!CT$3:CT$500)))</f>
        <v>0</v>
      </c>
      <c r="FU18" s="133" t="n">
        <f aca="false">IF(OR(FU$4="",$B18=""),0,SUMIF('DADOS BRUTOS'!$A$3:$A$500,$B18,'DADOS BRUTOS'!CU$3:CU$500)+IF($C18="",0,SUMIF('DADOS BRUTOS'!$A$3:$A$500,$C18,'DADOS BRUTOS'!CU$3:CU$500)))</f>
        <v>0</v>
      </c>
      <c r="FV18" s="133" t="n">
        <f aca="false">IF(OR(FV$4="",$B18=""),0,SUMIF('DADOS BRUTOS'!$A$3:$A$500,$B18,'DADOS BRUTOS'!CV$3:CV$500)+IF($C18="",0,SUMIF('DADOS BRUTOS'!$A$3:$A$500,$C18,'DADOS BRUTOS'!CV$3:CV$500)))</f>
        <v>0</v>
      </c>
      <c r="FW18" s="133" t="n">
        <f aca="false">IF(OR(FW$4="",$B18=""),0,SUMIF('DADOS BRUTOS'!$A$3:$A$500,$B18,'DADOS BRUTOS'!CW$3:CW$500)+IF($C18="",0,SUMIF('DADOS BRUTOS'!$A$3:$A$500,$C18,'DADOS BRUTOS'!CW$3:CW$500)))</f>
        <v>0</v>
      </c>
      <c r="FX18" s="133" t="n">
        <f aca="false">IF(OR(FX$4="",$B18=""),0,SUMIF('DADOS BRUTOS'!$A$3:$A$500,$B18,'DADOS BRUTOS'!CX$3:CX$500)+IF($C18="",0,SUMIF('DADOS BRUTOS'!$A$3:$A$500,$C18,'DADOS BRUTOS'!CX$3:CX$500)))</f>
        <v>0</v>
      </c>
      <c r="FY18" s="133" t="n">
        <f aca="false">IF(OR(FY$4="",$B18=""),0,SUMIF('DADOS BRUTOS'!$A$3:$A$500,$B18,'DADOS BRUTOS'!CY$3:CY$500)+IF($C18="",0,SUMIF('DADOS BRUTOS'!$A$3:$A$500,$C18,'DADOS BRUTOS'!CY$3:CY$500)))</f>
        <v>0</v>
      </c>
      <c r="FZ18" s="133" t="n">
        <f aca="false">IF(OR(FZ$4="",$B18=""),0,SUMIF('DADOS BRUTOS'!$A$3:$A$500,$B18,'DADOS BRUTOS'!CZ$3:CZ$500)+IF($C18="",0,SUMIF('DADOS BRUTOS'!$A$3:$A$500,$C18,'DADOS BRUTOS'!CZ$3:CZ$500)))</f>
        <v>0</v>
      </c>
      <c r="GA18" s="133" t="n">
        <f aca="false">IF(OR(GA$4="",$B18=""),0,SUMIF('DADOS BRUTOS'!$A$3:$A$500,$B18,'DADOS BRUTOS'!DA$3:DA$500)+IF($C18="",0,SUMIF('DADOS BRUTOS'!$A$3:$A$500,$C18,'DADOS BRUTOS'!DA$3:DA$500)))</f>
        <v>0</v>
      </c>
      <c r="GB18" s="133" t="n">
        <f aca="false">IF(OR(GB$4="",$B18=""),0,SUMIF('DADOS BRUTOS'!$A$3:$A$500,$B18,'DADOS BRUTOS'!DB$3:DB$500)+IF($C18="",0,SUMIF('DADOS BRUTOS'!$A$3:$A$500,$C18,'DADOS BRUTOS'!DB$3:DB$500)))</f>
        <v>0</v>
      </c>
      <c r="GC18" s="133" t="n">
        <f aca="false">IF(OR(GC$4="",$B18=""),0,SUMIF('DADOS BRUTOS'!$A$3:$A$500,$B18,'DADOS BRUTOS'!DC$3:DC$500)+IF($C18="",0,SUMIF('DADOS BRUTOS'!$A$3:$A$500,$C18,'DADOS BRUTOS'!DC$3:DC$500)))</f>
        <v>0</v>
      </c>
      <c r="GD18" s="133" t="n">
        <f aca="false">IF(OR(GD$4="",$B18=""),0,SUMIF('DADOS BRUTOS'!$A$3:$A$500,$B18,'DADOS BRUTOS'!DD$3:DD$500)+IF($C18="",0,SUMIF('DADOS BRUTOS'!$A$3:$A$500,$C18,'DADOS BRUTOS'!DD$3:DD$500)))</f>
        <v>0</v>
      </c>
      <c r="GE18" s="133" t="n">
        <f aca="false">IF(OR(GE$4="",$B18=""),0,SUMIF('DADOS BRUTOS'!$A$3:$A$500,$B18,'DADOS BRUTOS'!DE$3:DE$500)+IF($C18="",0,SUMIF('DADOS BRUTOS'!$A$3:$A$500,$C18,'DADOS BRUTOS'!DE$3:DE$500)))</f>
        <v>0</v>
      </c>
      <c r="GF18" s="133" t="n">
        <f aca="false">IF(OR(GF$4="",$B18=""),0,SUMIF('DADOS BRUTOS'!$A$3:$A$500,$B18,'DADOS BRUTOS'!DF$3:DF$500)+IF($C18="",0,SUMIF('DADOS BRUTOS'!$A$3:$A$500,$C18,'DADOS BRUTOS'!DF$3:DF$500)))</f>
        <v>0</v>
      </c>
      <c r="GG18" s="133" t="n">
        <f aca="false">IF(OR(GG$4="",$B18=""),0,SUMIF('DADOS BRUTOS'!$A$3:$A$500,$B18,'DADOS BRUTOS'!DG$3:DG$500)+IF($C18="",0,SUMIF('DADOS BRUTOS'!$A$3:$A$500,$C18,'DADOS BRUTOS'!DG$3:DG$500)))</f>
        <v>0</v>
      </c>
      <c r="GH18" s="133" t="n">
        <f aca="false">IF(OR(GH$4="",$B18=""),0,SUMIF('DADOS BRUTOS'!$A$3:$A$500,$B18,'DADOS BRUTOS'!DH$3:DH$500)+IF($C18="",0,SUMIF('DADOS BRUTOS'!$A$3:$A$500,$C18,'DADOS BRUTOS'!DH$3:DH$500)))</f>
        <v>0</v>
      </c>
      <c r="GI18" s="133" t="n">
        <f aca="false">IF(OR(GI$4="",$B18=""),0,SUMIF('DADOS BRUTOS'!$A$3:$A$500,$B18,'DADOS BRUTOS'!DI$3:DI$500)+IF($C18="",0,SUMIF('DADOS BRUTOS'!$A$3:$A$500,$C18,'DADOS BRUTOS'!DI$3:DI$500)))</f>
        <v>0</v>
      </c>
      <c r="GJ18" s="133" t="n">
        <f aca="false">IF(OR(GJ$4="",$B18=""),0,SUMIF('DADOS BRUTOS'!$A$3:$A$500,$B18,'DADOS BRUTOS'!DJ$3:DJ$500)+IF($C18="",0,SUMIF('DADOS BRUTOS'!$A$3:$A$500,$C18,'DADOS BRUTOS'!DJ$3:DJ$500)))</f>
        <v>0</v>
      </c>
      <c r="GK18" s="133" t="n">
        <f aca="false">IF(OR(GK$4="",$B18=""),0,SUMIF('DADOS BRUTOS'!$A$3:$A$500,$B18,'DADOS BRUTOS'!DK$3:DK$500)+IF($C18="",0,SUMIF('DADOS BRUTOS'!$A$3:$A$500,$C18,'DADOS BRUTOS'!DK$3:DK$500)))</f>
        <v>0</v>
      </c>
      <c r="GL18" s="133" t="n">
        <f aca="false">IF(OR(GL$4="",$B18=""),0,SUMIF('DADOS BRUTOS'!$A$3:$A$500,$B18,'DADOS BRUTOS'!DL$3:DL$500)+IF($C18="",0,SUMIF('DADOS BRUTOS'!$A$3:$A$500,$C18,'DADOS BRUTOS'!DL$3:DL$500)))</f>
        <v>0</v>
      </c>
      <c r="GM18" s="133" t="n">
        <f aca="false">IF(OR(GM$4="",$B18=""),0,SUMIF('DADOS BRUTOS'!$A$3:$A$500,$B18,'DADOS BRUTOS'!DM$3:DM$500)+IF($C18="",0,SUMIF('DADOS BRUTOS'!$A$3:$A$500,$C18,'DADOS BRUTOS'!DM$3:DM$500)))</f>
        <v>0</v>
      </c>
      <c r="GN18" s="133" t="n">
        <f aca="false">IF(OR(GN$4="",$B18=""),0,SUMIF('DADOS BRUTOS'!$A$3:$A$500,$B18,'DADOS BRUTOS'!DN$3:DN$500)+IF($C18="",0,SUMIF('DADOS BRUTOS'!$A$3:$A$500,$C18,'DADOS BRUTOS'!DN$3:DN$500)))</f>
        <v>0</v>
      </c>
      <c r="GO18" s="133" t="n">
        <f aca="false">IF(OR(GO$4="",$B18=""),0,SUMIF('DADOS BRUTOS'!$A$3:$A$500,$B18,'DADOS BRUTOS'!DO$3:DO$500)+IF($C18="",0,SUMIF('DADOS BRUTOS'!$A$3:$A$500,$C18,'DADOS BRUTOS'!DO$3:DO$500)))</f>
        <v>0</v>
      </c>
      <c r="GP18" s="133" t="n">
        <f aca="false">IF(OR(GP$4="",$B18=""),0,SUMIF('DADOS BRUTOS'!$A$3:$A$500,$B18,'DADOS BRUTOS'!DP$3:DP$500)+IF($C18="",0,SUMIF('DADOS BRUTOS'!$A$3:$A$500,$C18,'DADOS BRUTOS'!DP$3:DP$500)))</f>
        <v>0</v>
      </c>
      <c r="GQ18" s="133" t="n">
        <f aca="false">IF(OR(GQ$4="",$B18=""),0,SUMIF('DADOS BRUTOS'!$A$3:$A$500,$B18,'DADOS BRUTOS'!DQ$3:DQ$500)+IF($C18="",0,SUMIF('DADOS BRUTOS'!$A$3:$A$500,$C18,'DADOS BRUTOS'!DQ$3:DQ$500)))</f>
        <v>0</v>
      </c>
      <c r="GR18" s="133" t="n">
        <f aca="false">IF(OR(GR$4="",$B18=""),0,SUMIF('DADOS BRUTOS'!$A$3:$A$500,$B18,'DADOS BRUTOS'!DR$3:DR$500)+IF($C18="",0,SUMIF('DADOS BRUTOS'!$A$3:$A$500,$C18,'DADOS BRUTOS'!DR$3:DR$500)))</f>
        <v>0</v>
      </c>
      <c r="GS18" s="133" t="n">
        <f aca="false">IF(OR(GS$4="",$B18=""),0,SUMIF('DADOS BRUTOS'!$A$3:$A$500,$B18,'DADOS BRUTOS'!DS$3:DS$500)+IF($C18="",0,SUMIF('DADOS BRUTOS'!$A$3:$A$500,$C18,'DADOS BRUTOS'!DS$3:DS$500)))</f>
        <v>0</v>
      </c>
      <c r="GT18" s="133" t="n">
        <f aca="false">IF(OR(GT$4="",$B18=""),0,SUMIF('DADOS BRUTOS'!$A$3:$A$500,$B18,'DADOS BRUTOS'!DT$3:DT$500)+IF($C18="",0,SUMIF('DADOS BRUTOS'!$A$3:$A$500,$C18,'DADOS BRUTOS'!DT$3:DT$500)))</f>
        <v>0</v>
      </c>
      <c r="GU18" s="133" t="n">
        <f aca="false">IF(OR(GU$4="",$B18=""),0,SUMIF('DADOS BRUTOS'!$A$3:$A$500,$B18,'DADOS BRUTOS'!DU$3:DU$500)+IF($C18="",0,SUMIF('DADOS BRUTOS'!$A$3:$A$500,$C18,'DADOS BRUTOS'!DU$3:DU$500)))</f>
        <v>0</v>
      </c>
      <c r="GV18" s="133" t="n">
        <f aca="false">IF(OR(GV$4="",$B18=""),0,SUMIF('DADOS BRUTOS'!$A$3:$A$500,$B18,'DADOS BRUTOS'!DV$3:DV$500)+IF($C18="",0,SUMIF('DADOS BRUTOS'!$A$3:$A$500,$C18,'DADOS BRUTOS'!DV$3:DV$500)))</f>
        <v>0</v>
      </c>
      <c r="GW18" s="133" t="n">
        <f aca="false">IF(OR(GW$4="",$B18=""),0,SUMIF('DADOS BRUTOS'!$A$3:$A$500,$B18,'DADOS BRUTOS'!DW$3:DW$500)+IF($C18="",0,SUMIF('DADOS BRUTOS'!$A$3:$A$500,$C18,'DADOS BRUTOS'!DW$3:DW$500)))</f>
        <v>0</v>
      </c>
      <c r="GX18" s="133" t="n">
        <f aca="false">IF(OR(GX$4="",$B18=""),0,SUMIF('DADOS BRUTOS'!$A$3:$A$500,$B18,'DADOS BRUTOS'!DX$3:DX$500)+IF($C18="",0,SUMIF('DADOS BRUTOS'!$A$3:$A$500,$C18,'DADOS BRUTOS'!DX$3:DX$500)))</f>
        <v>0</v>
      </c>
      <c r="GY18" s="133" t="n">
        <f aca="false">IF(OR(GY$4="",$B18=""),0,SUMIF('DADOS BRUTOS'!$A$3:$A$500,$B18,'DADOS BRUTOS'!DY$3:DY$500)+IF($C18="",0,SUMIF('DADOS BRUTOS'!$A$3:$A$500,$C18,'DADOS BRUTOS'!DY$3:DY$500)))</f>
        <v>0</v>
      </c>
      <c r="GZ18" s="133" t="n">
        <f aca="false">IF(OR(GZ$4="",$B18=""),0,SUMIF('DADOS BRUTOS'!$A$3:$A$500,$B18,'DADOS BRUTOS'!DZ$3:DZ$500)+IF($C18="",0,SUMIF('DADOS BRUTOS'!$A$3:$A$500,$C18,'DADOS BRUTOS'!DZ$3:DZ$500)))</f>
        <v>0</v>
      </c>
      <c r="HA18" s="133" t="n">
        <f aca="false">IF(OR(HA$4="",$B18=""),0,SUMIF('DADOS BRUTOS'!$A$3:$A$500,$B18,'DADOS BRUTOS'!EA$3:EA$500)+IF($C18="",0,SUMIF('DADOS BRUTOS'!$A$3:$A$500,$C18,'DADOS BRUTOS'!EA$3:EA$500)))</f>
        <v>0</v>
      </c>
      <c r="HB18" s="133" t="n">
        <f aca="false">IF(OR(HB$4="",$B18=""),0,SUMIF('DADOS BRUTOS'!$A$3:$A$500,$B18,'DADOS BRUTOS'!EB$3:EB$500)+IF($C18="",0,SUMIF('DADOS BRUTOS'!$A$3:$A$500,$C18,'DADOS BRUTOS'!EB$3:EB$500)))</f>
        <v>0</v>
      </c>
      <c r="HC18" s="133" t="n">
        <f aca="false">IF(OR(HC$4="",$B18=""),0,SUMIF('DADOS BRUTOS'!$A$3:$A$500,$B18,'DADOS BRUTOS'!EC$3:EC$500)+IF($C18="",0,SUMIF('DADOS BRUTOS'!$A$3:$A$500,$C18,'DADOS BRUTOS'!EC$3:EC$500)))</f>
        <v>0</v>
      </c>
      <c r="HD18" s="133" t="n">
        <f aca="false">IF(OR(HD$4="",$B18=""),0,SUMIF('DADOS BRUTOS'!$A$3:$A$500,$B18,'DADOS BRUTOS'!ED$3:ED$500)+IF($C18="",0,SUMIF('DADOS BRUTOS'!$A$3:$A$500,$C18,'DADOS BRUTOS'!ED$3:ED$500)))</f>
        <v>0</v>
      </c>
      <c r="HE18" s="133" t="n">
        <f aca="false">IF(OR(HE$4="",$B18=""),0,SUMIF('DADOS BRUTOS'!$A$3:$A$500,$B18,'DADOS BRUTOS'!EE$3:EE$500)+IF($C18="",0,SUMIF('DADOS BRUTOS'!$A$3:$A$500,$C18,'DADOS BRUTOS'!EE$3:EE$500)))</f>
        <v>0</v>
      </c>
      <c r="HF18" s="133" t="n">
        <f aca="false">IF(OR(HF$4="",$B18=""),0,SUMIF('DADOS BRUTOS'!$A$3:$A$500,$B18,'DADOS BRUTOS'!EF$3:EF$500)+IF($C18="",0,SUMIF('DADOS BRUTOS'!$A$3:$A$500,$C18,'DADOS BRUTOS'!EF$3:EF$500)))</f>
        <v>0</v>
      </c>
      <c r="HG18" s="133" t="n">
        <f aca="false">IF(OR(HG$4="",$B18=""),0,SUMIF('DADOS BRUTOS'!$A$3:$A$500,$B18,'DADOS BRUTOS'!EG$3:EG$500)+IF($C18="",0,SUMIF('DADOS BRUTOS'!$A$3:$A$500,$C18,'DADOS BRUTOS'!EG$3:EG$500)))</f>
        <v>0</v>
      </c>
      <c r="HH18" s="133" t="n">
        <f aca="false">IF(OR(HH$4="",$B18=""),0,SUMIF('DADOS BRUTOS'!$A$3:$A$500,$B18,'DADOS BRUTOS'!EH$3:EH$500)+IF($C18="",0,SUMIF('DADOS BRUTOS'!$A$3:$A$500,$C18,'DADOS BRUTOS'!EH$3:EH$500)))</f>
        <v>0</v>
      </c>
      <c r="HI18" s="133" t="n">
        <f aca="false">IF(OR(HI$4="",$B18=""),0,SUMIF('DADOS BRUTOS'!$A$3:$A$500,$B18,'DADOS BRUTOS'!EI$3:EI$500)+IF($C18="",0,SUMIF('DADOS BRUTOS'!$A$3:$A$500,$C18,'DADOS BRUTOS'!EI$3:EI$500)))</f>
        <v>0</v>
      </c>
      <c r="HJ18" s="133" t="n">
        <f aca="false">IF(OR(HJ$4="",$B18=""),0,SUMIF('DADOS BRUTOS'!$A$3:$A$500,$B18,'DADOS BRUTOS'!EJ$3:EJ$500)+IF($C18="",0,SUMIF('DADOS BRUTOS'!$A$3:$A$500,$C18,'DADOS BRUTOS'!EJ$3:EJ$500)))</f>
        <v>0</v>
      </c>
      <c r="HK18" s="133" t="n">
        <f aca="false">IF(OR(HK$4="",$B18=""),0,SUMIF('DADOS BRUTOS'!$A$3:$A$500,$B18,'DADOS BRUTOS'!EK$3:EK$500)+IF($C18="",0,SUMIF('DADOS BRUTOS'!$A$3:$A$500,$C18,'DADOS BRUTOS'!EK$3:EK$500)))</f>
        <v>0</v>
      </c>
      <c r="HL18" s="133" t="n">
        <f aca="false">IF(OR(HL$4="",$B18=""),0,SUMIF('DADOS BRUTOS'!$A$3:$A$500,$B18,'DADOS BRUTOS'!EL$3:EL$500)+IF($C18="",0,SUMIF('DADOS BRUTOS'!$A$3:$A$500,$C18,'DADOS BRUTOS'!EL$3:EL$500)))</f>
        <v>0</v>
      </c>
      <c r="HM18" s="133" t="n">
        <f aca="false">IF(OR(HM$4="",$B18=""),0,SUMIF('DADOS BRUTOS'!$A$3:$A$500,$B18,'DADOS BRUTOS'!EM$3:EM$500)+IF($C18="",0,SUMIF('DADOS BRUTOS'!$A$3:$A$500,$C18,'DADOS BRUTOS'!EM$3:EM$500)))</f>
        <v>0</v>
      </c>
      <c r="HN18" s="133" t="n">
        <f aca="false">IF(OR(HN$4="",$B18=""),0,SUMIF('DADOS BRUTOS'!$A$3:$A$500,$B18,'DADOS BRUTOS'!EN$3:EN$500)+IF($C18="",0,SUMIF('DADOS BRUTOS'!$A$3:$A$500,$C18,'DADOS BRUTOS'!EN$3:EN$500)))</f>
        <v>0</v>
      </c>
      <c r="HO18" s="133" t="n">
        <f aca="false">IF(OR(HO$4="",$B18=""),0,SUMIF('DADOS BRUTOS'!$A$3:$A$500,$B18,'DADOS BRUTOS'!EO$3:EO$500)+IF($C18="",0,SUMIF('DADOS BRUTOS'!$A$3:$A$500,$C18,'DADOS BRUTOS'!EO$3:EO$500)))</f>
        <v>0</v>
      </c>
      <c r="HP18" s="133" t="n">
        <f aca="false">IF(OR(HP$4="",$B18=""),0,SUMIF('DADOS BRUTOS'!$A$3:$A$500,$B18,'DADOS BRUTOS'!EP$3:EP$500)+IF($C18="",0,SUMIF('DADOS BRUTOS'!$A$3:$A$500,$C18,'DADOS BRUTOS'!EP$3:EP$500)))</f>
        <v>0</v>
      </c>
      <c r="HQ18" s="133" t="n">
        <f aca="false">IF(OR(HQ$4="",$B18=""),0,SUMIF('DADOS BRUTOS'!$A$3:$A$500,$B18,'DADOS BRUTOS'!EQ$3:EQ$500)+IF($C18="",0,SUMIF('DADOS BRUTOS'!$A$3:$A$500,$C18,'DADOS BRUTOS'!EQ$3:EQ$500)))</f>
        <v>0</v>
      </c>
      <c r="HR18" s="133" t="n">
        <f aca="false">IF(OR(HR$4="",$B18=""),0,SUMIF('DADOS BRUTOS'!$A$3:$A$500,$B18,'DADOS BRUTOS'!ER$3:ER$500)+IF($C18="",0,SUMIF('DADOS BRUTOS'!$A$3:$A$500,$C18,'DADOS BRUTOS'!ER$3:ER$500)))</f>
        <v>0</v>
      </c>
      <c r="HS18" s="133" t="n">
        <f aca="false">IF(OR(HS$4="",$B18=""),0,SUMIF('DADOS BRUTOS'!$A$3:$A$500,$B18,'DADOS BRUTOS'!ES$3:ES$500)+IF($C18="",0,SUMIF('DADOS BRUTOS'!$A$3:$A$500,$C18,'DADOS BRUTOS'!ES$3:ES$500)))</f>
        <v>0</v>
      </c>
      <c r="HT18" s="133" t="n">
        <f aca="false">IF(OR(HT$4="",$B18=""),0,SUMIF('DADOS BRUTOS'!$A$3:$A$500,$B18,'DADOS BRUTOS'!ET$3:ET$500)+IF($C18="",0,SUMIF('DADOS BRUTOS'!$A$3:$A$500,$C18,'DADOS BRUTOS'!ET$3:ET$500)))</f>
        <v>0</v>
      </c>
      <c r="HU18" s="133" t="n">
        <f aca="false">IF(OR(HU$4="",$B18=""),0,SUMIF('DADOS BRUTOS'!$A$3:$A$500,$B18,'DADOS BRUTOS'!EU$3:EU$500)+IF($C18="",0,SUMIF('DADOS BRUTOS'!$A$3:$A$500,$C18,'DADOS BRUTOS'!EU$3:EU$500)))</f>
        <v>0</v>
      </c>
      <c r="HV18" s="133" t="n">
        <f aca="false">IF(OR(HV$4="",$B18=""),0,SUMIF('DADOS BRUTOS'!$A$3:$A$500,$B18,'DADOS BRUTOS'!EV$3:EV$500)+IF($C18="",0,SUMIF('DADOS BRUTOS'!$A$3:$A$500,$C18,'DADOS BRUTOS'!EV$3:EV$500)))</f>
        <v>0</v>
      </c>
      <c r="HW18" s="133" t="n">
        <f aca="false">IF(OR(HW$4="",$B18=""),0,SUMIF('DADOS BRUTOS'!$A$3:$A$500,$B18,'DADOS BRUTOS'!EW$3:EW$500)+IF($C18="",0,SUMIF('DADOS BRUTOS'!$A$3:$A$500,$C18,'DADOS BRUTOS'!EW$3:EW$500)))</f>
        <v>0</v>
      </c>
      <c r="HX18" s="133" t="n">
        <f aca="false">IF(OR(HX$4="",$B18=""),0,SUMIF('DADOS BRUTOS'!$A$3:$A$500,$B18,'DADOS BRUTOS'!EX$3:EX$500)+IF($C18="",0,SUMIF('DADOS BRUTOS'!$A$3:$A$500,$C18,'DADOS BRUTOS'!EX$3:EX$500)))</f>
        <v>0</v>
      </c>
      <c r="HY18" s="133" t="n">
        <f aca="false">IF(OR(HY$4="",$B18=""),0,SUMIF('DADOS BRUTOS'!$A$3:$A$500,$B18,'DADOS BRUTOS'!EY$3:EY$500)+IF($C18="",0,SUMIF('DADOS BRUTOS'!$A$3:$A$500,$C18,'DADOS BRUTOS'!EY$3:EY$500)))</f>
        <v>0</v>
      </c>
      <c r="HZ18" s="133" t="n">
        <f aca="false">IF(OR(HZ$4="",$B18=""),0,SUMIF('DADOS BRUTOS'!$A$3:$A$500,$B18,'DADOS BRUTOS'!EZ$3:EZ$500)+IF($C18="",0,SUMIF('DADOS BRUTOS'!$A$3:$A$500,$C18,'DADOS BRUTOS'!EZ$3:EZ$500)))</f>
        <v>0</v>
      </c>
      <c r="IA18" s="133" t="n">
        <f aca="false">IF(OR(IA$4="",$B18=""),0,SUMIF('DADOS BRUTOS'!$A$3:$A$500,$B18,'DADOS BRUTOS'!FA$3:FA$500)+IF($C18="",0,SUMIF('DADOS BRUTOS'!$A$3:$A$500,$C18,'DADOS BRUTOS'!FA$3:FA$500)))</f>
        <v>0</v>
      </c>
      <c r="IB18" s="133" t="n">
        <f aca="false">IF(OR(IB$4="",$B18=""),0,SUMIF('DADOS BRUTOS'!$A$3:$A$500,$B18,'DADOS BRUTOS'!FB$3:FB$500)+IF($C18="",0,SUMIF('DADOS BRUTOS'!$A$3:$A$500,$C18,'DADOS BRUTOS'!FB$3:FB$500)))</f>
        <v>0</v>
      </c>
      <c r="IC18" s="133" t="n">
        <f aca="false">IF(OR(IC$4="",$B18=""),0,SUMIF('DADOS BRUTOS'!$A$3:$A$500,$B18,'DADOS BRUTOS'!FC$3:FC$500)+IF($C18="",0,SUMIF('DADOS BRUTOS'!$A$3:$A$500,$C18,'DADOS BRUTOS'!FC$3:FC$500)))</f>
        <v>0</v>
      </c>
      <c r="ID18" s="133" t="n">
        <f aca="false">IF(OR(ID$4="",$B18=""),0,SUMIF('DADOS BRUTOS'!$A$3:$A$500,$B18,'DADOS BRUTOS'!FD$3:FD$500)+IF($C18="",0,SUMIF('DADOS BRUTOS'!$A$3:$A$500,$C18,'DADOS BRUTOS'!FD$3:FD$500)))</f>
        <v>0</v>
      </c>
      <c r="IE18" s="133" t="n">
        <f aca="false">IF(OR(IE$4="",$B18=""),0,SUMIF('DADOS BRUTOS'!$A$3:$A$500,$B18,'DADOS BRUTOS'!FE$3:FE$500)+IF($C18="",0,SUMIF('DADOS BRUTOS'!$A$3:$A$500,$C18,'DADOS BRUTOS'!FE$3:FE$500)))</f>
        <v>0</v>
      </c>
      <c r="IF18" s="133" t="n">
        <f aca="false">IF(OR(IF$4="",$B18=""),0,SUMIF('DADOS BRUTOS'!$A$3:$A$500,$B18,'DADOS BRUTOS'!FF$3:FF$500)+IF($C18="",0,SUMIF('DADOS BRUTOS'!$A$3:$A$500,$C18,'DADOS BRUTOS'!FF$3:FF$500)))</f>
        <v>0</v>
      </c>
      <c r="IG18" s="133" t="n">
        <f aca="false">IF(OR(IG$4="",$B18=""),0,SUMIF('DADOS BRUTOS'!$A$3:$A$500,$B18,'DADOS BRUTOS'!FG$3:FG$500)+IF($C18="",0,SUMIF('DADOS BRUTOS'!$A$3:$A$500,$C18,'DADOS BRUTOS'!FG$3:FG$500)))</f>
        <v>0</v>
      </c>
      <c r="IH18" s="133" t="n">
        <f aca="false">IF(OR(IH$4="",$B18=""),0,SUMIF('DADOS BRUTOS'!$A$3:$A$500,$B18,'DADOS BRUTOS'!FH$3:FH$500)+IF($C18="",0,SUMIF('DADOS BRUTOS'!$A$3:$A$500,$C18,'DADOS BRUTOS'!FH$3:FH$500)))</f>
        <v>0</v>
      </c>
      <c r="II18" s="133" t="n">
        <f aca="false">IF(OR(II$4="",$B18=""),0,SUMIF('DADOS BRUTOS'!$A$3:$A$500,$B18,'DADOS BRUTOS'!FI$3:FI$500)+IF($C18="",0,SUMIF('DADOS BRUTOS'!$A$3:$A$500,$C18,'DADOS BRUTOS'!FI$3:FI$500)))</f>
        <v>0</v>
      </c>
      <c r="IJ18" s="133" t="n">
        <f aca="false">IF(OR(IJ$4="",$B18=""),0,SUMIF('DADOS BRUTOS'!$A$3:$A$500,$B18,'DADOS BRUTOS'!FJ$3:FJ$500)+IF($C18="",0,SUMIF('DADOS BRUTOS'!$A$3:$A$500,$C18,'DADOS BRUTOS'!FJ$3:FJ$500)))</f>
        <v>0</v>
      </c>
      <c r="IK18" s="133" t="n">
        <f aca="false">IF(OR(IK$4="",$B18=""),0,SUMIF('DADOS BRUTOS'!$A$3:$A$500,$B18,'DADOS BRUTOS'!FK$3:FK$500)+IF($C18="",0,SUMIF('DADOS BRUTOS'!$A$3:$A$500,$C18,'DADOS BRUTOS'!FK$3:FK$500)))</f>
        <v>0</v>
      </c>
      <c r="IL18" s="133" t="n">
        <f aca="false">IF(OR(IL$4="",$B18=""),0,SUMIF('DADOS BRUTOS'!$A$3:$A$500,$B18,'DADOS BRUTOS'!FL$3:FL$500)+IF($C18="",0,SUMIF('DADOS BRUTOS'!$A$3:$A$500,$C18,'DADOS BRUTOS'!FL$3:FL$500)))</f>
        <v>0</v>
      </c>
      <c r="IM18" s="133" t="n">
        <f aca="false">IF(OR(IM$4="",$B18=""),0,SUMIF('DADOS BRUTOS'!$A$3:$A$500,$B18,'DADOS BRUTOS'!FM$3:FM$500)+IF($C18="",0,SUMIF('DADOS BRUTOS'!$A$3:$A$500,$C18,'DADOS BRUTOS'!FM$3:FM$500)))</f>
        <v>0</v>
      </c>
      <c r="IN18" s="133" t="n">
        <f aca="false">IF(OR(IN$4="",$B18=""),0,SUMIF('DADOS BRUTOS'!$A$3:$A$500,$B18,'DADOS BRUTOS'!FN$3:FN$500)+IF($C18="",0,SUMIF('DADOS BRUTOS'!$A$3:$A$500,$C18,'DADOS BRUTOS'!FN$3:FN$500)))</f>
        <v>0</v>
      </c>
      <c r="IO18" s="133" t="n">
        <f aca="false">IF(OR(IO$4="",$B18=""),0,SUMIF('DADOS BRUTOS'!$A$3:$A$500,$B18,'DADOS BRUTOS'!FO$3:FO$500)+IF($C18="",0,SUMIF('DADOS BRUTOS'!$A$3:$A$500,$C18,'DADOS BRUTOS'!FO$3:FO$500)))</f>
        <v>0</v>
      </c>
      <c r="IP18" s="133" t="n">
        <f aca="false">IF(OR(IP$4="",$B18=""),0,SUMIF('DADOS BRUTOS'!$A$3:$A$500,$B18,'DADOS BRUTOS'!FP$3:FP$500)+IF($C18="",0,SUMIF('DADOS BRUTOS'!$A$3:$A$500,$C18,'DADOS BRUTOS'!FP$3:FP$500)))</f>
        <v>0</v>
      </c>
      <c r="IQ18" s="133" t="n">
        <f aca="false">IF(OR(IQ$4="",$B18=""),0,SUMIF('DADOS BRUTOS'!$A$3:$A$500,$B18,'DADOS BRUTOS'!FQ$3:FQ$500)+IF($C18="",0,SUMIF('DADOS BRUTOS'!$A$3:$A$500,$C18,'DADOS BRUTOS'!FQ$3:FQ$500)))</f>
        <v>0</v>
      </c>
      <c r="IR18" s="133" t="n">
        <f aca="false">IF(OR(IR$4="",$B18=""),0,SUMIF('DADOS BRUTOS'!$A$3:$A$500,$B18,'DADOS BRUTOS'!FR$3:FR$500)+IF($C18="",0,SUMIF('DADOS BRUTOS'!$A$3:$A$500,$C18,'DADOS BRUTOS'!FR$3:FR$500)))</f>
        <v>0</v>
      </c>
      <c r="IS18" s="133" t="n">
        <f aca="false">IF(OR(IS$4="",$B18=""),0,SUMIF('DADOS BRUTOS'!$A$3:$A$500,$B18,'DADOS BRUTOS'!FS$3:FS$500)+IF($C18="",0,SUMIF('DADOS BRUTOS'!$A$3:$A$500,$C18,'DADOS BRUTOS'!FS$3:FS$500)))</f>
        <v>0</v>
      </c>
      <c r="IT18" s="133" t="n">
        <f aca="false">IF(OR(IT$4="",$B18=""),0,SUMIF('DADOS BRUTOS'!$A$3:$A$500,$B18,'DADOS BRUTOS'!FT$3:FT$500)+IF($C18="",0,SUMIF('DADOS BRUTOS'!$A$3:$A$500,$C18,'DADOS BRUTOS'!FT$3:FT$500)))</f>
        <v>0</v>
      </c>
      <c r="IU18" s="133" t="n">
        <f aca="false">IF(OR(IU$4="",$B18=""),0,SUMIF('DADOS BRUTOS'!$A$3:$A$500,$B18,'DADOS BRUTOS'!FU$3:FU$500)+IF($C18="",0,SUMIF('DADOS BRUTOS'!$A$3:$A$500,$C18,'DADOS BRUTOS'!FU$3:FU$500)))</f>
        <v>0</v>
      </c>
      <c r="IV18" s="133" t="n">
        <f aca="false">IF(OR(IV$4="",$B18=""),0,SUMIF('DADOS BRUTOS'!$A$3:$A$500,$B18,'DADOS BRUTOS'!FV$3:FV$500)+IF($C18="",0,SUMIF('DADOS BRUTOS'!$A$3:$A$500,$C18,'DADOS BRUTOS'!FV$3:FV$500)))</f>
        <v>0</v>
      </c>
      <c r="IW18" s="133" t="n">
        <f aca="false">IF(OR(IW$4="",$B18=""),0,SUMIF('DADOS BRUTOS'!$A$3:$A$500,$B18,'DADOS BRUTOS'!FW$3:FW$500)+IF($C18="",0,SUMIF('DADOS BRUTOS'!$A$3:$A$500,$C18,'DADOS BRUTOS'!FW$3:FW$500)))</f>
        <v>0</v>
      </c>
      <c r="IX18" s="133" t="n">
        <f aca="false">IF(OR(IX$4="",$B18=""),0,SUMIF('DADOS BRUTOS'!$A$3:$A$500,$B18,'DADOS BRUTOS'!FX$3:FX$500)+IF($C18="",0,SUMIF('DADOS BRUTOS'!$A$3:$A$500,$C18,'DADOS BRUTOS'!FX$3:FX$500)))</f>
        <v>0</v>
      </c>
      <c r="IY18" s="133" t="n">
        <f aca="false">IF(OR(IY$4="",$B18=""),0,SUMIF('DADOS BRUTOS'!$A$3:$A$500,$B18,'DADOS BRUTOS'!FY$3:FY$500)+IF($C18="",0,SUMIF('DADOS BRUTOS'!$A$3:$A$500,$C18,'DADOS BRUTOS'!FY$3:FY$500)))</f>
        <v>0</v>
      </c>
      <c r="IZ18" s="133" t="n">
        <f aca="false">IF(OR(IZ$4="",$B18=""),0,SUMIF('DADOS BRUTOS'!$A$3:$A$500,$B18,'DADOS BRUTOS'!FZ$3:FZ$500)+IF($C18="",0,SUMIF('DADOS BRUTOS'!$A$3:$A$500,$C18,'DADOS BRUTOS'!FZ$3:FZ$500)))</f>
        <v>0</v>
      </c>
      <c r="JA18" s="133" t="n">
        <f aca="false">IF(OR(JA$4="",$B18=""),0,SUMIF('DADOS BRUTOS'!$A$3:$A$500,$B18,'DADOS BRUTOS'!GA$3:GA$500)+IF($C18="",0,SUMIF('DADOS BRUTOS'!$A$3:$A$500,$C18,'DADOS BRUTOS'!GA$3:GA$500)))</f>
        <v>0</v>
      </c>
      <c r="JB18" s="133" t="n">
        <f aca="false">IF(OR(JB$4="",$B18=""),0,SUMIF('DADOS BRUTOS'!$A$3:$A$500,$B18,'DADOS BRUTOS'!GB$3:GB$500)+IF($C18="",0,SUMIF('DADOS BRUTOS'!$A$3:$A$500,$C18,'DADOS BRUTOS'!GB$3:GB$500)))</f>
        <v>0</v>
      </c>
      <c r="JC18" s="133" t="n">
        <f aca="false">IF(OR(JC$4="",$B18=""),0,SUMIF('DADOS BRUTOS'!$A$3:$A$500,$B18,'DADOS BRUTOS'!GC$3:GC$500)+IF($C18="",0,SUMIF('DADOS BRUTOS'!$A$3:$A$500,$C18,'DADOS BRUTOS'!GC$3:GC$500)))</f>
        <v>0</v>
      </c>
      <c r="JD18" s="133" t="n">
        <f aca="false">IF(OR(JD$4="",$B18=""),0,SUMIF('DADOS BRUTOS'!$A$3:$A$500,$B18,'DADOS BRUTOS'!GD$3:GD$500)+IF($C18="",0,SUMIF('DADOS BRUTOS'!$A$3:$A$500,$C18,'DADOS BRUTOS'!GD$3:GD$500)))</f>
        <v>0</v>
      </c>
      <c r="JE18" s="133" t="n">
        <f aca="false">IF(OR(JE$4="",$B18=""),0,SUMIF('DADOS BRUTOS'!$A$3:$A$500,$B18,'DADOS BRUTOS'!GE$3:GE$500)+IF($C18="",0,SUMIF('DADOS BRUTOS'!$A$3:$A$500,$C18,'DADOS BRUTOS'!GE$3:GE$500)))</f>
        <v>0</v>
      </c>
      <c r="JF18" s="133" t="n">
        <f aca="false">IF(OR(JF$4="",$B18=""),0,SUMIF('DADOS BRUTOS'!$A$3:$A$500,$B18,'DADOS BRUTOS'!GF$3:GF$500)+IF($C18="",0,SUMIF('DADOS BRUTOS'!$A$3:$A$500,$C18,'DADOS BRUTOS'!GF$3:GF$500)))</f>
        <v>0</v>
      </c>
      <c r="JG18" s="133" t="n">
        <f aca="false">IF(OR(JG$4="",$B18=""),0,SUMIF('DADOS BRUTOS'!$A$3:$A$500,$B18,'DADOS BRUTOS'!GG$3:GG$500)+IF($C18="",0,SUMIF('DADOS BRUTOS'!$A$3:$A$500,$C18,'DADOS BRUTOS'!GG$3:GG$500)))</f>
        <v>0</v>
      </c>
      <c r="JH18" s="133" t="n">
        <f aca="false">IF(OR(JH$4="",$B18=""),0,SUMIF('DADOS BRUTOS'!$A$3:$A$500,$B18,'DADOS BRUTOS'!GH$3:GH$500)+IF($C18="",0,SUMIF('DADOS BRUTOS'!$A$3:$A$500,$C18,'DADOS BRUTOS'!GH$3:GH$500)))</f>
        <v>0</v>
      </c>
      <c r="JI18" s="133" t="n">
        <f aca="false">IF(OR(JI$4="",$B18=""),0,SUMIF('DADOS BRUTOS'!$A$3:$A$500,$B18,'DADOS BRUTOS'!GI$3:GI$500)+IF($C18="",0,SUMIF('DADOS BRUTOS'!$A$3:$A$500,$C18,'DADOS BRUTOS'!GI$3:GI$500)))</f>
        <v>0</v>
      </c>
      <c r="JJ18" s="133" t="n">
        <f aca="false">IF(OR(JJ$4="",$B18=""),0,SUMIF('DADOS BRUTOS'!$A$3:$A$500,$B18,'DADOS BRUTOS'!GJ$3:GJ$500)+IF($C18="",0,SUMIF('DADOS BRUTOS'!$A$3:$A$500,$C18,'DADOS BRUTOS'!GJ$3:GJ$500)))</f>
        <v>0</v>
      </c>
      <c r="JK18" s="133" t="n">
        <f aca="false">IF(OR(JK$4="",$B18=""),0,SUMIF('DADOS BRUTOS'!$A$3:$A$500,$B18,'DADOS BRUTOS'!GK$3:GK$500)+IF($C18="",0,SUMIF('DADOS BRUTOS'!$A$3:$A$500,$C18,'DADOS BRUTOS'!GK$3:GK$500)))</f>
        <v>0</v>
      </c>
      <c r="JL18" s="133" t="n">
        <f aca="false">IF(OR(JL$4="",$B18=""),0,SUMIF('DADOS BRUTOS'!$A$3:$A$500,$B18,'DADOS BRUTOS'!GL$3:GL$500)+IF($C18="",0,SUMIF('DADOS BRUTOS'!$A$3:$A$500,$C18,'DADOS BRUTOS'!GL$3:GL$500)))</f>
        <v>0</v>
      </c>
      <c r="JM18" s="133" t="n">
        <f aca="false">IF(OR(JM$4="",$B18=""),0,SUMIF('DADOS BRUTOS'!$A$3:$A$500,$B18,'DADOS BRUTOS'!GM$3:GM$500)+IF($C18="",0,SUMIF('DADOS BRUTOS'!$A$3:$A$500,$C18,'DADOS BRUTOS'!GM$3:GM$500)))</f>
        <v>0</v>
      </c>
      <c r="JN18" s="133" t="n">
        <f aca="false">IF(OR(JN$4="",$B18=""),0,SUMIF('DADOS BRUTOS'!$A$3:$A$500,$B18,'DADOS BRUTOS'!GN$3:GN$500)+IF($C18="",0,SUMIF('DADOS BRUTOS'!$A$3:$A$500,$C18,'DADOS BRUTOS'!GN$3:GN$500)))</f>
        <v>0</v>
      </c>
      <c r="JO18" s="133" t="n">
        <f aca="false">IF(OR(JO$4="",$B18=""),0,SUMIF('DADOS BRUTOS'!$A$3:$A$500,$B18,'DADOS BRUTOS'!GO$3:GO$500)+IF($C18="",0,SUMIF('DADOS BRUTOS'!$A$3:$A$500,$C18,'DADOS BRUTOS'!GO$3:GO$500)))</f>
        <v>0</v>
      </c>
      <c r="JP18" s="133" t="n">
        <f aca="false">IF(OR(JP$4="",$B18=""),0,SUMIF('DADOS BRUTOS'!$A$3:$A$500,$B18,'DADOS BRUTOS'!GP$3:GP$500)+IF($C18="",0,SUMIF('DADOS BRUTOS'!$A$3:$A$500,$C18,'DADOS BRUTOS'!GP$3:GP$500)))</f>
        <v>0</v>
      </c>
      <c r="JQ18" s="133" t="n">
        <f aca="false">IF(OR(JQ$4="",$B18=""),0,SUMIF('DADOS BRUTOS'!$A$3:$A$500,$B18,'DADOS BRUTOS'!GQ$3:GQ$500)+IF($C18="",0,SUMIF('DADOS BRUTOS'!$A$3:$A$500,$C18,'DADOS BRUTOS'!GQ$3:GQ$500)))</f>
        <v>0</v>
      </c>
      <c r="JR18" s="133" t="n">
        <f aca="false">IF(OR(JR$4="",$B18=""),0,SUMIF('DADOS BRUTOS'!$A$3:$A$500,$B18,'DADOS BRUTOS'!GR$3:GR$500)+IF($C18="",0,SUMIF('DADOS BRUTOS'!$A$3:$A$500,$C18,'DADOS BRUTOS'!GR$3:GR$500)))</f>
        <v>0</v>
      </c>
      <c r="JS18" s="133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0</v>
      </c>
      <c r="F19" s="50" t="n">
        <f aca="false">SUMIF($CB$4:$JS$4,F$4,$CB19:$JS19)</f>
        <v>0</v>
      </c>
      <c r="G19" s="50" t="n">
        <f aca="false">SUMIF($CB$4:$JS$4,G$4,$CB19:$JS19)</f>
        <v>0</v>
      </c>
      <c r="H19" s="50" t="n">
        <f aca="false">SUMIF($CB$4:$JS$4,H$4,$CB19:$JS19)</f>
        <v>0</v>
      </c>
      <c r="I19" s="50" t="n">
        <f aca="false">SUMIF($CB$4:$JS$4,I$4,$CB19:$JS19)</f>
        <v>0</v>
      </c>
      <c r="J19" s="50" t="n">
        <f aca="false">SUMIF($CB$4:$JS$4,J$4,$CB19:$JS19)</f>
        <v>0</v>
      </c>
      <c r="K19" s="50" t="n">
        <f aca="false">SUMIF($CB$4:$JS$4,K$4,$CB19:$JS19)</f>
        <v>0</v>
      </c>
      <c r="L19" s="50" t="n">
        <f aca="false">SUMIF($CB$4:$JS$4,L$4,$CB19:$JS19)</f>
        <v>1930</v>
      </c>
      <c r="M19" s="50" t="n">
        <f aca="false">SUMIF($CB$4:$JS$4,M$4,$CB19:$JS19)</f>
        <v>145877.57</v>
      </c>
      <c r="N19" s="50" t="n">
        <f aca="false">SUMIF($CB$4:$JS$4,N$4,$CB19:$JS19)</f>
        <v>521095.71</v>
      </c>
      <c r="O19" s="50" t="n">
        <f aca="false">SUMIF($CB$4:$JS$4,O$4,$CB19:$JS19)</f>
        <v>1121245.4</v>
      </c>
      <c r="P19" s="50" t="n">
        <f aca="false">SUMIF($CB$4:$JS$4,P$4,$CB19:$JS19)</f>
        <v>876284.06</v>
      </c>
      <c r="Q19" s="50" t="n">
        <f aca="false">SUMIF($CB$4:$JS$4,Q$4,$CB19:$JS19)</f>
        <v>1371139.53</v>
      </c>
      <c r="R19" s="50" t="n">
        <f aca="false">SUMIF($CB$4:$JS$4,R$4,$CB19:$JS19)</f>
        <v>644213.9</v>
      </c>
      <c r="S19" s="50" t="n">
        <f aca="false">SUMIF($CB$4:$JS$4,S$4,$CB19:$JS19)</f>
        <v>1233027.32</v>
      </c>
      <c r="T19" s="50" t="n">
        <f aca="false">SUMIF($CB$4:$JS$4,T$4,$CB19:$JS19)</f>
        <v>606377.66</v>
      </c>
      <c r="U19" s="50" t="n">
        <f aca="false">SUMIF($CB$4:$JS$4,U$4,$CB19:$JS19)</f>
        <v>43774.24</v>
      </c>
      <c r="V19" s="50" t="n">
        <f aca="false">SUMIF($CB$4:$JS$4,V$4,$CB19:$JS19)</f>
        <v>15692.87</v>
      </c>
      <c r="W19" s="50" t="n">
        <f aca="false">SUMIF($CB$4:$JS$4,W$4,$CB19:$JS19)</f>
        <v>78401.44</v>
      </c>
      <c r="X19" s="50" t="n">
        <f aca="false">SUMIF($CB$4:$JS$4,X$4,$CB19:$JS19)</f>
        <v>37660.47</v>
      </c>
      <c r="Y19" s="50" t="n">
        <f aca="false">SUMIF($CB$4:$JS$4,Y$4,$CB19:$JS19)</f>
        <v>102068.64</v>
      </c>
      <c r="Z19" s="50" t="n">
        <f aca="false">SUMIF($CB$4:$JS$4,Z$4,$CB19:$JS19)</f>
        <v>34599.67</v>
      </c>
      <c r="AA19" s="50" t="n">
        <f aca="false">SUMIF($CB$4:$JS$4,AA$4,$CB19:$JS19)</f>
        <v>10360.68</v>
      </c>
      <c r="AB19" s="50" t="n">
        <f aca="false">SUMIF($CB$4:$JS$4,AB$4,$CB19:$JS19)</f>
        <v>5768</v>
      </c>
      <c r="AC19" s="50" t="n">
        <f aca="false">SUMIF($CB$4:$JS$4,AC$4,$CB19:$JS19)</f>
        <v>0</v>
      </c>
      <c r="AD19" s="50" t="n">
        <f aca="false">SUMIF($CB$4:$JS$4,AD$4,$CB19:$JS19)</f>
        <v>2828</v>
      </c>
      <c r="AE19" s="50" t="n">
        <f aca="false">SUMIF($CB$4:$JS$4,AE$4,$CB19:$JS19)</f>
        <v>9483.38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2044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6863872.54</v>
      </c>
      <c r="BZ19" s="45" t="n">
        <f aca="false">SUMPRODUCT(($CB$4:$JS$4&lt;&gt;"")*($CB$4:$JS$4&lt;=$D$4),$CB19:$JS19,$CB$1:$JS$1)</f>
        <v>0</v>
      </c>
      <c r="CB19" s="133" t="n">
        <f aca="false">IF(OR(CB$4="",$B19=""),0,SUMIF('DADOS BRUTOS'!$A$3:$A$500,$B19,'DADOS BRUTOS'!B$3:B$500)+IF($C19="",0,SUMIF('DADOS BRUTOS'!$A$3:$A$500,$C19,'DADOS BRUTOS'!B$3:B$500)))</f>
        <v>0</v>
      </c>
      <c r="CC19" s="133" t="n">
        <f aca="false">IF(OR(CC$4="",$B19=""),0,SUMIF('DADOS BRUTOS'!$A$3:$A$500,$B19,'DADOS BRUTOS'!C$3:C$500)+IF($C19="",0,SUMIF('DADOS BRUTOS'!$A$3:$A$500,$C19,'DADOS BRUTOS'!C$3:C$500)))</f>
        <v>0</v>
      </c>
      <c r="CD19" s="133" t="n">
        <f aca="false">IF(OR(CD$4="",$B19=""),0,SUMIF('DADOS BRUTOS'!$A$3:$A$500,$B19,'DADOS BRUTOS'!D$3:D$500)+IF($C19="",0,SUMIF('DADOS BRUTOS'!$A$3:$A$500,$C19,'DADOS BRUTOS'!D$3:D$500)))</f>
        <v>0</v>
      </c>
      <c r="CE19" s="133" t="n">
        <f aca="false">IF(OR(CE$4="",$B19=""),0,SUMIF('DADOS BRUTOS'!$A$3:$A$500,$B19,'DADOS BRUTOS'!E$3:E$500)+IF($C19="",0,SUMIF('DADOS BRUTOS'!$A$3:$A$500,$C19,'DADOS BRUTOS'!E$3:E$500)))</f>
        <v>0</v>
      </c>
      <c r="CF19" s="133" t="n">
        <f aca="false">IF(OR(CF$4="",$B19=""),0,SUMIF('DADOS BRUTOS'!$A$3:$A$500,$B19,'DADOS BRUTOS'!F$3:F$500)+IF($C19="",0,SUMIF('DADOS BRUTOS'!$A$3:$A$500,$C19,'DADOS BRUTOS'!F$3:F$500)))</f>
        <v>0</v>
      </c>
      <c r="CG19" s="133" t="n">
        <f aca="false">IF(OR(CG$4="",$B19=""),0,SUMIF('DADOS BRUTOS'!$A$3:$A$500,$B19,'DADOS BRUTOS'!G$3:G$500)+IF($C19="",0,SUMIF('DADOS BRUTOS'!$A$3:$A$500,$C19,'DADOS BRUTOS'!G$3:G$500)))</f>
        <v>0</v>
      </c>
      <c r="CH19" s="133" t="n">
        <f aca="false">IF(OR(CH$4="",$B19=""),0,SUMIF('DADOS BRUTOS'!$A$3:$A$500,$B19,'DADOS BRUTOS'!H$3:H$500)+IF($C19="",0,SUMIF('DADOS BRUTOS'!$A$3:$A$500,$C19,'DADOS BRUTOS'!H$3:H$500)))</f>
        <v>0</v>
      </c>
      <c r="CI19" s="133" t="n">
        <f aca="false">IF(OR(CI$4="",$B19=""),0,SUMIF('DADOS BRUTOS'!$A$3:$A$500,$B19,'DADOS BRUTOS'!I$3:I$500)+IF($C19="",0,SUMIF('DADOS BRUTOS'!$A$3:$A$500,$C19,'DADOS BRUTOS'!I$3:I$500)))</f>
        <v>0</v>
      </c>
      <c r="CJ19" s="133" t="n">
        <f aca="false">IF(OR(CJ$4="",$B19=""),0,SUMIF('DADOS BRUTOS'!$A$3:$A$500,$B19,'DADOS BRUTOS'!J$3:J$500)+IF($C19="",0,SUMIF('DADOS BRUTOS'!$A$3:$A$500,$C19,'DADOS BRUTOS'!J$3:J$500)))</f>
        <v>0</v>
      </c>
      <c r="CK19" s="133" t="n">
        <f aca="false">IF(OR(CK$4="",$B19=""),0,SUMIF('DADOS BRUTOS'!$A$3:$A$500,$B19,'DADOS BRUTOS'!K$3:K$500)+IF($C19="",0,SUMIF('DADOS BRUTOS'!$A$3:$A$500,$C19,'DADOS BRUTOS'!K$3:K$500)))</f>
        <v>0</v>
      </c>
      <c r="CL19" s="133" t="n">
        <f aca="false">IF(OR(CL$4="",$B19=""),0,SUMIF('DADOS BRUTOS'!$A$3:$A$500,$B19,'DADOS BRUTOS'!L$3:L$500)+IF($C19="",0,SUMIF('DADOS BRUTOS'!$A$3:$A$500,$C19,'DADOS BRUTOS'!L$3:L$500)))</f>
        <v>0</v>
      </c>
      <c r="CM19" s="133" t="n">
        <f aca="false">IF(OR(CM$4="",$B19=""),0,SUMIF('DADOS BRUTOS'!$A$3:$A$500,$B19,'DADOS BRUTOS'!M$3:M$500)+IF($C19="",0,SUMIF('DADOS BRUTOS'!$A$3:$A$500,$C19,'DADOS BRUTOS'!M$3:M$500)))</f>
        <v>0</v>
      </c>
      <c r="CN19" s="133" t="n">
        <f aca="false">IF(OR(CN$4="",$B19=""),0,SUMIF('DADOS BRUTOS'!$A$3:$A$500,$B19,'DADOS BRUTOS'!N$3:N$500)+IF($C19="",0,SUMIF('DADOS BRUTOS'!$A$3:$A$500,$C19,'DADOS BRUTOS'!N$3:N$500)))</f>
        <v>0</v>
      </c>
      <c r="CO19" s="133" t="n">
        <f aca="false">IF(OR(CO$4="",$B19=""),0,SUMIF('DADOS BRUTOS'!$A$3:$A$500,$B19,'DADOS BRUTOS'!O$3:O$500)+IF($C19="",0,SUMIF('DADOS BRUTOS'!$A$3:$A$500,$C19,'DADOS BRUTOS'!O$3:O$500)))</f>
        <v>0</v>
      </c>
      <c r="CP19" s="133" t="n">
        <f aca="false">IF(OR(CP$4="",$B19=""),0,SUMIF('DADOS BRUTOS'!$A$3:$A$500,$B19,'DADOS BRUTOS'!P$3:P$500)+IF($C19="",0,SUMIF('DADOS BRUTOS'!$A$3:$A$500,$C19,'DADOS BRUTOS'!P$3:P$500)))</f>
        <v>0</v>
      </c>
      <c r="CQ19" s="133" t="n">
        <f aca="false">IF(OR(CQ$4="",$B19=""),0,SUMIF('DADOS BRUTOS'!$A$3:$A$500,$B19,'DADOS BRUTOS'!Q$3:Q$500)+IF($C19="",0,SUMIF('DADOS BRUTOS'!$A$3:$A$500,$C19,'DADOS BRUTOS'!Q$3:Q$500)))</f>
        <v>0</v>
      </c>
      <c r="CR19" s="133" t="n">
        <f aca="false">IF(OR(CR$4="",$B19=""),0,SUMIF('DADOS BRUTOS'!$A$3:$A$500,$B19,'DADOS BRUTOS'!R$3:R$500)+IF($C19="",0,SUMIF('DADOS BRUTOS'!$A$3:$A$500,$C19,'DADOS BRUTOS'!R$3:R$500)))</f>
        <v>0</v>
      </c>
      <c r="CS19" s="133" t="n">
        <f aca="false">IF(OR(CS$4="",$B19=""),0,SUMIF('DADOS BRUTOS'!$A$3:$A$500,$B19,'DADOS BRUTOS'!S$3:S$500)+IF($C19="",0,SUMIF('DADOS BRUTOS'!$A$3:$A$500,$C19,'DADOS BRUTOS'!S$3:S$500)))</f>
        <v>0</v>
      </c>
      <c r="CT19" s="133" t="n">
        <f aca="false">IF(OR(CT$4="",$B19=""),0,SUMIF('DADOS BRUTOS'!$A$3:$A$500,$B19,'DADOS BRUTOS'!T$3:T$500)+IF($C19="",0,SUMIF('DADOS BRUTOS'!$A$3:$A$500,$C19,'DADOS BRUTOS'!T$3:T$500)))</f>
        <v>0</v>
      </c>
      <c r="CU19" s="133" t="n">
        <f aca="false">IF(OR(CU$4="",$B19=""),0,SUMIF('DADOS BRUTOS'!$A$3:$A$500,$B19,'DADOS BRUTOS'!U$3:U$500)+IF($C19="",0,SUMIF('DADOS BRUTOS'!$A$3:$A$500,$C19,'DADOS BRUTOS'!U$3:U$500)))</f>
        <v>0</v>
      </c>
      <c r="CV19" s="133" t="n">
        <f aca="false">IF(OR(CV$4="",$B19=""),0,SUMIF('DADOS BRUTOS'!$A$3:$A$500,$B19,'DADOS BRUTOS'!V$3:V$500)+IF($C19="",0,SUMIF('DADOS BRUTOS'!$A$3:$A$500,$C19,'DADOS BRUTOS'!V$3:V$500)))</f>
        <v>1930</v>
      </c>
      <c r="CW19" s="133" t="n">
        <f aca="false">IF(OR(CW$4="",$B19=""),0,SUMIF('DADOS BRUTOS'!$A$3:$A$500,$B19,'DADOS BRUTOS'!W$3:W$500)+IF($C19="",0,SUMIF('DADOS BRUTOS'!$A$3:$A$500,$C19,'DADOS BRUTOS'!W$3:W$500)))</f>
        <v>145877.57</v>
      </c>
      <c r="CX19" s="133" t="n">
        <f aca="false">IF(OR(CX$4="",$B19=""),0,SUMIF('DADOS BRUTOS'!$A$3:$A$500,$B19,'DADOS BRUTOS'!X$3:X$500)+IF($C19="",0,SUMIF('DADOS BRUTOS'!$A$3:$A$500,$C19,'DADOS BRUTOS'!X$3:X$500)))</f>
        <v>521095.71</v>
      </c>
      <c r="CY19" s="133" t="n">
        <f aca="false">IF(OR(CY$4="",$B19=""),0,SUMIF('DADOS BRUTOS'!$A$3:$A$500,$B19,'DADOS BRUTOS'!Y$3:Y$500)+IF($C19="",0,SUMIF('DADOS BRUTOS'!$A$3:$A$500,$C19,'DADOS BRUTOS'!Y$3:Y$500)))</f>
        <v>1121245.4</v>
      </c>
      <c r="CZ19" s="133" t="n">
        <f aca="false">IF(OR(CZ$4="",$B19=""),0,SUMIF('DADOS BRUTOS'!$A$3:$A$500,$B19,'DADOS BRUTOS'!Z$3:Z$500)+IF($C19="",0,SUMIF('DADOS BRUTOS'!$A$3:$A$500,$C19,'DADOS BRUTOS'!Z$3:Z$500)))</f>
        <v>876284.06</v>
      </c>
      <c r="DA19" s="133" t="n">
        <f aca="false">IF(OR(DA$4="",$B19=""),0,SUMIF('DADOS BRUTOS'!$A$3:$A$500,$B19,'DADOS BRUTOS'!AA$3:AA$500)+IF($C19="",0,SUMIF('DADOS BRUTOS'!$A$3:$A$500,$C19,'DADOS BRUTOS'!AA$3:AA$500)))</f>
        <v>1371139.53</v>
      </c>
      <c r="DB19" s="133" t="n">
        <f aca="false">IF(OR(DB$4="",$B19=""),0,SUMIF('DADOS BRUTOS'!$A$3:$A$500,$B19,'DADOS BRUTOS'!AB$3:AB$500)+IF($C19="",0,SUMIF('DADOS BRUTOS'!$A$3:$A$500,$C19,'DADOS BRUTOS'!AB$3:AB$500)))</f>
        <v>644213.9</v>
      </c>
      <c r="DC19" s="133" t="n">
        <f aca="false">IF(OR(DC$4="",$B19=""),0,SUMIF('DADOS BRUTOS'!$A$3:$A$500,$B19,'DADOS BRUTOS'!AC$3:AC$500)+IF($C19="",0,SUMIF('DADOS BRUTOS'!$A$3:$A$500,$C19,'DADOS BRUTOS'!AC$3:AC$500)))</f>
        <v>1233027.32</v>
      </c>
      <c r="DD19" s="133" t="n">
        <f aca="false">IF(OR(DD$4="",$B19=""),0,SUMIF('DADOS BRUTOS'!$A$3:$A$500,$B19,'DADOS BRUTOS'!AD$3:AD$500)+IF($C19="",0,SUMIF('DADOS BRUTOS'!$A$3:$A$500,$C19,'DADOS BRUTOS'!AD$3:AD$500)))</f>
        <v>606377.66</v>
      </c>
      <c r="DE19" s="133" t="n">
        <f aca="false">IF(OR(DE$4="",$B19=""),0,SUMIF('DADOS BRUTOS'!$A$3:$A$500,$B19,'DADOS BRUTOS'!AE$3:AE$500)+IF($C19="",0,SUMIF('DADOS BRUTOS'!$A$3:$A$500,$C19,'DADOS BRUTOS'!AE$3:AE$500)))</f>
        <v>43774.24</v>
      </c>
      <c r="DF19" s="133" t="n">
        <f aca="false">IF(OR(DF$4="",$B19=""),0,SUMIF('DADOS BRUTOS'!$A$3:$A$500,$B19,'DADOS BRUTOS'!AF$3:AF$500)+IF($C19="",0,SUMIF('DADOS BRUTOS'!$A$3:$A$500,$C19,'DADOS BRUTOS'!AF$3:AF$500)))</f>
        <v>15692.87</v>
      </c>
      <c r="DG19" s="133" t="n">
        <f aca="false">IF(OR(DG$4="",$B19=""),0,SUMIF('DADOS BRUTOS'!$A$3:$A$500,$B19,'DADOS BRUTOS'!AG$3:AG$500)+IF($C19="",0,SUMIF('DADOS BRUTOS'!$A$3:$A$500,$C19,'DADOS BRUTOS'!AG$3:AG$500)))</f>
        <v>78401.44</v>
      </c>
      <c r="DH19" s="133" t="n">
        <f aca="false">IF(OR(DH$4="",$B19=""),0,SUMIF('DADOS BRUTOS'!$A$3:$A$500,$B19,'DADOS BRUTOS'!AH$3:AH$500)+IF($C19="",0,SUMIF('DADOS BRUTOS'!$A$3:$A$500,$C19,'DADOS BRUTOS'!AH$3:AH$500)))</f>
        <v>37660.47</v>
      </c>
      <c r="DI19" s="133" t="n">
        <f aca="false">IF(OR(DI$4="",$B19=""),0,SUMIF('DADOS BRUTOS'!$A$3:$A$500,$B19,'DADOS BRUTOS'!AI$3:AI$500)+IF($C19="",0,SUMIF('DADOS BRUTOS'!$A$3:$A$500,$C19,'DADOS BRUTOS'!AI$3:AI$500)))</f>
        <v>102068.64</v>
      </c>
      <c r="DJ19" s="133" t="n">
        <f aca="false">IF(OR(DJ$4="",$B19=""),0,SUMIF('DADOS BRUTOS'!$A$3:$A$500,$B19,'DADOS BRUTOS'!AJ$3:AJ$500)+IF($C19="",0,SUMIF('DADOS BRUTOS'!$A$3:$A$500,$C19,'DADOS BRUTOS'!AJ$3:AJ$500)))</f>
        <v>34599.67</v>
      </c>
      <c r="DK19" s="133" t="n">
        <f aca="false">IF(OR(DK$4="",$B19=""),0,SUMIF('DADOS BRUTOS'!$A$3:$A$500,$B19,'DADOS BRUTOS'!AK$3:AK$500)+IF($C19="",0,SUMIF('DADOS BRUTOS'!$A$3:$A$500,$C19,'DADOS BRUTOS'!AK$3:AK$500)))</f>
        <v>10360.68</v>
      </c>
      <c r="DL19" s="133" t="n">
        <f aca="false">IF(OR(DL$4="",$B19=""),0,SUMIF('DADOS BRUTOS'!$A$3:$A$500,$B19,'DADOS BRUTOS'!AL$3:AL$500)+IF($C19="",0,SUMIF('DADOS BRUTOS'!$A$3:$A$500,$C19,'DADOS BRUTOS'!AL$3:AL$500)))</f>
        <v>5768</v>
      </c>
      <c r="DM19" s="133" t="n">
        <f aca="false">IF(OR(DM$4="",$B19=""),0,SUMIF('DADOS BRUTOS'!$A$3:$A$500,$B19,'DADOS BRUTOS'!AM$3:AM$500)+IF($C19="",0,SUMIF('DADOS BRUTOS'!$A$3:$A$500,$C19,'DADOS BRUTOS'!AM$3:AM$500)))</f>
        <v>0</v>
      </c>
      <c r="DN19" s="133" t="n">
        <f aca="false">IF(OR(DN$4="",$B19=""),0,SUMIF('DADOS BRUTOS'!$A$3:$A$500,$B19,'DADOS BRUTOS'!AN$3:AN$500)+IF($C19="",0,SUMIF('DADOS BRUTOS'!$A$3:$A$500,$C19,'DADOS BRUTOS'!AN$3:AN$500)))</f>
        <v>2828</v>
      </c>
      <c r="DO19" s="133" t="n">
        <f aca="false">IF(OR(DO$4="",$B19=""),0,SUMIF('DADOS BRUTOS'!$A$3:$A$500,$B19,'DADOS BRUTOS'!AO$3:AO$500)+IF($C19="",0,SUMIF('DADOS BRUTOS'!$A$3:$A$500,$C19,'DADOS BRUTOS'!AO$3:AO$500)))</f>
        <v>9483.38</v>
      </c>
      <c r="DP19" s="133" t="n">
        <f aca="false">IF(OR(DP$4="",$B19=""),0,SUMIF('DADOS BRUTOS'!$A$3:$A$500,$B19,'DADOS BRUTOS'!AP$3:AP$500)+IF($C19="",0,SUMIF('DADOS BRUTOS'!$A$3:$A$500,$C19,'DADOS BRUTOS'!AP$3:AP$500)))</f>
        <v>0</v>
      </c>
      <c r="DQ19" s="133" t="n">
        <f aca="false">IF(OR(DQ$4="",$B19=""),0,SUMIF('DADOS BRUTOS'!$A$3:$A$500,$B19,'DADOS BRUTOS'!AQ$3:AQ$500)+IF($C19="",0,SUMIF('DADOS BRUTOS'!$A$3:$A$500,$C19,'DADOS BRUTOS'!AQ$3:AQ$500)))</f>
        <v>0</v>
      </c>
      <c r="DR19" s="133" t="n">
        <f aca="false">IF(OR(DR$4="",$B19=""),0,SUMIF('DADOS BRUTOS'!$A$3:$A$500,$B19,'DADOS BRUTOS'!AR$3:AR$500)+IF($C19="",0,SUMIF('DADOS BRUTOS'!$A$3:$A$500,$C19,'DADOS BRUTOS'!AR$3:AR$500)))</f>
        <v>0</v>
      </c>
      <c r="DS19" s="133" t="n">
        <f aca="false">IF(OR(DS$4="",$B19=""),0,SUMIF('DADOS BRUTOS'!$A$3:$A$500,$B19,'DADOS BRUTOS'!AS$3:AS$500)+IF($C19="",0,SUMIF('DADOS BRUTOS'!$A$3:$A$500,$C19,'DADOS BRUTOS'!AS$3:AS$500)))</f>
        <v>0</v>
      </c>
      <c r="DT19" s="133" t="n">
        <f aca="false">IF(OR(DT$4="",$B19=""),0,SUMIF('DADOS BRUTOS'!$A$3:$A$500,$B19,'DADOS BRUTOS'!AT$3:AT$500)+IF($C19="",0,SUMIF('DADOS BRUTOS'!$A$3:$A$500,$C19,'DADOS BRUTOS'!AT$3:AT$500)))</f>
        <v>0</v>
      </c>
      <c r="DU19" s="133" t="n">
        <f aca="false">IF(OR(DU$4="",$B19=""),0,SUMIF('DADOS BRUTOS'!$A$3:$A$500,$B19,'DADOS BRUTOS'!AU$3:AU$500)+IF($C19="",0,SUMIF('DADOS BRUTOS'!$A$3:$A$500,$C19,'DADOS BRUTOS'!AU$3:AU$500)))</f>
        <v>0</v>
      </c>
      <c r="DV19" s="133" t="n">
        <f aca="false">IF(OR(DV$4="",$B19=""),0,SUMIF('DADOS BRUTOS'!$A$3:$A$500,$B19,'DADOS BRUTOS'!AV$3:AV$500)+IF($C19="",0,SUMIF('DADOS BRUTOS'!$A$3:$A$500,$C19,'DADOS BRUTOS'!AV$3:AV$500)))</f>
        <v>0</v>
      </c>
      <c r="DW19" s="133" t="n">
        <f aca="false">IF(OR(DW$4="",$B19=""),0,SUMIF('DADOS BRUTOS'!$A$3:$A$500,$B19,'DADOS BRUTOS'!AW$3:AW$500)+IF($C19="",0,SUMIF('DADOS BRUTOS'!$A$3:$A$500,$C19,'DADOS BRUTOS'!AW$3:AW$500)))</f>
        <v>0</v>
      </c>
      <c r="DX19" s="133" t="n">
        <f aca="false">IF(OR(DX$4="",$B19=""),0,SUMIF('DADOS BRUTOS'!$A$3:$A$500,$B19,'DADOS BRUTOS'!AX$3:AX$500)+IF($C19="",0,SUMIF('DADOS BRUTOS'!$A$3:$A$500,$C19,'DADOS BRUTOS'!AX$3:AX$500)))</f>
        <v>0</v>
      </c>
      <c r="DY19" s="133" t="n">
        <f aca="false">IF(OR(DY$4="",$B19=""),0,SUMIF('DADOS BRUTOS'!$A$3:$A$500,$B19,'DADOS BRUTOS'!AY$3:AY$500)+IF($C19="",0,SUMIF('DADOS BRUTOS'!$A$3:$A$500,$C19,'DADOS BRUTOS'!AY$3:AY$500)))</f>
        <v>0</v>
      </c>
      <c r="DZ19" s="133" t="n">
        <f aca="false">IF(OR(DZ$4="",$B19=""),0,SUMIF('DADOS BRUTOS'!$A$3:$A$500,$B19,'DADOS BRUTOS'!AZ$3:AZ$500)+IF($C19="",0,SUMIF('DADOS BRUTOS'!$A$3:$A$500,$C19,'DADOS BRUTOS'!AZ$3:AZ$500)))</f>
        <v>0</v>
      </c>
      <c r="EA19" s="133" t="n">
        <f aca="false">IF(OR(EA$4="",$B19=""),0,SUMIF('DADOS BRUTOS'!$A$3:$A$500,$B19,'DADOS BRUTOS'!BA$3:BA$500)+IF($C19="",0,SUMIF('DADOS BRUTOS'!$A$3:$A$500,$C19,'DADOS BRUTOS'!BA$3:BA$500)))</f>
        <v>0</v>
      </c>
      <c r="EB19" s="133" t="n">
        <f aca="false">IF(OR(EB$4="",$B19=""),0,SUMIF('DADOS BRUTOS'!$A$3:$A$500,$B19,'DADOS BRUTOS'!BB$3:BB$500)+IF($C19="",0,SUMIF('DADOS BRUTOS'!$A$3:$A$500,$C19,'DADOS BRUTOS'!BB$3:BB$500)))</f>
        <v>0</v>
      </c>
      <c r="EC19" s="133" t="n">
        <f aca="false">IF(OR(EC$4="",$B19=""),0,SUMIF('DADOS BRUTOS'!$A$3:$A$500,$B19,'DADOS BRUTOS'!BC$3:BC$500)+IF($C19="",0,SUMIF('DADOS BRUTOS'!$A$3:$A$500,$C19,'DADOS BRUTOS'!BC$3:BC$500)))</f>
        <v>0</v>
      </c>
      <c r="ED19" s="133" t="n">
        <f aca="false">IF(OR(ED$4="",$B19=""),0,SUMIF('DADOS BRUTOS'!$A$3:$A$500,$B19,'DADOS BRUTOS'!BD$3:BD$500)+IF($C19="",0,SUMIF('DADOS BRUTOS'!$A$3:$A$500,$C19,'DADOS BRUTOS'!BD$3:BD$500)))</f>
        <v>0</v>
      </c>
      <c r="EE19" s="133" t="n">
        <f aca="false">IF(OR(EE$4="",$B19=""),0,SUMIF('DADOS BRUTOS'!$A$3:$A$500,$B19,'DADOS BRUTOS'!BE$3:BE$500)+IF($C19="",0,SUMIF('DADOS BRUTOS'!$A$3:$A$500,$C19,'DADOS BRUTOS'!BE$3:BE$500)))</f>
        <v>2044</v>
      </c>
      <c r="EF19" s="133" t="n">
        <f aca="false">IF(OR(EF$4="",$B19=""),0,SUMIF('DADOS BRUTOS'!$A$3:$A$500,$B19,'DADOS BRUTOS'!BF$3:BF$500)+IF($C19="",0,SUMIF('DADOS BRUTOS'!$A$3:$A$500,$C19,'DADOS BRUTOS'!BF$3:BF$500)))</f>
        <v>0</v>
      </c>
      <c r="EG19" s="133" t="n">
        <f aca="false">IF(OR(EG$4="",$B19=""),0,SUMIF('DADOS BRUTOS'!$A$3:$A$500,$B19,'DADOS BRUTOS'!BG$3:BG$500)+IF($C19="",0,SUMIF('DADOS BRUTOS'!$A$3:$A$500,$C19,'DADOS BRUTOS'!BG$3:BG$500)))</f>
        <v>0</v>
      </c>
      <c r="EH19" s="133" t="n">
        <f aca="false">IF(OR(EH$4="",$B19=""),0,SUMIF('DADOS BRUTOS'!$A$3:$A$500,$B19,'DADOS BRUTOS'!BH$3:BH$500)+IF($C19="",0,SUMIF('DADOS BRUTOS'!$A$3:$A$500,$C19,'DADOS BRUTOS'!BH$3:BH$500)))</f>
        <v>0</v>
      </c>
      <c r="EI19" s="133" t="n">
        <f aca="false">IF(OR(EI$4="",$B19=""),0,SUMIF('DADOS BRUTOS'!$A$3:$A$500,$B19,'DADOS BRUTOS'!BI$3:BI$500)+IF($C19="",0,SUMIF('DADOS BRUTOS'!$A$3:$A$500,$C19,'DADOS BRUTOS'!BI$3:BI$500)))</f>
        <v>0</v>
      </c>
      <c r="EJ19" s="133" t="n">
        <f aca="false">IF(OR(EJ$4="",$B19=""),0,SUMIF('DADOS BRUTOS'!$A$3:$A$500,$B19,'DADOS BRUTOS'!BJ$3:BJ$500)+IF($C19="",0,SUMIF('DADOS BRUTOS'!$A$3:$A$500,$C19,'DADOS BRUTOS'!BJ$3:BJ$500)))</f>
        <v>0</v>
      </c>
      <c r="EK19" s="133" t="n">
        <f aca="false">IF(OR(EK$4="",$B19=""),0,SUMIF('DADOS BRUTOS'!$A$3:$A$500,$B19,'DADOS BRUTOS'!BK$3:BK$500)+IF($C19="",0,SUMIF('DADOS BRUTOS'!$A$3:$A$500,$C19,'DADOS BRUTOS'!BK$3:BK$500)))</f>
        <v>0</v>
      </c>
      <c r="EL19" s="133" t="n">
        <f aca="false">IF(OR(EL$4="",$B19=""),0,SUMIF('DADOS BRUTOS'!$A$3:$A$500,$B19,'DADOS BRUTOS'!BL$3:BL$500)+IF($C19="",0,SUMIF('DADOS BRUTOS'!$A$3:$A$500,$C19,'DADOS BRUTOS'!BL$3:BL$500)))</f>
        <v>0</v>
      </c>
      <c r="EM19" s="133" t="n">
        <f aca="false">IF(OR(EM$4="",$B19=""),0,SUMIF('DADOS BRUTOS'!$A$3:$A$500,$B19,'DADOS BRUTOS'!BM$3:BM$500)+IF($C19="",0,SUMIF('DADOS BRUTOS'!$A$3:$A$500,$C19,'DADOS BRUTOS'!BM$3:BM$500)))</f>
        <v>0</v>
      </c>
      <c r="EN19" s="133" t="n">
        <f aca="false">IF(OR(EN$4="",$B19=""),0,SUMIF('DADOS BRUTOS'!$A$3:$A$500,$B19,'DADOS BRUTOS'!BN$3:BN$500)+IF($C19="",0,SUMIF('DADOS BRUTOS'!$A$3:$A$500,$C19,'DADOS BRUTOS'!BN$3:BN$500)))</f>
        <v>0</v>
      </c>
      <c r="EO19" s="133" t="n">
        <f aca="false">IF(OR(EO$4="",$B19=""),0,SUMIF('DADOS BRUTOS'!$A$3:$A$500,$B19,'DADOS BRUTOS'!BO$3:BO$500)+IF($C19="",0,SUMIF('DADOS BRUTOS'!$A$3:$A$500,$C19,'DADOS BRUTOS'!BO$3:BO$500)))</f>
        <v>0</v>
      </c>
      <c r="EP19" s="133" t="n">
        <f aca="false">IF(OR(EP$4="",$B19=""),0,SUMIF('DADOS BRUTOS'!$A$3:$A$500,$B19,'DADOS BRUTOS'!BP$3:BP$500)+IF($C19="",0,SUMIF('DADOS BRUTOS'!$A$3:$A$500,$C19,'DADOS BRUTOS'!BP$3:BP$500)))</f>
        <v>0</v>
      </c>
      <c r="EQ19" s="133" t="n">
        <f aca="false">IF(OR(EQ$4="",$B19=""),0,SUMIF('DADOS BRUTOS'!$A$3:$A$500,$B19,'DADOS BRUTOS'!BQ$3:BQ$500)+IF($C19="",0,SUMIF('DADOS BRUTOS'!$A$3:$A$500,$C19,'DADOS BRUTOS'!BQ$3:BQ$500)))</f>
        <v>0</v>
      </c>
      <c r="ER19" s="133" t="n">
        <f aca="false">IF(OR(ER$4="",$B19=""),0,SUMIF('DADOS BRUTOS'!$A$3:$A$500,$B19,'DADOS BRUTOS'!BR$3:BR$500)+IF($C19="",0,SUMIF('DADOS BRUTOS'!$A$3:$A$500,$C19,'DADOS BRUTOS'!BR$3:BR$500)))</f>
        <v>0</v>
      </c>
      <c r="ES19" s="133" t="n">
        <f aca="false">IF(OR(ES$4="",$B19=""),0,SUMIF('DADOS BRUTOS'!$A$3:$A$500,$B19,'DADOS BRUTOS'!BS$3:BS$500)+IF($C19="",0,SUMIF('DADOS BRUTOS'!$A$3:$A$500,$C19,'DADOS BRUTOS'!BS$3:BS$500)))</f>
        <v>0</v>
      </c>
      <c r="ET19" s="133" t="n">
        <f aca="false">IF(OR(ET$4="",$B19=""),0,SUMIF('DADOS BRUTOS'!$A$3:$A$500,$B19,'DADOS BRUTOS'!BT$3:BT$500)+IF($C19="",0,SUMIF('DADOS BRUTOS'!$A$3:$A$500,$C19,'DADOS BRUTOS'!BT$3:BT$500)))</f>
        <v>0</v>
      </c>
      <c r="EU19" s="133" t="n">
        <f aca="false">IF(OR(EU$4="",$B19=""),0,SUMIF('DADOS BRUTOS'!$A$3:$A$500,$B19,'DADOS BRUTOS'!BU$3:BU$500)+IF($C19="",0,SUMIF('DADOS BRUTOS'!$A$3:$A$500,$C19,'DADOS BRUTOS'!BU$3:BU$500)))</f>
        <v>0</v>
      </c>
      <c r="EV19" s="133" t="n">
        <f aca="false">IF(OR(EV$4="",$B19=""),0,SUMIF('DADOS BRUTOS'!$A$3:$A$500,$B19,'DADOS BRUTOS'!BV$3:BV$500)+IF($C19="",0,SUMIF('DADOS BRUTOS'!$A$3:$A$500,$C19,'DADOS BRUTOS'!BV$3:BV$500)))</f>
        <v>0</v>
      </c>
      <c r="EW19" s="133" t="n">
        <f aca="false">IF(OR(EW$4="",$B19=""),0,SUMIF('DADOS BRUTOS'!$A$3:$A$500,$B19,'DADOS BRUTOS'!BW$3:BW$500)+IF($C19="",0,SUMIF('DADOS BRUTOS'!$A$3:$A$500,$C19,'DADOS BRUTOS'!BW$3:BW$500)))</f>
        <v>0</v>
      </c>
      <c r="EX19" s="133" t="n">
        <f aca="false">IF(OR(EX$4="",$B19=""),0,SUMIF('DADOS BRUTOS'!$A$3:$A$500,$B19,'DADOS BRUTOS'!BX$3:BX$500)+IF($C19="",0,SUMIF('DADOS BRUTOS'!$A$3:$A$500,$C19,'DADOS BRUTOS'!BX$3:BX$500)))</f>
        <v>0</v>
      </c>
      <c r="EY19" s="133" t="n">
        <f aca="false">IF(OR(EY$4="",$B19=""),0,SUMIF('DADOS BRUTOS'!$A$3:$A$500,$B19,'DADOS BRUTOS'!BY$3:BY$500)+IF($C19="",0,SUMIF('DADOS BRUTOS'!$A$3:$A$500,$C19,'DADOS BRUTOS'!BY$3:BY$500)))</f>
        <v>0</v>
      </c>
      <c r="EZ19" s="133" t="n">
        <f aca="false">IF(OR(EZ$4="",$B19=""),0,SUMIF('DADOS BRUTOS'!$A$3:$A$500,$B19,'DADOS BRUTOS'!BZ$3:BZ$500)+IF($C19="",0,SUMIF('DADOS BRUTOS'!$A$3:$A$500,$C19,'DADOS BRUTOS'!BZ$3:BZ$500)))</f>
        <v>0</v>
      </c>
      <c r="FA19" s="133" t="n">
        <f aca="false">IF(OR(FA$4="",$B19=""),0,SUMIF('DADOS BRUTOS'!$A$3:$A$500,$B19,'DADOS BRUTOS'!CA$3:CA$500)+IF($C19="",0,SUMIF('DADOS BRUTOS'!$A$3:$A$500,$C19,'DADOS BRUTOS'!CA$3:CA$500)))</f>
        <v>0</v>
      </c>
      <c r="FB19" s="133" t="n">
        <f aca="false">IF(OR(FB$4="",$B19=""),0,SUMIF('DADOS BRUTOS'!$A$3:$A$500,$B19,'DADOS BRUTOS'!CB$3:CB$500)+IF($C19="",0,SUMIF('DADOS BRUTOS'!$A$3:$A$500,$C19,'DADOS BRUTOS'!CB$3:CB$500)))</f>
        <v>0</v>
      </c>
      <c r="FC19" s="133" t="n">
        <f aca="false">IF(OR(FC$4="",$B19=""),0,SUMIF('DADOS BRUTOS'!$A$3:$A$500,$B19,'DADOS BRUTOS'!CC$3:CC$500)+IF($C19="",0,SUMIF('DADOS BRUTOS'!$A$3:$A$500,$C19,'DADOS BRUTOS'!CC$3:CC$500)))</f>
        <v>0</v>
      </c>
      <c r="FD19" s="133" t="n">
        <f aca="false">IF(OR(FD$4="",$B19=""),0,SUMIF('DADOS BRUTOS'!$A$3:$A$500,$B19,'DADOS BRUTOS'!CD$3:CD$500)+IF($C19="",0,SUMIF('DADOS BRUTOS'!$A$3:$A$500,$C19,'DADOS BRUTOS'!CD$3:CD$500)))</f>
        <v>0</v>
      </c>
      <c r="FE19" s="133" t="n">
        <f aca="false">IF(OR(FE$4="",$B19=""),0,SUMIF('DADOS BRUTOS'!$A$3:$A$500,$B19,'DADOS BRUTOS'!CE$3:CE$500)+IF($C19="",0,SUMIF('DADOS BRUTOS'!$A$3:$A$500,$C19,'DADOS BRUTOS'!CE$3:CE$500)))</f>
        <v>0</v>
      </c>
      <c r="FF19" s="133" t="n">
        <f aca="false">IF(OR(FF$4="",$B19=""),0,SUMIF('DADOS BRUTOS'!$A$3:$A$500,$B19,'DADOS BRUTOS'!CF$3:CF$500)+IF($C19="",0,SUMIF('DADOS BRUTOS'!$A$3:$A$500,$C19,'DADOS BRUTOS'!CF$3:CF$500)))</f>
        <v>0</v>
      </c>
      <c r="FG19" s="133" t="n">
        <f aca="false">IF(OR(FG$4="",$B19=""),0,SUMIF('DADOS BRUTOS'!$A$3:$A$500,$B19,'DADOS BRUTOS'!CG$3:CG$500)+IF($C19="",0,SUMIF('DADOS BRUTOS'!$A$3:$A$500,$C19,'DADOS BRUTOS'!CG$3:CG$500)))</f>
        <v>0</v>
      </c>
      <c r="FH19" s="133" t="n">
        <f aca="false">IF(OR(FH$4="",$B19=""),0,SUMIF('DADOS BRUTOS'!$A$3:$A$500,$B19,'DADOS BRUTOS'!CH$3:CH$500)+IF($C19="",0,SUMIF('DADOS BRUTOS'!$A$3:$A$500,$C19,'DADOS BRUTOS'!CH$3:CH$500)))</f>
        <v>0</v>
      </c>
      <c r="FI19" s="133" t="n">
        <f aca="false">IF(OR(FI$4="",$B19=""),0,SUMIF('DADOS BRUTOS'!$A$3:$A$500,$B19,'DADOS BRUTOS'!CI$3:CI$500)+IF($C19="",0,SUMIF('DADOS BRUTOS'!$A$3:$A$500,$C19,'DADOS BRUTOS'!CI$3:CI$500)))</f>
        <v>0</v>
      </c>
      <c r="FJ19" s="133" t="n">
        <f aca="false">IF(OR(FJ$4="",$B19=""),0,SUMIF('DADOS BRUTOS'!$A$3:$A$500,$B19,'DADOS BRUTOS'!CJ$3:CJ$500)+IF($C19="",0,SUMIF('DADOS BRUTOS'!$A$3:$A$500,$C19,'DADOS BRUTOS'!CJ$3:CJ$500)))</f>
        <v>0</v>
      </c>
      <c r="FK19" s="133" t="n">
        <f aca="false">IF(OR(FK$4="",$B19=""),0,SUMIF('DADOS BRUTOS'!$A$3:$A$500,$B19,'DADOS BRUTOS'!CK$3:CK$500)+IF($C19="",0,SUMIF('DADOS BRUTOS'!$A$3:$A$500,$C19,'DADOS BRUTOS'!CK$3:CK$500)))</f>
        <v>0</v>
      </c>
      <c r="FL19" s="133" t="n">
        <f aca="false">IF(OR(FL$4="",$B19=""),0,SUMIF('DADOS BRUTOS'!$A$3:$A$500,$B19,'DADOS BRUTOS'!CL$3:CL$500)+IF($C19="",0,SUMIF('DADOS BRUTOS'!$A$3:$A$500,$C19,'DADOS BRUTOS'!CL$3:CL$500)))</f>
        <v>0</v>
      </c>
      <c r="FM19" s="133" t="n">
        <f aca="false">IF(OR(FM$4="",$B19=""),0,SUMIF('DADOS BRUTOS'!$A$3:$A$500,$B19,'DADOS BRUTOS'!CM$3:CM$500)+IF($C19="",0,SUMIF('DADOS BRUTOS'!$A$3:$A$500,$C19,'DADOS BRUTOS'!CM$3:CM$500)))</f>
        <v>0</v>
      </c>
      <c r="FN19" s="133" t="n">
        <f aca="false">IF(OR(FN$4="",$B19=""),0,SUMIF('DADOS BRUTOS'!$A$3:$A$500,$B19,'DADOS BRUTOS'!CN$3:CN$500)+IF($C19="",0,SUMIF('DADOS BRUTOS'!$A$3:$A$500,$C19,'DADOS BRUTOS'!CN$3:CN$500)))</f>
        <v>0</v>
      </c>
      <c r="FO19" s="133" t="n">
        <f aca="false">IF(OR(FO$4="",$B19=""),0,SUMIF('DADOS BRUTOS'!$A$3:$A$500,$B19,'DADOS BRUTOS'!CO$3:CO$500)+IF($C19="",0,SUMIF('DADOS BRUTOS'!$A$3:$A$500,$C19,'DADOS BRUTOS'!CO$3:CO$500)))</f>
        <v>0</v>
      </c>
      <c r="FP19" s="133" t="n">
        <f aca="false">IF(OR(FP$4="",$B19=""),0,SUMIF('DADOS BRUTOS'!$A$3:$A$500,$B19,'DADOS BRUTOS'!CP$3:CP$500)+IF($C19="",0,SUMIF('DADOS BRUTOS'!$A$3:$A$500,$C19,'DADOS BRUTOS'!CP$3:CP$500)))</f>
        <v>0</v>
      </c>
      <c r="FQ19" s="133" t="n">
        <f aca="false">IF(OR(FQ$4="",$B19=""),0,SUMIF('DADOS BRUTOS'!$A$3:$A$500,$B19,'DADOS BRUTOS'!CQ$3:CQ$500)+IF($C19="",0,SUMIF('DADOS BRUTOS'!$A$3:$A$500,$C19,'DADOS BRUTOS'!CQ$3:CQ$500)))</f>
        <v>0</v>
      </c>
      <c r="FR19" s="133" t="n">
        <f aca="false">IF(OR(FR$4="",$B19=""),0,SUMIF('DADOS BRUTOS'!$A$3:$A$500,$B19,'DADOS BRUTOS'!CR$3:CR$500)+IF($C19="",0,SUMIF('DADOS BRUTOS'!$A$3:$A$500,$C19,'DADOS BRUTOS'!CR$3:CR$500)))</f>
        <v>0</v>
      </c>
      <c r="FS19" s="133" t="n">
        <f aca="false">IF(OR(FS$4="",$B19=""),0,SUMIF('DADOS BRUTOS'!$A$3:$A$500,$B19,'DADOS BRUTOS'!CS$3:CS$500)+IF($C19="",0,SUMIF('DADOS BRUTOS'!$A$3:$A$500,$C19,'DADOS BRUTOS'!CS$3:CS$500)))</f>
        <v>0</v>
      </c>
      <c r="FT19" s="133" t="n">
        <f aca="false">IF(OR(FT$4="",$B19=""),0,SUMIF('DADOS BRUTOS'!$A$3:$A$500,$B19,'DADOS BRUTOS'!CT$3:CT$500)+IF($C19="",0,SUMIF('DADOS BRUTOS'!$A$3:$A$500,$C19,'DADOS BRUTOS'!CT$3:CT$500)))</f>
        <v>0</v>
      </c>
      <c r="FU19" s="133" t="n">
        <f aca="false">IF(OR(FU$4="",$B19=""),0,SUMIF('DADOS BRUTOS'!$A$3:$A$500,$B19,'DADOS BRUTOS'!CU$3:CU$500)+IF($C19="",0,SUMIF('DADOS BRUTOS'!$A$3:$A$500,$C19,'DADOS BRUTOS'!CU$3:CU$500)))</f>
        <v>0</v>
      </c>
      <c r="FV19" s="133" t="n">
        <f aca="false">IF(OR(FV$4="",$B19=""),0,SUMIF('DADOS BRUTOS'!$A$3:$A$500,$B19,'DADOS BRUTOS'!CV$3:CV$500)+IF($C19="",0,SUMIF('DADOS BRUTOS'!$A$3:$A$500,$C19,'DADOS BRUTOS'!CV$3:CV$500)))</f>
        <v>0</v>
      </c>
      <c r="FW19" s="133" t="n">
        <f aca="false">IF(OR(FW$4="",$B19=""),0,SUMIF('DADOS BRUTOS'!$A$3:$A$500,$B19,'DADOS BRUTOS'!CW$3:CW$500)+IF($C19="",0,SUMIF('DADOS BRUTOS'!$A$3:$A$500,$C19,'DADOS BRUTOS'!CW$3:CW$500)))</f>
        <v>0</v>
      </c>
      <c r="FX19" s="133" t="n">
        <f aca="false">IF(OR(FX$4="",$B19=""),0,SUMIF('DADOS BRUTOS'!$A$3:$A$500,$B19,'DADOS BRUTOS'!CX$3:CX$500)+IF($C19="",0,SUMIF('DADOS BRUTOS'!$A$3:$A$500,$C19,'DADOS BRUTOS'!CX$3:CX$500)))</f>
        <v>0</v>
      </c>
      <c r="FY19" s="133" t="n">
        <f aca="false">IF(OR(FY$4="",$B19=""),0,SUMIF('DADOS BRUTOS'!$A$3:$A$500,$B19,'DADOS BRUTOS'!CY$3:CY$500)+IF($C19="",0,SUMIF('DADOS BRUTOS'!$A$3:$A$500,$C19,'DADOS BRUTOS'!CY$3:CY$500)))</f>
        <v>0</v>
      </c>
      <c r="FZ19" s="133" t="n">
        <f aca="false">IF(OR(FZ$4="",$B19=""),0,SUMIF('DADOS BRUTOS'!$A$3:$A$500,$B19,'DADOS BRUTOS'!CZ$3:CZ$500)+IF($C19="",0,SUMIF('DADOS BRUTOS'!$A$3:$A$500,$C19,'DADOS BRUTOS'!CZ$3:CZ$500)))</f>
        <v>0</v>
      </c>
      <c r="GA19" s="133" t="n">
        <f aca="false">IF(OR(GA$4="",$B19=""),0,SUMIF('DADOS BRUTOS'!$A$3:$A$500,$B19,'DADOS BRUTOS'!DA$3:DA$500)+IF($C19="",0,SUMIF('DADOS BRUTOS'!$A$3:$A$500,$C19,'DADOS BRUTOS'!DA$3:DA$500)))</f>
        <v>0</v>
      </c>
      <c r="GB19" s="133" t="n">
        <f aca="false">IF(OR(GB$4="",$B19=""),0,SUMIF('DADOS BRUTOS'!$A$3:$A$500,$B19,'DADOS BRUTOS'!DB$3:DB$500)+IF($C19="",0,SUMIF('DADOS BRUTOS'!$A$3:$A$500,$C19,'DADOS BRUTOS'!DB$3:DB$500)))</f>
        <v>0</v>
      </c>
      <c r="GC19" s="133" t="n">
        <f aca="false">IF(OR(GC$4="",$B19=""),0,SUMIF('DADOS BRUTOS'!$A$3:$A$500,$B19,'DADOS BRUTOS'!DC$3:DC$500)+IF($C19="",0,SUMIF('DADOS BRUTOS'!$A$3:$A$500,$C19,'DADOS BRUTOS'!DC$3:DC$500)))</f>
        <v>0</v>
      </c>
      <c r="GD19" s="133" t="n">
        <f aca="false">IF(OR(GD$4="",$B19=""),0,SUMIF('DADOS BRUTOS'!$A$3:$A$500,$B19,'DADOS BRUTOS'!DD$3:DD$500)+IF($C19="",0,SUMIF('DADOS BRUTOS'!$A$3:$A$500,$C19,'DADOS BRUTOS'!DD$3:DD$500)))</f>
        <v>0</v>
      </c>
      <c r="GE19" s="133" t="n">
        <f aca="false">IF(OR(GE$4="",$B19=""),0,SUMIF('DADOS BRUTOS'!$A$3:$A$500,$B19,'DADOS BRUTOS'!DE$3:DE$500)+IF($C19="",0,SUMIF('DADOS BRUTOS'!$A$3:$A$500,$C19,'DADOS BRUTOS'!DE$3:DE$500)))</f>
        <v>0</v>
      </c>
      <c r="GF19" s="133" t="n">
        <f aca="false">IF(OR(GF$4="",$B19=""),0,SUMIF('DADOS BRUTOS'!$A$3:$A$500,$B19,'DADOS BRUTOS'!DF$3:DF$500)+IF($C19="",0,SUMIF('DADOS BRUTOS'!$A$3:$A$500,$C19,'DADOS BRUTOS'!DF$3:DF$500)))</f>
        <v>0</v>
      </c>
      <c r="GG19" s="133" t="n">
        <f aca="false">IF(OR(GG$4="",$B19=""),0,SUMIF('DADOS BRUTOS'!$A$3:$A$500,$B19,'DADOS BRUTOS'!DG$3:DG$500)+IF($C19="",0,SUMIF('DADOS BRUTOS'!$A$3:$A$500,$C19,'DADOS BRUTOS'!DG$3:DG$500)))</f>
        <v>0</v>
      </c>
      <c r="GH19" s="133" t="n">
        <f aca="false">IF(OR(GH$4="",$B19=""),0,SUMIF('DADOS BRUTOS'!$A$3:$A$500,$B19,'DADOS BRUTOS'!DH$3:DH$500)+IF($C19="",0,SUMIF('DADOS BRUTOS'!$A$3:$A$500,$C19,'DADOS BRUTOS'!DH$3:DH$500)))</f>
        <v>0</v>
      </c>
      <c r="GI19" s="133" t="n">
        <f aca="false">IF(OR(GI$4="",$B19=""),0,SUMIF('DADOS BRUTOS'!$A$3:$A$500,$B19,'DADOS BRUTOS'!DI$3:DI$500)+IF($C19="",0,SUMIF('DADOS BRUTOS'!$A$3:$A$500,$C19,'DADOS BRUTOS'!DI$3:DI$500)))</f>
        <v>0</v>
      </c>
      <c r="GJ19" s="133" t="n">
        <f aca="false">IF(OR(GJ$4="",$B19=""),0,SUMIF('DADOS BRUTOS'!$A$3:$A$500,$B19,'DADOS BRUTOS'!DJ$3:DJ$500)+IF($C19="",0,SUMIF('DADOS BRUTOS'!$A$3:$A$500,$C19,'DADOS BRUTOS'!DJ$3:DJ$500)))</f>
        <v>0</v>
      </c>
      <c r="GK19" s="133" t="n">
        <f aca="false">IF(OR(GK$4="",$B19=""),0,SUMIF('DADOS BRUTOS'!$A$3:$A$500,$B19,'DADOS BRUTOS'!DK$3:DK$500)+IF($C19="",0,SUMIF('DADOS BRUTOS'!$A$3:$A$500,$C19,'DADOS BRUTOS'!DK$3:DK$500)))</f>
        <v>0</v>
      </c>
      <c r="GL19" s="133" t="n">
        <f aca="false">IF(OR(GL$4="",$B19=""),0,SUMIF('DADOS BRUTOS'!$A$3:$A$500,$B19,'DADOS BRUTOS'!DL$3:DL$500)+IF($C19="",0,SUMIF('DADOS BRUTOS'!$A$3:$A$500,$C19,'DADOS BRUTOS'!DL$3:DL$500)))</f>
        <v>0</v>
      </c>
      <c r="GM19" s="133" t="n">
        <f aca="false">IF(OR(GM$4="",$B19=""),0,SUMIF('DADOS BRUTOS'!$A$3:$A$500,$B19,'DADOS BRUTOS'!DM$3:DM$500)+IF($C19="",0,SUMIF('DADOS BRUTOS'!$A$3:$A$500,$C19,'DADOS BRUTOS'!DM$3:DM$500)))</f>
        <v>0</v>
      </c>
      <c r="GN19" s="133" t="n">
        <f aca="false">IF(OR(GN$4="",$B19=""),0,SUMIF('DADOS BRUTOS'!$A$3:$A$500,$B19,'DADOS BRUTOS'!DN$3:DN$500)+IF($C19="",0,SUMIF('DADOS BRUTOS'!$A$3:$A$500,$C19,'DADOS BRUTOS'!DN$3:DN$500)))</f>
        <v>0</v>
      </c>
      <c r="GO19" s="133" t="n">
        <f aca="false">IF(OR(GO$4="",$B19=""),0,SUMIF('DADOS BRUTOS'!$A$3:$A$500,$B19,'DADOS BRUTOS'!DO$3:DO$500)+IF($C19="",0,SUMIF('DADOS BRUTOS'!$A$3:$A$500,$C19,'DADOS BRUTOS'!DO$3:DO$500)))</f>
        <v>0</v>
      </c>
      <c r="GP19" s="133" t="n">
        <f aca="false">IF(OR(GP$4="",$B19=""),0,SUMIF('DADOS BRUTOS'!$A$3:$A$500,$B19,'DADOS BRUTOS'!DP$3:DP$500)+IF($C19="",0,SUMIF('DADOS BRUTOS'!$A$3:$A$500,$C19,'DADOS BRUTOS'!DP$3:DP$500)))</f>
        <v>0</v>
      </c>
      <c r="GQ19" s="133" t="n">
        <f aca="false">IF(OR(GQ$4="",$B19=""),0,SUMIF('DADOS BRUTOS'!$A$3:$A$500,$B19,'DADOS BRUTOS'!DQ$3:DQ$500)+IF($C19="",0,SUMIF('DADOS BRUTOS'!$A$3:$A$500,$C19,'DADOS BRUTOS'!DQ$3:DQ$500)))</f>
        <v>0</v>
      </c>
      <c r="GR19" s="133" t="n">
        <f aca="false">IF(OR(GR$4="",$B19=""),0,SUMIF('DADOS BRUTOS'!$A$3:$A$500,$B19,'DADOS BRUTOS'!DR$3:DR$500)+IF($C19="",0,SUMIF('DADOS BRUTOS'!$A$3:$A$500,$C19,'DADOS BRUTOS'!DR$3:DR$500)))</f>
        <v>0</v>
      </c>
      <c r="GS19" s="133" t="n">
        <f aca="false">IF(OR(GS$4="",$B19=""),0,SUMIF('DADOS BRUTOS'!$A$3:$A$500,$B19,'DADOS BRUTOS'!DS$3:DS$500)+IF($C19="",0,SUMIF('DADOS BRUTOS'!$A$3:$A$500,$C19,'DADOS BRUTOS'!DS$3:DS$500)))</f>
        <v>0</v>
      </c>
      <c r="GT19" s="133" t="n">
        <f aca="false">IF(OR(GT$4="",$B19=""),0,SUMIF('DADOS BRUTOS'!$A$3:$A$500,$B19,'DADOS BRUTOS'!DT$3:DT$500)+IF($C19="",0,SUMIF('DADOS BRUTOS'!$A$3:$A$500,$C19,'DADOS BRUTOS'!DT$3:DT$500)))</f>
        <v>0</v>
      </c>
      <c r="GU19" s="133" t="n">
        <f aca="false">IF(OR(GU$4="",$B19=""),0,SUMIF('DADOS BRUTOS'!$A$3:$A$500,$B19,'DADOS BRUTOS'!DU$3:DU$500)+IF($C19="",0,SUMIF('DADOS BRUTOS'!$A$3:$A$500,$C19,'DADOS BRUTOS'!DU$3:DU$500)))</f>
        <v>0</v>
      </c>
      <c r="GV19" s="133" t="n">
        <f aca="false">IF(OR(GV$4="",$B19=""),0,SUMIF('DADOS BRUTOS'!$A$3:$A$500,$B19,'DADOS BRUTOS'!DV$3:DV$500)+IF($C19="",0,SUMIF('DADOS BRUTOS'!$A$3:$A$500,$C19,'DADOS BRUTOS'!DV$3:DV$500)))</f>
        <v>0</v>
      </c>
      <c r="GW19" s="133" t="n">
        <f aca="false">IF(OR(GW$4="",$B19=""),0,SUMIF('DADOS BRUTOS'!$A$3:$A$500,$B19,'DADOS BRUTOS'!DW$3:DW$500)+IF($C19="",0,SUMIF('DADOS BRUTOS'!$A$3:$A$500,$C19,'DADOS BRUTOS'!DW$3:DW$500)))</f>
        <v>0</v>
      </c>
      <c r="GX19" s="133" t="n">
        <f aca="false">IF(OR(GX$4="",$B19=""),0,SUMIF('DADOS BRUTOS'!$A$3:$A$500,$B19,'DADOS BRUTOS'!DX$3:DX$500)+IF($C19="",0,SUMIF('DADOS BRUTOS'!$A$3:$A$500,$C19,'DADOS BRUTOS'!DX$3:DX$500)))</f>
        <v>0</v>
      </c>
      <c r="GY19" s="133" t="n">
        <f aca="false">IF(OR(GY$4="",$B19=""),0,SUMIF('DADOS BRUTOS'!$A$3:$A$500,$B19,'DADOS BRUTOS'!DY$3:DY$500)+IF($C19="",0,SUMIF('DADOS BRUTOS'!$A$3:$A$500,$C19,'DADOS BRUTOS'!DY$3:DY$500)))</f>
        <v>0</v>
      </c>
      <c r="GZ19" s="133" t="n">
        <f aca="false">IF(OR(GZ$4="",$B19=""),0,SUMIF('DADOS BRUTOS'!$A$3:$A$500,$B19,'DADOS BRUTOS'!DZ$3:DZ$500)+IF($C19="",0,SUMIF('DADOS BRUTOS'!$A$3:$A$500,$C19,'DADOS BRUTOS'!DZ$3:DZ$500)))</f>
        <v>0</v>
      </c>
      <c r="HA19" s="133" t="n">
        <f aca="false">IF(OR(HA$4="",$B19=""),0,SUMIF('DADOS BRUTOS'!$A$3:$A$500,$B19,'DADOS BRUTOS'!EA$3:EA$500)+IF($C19="",0,SUMIF('DADOS BRUTOS'!$A$3:$A$500,$C19,'DADOS BRUTOS'!EA$3:EA$500)))</f>
        <v>0</v>
      </c>
      <c r="HB19" s="133" t="n">
        <f aca="false">IF(OR(HB$4="",$B19=""),0,SUMIF('DADOS BRUTOS'!$A$3:$A$500,$B19,'DADOS BRUTOS'!EB$3:EB$500)+IF($C19="",0,SUMIF('DADOS BRUTOS'!$A$3:$A$500,$C19,'DADOS BRUTOS'!EB$3:EB$500)))</f>
        <v>0</v>
      </c>
      <c r="HC19" s="133" t="n">
        <f aca="false">IF(OR(HC$4="",$B19=""),0,SUMIF('DADOS BRUTOS'!$A$3:$A$500,$B19,'DADOS BRUTOS'!EC$3:EC$500)+IF($C19="",0,SUMIF('DADOS BRUTOS'!$A$3:$A$500,$C19,'DADOS BRUTOS'!EC$3:EC$500)))</f>
        <v>0</v>
      </c>
      <c r="HD19" s="133" t="n">
        <f aca="false">IF(OR(HD$4="",$B19=""),0,SUMIF('DADOS BRUTOS'!$A$3:$A$500,$B19,'DADOS BRUTOS'!ED$3:ED$500)+IF($C19="",0,SUMIF('DADOS BRUTOS'!$A$3:$A$500,$C19,'DADOS BRUTOS'!ED$3:ED$500)))</f>
        <v>0</v>
      </c>
      <c r="HE19" s="133" t="n">
        <f aca="false">IF(OR(HE$4="",$B19=""),0,SUMIF('DADOS BRUTOS'!$A$3:$A$500,$B19,'DADOS BRUTOS'!EE$3:EE$500)+IF($C19="",0,SUMIF('DADOS BRUTOS'!$A$3:$A$500,$C19,'DADOS BRUTOS'!EE$3:EE$500)))</f>
        <v>0</v>
      </c>
      <c r="HF19" s="133" t="n">
        <f aca="false">IF(OR(HF$4="",$B19=""),0,SUMIF('DADOS BRUTOS'!$A$3:$A$500,$B19,'DADOS BRUTOS'!EF$3:EF$500)+IF($C19="",0,SUMIF('DADOS BRUTOS'!$A$3:$A$500,$C19,'DADOS BRUTOS'!EF$3:EF$500)))</f>
        <v>0</v>
      </c>
      <c r="HG19" s="133" t="n">
        <f aca="false">IF(OR(HG$4="",$B19=""),0,SUMIF('DADOS BRUTOS'!$A$3:$A$500,$B19,'DADOS BRUTOS'!EG$3:EG$500)+IF($C19="",0,SUMIF('DADOS BRUTOS'!$A$3:$A$500,$C19,'DADOS BRUTOS'!EG$3:EG$500)))</f>
        <v>0</v>
      </c>
      <c r="HH19" s="133" t="n">
        <f aca="false">IF(OR(HH$4="",$B19=""),0,SUMIF('DADOS BRUTOS'!$A$3:$A$500,$B19,'DADOS BRUTOS'!EH$3:EH$500)+IF($C19="",0,SUMIF('DADOS BRUTOS'!$A$3:$A$500,$C19,'DADOS BRUTOS'!EH$3:EH$500)))</f>
        <v>0</v>
      </c>
      <c r="HI19" s="133" t="n">
        <f aca="false">IF(OR(HI$4="",$B19=""),0,SUMIF('DADOS BRUTOS'!$A$3:$A$500,$B19,'DADOS BRUTOS'!EI$3:EI$500)+IF($C19="",0,SUMIF('DADOS BRUTOS'!$A$3:$A$500,$C19,'DADOS BRUTOS'!EI$3:EI$500)))</f>
        <v>0</v>
      </c>
      <c r="HJ19" s="133" t="n">
        <f aca="false">IF(OR(HJ$4="",$B19=""),0,SUMIF('DADOS BRUTOS'!$A$3:$A$500,$B19,'DADOS BRUTOS'!EJ$3:EJ$500)+IF($C19="",0,SUMIF('DADOS BRUTOS'!$A$3:$A$500,$C19,'DADOS BRUTOS'!EJ$3:EJ$500)))</f>
        <v>0</v>
      </c>
      <c r="HK19" s="133" t="n">
        <f aca="false">IF(OR(HK$4="",$B19=""),0,SUMIF('DADOS BRUTOS'!$A$3:$A$500,$B19,'DADOS BRUTOS'!EK$3:EK$500)+IF($C19="",0,SUMIF('DADOS BRUTOS'!$A$3:$A$500,$C19,'DADOS BRUTOS'!EK$3:EK$500)))</f>
        <v>0</v>
      </c>
      <c r="HL19" s="133" t="n">
        <f aca="false">IF(OR(HL$4="",$B19=""),0,SUMIF('DADOS BRUTOS'!$A$3:$A$500,$B19,'DADOS BRUTOS'!EL$3:EL$500)+IF($C19="",0,SUMIF('DADOS BRUTOS'!$A$3:$A$500,$C19,'DADOS BRUTOS'!EL$3:EL$500)))</f>
        <v>0</v>
      </c>
      <c r="HM19" s="133" t="n">
        <f aca="false">IF(OR(HM$4="",$B19=""),0,SUMIF('DADOS BRUTOS'!$A$3:$A$500,$B19,'DADOS BRUTOS'!EM$3:EM$500)+IF($C19="",0,SUMIF('DADOS BRUTOS'!$A$3:$A$500,$C19,'DADOS BRUTOS'!EM$3:EM$500)))</f>
        <v>0</v>
      </c>
      <c r="HN19" s="133" t="n">
        <f aca="false">IF(OR(HN$4="",$B19=""),0,SUMIF('DADOS BRUTOS'!$A$3:$A$500,$B19,'DADOS BRUTOS'!EN$3:EN$500)+IF($C19="",0,SUMIF('DADOS BRUTOS'!$A$3:$A$500,$C19,'DADOS BRUTOS'!EN$3:EN$500)))</f>
        <v>0</v>
      </c>
      <c r="HO19" s="133" t="n">
        <f aca="false">IF(OR(HO$4="",$B19=""),0,SUMIF('DADOS BRUTOS'!$A$3:$A$500,$B19,'DADOS BRUTOS'!EO$3:EO$500)+IF($C19="",0,SUMIF('DADOS BRUTOS'!$A$3:$A$500,$C19,'DADOS BRUTOS'!EO$3:EO$500)))</f>
        <v>0</v>
      </c>
      <c r="HP19" s="133" t="n">
        <f aca="false">IF(OR(HP$4="",$B19=""),0,SUMIF('DADOS BRUTOS'!$A$3:$A$500,$B19,'DADOS BRUTOS'!EP$3:EP$500)+IF($C19="",0,SUMIF('DADOS BRUTOS'!$A$3:$A$500,$C19,'DADOS BRUTOS'!EP$3:EP$500)))</f>
        <v>0</v>
      </c>
      <c r="HQ19" s="133" t="n">
        <f aca="false">IF(OR(HQ$4="",$B19=""),0,SUMIF('DADOS BRUTOS'!$A$3:$A$500,$B19,'DADOS BRUTOS'!EQ$3:EQ$500)+IF($C19="",0,SUMIF('DADOS BRUTOS'!$A$3:$A$500,$C19,'DADOS BRUTOS'!EQ$3:EQ$500)))</f>
        <v>0</v>
      </c>
      <c r="HR19" s="133" t="n">
        <f aca="false">IF(OR(HR$4="",$B19=""),0,SUMIF('DADOS BRUTOS'!$A$3:$A$500,$B19,'DADOS BRUTOS'!ER$3:ER$500)+IF($C19="",0,SUMIF('DADOS BRUTOS'!$A$3:$A$500,$C19,'DADOS BRUTOS'!ER$3:ER$500)))</f>
        <v>0</v>
      </c>
      <c r="HS19" s="133" t="n">
        <f aca="false">IF(OR(HS$4="",$B19=""),0,SUMIF('DADOS BRUTOS'!$A$3:$A$500,$B19,'DADOS BRUTOS'!ES$3:ES$500)+IF($C19="",0,SUMIF('DADOS BRUTOS'!$A$3:$A$500,$C19,'DADOS BRUTOS'!ES$3:ES$500)))</f>
        <v>0</v>
      </c>
      <c r="HT19" s="133" t="n">
        <f aca="false">IF(OR(HT$4="",$B19=""),0,SUMIF('DADOS BRUTOS'!$A$3:$A$500,$B19,'DADOS BRUTOS'!ET$3:ET$500)+IF($C19="",0,SUMIF('DADOS BRUTOS'!$A$3:$A$500,$C19,'DADOS BRUTOS'!ET$3:ET$500)))</f>
        <v>0</v>
      </c>
      <c r="HU19" s="133" t="n">
        <f aca="false">IF(OR(HU$4="",$B19=""),0,SUMIF('DADOS BRUTOS'!$A$3:$A$500,$B19,'DADOS BRUTOS'!EU$3:EU$500)+IF($C19="",0,SUMIF('DADOS BRUTOS'!$A$3:$A$500,$C19,'DADOS BRUTOS'!EU$3:EU$500)))</f>
        <v>0</v>
      </c>
      <c r="HV19" s="133" t="n">
        <f aca="false">IF(OR(HV$4="",$B19=""),0,SUMIF('DADOS BRUTOS'!$A$3:$A$500,$B19,'DADOS BRUTOS'!EV$3:EV$500)+IF($C19="",0,SUMIF('DADOS BRUTOS'!$A$3:$A$500,$C19,'DADOS BRUTOS'!EV$3:EV$500)))</f>
        <v>0</v>
      </c>
      <c r="HW19" s="133" t="n">
        <f aca="false">IF(OR(HW$4="",$B19=""),0,SUMIF('DADOS BRUTOS'!$A$3:$A$500,$B19,'DADOS BRUTOS'!EW$3:EW$500)+IF($C19="",0,SUMIF('DADOS BRUTOS'!$A$3:$A$500,$C19,'DADOS BRUTOS'!EW$3:EW$500)))</f>
        <v>0</v>
      </c>
      <c r="HX19" s="133" t="n">
        <f aca="false">IF(OR(HX$4="",$B19=""),0,SUMIF('DADOS BRUTOS'!$A$3:$A$500,$B19,'DADOS BRUTOS'!EX$3:EX$500)+IF($C19="",0,SUMIF('DADOS BRUTOS'!$A$3:$A$500,$C19,'DADOS BRUTOS'!EX$3:EX$500)))</f>
        <v>0</v>
      </c>
      <c r="HY19" s="133" t="n">
        <f aca="false">IF(OR(HY$4="",$B19=""),0,SUMIF('DADOS BRUTOS'!$A$3:$A$500,$B19,'DADOS BRUTOS'!EY$3:EY$500)+IF($C19="",0,SUMIF('DADOS BRUTOS'!$A$3:$A$500,$C19,'DADOS BRUTOS'!EY$3:EY$500)))</f>
        <v>0</v>
      </c>
      <c r="HZ19" s="133" t="n">
        <f aca="false">IF(OR(HZ$4="",$B19=""),0,SUMIF('DADOS BRUTOS'!$A$3:$A$500,$B19,'DADOS BRUTOS'!EZ$3:EZ$500)+IF($C19="",0,SUMIF('DADOS BRUTOS'!$A$3:$A$500,$C19,'DADOS BRUTOS'!EZ$3:EZ$500)))</f>
        <v>0</v>
      </c>
      <c r="IA19" s="133" t="n">
        <f aca="false">IF(OR(IA$4="",$B19=""),0,SUMIF('DADOS BRUTOS'!$A$3:$A$500,$B19,'DADOS BRUTOS'!FA$3:FA$500)+IF($C19="",0,SUMIF('DADOS BRUTOS'!$A$3:$A$500,$C19,'DADOS BRUTOS'!FA$3:FA$500)))</f>
        <v>0</v>
      </c>
      <c r="IB19" s="133" t="n">
        <f aca="false">IF(OR(IB$4="",$B19=""),0,SUMIF('DADOS BRUTOS'!$A$3:$A$500,$B19,'DADOS BRUTOS'!FB$3:FB$500)+IF($C19="",0,SUMIF('DADOS BRUTOS'!$A$3:$A$500,$C19,'DADOS BRUTOS'!FB$3:FB$500)))</f>
        <v>0</v>
      </c>
      <c r="IC19" s="133" t="n">
        <f aca="false">IF(OR(IC$4="",$B19=""),0,SUMIF('DADOS BRUTOS'!$A$3:$A$500,$B19,'DADOS BRUTOS'!FC$3:FC$500)+IF($C19="",0,SUMIF('DADOS BRUTOS'!$A$3:$A$500,$C19,'DADOS BRUTOS'!FC$3:FC$500)))</f>
        <v>0</v>
      </c>
      <c r="ID19" s="133" t="n">
        <f aca="false">IF(OR(ID$4="",$B19=""),0,SUMIF('DADOS BRUTOS'!$A$3:$A$500,$B19,'DADOS BRUTOS'!FD$3:FD$500)+IF($C19="",0,SUMIF('DADOS BRUTOS'!$A$3:$A$500,$C19,'DADOS BRUTOS'!FD$3:FD$500)))</f>
        <v>0</v>
      </c>
      <c r="IE19" s="133" t="n">
        <f aca="false">IF(OR(IE$4="",$B19=""),0,SUMIF('DADOS BRUTOS'!$A$3:$A$500,$B19,'DADOS BRUTOS'!FE$3:FE$500)+IF($C19="",0,SUMIF('DADOS BRUTOS'!$A$3:$A$500,$C19,'DADOS BRUTOS'!FE$3:FE$500)))</f>
        <v>0</v>
      </c>
      <c r="IF19" s="133" t="n">
        <f aca="false">IF(OR(IF$4="",$B19=""),0,SUMIF('DADOS BRUTOS'!$A$3:$A$500,$B19,'DADOS BRUTOS'!FF$3:FF$500)+IF($C19="",0,SUMIF('DADOS BRUTOS'!$A$3:$A$500,$C19,'DADOS BRUTOS'!FF$3:FF$500)))</f>
        <v>0</v>
      </c>
      <c r="IG19" s="133" t="n">
        <f aca="false">IF(OR(IG$4="",$B19=""),0,SUMIF('DADOS BRUTOS'!$A$3:$A$500,$B19,'DADOS BRUTOS'!FG$3:FG$500)+IF($C19="",0,SUMIF('DADOS BRUTOS'!$A$3:$A$500,$C19,'DADOS BRUTOS'!FG$3:FG$500)))</f>
        <v>0</v>
      </c>
      <c r="IH19" s="133" t="n">
        <f aca="false">IF(OR(IH$4="",$B19=""),0,SUMIF('DADOS BRUTOS'!$A$3:$A$500,$B19,'DADOS BRUTOS'!FH$3:FH$500)+IF($C19="",0,SUMIF('DADOS BRUTOS'!$A$3:$A$500,$C19,'DADOS BRUTOS'!FH$3:FH$500)))</f>
        <v>0</v>
      </c>
      <c r="II19" s="133" t="n">
        <f aca="false">IF(OR(II$4="",$B19=""),0,SUMIF('DADOS BRUTOS'!$A$3:$A$500,$B19,'DADOS BRUTOS'!FI$3:FI$500)+IF($C19="",0,SUMIF('DADOS BRUTOS'!$A$3:$A$500,$C19,'DADOS BRUTOS'!FI$3:FI$500)))</f>
        <v>0</v>
      </c>
      <c r="IJ19" s="133" t="n">
        <f aca="false">IF(OR(IJ$4="",$B19=""),0,SUMIF('DADOS BRUTOS'!$A$3:$A$500,$B19,'DADOS BRUTOS'!FJ$3:FJ$500)+IF($C19="",0,SUMIF('DADOS BRUTOS'!$A$3:$A$500,$C19,'DADOS BRUTOS'!FJ$3:FJ$500)))</f>
        <v>0</v>
      </c>
      <c r="IK19" s="133" t="n">
        <f aca="false">IF(OR(IK$4="",$B19=""),0,SUMIF('DADOS BRUTOS'!$A$3:$A$500,$B19,'DADOS BRUTOS'!FK$3:FK$500)+IF($C19="",0,SUMIF('DADOS BRUTOS'!$A$3:$A$500,$C19,'DADOS BRUTOS'!FK$3:FK$500)))</f>
        <v>0</v>
      </c>
      <c r="IL19" s="133" t="n">
        <f aca="false">IF(OR(IL$4="",$B19=""),0,SUMIF('DADOS BRUTOS'!$A$3:$A$500,$B19,'DADOS BRUTOS'!FL$3:FL$500)+IF($C19="",0,SUMIF('DADOS BRUTOS'!$A$3:$A$500,$C19,'DADOS BRUTOS'!FL$3:FL$500)))</f>
        <v>0</v>
      </c>
      <c r="IM19" s="133" t="n">
        <f aca="false">IF(OR(IM$4="",$B19=""),0,SUMIF('DADOS BRUTOS'!$A$3:$A$500,$B19,'DADOS BRUTOS'!FM$3:FM$500)+IF($C19="",0,SUMIF('DADOS BRUTOS'!$A$3:$A$500,$C19,'DADOS BRUTOS'!FM$3:FM$500)))</f>
        <v>0</v>
      </c>
      <c r="IN19" s="133" t="n">
        <f aca="false">IF(OR(IN$4="",$B19=""),0,SUMIF('DADOS BRUTOS'!$A$3:$A$500,$B19,'DADOS BRUTOS'!FN$3:FN$500)+IF($C19="",0,SUMIF('DADOS BRUTOS'!$A$3:$A$500,$C19,'DADOS BRUTOS'!FN$3:FN$500)))</f>
        <v>0</v>
      </c>
      <c r="IO19" s="133" t="n">
        <f aca="false">IF(OR(IO$4="",$B19=""),0,SUMIF('DADOS BRUTOS'!$A$3:$A$500,$B19,'DADOS BRUTOS'!FO$3:FO$500)+IF($C19="",0,SUMIF('DADOS BRUTOS'!$A$3:$A$500,$C19,'DADOS BRUTOS'!FO$3:FO$500)))</f>
        <v>0</v>
      </c>
      <c r="IP19" s="133" t="n">
        <f aca="false">IF(OR(IP$4="",$B19=""),0,SUMIF('DADOS BRUTOS'!$A$3:$A$500,$B19,'DADOS BRUTOS'!FP$3:FP$500)+IF($C19="",0,SUMIF('DADOS BRUTOS'!$A$3:$A$500,$C19,'DADOS BRUTOS'!FP$3:FP$500)))</f>
        <v>0</v>
      </c>
      <c r="IQ19" s="133" t="n">
        <f aca="false">IF(OR(IQ$4="",$B19=""),0,SUMIF('DADOS BRUTOS'!$A$3:$A$500,$B19,'DADOS BRUTOS'!FQ$3:FQ$500)+IF($C19="",0,SUMIF('DADOS BRUTOS'!$A$3:$A$500,$C19,'DADOS BRUTOS'!FQ$3:FQ$500)))</f>
        <v>0</v>
      </c>
      <c r="IR19" s="133" t="n">
        <f aca="false">IF(OR(IR$4="",$B19=""),0,SUMIF('DADOS BRUTOS'!$A$3:$A$500,$B19,'DADOS BRUTOS'!FR$3:FR$500)+IF($C19="",0,SUMIF('DADOS BRUTOS'!$A$3:$A$500,$C19,'DADOS BRUTOS'!FR$3:FR$500)))</f>
        <v>0</v>
      </c>
      <c r="IS19" s="133" t="n">
        <f aca="false">IF(OR(IS$4="",$B19=""),0,SUMIF('DADOS BRUTOS'!$A$3:$A$500,$B19,'DADOS BRUTOS'!FS$3:FS$500)+IF($C19="",0,SUMIF('DADOS BRUTOS'!$A$3:$A$500,$C19,'DADOS BRUTOS'!FS$3:FS$500)))</f>
        <v>0</v>
      </c>
      <c r="IT19" s="133" t="n">
        <f aca="false">IF(OR(IT$4="",$B19=""),0,SUMIF('DADOS BRUTOS'!$A$3:$A$500,$B19,'DADOS BRUTOS'!FT$3:FT$500)+IF($C19="",0,SUMIF('DADOS BRUTOS'!$A$3:$A$500,$C19,'DADOS BRUTOS'!FT$3:FT$500)))</f>
        <v>0</v>
      </c>
      <c r="IU19" s="133" t="n">
        <f aca="false">IF(OR(IU$4="",$B19=""),0,SUMIF('DADOS BRUTOS'!$A$3:$A$500,$B19,'DADOS BRUTOS'!FU$3:FU$500)+IF($C19="",0,SUMIF('DADOS BRUTOS'!$A$3:$A$500,$C19,'DADOS BRUTOS'!FU$3:FU$500)))</f>
        <v>0</v>
      </c>
      <c r="IV19" s="133" t="n">
        <f aca="false">IF(OR(IV$4="",$B19=""),0,SUMIF('DADOS BRUTOS'!$A$3:$A$500,$B19,'DADOS BRUTOS'!FV$3:FV$500)+IF($C19="",0,SUMIF('DADOS BRUTOS'!$A$3:$A$500,$C19,'DADOS BRUTOS'!FV$3:FV$500)))</f>
        <v>0</v>
      </c>
      <c r="IW19" s="133" t="n">
        <f aca="false">IF(OR(IW$4="",$B19=""),0,SUMIF('DADOS BRUTOS'!$A$3:$A$500,$B19,'DADOS BRUTOS'!FW$3:FW$500)+IF($C19="",0,SUMIF('DADOS BRUTOS'!$A$3:$A$500,$C19,'DADOS BRUTOS'!FW$3:FW$500)))</f>
        <v>0</v>
      </c>
      <c r="IX19" s="133" t="n">
        <f aca="false">IF(OR(IX$4="",$B19=""),0,SUMIF('DADOS BRUTOS'!$A$3:$A$500,$B19,'DADOS BRUTOS'!FX$3:FX$500)+IF($C19="",0,SUMIF('DADOS BRUTOS'!$A$3:$A$500,$C19,'DADOS BRUTOS'!FX$3:FX$500)))</f>
        <v>0</v>
      </c>
      <c r="IY19" s="133" t="n">
        <f aca="false">IF(OR(IY$4="",$B19=""),0,SUMIF('DADOS BRUTOS'!$A$3:$A$500,$B19,'DADOS BRUTOS'!FY$3:FY$500)+IF($C19="",0,SUMIF('DADOS BRUTOS'!$A$3:$A$500,$C19,'DADOS BRUTOS'!FY$3:FY$500)))</f>
        <v>0</v>
      </c>
      <c r="IZ19" s="133" t="n">
        <f aca="false">IF(OR(IZ$4="",$B19=""),0,SUMIF('DADOS BRUTOS'!$A$3:$A$500,$B19,'DADOS BRUTOS'!FZ$3:FZ$500)+IF($C19="",0,SUMIF('DADOS BRUTOS'!$A$3:$A$500,$C19,'DADOS BRUTOS'!FZ$3:FZ$500)))</f>
        <v>0</v>
      </c>
      <c r="JA19" s="133" t="n">
        <f aca="false">IF(OR(JA$4="",$B19=""),0,SUMIF('DADOS BRUTOS'!$A$3:$A$500,$B19,'DADOS BRUTOS'!GA$3:GA$500)+IF($C19="",0,SUMIF('DADOS BRUTOS'!$A$3:$A$500,$C19,'DADOS BRUTOS'!GA$3:GA$500)))</f>
        <v>0</v>
      </c>
      <c r="JB19" s="133" t="n">
        <f aca="false">IF(OR(JB$4="",$B19=""),0,SUMIF('DADOS BRUTOS'!$A$3:$A$500,$B19,'DADOS BRUTOS'!GB$3:GB$500)+IF($C19="",0,SUMIF('DADOS BRUTOS'!$A$3:$A$500,$C19,'DADOS BRUTOS'!GB$3:GB$500)))</f>
        <v>0</v>
      </c>
      <c r="JC19" s="133" t="n">
        <f aca="false">IF(OR(JC$4="",$B19=""),0,SUMIF('DADOS BRUTOS'!$A$3:$A$500,$B19,'DADOS BRUTOS'!GC$3:GC$500)+IF($C19="",0,SUMIF('DADOS BRUTOS'!$A$3:$A$500,$C19,'DADOS BRUTOS'!GC$3:GC$500)))</f>
        <v>0</v>
      </c>
      <c r="JD19" s="133" t="n">
        <f aca="false">IF(OR(JD$4="",$B19=""),0,SUMIF('DADOS BRUTOS'!$A$3:$A$500,$B19,'DADOS BRUTOS'!GD$3:GD$500)+IF($C19="",0,SUMIF('DADOS BRUTOS'!$A$3:$A$500,$C19,'DADOS BRUTOS'!GD$3:GD$500)))</f>
        <v>0</v>
      </c>
      <c r="JE19" s="133" t="n">
        <f aca="false">IF(OR(JE$4="",$B19=""),0,SUMIF('DADOS BRUTOS'!$A$3:$A$500,$B19,'DADOS BRUTOS'!GE$3:GE$500)+IF($C19="",0,SUMIF('DADOS BRUTOS'!$A$3:$A$500,$C19,'DADOS BRUTOS'!GE$3:GE$500)))</f>
        <v>0</v>
      </c>
      <c r="JF19" s="133" t="n">
        <f aca="false">IF(OR(JF$4="",$B19=""),0,SUMIF('DADOS BRUTOS'!$A$3:$A$500,$B19,'DADOS BRUTOS'!GF$3:GF$500)+IF($C19="",0,SUMIF('DADOS BRUTOS'!$A$3:$A$500,$C19,'DADOS BRUTOS'!GF$3:GF$500)))</f>
        <v>0</v>
      </c>
      <c r="JG19" s="133" t="n">
        <f aca="false">IF(OR(JG$4="",$B19=""),0,SUMIF('DADOS BRUTOS'!$A$3:$A$500,$B19,'DADOS BRUTOS'!GG$3:GG$500)+IF($C19="",0,SUMIF('DADOS BRUTOS'!$A$3:$A$500,$C19,'DADOS BRUTOS'!GG$3:GG$500)))</f>
        <v>0</v>
      </c>
      <c r="JH19" s="133" t="n">
        <f aca="false">IF(OR(JH$4="",$B19=""),0,SUMIF('DADOS BRUTOS'!$A$3:$A$500,$B19,'DADOS BRUTOS'!GH$3:GH$500)+IF($C19="",0,SUMIF('DADOS BRUTOS'!$A$3:$A$500,$C19,'DADOS BRUTOS'!GH$3:GH$500)))</f>
        <v>0</v>
      </c>
      <c r="JI19" s="133" t="n">
        <f aca="false">IF(OR(JI$4="",$B19=""),0,SUMIF('DADOS BRUTOS'!$A$3:$A$500,$B19,'DADOS BRUTOS'!GI$3:GI$500)+IF($C19="",0,SUMIF('DADOS BRUTOS'!$A$3:$A$500,$C19,'DADOS BRUTOS'!GI$3:GI$500)))</f>
        <v>0</v>
      </c>
      <c r="JJ19" s="133" t="n">
        <f aca="false">IF(OR(JJ$4="",$B19=""),0,SUMIF('DADOS BRUTOS'!$A$3:$A$500,$B19,'DADOS BRUTOS'!GJ$3:GJ$500)+IF($C19="",0,SUMIF('DADOS BRUTOS'!$A$3:$A$500,$C19,'DADOS BRUTOS'!GJ$3:GJ$500)))</f>
        <v>0</v>
      </c>
      <c r="JK19" s="133" t="n">
        <f aca="false">IF(OR(JK$4="",$B19=""),0,SUMIF('DADOS BRUTOS'!$A$3:$A$500,$B19,'DADOS BRUTOS'!GK$3:GK$500)+IF($C19="",0,SUMIF('DADOS BRUTOS'!$A$3:$A$500,$C19,'DADOS BRUTOS'!GK$3:GK$500)))</f>
        <v>0</v>
      </c>
      <c r="JL19" s="133" t="n">
        <f aca="false">IF(OR(JL$4="",$B19=""),0,SUMIF('DADOS BRUTOS'!$A$3:$A$500,$B19,'DADOS BRUTOS'!GL$3:GL$500)+IF($C19="",0,SUMIF('DADOS BRUTOS'!$A$3:$A$500,$C19,'DADOS BRUTOS'!GL$3:GL$500)))</f>
        <v>0</v>
      </c>
      <c r="JM19" s="133" t="n">
        <f aca="false">IF(OR(JM$4="",$B19=""),0,SUMIF('DADOS BRUTOS'!$A$3:$A$500,$B19,'DADOS BRUTOS'!GM$3:GM$500)+IF($C19="",0,SUMIF('DADOS BRUTOS'!$A$3:$A$500,$C19,'DADOS BRUTOS'!GM$3:GM$500)))</f>
        <v>0</v>
      </c>
      <c r="JN19" s="133" t="n">
        <f aca="false">IF(OR(JN$4="",$B19=""),0,SUMIF('DADOS BRUTOS'!$A$3:$A$500,$B19,'DADOS BRUTOS'!GN$3:GN$500)+IF($C19="",0,SUMIF('DADOS BRUTOS'!$A$3:$A$500,$C19,'DADOS BRUTOS'!GN$3:GN$500)))</f>
        <v>0</v>
      </c>
      <c r="JO19" s="133" t="n">
        <f aca="false">IF(OR(JO$4="",$B19=""),0,SUMIF('DADOS BRUTOS'!$A$3:$A$500,$B19,'DADOS BRUTOS'!GO$3:GO$500)+IF($C19="",0,SUMIF('DADOS BRUTOS'!$A$3:$A$500,$C19,'DADOS BRUTOS'!GO$3:GO$500)))</f>
        <v>0</v>
      </c>
      <c r="JP19" s="133" t="n">
        <f aca="false">IF(OR(JP$4="",$B19=""),0,SUMIF('DADOS BRUTOS'!$A$3:$A$500,$B19,'DADOS BRUTOS'!GP$3:GP$500)+IF($C19="",0,SUMIF('DADOS BRUTOS'!$A$3:$A$500,$C19,'DADOS BRUTOS'!GP$3:GP$500)))</f>
        <v>0</v>
      </c>
      <c r="JQ19" s="133" t="n">
        <f aca="false">IF(OR(JQ$4="",$B19=""),0,SUMIF('DADOS BRUTOS'!$A$3:$A$500,$B19,'DADOS BRUTOS'!GQ$3:GQ$500)+IF($C19="",0,SUMIF('DADOS BRUTOS'!$A$3:$A$500,$C19,'DADOS BRUTOS'!GQ$3:GQ$500)))</f>
        <v>0</v>
      </c>
      <c r="JR19" s="133" t="n">
        <f aca="false">IF(OR(JR$4="",$B19=""),0,SUMIF('DADOS BRUTOS'!$A$3:$A$500,$B19,'DADOS BRUTOS'!GR$3:GR$500)+IF($C19="",0,SUMIF('DADOS BRUTOS'!$A$3:$A$500,$C19,'DADOS BRUTOS'!GR$3:GR$500)))</f>
        <v>0</v>
      </c>
      <c r="JS19" s="133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0</v>
      </c>
      <c r="H20" s="50" t="n">
        <f aca="false">SUMIF($CB$4:$JS$4,H$4,$CB20:$JS20)</f>
        <v>0</v>
      </c>
      <c r="I20" s="50" t="n">
        <f aca="false">SUMIF($CB$4:$JS$4,I$4,$CB20:$JS20)</f>
        <v>0</v>
      </c>
      <c r="J20" s="50" t="n">
        <f aca="false">SUMIF($CB$4:$JS$4,J$4,$CB20:$JS20)</f>
        <v>0</v>
      </c>
      <c r="K20" s="50" t="n">
        <f aca="false">SUMIF($CB$4:$JS$4,K$4,$CB20:$JS20)</f>
        <v>0</v>
      </c>
      <c r="L20" s="50" t="n">
        <f aca="false">SUMIF($CB$4:$JS$4,L$4,$CB20:$JS20)</f>
        <v>0</v>
      </c>
      <c r="M20" s="50" t="n">
        <f aca="false">SUMIF($CB$4:$JS$4,M$4,$CB20:$JS20)</f>
        <v>0</v>
      </c>
      <c r="N20" s="50" t="n">
        <f aca="false">SUMIF($CB$4:$JS$4,N$4,$CB20:$JS20)</f>
        <v>0</v>
      </c>
      <c r="O20" s="50" t="n">
        <f aca="false">SUMIF($CB$4:$JS$4,O$4,$CB20:$JS20)</f>
        <v>0</v>
      </c>
      <c r="P20" s="50" t="n">
        <f aca="false">SUMIF($CB$4:$JS$4,P$4,$CB20:$JS20)</f>
        <v>0</v>
      </c>
      <c r="Q20" s="50" t="n">
        <f aca="false">SUMIF($CB$4:$JS$4,Q$4,$CB20:$JS20)</f>
        <v>0</v>
      </c>
      <c r="R20" s="50" t="n">
        <f aca="false">SUMIF($CB$4:$JS$4,R$4,$CB20:$JS20)</f>
        <v>0</v>
      </c>
      <c r="S20" s="50" t="n">
        <f aca="false">SUMIF($CB$4:$JS$4,S$4,$CB20:$JS20)</f>
        <v>0</v>
      </c>
      <c r="T20" s="50" t="n">
        <f aca="false">SUMIF($CB$4:$JS$4,T$4,$CB20:$JS20)</f>
        <v>20138.34</v>
      </c>
      <c r="U20" s="50" t="n">
        <f aca="false">SUMIF($CB$4:$JS$4,U$4,$CB20:$JS20)</f>
        <v>304245.22</v>
      </c>
      <c r="V20" s="50" t="n">
        <f aca="false">SUMIF($CB$4:$JS$4,V$4,$CB20:$JS20)</f>
        <v>700460.71</v>
      </c>
      <c r="W20" s="50" t="n">
        <f aca="false">SUMIF($CB$4:$JS$4,W$4,$CB20:$JS20)</f>
        <v>1455797.59</v>
      </c>
      <c r="X20" s="50" t="n">
        <f aca="false">SUMIF($CB$4:$JS$4,X$4,$CB20:$JS20)</f>
        <v>480698.83</v>
      </c>
      <c r="Y20" s="50" t="n">
        <f aca="false">SUMIF($CB$4:$JS$4,Y$4,$CB20:$JS20)</f>
        <v>50605.81</v>
      </c>
      <c r="Z20" s="50" t="n">
        <f aca="false">SUMIF($CB$4:$JS$4,Z$4,$CB20:$JS20)</f>
        <v>8834.66</v>
      </c>
      <c r="AA20" s="50" t="n">
        <f aca="false">SUMIF($CB$4:$JS$4,AA$4,$CB20:$JS20)</f>
        <v>0</v>
      </c>
      <c r="AB20" s="50" t="n">
        <f aca="false">SUMIF($CB$4:$JS$4,AB$4,$CB20:$JS20)</f>
        <v>19943.08</v>
      </c>
      <c r="AC20" s="50" t="n">
        <f aca="false">SUMIF($CB$4:$JS$4,AC$4,$CB20:$JS20)</f>
        <v>22778.61</v>
      </c>
      <c r="AD20" s="50" t="n">
        <f aca="false">SUMIF($CB$4:$JS$4,AD$4,$CB20:$JS20)</f>
        <v>2356.48</v>
      </c>
      <c r="AE20" s="50" t="n">
        <f aca="false">SUMIF($CB$4:$JS$4,AE$4,$CB20:$JS20)</f>
        <v>2007.28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0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3768.88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3071635.49</v>
      </c>
      <c r="BZ20" s="45" t="n">
        <f aca="false">SUMPRODUCT(($CB$4:$JS$4&lt;&gt;"")*($CB$4:$JS$4&lt;=$D$4),$CB20:$JS20,$CB$1:$JS$1)</f>
        <v>0</v>
      </c>
      <c r="CB20" s="133" t="n">
        <f aca="false">IF(OR(CB$4="",$B20=""),0,SUMIF('DADOS BRUTOS'!$A$3:$A$500,$B20,'DADOS BRUTOS'!B$3:B$500)+IF($C20="",0,SUMIF('DADOS BRUTOS'!$A$3:$A$500,$C20,'DADOS BRUTOS'!B$3:B$500)))</f>
        <v>0</v>
      </c>
      <c r="CC20" s="133" t="n">
        <f aca="false">IF(OR(CC$4="",$B20=""),0,SUMIF('DADOS BRUTOS'!$A$3:$A$500,$B20,'DADOS BRUTOS'!C$3:C$500)+IF($C20="",0,SUMIF('DADOS BRUTOS'!$A$3:$A$500,$C20,'DADOS BRUTOS'!C$3:C$500)))</f>
        <v>0</v>
      </c>
      <c r="CD20" s="133" t="n">
        <f aca="false">IF(OR(CD$4="",$B20=""),0,SUMIF('DADOS BRUTOS'!$A$3:$A$500,$B20,'DADOS BRUTOS'!D$3:D$500)+IF($C20="",0,SUMIF('DADOS BRUTOS'!$A$3:$A$500,$C20,'DADOS BRUTOS'!D$3:D$500)))</f>
        <v>0</v>
      </c>
      <c r="CE20" s="133" t="n">
        <f aca="false">IF(OR(CE$4="",$B20=""),0,SUMIF('DADOS BRUTOS'!$A$3:$A$500,$B20,'DADOS BRUTOS'!E$3:E$500)+IF($C20="",0,SUMIF('DADOS BRUTOS'!$A$3:$A$500,$C20,'DADOS BRUTOS'!E$3:E$500)))</f>
        <v>0</v>
      </c>
      <c r="CF20" s="133" t="n">
        <f aca="false">IF(OR(CF$4="",$B20=""),0,SUMIF('DADOS BRUTOS'!$A$3:$A$500,$B20,'DADOS BRUTOS'!F$3:F$500)+IF($C20="",0,SUMIF('DADOS BRUTOS'!$A$3:$A$500,$C20,'DADOS BRUTOS'!F$3:F$500)))</f>
        <v>0</v>
      </c>
      <c r="CG20" s="133" t="n">
        <f aca="false">IF(OR(CG$4="",$B20=""),0,SUMIF('DADOS BRUTOS'!$A$3:$A$500,$B20,'DADOS BRUTOS'!G$3:G$500)+IF($C20="",0,SUMIF('DADOS BRUTOS'!$A$3:$A$500,$C20,'DADOS BRUTOS'!G$3:G$500)))</f>
        <v>0</v>
      </c>
      <c r="CH20" s="133" t="n">
        <f aca="false">IF(OR(CH$4="",$B20=""),0,SUMIF('DADOS BRUTOS'!$A$3:$A$500,$B20,'DADOS BRUTOS'!H$3:H$500)+IF($C20="",0,SUMIF('DADOS BRUTOS'!$A$3:$A$500,$C20,'DADOS BRUTOS'!H$3:H$500)))</f>
        <v>0</v>
      </c>
      <c r="CI20" s="133" t="n">
        <f aca="false">IF(OR(CI$4="",$B20=""),0,SUMIF('DADOS BRUTOS'!$A$3:$A$500,$B20,'DADOS BRUTOS'!I$3:I$500)+IF($C20="",0,SUMIF('DADOS BRUTOS'!$A$3:$A$500,$C20,'DADOS BRUTOS'!I$3:I$500)))</f>
        <v>0</v>
      </c>
      <c r="CJ20" s="133" t="n">
        <f aca="false">IF(OR(CJ$4="",$B20=""),0,SUMIF('DADOS BRUTOS'!$A$3:$A$500,$B20,'DADOS BRUTOS'!J$3:J$500)+IF($C20="",0,SUMIF('DADOS BRUTOS'!$A$3:$A$500,$C20,'DADOS BRUTOS'!J$3:J$500)))</f>
        <v>0</v>
      </c>
      <c r="CK20" s="133" t="n">
        <f aca="false">IF(OR(CK$4="",$B20=""),0,SUMIF('DADOS BRUTOS'!$A$3:$A$500,$B20,'DADOS BRUTOS'!K$3:K$500)+IF($C20="",0,SUMIF('DADOS BRUTOS'!$A$3:$A$500,$C20,'DADOS BRUTOS'!K$3:K$500)))</f>
        <v>0</v>
      </c>
      <c r="CL20" s="133" t="n">
        <f aca="false">IF(OR(CL$4="",$B20=""),0,SUMIF('DADOS BRUTOS'!$A$3:$A$500,$B20,'DADOS BRUTOS'!L$3:L$500)+IF($C20="",0,SUMIF('DADOS BRUTOS'!$A$3:$A$500,$C20,'DADOS BRUTOS'!L$3:L$500)))</f>
        <v>0</v>
      </c>
      <c r="CM20" s="133" t="n">
        <f aca="false">IF(OR(CM$4="",$B20=""),0,SUMIF('DADOS BRUTOS'!$A$3:$A$500,$B20,'DADOS BRUTOS'!M$3:M$500)+IF($C20="",0,SUMIF('DADOS BRUTOS'!$A$3:$A$500,$C20,'DADOS BRUTOS'!M$3:M$500)))</f>
        <v>0</v>
      </c>
      <c r="CN20" s="133" t="n">
        <f aca="false">IF(OR(CN$4="",$B20=""),0,SUMIF('DADOS BRUTOS'!$A$3:$A$500,$B20,'DADOS BRUTOS'!N$3:N$500)+IF($C20="",0,SUMIF('DADOS BRUTOS'!$A$3:$A$500,$C20,'DADOS BRUTOS'!N$3:N$500)))</f>
        <v>0</v>
      </c>
      <c r="CO20" s="133" t="n">
        <f aca="false">IF(OR(CO$4="",$B20=""),0,SUMIF('DADOS BRUTOS'!$A$3:$A$500,$B20,'DADOS BRUTOS'!O$3:O$500)+IF($C20="",0,SUMIF('DADOS BRUTOS'!$A$3:$A$500,$C20,'DADOS BRUTOS'!O$3:O$500)))</f>
        <v>0</v>
      </c>
      <c r="CP20" s="133" t="n">
        <f aca="false">IF(OR(CP$4="",$B20=""),0,SUMIF('DADOS BRUTOS'!$A$3:$A$500,$B20,'DADOS BRUTOS'!P$3:P$500)+IF($C20="",0,SUMIF('DADOS BRUTOS'!$A$3:$A$500,$C20,'DADOS BRUTOS'!P$3:P$500)))</f>
        <v>0</v>
      </c>
      <c r="CQ20" s="133" t="n">
        <f aca="false">IF(OR(CQ$4="",$B20=""),0,SUMIF('DADOS BRUTOS'!$A$3:$A$500,$B20,'DADOS BRUTOS'!Q$3:Q$500)+IF($C20="",0,SUMIF('DADOS BRUTOS'!$A$3:$A$500,$C20,'DADOS BRUTOS'!Q$3:Q$500)))</f>
        <v>0</v>
      </c>
      <c r="CR20" s="133" t="n">
        <f aca="false">IF(OR(CR$4="",$B20=""),0,SUMIF('DADOS BRUTOS'!$A$3:$A$500,$B20,'DADOS BRUTOS'!R$3:R$500)+IF($C20="",0,SUMIF('DADOS BRUTOS'!$A$3:$A$500,$C20,'DADOS BRUTOS'!R$3:R$500)))</f>
        <v>0</v>
      </c>
      <c r="CS20" s="133" t="n">
        <f aca="false">IF(OR(CS$4="",$B20=""),0,SUMIF('DADOS BRUTOS'!$A$3:$A$500,$B20,'DADOS BRUTOS'!S$3:S$500)+IF($C20="",0,SUMIF('DADOS BRUTOS'!$A$3:$A$500,$C20,'DADOS BRUTOS'!S$3:S$500)))</f>
        <v>0</v>
      </c>
      <c r="CT20" s="133" t="n">
        <f aca="false">IF(OR(CT$4="",$B20=""),0,SUMIF('DADOS BRUTOS'!$A$3:$A$500,$B20,'DADOS BRUTOS'!T$3:T$500)+IF($C20="",0,SUMIF('DADOS BRUTOS'!$A$3:$A$500,$C20,'DADOS BRUTOS'!T$3:T$500)))</f>
        <v>0</v>
      </c>
      <c r="CU20" s="133" t="n">
        <f aca="false">IF(OR(CU$4="",$B20=""),0,SUMIF('DADOS BRUTOS'!$A$3:$A$500,$B20,'DADOS BRUTOS'!U$3:U$500)+IF($C20="",0,SUMIF('DADOS BRUTOS'!$A$3:$A$500,$C20,'DADOS BRUTOS'!U$3:U$500)))</f>
        <v>0</v>
      </c>
      <c r="CV20" s="133" t="n">
        <f aca="false">IF(OR(CV$4="",$B20=""),0,SUMIF('DADOS BRUTOS'!$A$3:$A$500,$B20,'DADOS BRUTOS'!V$3:V$500)+IF($C20="",0,SUMIF('DADOS BRUTOS'!$A$3:$A$500,$C20,'DADOS BRUTOS'!V$3:V$500)))</f>
        <v>0</v>
      </c>
      <c r="CW20" s="133" t="n">
        <f aca="false">IF(OR(CW$4="",$B20=""),0,SUMIF('DADOS BRUTOS'!$A$3:$A$500,$B20,'DADOS BRUTOS'!W$3:W$500)+IF($C20="",0,SUMIF('DADOS BRUTOS'!$A$3:$A$500,$C20,'DADOS BRUTOS'!W$3:W$500)))</f>
        <v>0</v>
      </c>
      <c r="CX20" s="133" t="n">
        <f aca="false">IF(OR(CX$4="",$B20=""),0,SUMIF('DADOS BRUTOS'!$A$3:$A$500,$B20,'DADOS BRUTOS'!X$3:X$500)+IF($C20="",0,SUMIF('DADOS BRUTOS'!$A$3:$A$500,$C20,'DADOS BRUTOS'!X$3:X$500)))</f>
        <v>0</v>
      </c>
      <c r="CY20" s="133" t="n">
        <f aca="false">IF(OR(CY$4="",$B20=""),0,SUMIF('DADOS BRUTOS'!$A$3:$A$500,$B20,'DADOS BRUTOS'!Y$3:Y$500)+IF($C20="",0,SUMIF('DADOS BRUTOS'!$A$3:$A$500,$C20,'DADOS BRUTOS'!Y$3:Y$500)))</f>
        <v>0</v>
      </c>
      <c r="CZ20" s="133" t="n">
        <f aca="false">IF(OR(CZ$4="",$B20=""),0,SUMIF('DADOS BRUTOS'!$A$3:$A$500,$B20,'DADOS BRUTOS'!Z$3:Z$500)+IF($C20="",0,SUMIF('DADOS BRUTOS'!$A$3:$A$500,$C20,'DADOS BRUTOS'!Z$3:Z$500)))</f>
        <v>0</v>
      </c>
      <c r="DA20" s="133" t="n">
        <f aca="false">IF(OR(DA$4="",$B20=""),0,SUMIF('DADOS BRUTOS'!$A$3:$A$500,$B20,'DADOS BRUTOS'!AA$3:AA$500)+IF($C20="",0,SUMIF('DADOS BRUTOS'!$A$3:$A$500,$C20,'DADOS BRUTOS'!AA$3:AA$500)))</f>
        <v>0</v>
      </c>
      <c r="DB20" s="133" t="n">
        <f aca="false">IF(OR(DB$4="",$B20=""),0,SUMIF('DADOS BRUTOS'!$A$3:$A$500,$B20,'DADOS BRUTOS'!AB$3:AB$500)+IF($C20="",0,SUMIF('DADOS BRUTOS'!$A$3:$A$500,$C20,'DADOS BRUTOS'!AB$3:AB$500)))</f>
        <v>0</v>
      </c>
      <c r="DC20" s="133" t="n">
        <f aca="false">IF(OR(DC$4="",$B20=""),0,SUMIF('DADOS BRUTOS'!$A$3:$A$500,$B20,'DADOS BRUTOS'!AC$3:AC$500)+IF($C20="",0,SUMIF('DADOS BRUTOS'!$A$3:$A$500,$C20,'DADOS BRUTOS'!AC$3:AC$500)))</f>
        <v>0</v>
      </c>
      <c r="DD20" s="133" t="n">
        <f aca="false">IF(OR(DD$4="",$B20=""),0,SUMIF('DADOS BRUTOS'!$A$3:$A$500,$B20,'DADOS BRUTOS'!AD$3:AD$500)+IF($C20="",0,SUMIF('DADOS BRUTOS'!$A$3:$A$500,$C20,'DADOS BRUTOS'!AD$3:AD$500)))</f>
        <v>20138.34</v>
      </c>
      <c r="DE20" s="133" t="n">
        <f aca="false">IF(OR(DE$4="",$B20=""),0,SUMIF('DADOS BRUTOS'!$A$3:$A$500,$B20,'DADOS BRUTOS'!AE$3:AE$500)+IF($C20="",0,SUMIF('DADOS BRUTOS'!$A$3:$A$500,$C20,'DADOS BRUTOS'!AE$3:AE$500)))</f>
        <v>304245.22</v>
      </c>
      <c r="DF20" s="133" t="n">
        <f aca="false">IF(OR(DF$4="",$B20=""),0,SUMIF('DADOS BRUTOS'!$A$3:$A$500,$B20,'DADOS BRUTOS'!AF$3:AF$500)+IF($C20="",0,SUMIF('DADOS BRUTOS'!$A$3:$A$500,$C20,'DADOS BRUTOS'!AF$3:AF$500)))</f>
        <v>700460.71</v>
      </c>
      <c r="DG20" s="133" t="n">
        <f aca="false">IF(OR(DG$4="",$B20=""),0,SUMIF('DADOS BRUTOS'!$A$3:$A$500,$B20,'DADOS BRUTOS'!AG$3:AG$500)+IF($C20="",0,SUMIF('DADOS BRUTOS'!$A$3:$A$500,$C20,'DADOS BRUTOS'!AG$3:AG$500)))</f>
        <v>1455797.59</v>
      </c>
      <c r="DH20" s="133" t="n">
        <f aca="false">IF(OR(DH$4="",$B20=""),0,SUMIF('DADOS BRUTOS'!$A$3:$A$500,$B20,'DADOS BRUTOS'!AH$3:AH$500)+IF($C20="",0,SUMIF('DADOS BRUTOS'!$A$3:$A$500,$C20,'DADOS BRUTOS'!AH$3:AH$500)))</f>
        <v>480698.83</v>
      </c>
      <c r="DI20" s="133" t="n">
        <f aca="false">IF(OR(DI$4="",$B20=""),0,SUMIF('DADOS BRUTOS'!$A$3:$A$500,$B20,'DADOS BRUTOS'!AI$3:AI$500)+IF($C20="",0,SUMIF('DADOS BRUTOS'!$A$3:$A$500,$C20,'DADOS BRUTOS'!AI$3:AI$500)))</f>
        <v>50605.81</v>
      </c>
      <c r="DJ20" s="133" t="n">
        <f aca="false">IF(OR(DJ$4="",$B20=""),0,SUMIF('DADOS BRUTOS'!$A$3:$A$500,$B20,'DADOS BRUTOS'!AJ$3:AJ$500)+IF($C20="",0,SUMIF('DADOS BRUTOS'!$A$3:$A$500,$C20,'DADOS BRUTOS'!AJ$3:AJ$500)))</f>
        <v>8834.66</v>
      </c>
      <c r="DK20" s="133" t="n">
        <f aca="false">IF(OR(DK$4="",$B20=""),0,SUMIF('DADOS BRUTOS'!$A$3:$A$500,$B20,'DADOS BRUTOS'!AK$3:AK$500)+IF($C20="",0,SUMIF('DADOS BRUTOS'!$A$3:$A$500,$C20,'DADOS BRUTOS'!AK$3:AK$500)))</f>
        <v>0</v>
      </c>
      <c r="DL20" s="133" t="n">
        <f aca="false">IF(OR(DL$4="",$B20=""),0,SUMIF('DADOS BRUTOS'!$A$3:$A$500,$B20,'DADOS BRUTOS'!AL$3:AL$500)+IF($C20="",0,SUMIF('DADOS BRUTOS'!$A$3:$A$500,$C20,'DADOS BRUTOS'!AL$3:AL$500)))</f>
        <v>19943.08</v>
      </c>
      <c r="DM20" s="133" t="n">
        <f aca="false">IF(OR(DM$4="",$B20=""),0,SUMIF('DADOS BRUTOS'!$A$3:$A$500,$B20,'DADOS BRUTOS'!AM$3:AM$500)+IF($C20="",0,SUMIF('DADOS BRUTOS'!$A$3:$A$500,$C20,'DADOS BRUTOS'!AM$3:AM$500)))</f>
        <v>22778.61</v>
      </c>
      <c r="DN20" s="133" t="n">
        <f aca="false">IF(OR(DN$4="",$B20=""),0,SUMIF('DADOS BRUTOS'!$A$3:$A$500,$B20,'DADOS BRUTOS'!AN$3:AN$500)+IF($C20="",0,SUMIF('DADOS BRUTOS'!$A$3:$A$500,$C20,'DADOS BRUTOS'!AN$3:AN$500)))</f>
        <v>2356.48</v>
      </c>
      <c r="DO20" s="133" t="n">
        <f aca="false">IF(OR(DO$4="",$B20=""),0,SUMIF('DADOS BRUTOS'!$A$3:$A$500,$B20,'DADOS BRUTOS'!AO$3:AO$500)+IF($C20="",0,SUMIF('DADOS BRUTOS'!$A$3:$A$500,$C20,'DADOS BRUTOS'!AO$3:AO$500)))</f>
        <v>2007.28</v>
      </c>
      <c r="DP20" s="133" t="n">
        <f aca="false">IF(OR(DP$4="",$B20=""),0,SUMIF('DADOS BRUTOS'!$A$3:$A$500,$B20,'DADOS BRUTOS'!AP$3:AP$500)+IF($C20="",0,SUMIF('DADOS BRUTOS'!$A$3:$A$500,$C20,'DADOS BRUTOS'!AP$3:AP$500)))</f>
        <v>0</v>
      </c>
      <c r="DQ20" s="133" t="n">
        <f aca="false">IF(OR(DQ$4="",$B20=""),0,SUMIF('DADOS BRUTOS'!$A$3:$A$500,$B20,'DADOS BRUTOS'!AQ$3:AQ$500)+IF($C20="",0,SUMIF('DADOS BRUTOS'!$A$3:$A$500,$C20,'DADOS BRUTOS'!AQ$3:AQ$500)))</f>
        <v>0</v>
      </c>
      <c r="DR20" s="133" t="n">
        <f aca="false">IF(OR(DR$4="",$B20=""),0,SUMIF('DADOS BRUTOS'!$A$3:$A$500,$B20,'DADOS BRUTOS'!AR$3:AR$500)+IF($C20="",0,SUMIF('DADOS BRUTOS'!$A$3:$A$500,$C20,'DADOS BRUTOS'!AR$3:AR$500)))</f>
        <v>0</v>
      </c>
      <c r="DS20" s="133" t="n">
        <f aca="false">IF(OR(DS$4="",$B20=""),0,SUMIF('DADOS BRUTOS'!$A$3:$A$500,$B20,'DADOS BRUTOS'!AS$3:AS$500)+IF($C20="",0,SUMIF('DADOS BRUTOS'!$A$3:$A$500,$C20,'DADOS BRUTOS'!AS$3:AS$500)))</f>
        <v>0</v>
      </c>
      <c r="DT20" s="133" t="n">
        <f aca="false">IF(OR(DT$4="",$B20=""),0,SUMIF('DADOS BRUTOS'!$A$3:$A$500,$B20,'DADOS BRUTOS'!AT$3:AT$500)+IF($C20="",0,SUMIF('DADOS BRUTOS'!$A$3:$A$500,$C20,'DADOS BRUTOS'!AT$3:AT$500)))</f>
        <v>0</v>
      </c>
      <c r="DU20" s="133" t="n">
        <f aca="false">IF(OR(DU$4="",$B20=""),0,SUMIF('DADOS BRUTOS'!$A$3:$A$500,$B20,'DADOS BRUTOS'!AU$3:AU$500)+IF($C20="",0,SUMIF('DADOS BRUTOS'!$A$3:$A$500,$C20,'DADOS BRUTOS'!AU$3:AU$500)))</f>
        <v>0</v>
      </c>
      <c r="DV20" s="133" t="n">
        <f aca="false">IF(OR(DV$4="",$B20=""),0,SUMIF('DADOS BRUTOS'!$A$3:$A$500,$B20,'DADOS BRUTOS'!AV$3:AV$500)+IF($C20="",0,SUMIF('DADOS BRUTOS'!$A$3:$A$500,$C20,'DADOS BRUTOS'!AV$3:AV$500)))</f>
        <v>0</v>
      </c>
      <c r="DW20" s="133" t="n">
        <f aca="false">IF(OR(DW$4="",$B20=""),0,SUMIF('DADOS BRUTOS'!$A$3:$A$500,$B20,'DADOS BRUTOS'!AW$3:AW$500)+IF($C20="",0,SUMIF('DADOS BRUTOS'!$A$3:$A$500,$C20,'DADOS BRUTOS'!AW$3:AW$500)))</f>
        <v>0</v>
      </c>
      <c r="DX20" s="133" t="n">
        <f aca="false">IF(OR(DX$4="",$B20=""),0,SUMIF('DADOS BRUTOS'!$A$3:$A$500,$B20,'DADOS BRUTOS'!AX$3:AX$500)+IF($C20="",0,SUMIF('DADOS BRUTOS'!$A$3:$A$500,$C20,'DADOS BRUTOS'!AX$3:AX$500)))</f>
        <v>0</v>
      </c>
      <c r="DY20" s="133" t="n">
        <f aca="false">IF(OR(DY$4="",$B20=""),0,SUMIF('DADOS BRUTOS'!$A$3:$A$500,$B20,'DADOS BRUTOS'!AY$3:AY$500)+IF($C20="",0,SUMIF('DADOS BRUTOS'!$A$3:$A$500,$C20,'DADOS BRUTOS'!AY$3:AY$500)))</f>
        <v>0</v>
      </c>
      <c r="DZ20" s="133" t="n">
        <f aca="false">IF(OR(DZ$4="",$B20=""),0,SUMIF('DADOS BRUTOS'!$A$3:$A$500,$B20,'DADOS BRUTOS'!AZ$3:AZ$500)+IF($C20="",0,SUMIF('DADOS BRUTOS'!$A$3:$A$500,$C20,'DADOS BRUTOS'!AZ$3:AZ$500)))</f>
        <v>0</v>
      </c>
      <c r="EA20" s="133" t="n">
        <f aca="false">IF(OR(EA$4="",$B20=""),0,SUMIF('DADOS BRUTOS'!$A$3:$A$500,$B20,'DADOS BRUTOS'!BA$3:BA$500)+IF($C20="",0,SUMIF('DADOS BRUTOS'!$A$3:$A$500,$C20,'DADOS BRUTOS'!BA$3:BA$500)))</f>
        <v>0</v>
      </c>
      <c r="EB20" s="133" t="n">
        <f aca="false">IF(OR(EB$4="",$B20=""),0,SUMIF('DADOS BRUTOS'!$A$3:$A$500,$B20,'DADOS BRUTOS'!BB$3:BB$500)+IF($C20="",0,SUMIF('DADOS BRUTOS'!$A$3:$A$500,$C20,'DADOS BRUTOS'!BB$3:BB$500)))</f>
        <v>0</v>
      </c>
      <c r="EC20" s="133" t="n">
        <f aca="false">IF(OR(EC$4="",$B20=""),0,SUMIF('DADOS BRUTOS'!$A$3:$A$500,$B20,'DADOS BRUTOS'!BC$3:BC$500)+IF($C20="",0,SUMIF('DADOS BRUTOS'!$A$3:$A$500,$C20,'DADOS BRUTOS'!BC$3:BC$500)))</f>
        <v>0</v>
      </c>
      <c r="ED20" s="133" t="n">
        <f aca="false">IF(OR(ED$4="",$B20=""),0,SUMIF('DADOS BRUTOS'!$A$3:$A$500,$B20,'DADOS BRUTOS'!BD$3:BD$500)+IF($C20="",0,SUMIF('DADOS BRUTOS'!$A$3:$A$500,$C20,'DADOS BRUTOS'!BD$3:BD$500)))</f>
        <v>0</v>
      </c>
      <c r="EE20" s="133" t="n">
        <f aca="false">IF(OR(EE$4="",$B20=""),0,SUMIF('DADOS BRUTOS'!$A$3:$A$500,$B20,'DADOS BRUTOS'!BE$3:BE$500)+IF($C20="",0,SUMIF('DADOS BRUTOS'!$A$3:$A$500,$C20,'DADOS BRUTOS'!BE$3:BE$500)))</f>
        <v>3768.88</v>
      </c>
      <c r="EF20" s="133" t="n">
        <f aca="false">IF(OR(EF$4="",$B20=""),0,SUMIF('DADOS BRUTOS'!$A$3:$A$500,$B20,'DADOS BRUTOS'!BF$3:BF$500)+IF($C20="",0,SUMIF('DADOS BRUTOS'!$A$3:$A$500,$C20,'DADOS BRUTOS'!BF$3:BF$500)))</f>
        <v>0</v>
      </c>
      <c r="EG20" s="133" t="n">
        <f aca="false">IF(OR(EG$4="",$B20=""),0,SUMIF('DADOS BRUTOS'!$A$3:$A$500,$B20,'DADOS BRUTOS'!BG$3:BG$500)+IF($C20="",0,SUMIF('DADOS BRUTOS'!$A$3:$A$500,$C20,'DADOS BRUTOS'!BG$3:BG$500)))</f>
        <v>0</v>
      </c>
      <c r="EH20" s="133" t="n">
        <f aca="false">IF(OR(EH$4="",$B20=""),0,SUMIF('DADOS BRUTOS'!$A$3:$A$500,$B20,'DADOS BRUTOS'!BH$3:BH$500)+IF($C20="",0,SUMIF('DADOS BRUTOS'!$A$3:$A$500,$C20,'DADOS BRUTOS'!BH$3:BH$500)))</f>
        <v>0</v>
      </c>
      <c r="EI20" s="133" t="n">
        <f aca="false">IF(OR(EI$4="",$B20=""),0,SUMIF('DADOS BRUTOS'!$A$3:$A$500,$B20,'DADOS BRUTOS'!BI$3:BI$500)+IF($C20="",0,SUMIF('DADOS BRUTOS'!$A$3:$A$500,$C20,'DADOS BRUTOS'!BI$3:BI$500)))</f>
        <v>0</v>
      </c>
      <c r="EJ20" s="133" t="n">
        <f aca="false">IF(OR(EJ$4="",$B20=""),0,SUMIF('DADOS BRUTOS'!$A$3:$A$500,$B20,'DADOS BRUTOS'!BJ$3:BJ$500)+IF($C20="",0,SUMIF('DADOS BRUTOS'!$A$3:$A$500,$C20,'DADOS BRUTOS'!BJ$3:BJ$500)))</f>
        <v>0</v>
      </c>
      <c r="EK20" s="133" t="n">
        <f aca="false">IF(OR(EK$4="",$B20=""),0,SUMIF('DADOS BRUTOS'!$A$3:$A$500,$B20,'DADOS BRUTOS'!BK$3:BK$500)+IF($C20="",0,SUMIF('DADOS BRUTOS'!$A$3:$A$500,$C20,'DADOS BRUTOS'!BK$3:BK$500)))</f>
        <v>0</v>
      </c>
      <c r="EL20" s="133" t="n">
        <f aca="false">IF(OR(EL$4="",$B20=""),0,SUMIF('DADOS BRUTOS'!$A$3:$A$500,$B20,'DADOS BRUTOS'!BL$3:BL$500)+IF($C20="",0,SUMIF('DADOS BRUTOS'!$A$3:$A$500,$C20,'DADOS BRUTOS'!BL$3:BL$500)))</f>
        <v>0</v>
      </c>
      <c r="EM20" s="133" t="n">
        <f aca="false">IF(OR(EM$4="",$B20=""),0,SUMIF('DADOS BRUTOS'!$A$3:$A$500,$B20,'DADOS BRUTOS'!BM$3:BM$500)+IF($C20="",0,SUMIF('DADOS BRUTOS'!$A$3:$A$500,$C20,'DADOS BRUTOS'!BM$3:BM$500)))</f>
        <v>0</v>
      </c>
      <c r="EN20" s="133" t="n">
        <f aca="false">IF(OR(EN$4="",$B20=""),0,SUMIF('DADOS BRUTOS'!$A$3:$A$500,$B20,'DADOS BRUTOS'!BN$3:BN$500)+IF($C20="",0,SUMIF('DADOS BRUTOS'!$A$3:$A$500,$C20,'DADOS BRUTOS'!BN$3:BN$500)))</f>
        <v>0</v>
      </c>
      <c r="EO20" s="133" t="n">
        <f aca="false">IF(OR(EO$4="",$B20=""),0,SUMIF('DADOS BRUTOS'!$A$3:$A$500,$B20,'DADOS BRUTOS'!BO$3:BO$500)+IF($C20="",0,SUMIF('DADOS BRUTOS'!$A$3:$A$500,$C20,'DADOS BRUTOS'!BO$3:BO$500)))</f>
        <v>0</v>
      </c>
      <c r="EP20" s="133" t="n">
        <f aca="false">IF(OR(EP$4="",$B20=""),0,SUMIF('DADOS BRUTOS'!$A$3:$A$500,$B20,'DADOS BRUTOS'!BP$3:BP$500)+IF($C20="",0,SUMIF('DADOS BRUTOS'!$A$3:$A$500,$C20,'DADOS BRUTOS'!BP$3:BP$500)))</f>
        <v>0</v>
      </c>
      <c r="EQ20" s="133" t="n">
        <f aca="false">IF(OR(EQ$4="",$B20=""),0,SUMIF('DADOS BRUTOS'!$A$3:$A$500,$B20,'DADOS BRUTOS'!BQ$3:BQ$500)+IF($C20="",0,SUMIF('DADOS BRUTOS'!$A$3:$A$500,$C20,'DADOS BRUTOS'!BQ$3:BQ$500)))</f>
        <v>0</v>
      </c>
      <c r="ER20" s="133" t="n">
        <f aca="false">IF(OR(ER$4="",$B20=""),0,SUMIF('DADOS BRUTOS'!$A$3:$A$500,$B20,'DADOS BRUTOS'!BR$3:BR$500)+IF($C20="",0,SUMIF('DADOS BRUTOS'!$A$3:$A$500,$C20,'DADOS BRUTOS'!BR$3:BR$500)))</f>
        <v>0</v>
      </c>
      <c r="ES20" s="133" t="n">
        <f aca="false">IF(OR(ES$4="",$B20=""),0,SUMIF('DADOS BRUTOS'!$A$3:$A$500,$B20,'DADOS BRUTOS'!BS$3:BS$500)+IF($C20="",0,SUMIF('DADOS BRUTOS'!$A$3:$A$500,$C20,'DADOS BRUTOS'!BS$3:BS$500)))</f>
        <v>0</v>
      </c>
      <c r="ET20" s="133" t="n">
        <f aca="false">IF(OR(ET$4="",$B20=""),0,SUMIF('DADOS BRUTOS'!$A$3:$A$500,$B20,'DADOS BRUTOS'!BT$3:BT$500)+IF($C20="",0,SUMIF('DADOS BRUTOS'!$A$3:$A$500,$C20,'DADOS BRUTOS'!BT$3:BT$500)))</f>
        <v>0</v>
      </c>
      <c r="EU20" s="133" t="n">
        <f aca="false">IF(OR(EU$4="",$B20=""),0,SUMIF('DADOS BRUTOS'!$A$3:$A$500,$B20,'DADOS BRUTOS'!BU$3:BU$500)+IF($C20="",0,SUMIF('DADOS BRUTOS'!$A$3:$A$500,$C20,'DADOS BRUTOS'!BU$3:BU$500)))</f>
        <v>0</v>
      </c>
      <c r="EV20" s="133" t="n">
        <f aca="false">IF(OR(EV$4="",$B20=""),0,SUMIF('DADOS BRUTOS'!$A$3:$A$500,$B20,'DADOS BRUTOS'!BV$3:BV$500)+IF($C20="",0,SUMIF('DADOS BRUTOS'!$A$3:$A$500,$C20,'DADOS BRUTOS'!BV$3:BV$500)))</f>
        <v>0</v>
      </c>
      <c r="EW20" s="133" t="n">
        <f aca="false">IF(OR(EW$4="",$B20=""),0,SUMIF('DADOS BRUTOS'!$A$3:$A$500,$B20,'DADOS BRUTOS'!BW$3:BW$500)+IF($C20="",0,SUMIF('DADOS BRUTOS'!$A$3:$A$500,$C20,'DADOS BRUTOS'!BW$3:BW$500)))</f>
        <v>0</v>
      </c>
      <c r="EX20" s="133" t="n">
        <f aca="false">IF(OR(EX$4="",$B20=""),0,SUMIF('DADOS BRUTOS'!$A$3:$A$500,$B20,'DADOS BRUTOS'!BX$3:BX$500)+IF($C20="",0,SUMIF('DADOS BRUTOS'!$A$3:$A$500,$C20,'DADOS BRUTOS'!BX$3:BX$500)))</f>
        <v>0</v>
      </c>
      <c r="EY20" s="133" t="n">
        <f aca="false">IF(OR(EY$4="",$B20=""),0,SUMIF('DADOS BRUTOS'!$A$3:$A$500,$B20,'DADOS BRUTOS'!BY$3:BY$500)+IF($C20="",0,SUMIF('DADOS BRUTOS'!$A$3:$A$500,$C20,'DADOS BRUTOS'!BY$3:BY$500)))</f>
        <v>0</v>
      </c>
      <c r="EZ20" s="133" t="n">
        <f aca="false">IF(OR(EZ$4="",$B20=""),0,SUMIF('DADOS BRUTOS'!$A$3:$A$500,$B20,'DADOS BRUTOS'!BZ$3:BZ$500)+IF($C20="",0,SUMIF('DADOS BRUTOS'!$A$3:$A$500,$C20,'DADOS BRUTOS'!BZ$3:BZ$500)))</f>
        <v>0</v>
      </c>
      <c r="FA20" s="133" t="n">
        <f aca="false">IF(OR(FA$4="",$B20=""),0,SUMIF('DADOS BRUTOS'!$A$3:$A$500,$B20,'DADOS BRUTOS'!CA$3:CA$500)+IF($C20="",0,SUMIF('DADOS BRUTOS'!$A$3:$A$500,$C20,'DADOS BRUTOS'!CA$3:CA$500)))</f>
        <v>0</v>
      </c>
      <c r="FB20" s="133" t="n">
        <f aca="false">IF(OR(FB$4="",$B20=""),0,SUMIF('DADOS BRUTOS'!$A$3:$A$500,$B20,'DADOS BRUTOS'!CB$3:CB$500)+IF($C20="",0,SUMIF('DADOS BRUTOS'!$A$3:$A$500,$C20,'DADOS BRUTOS'!CB$3:CB$500)))</f>
        <v>0</v>
      </c>
      <c r="FC20" s="133" t="n">
        <f aca="false">IF(OR(FC$4="",$B20=""),0,SUMIF('DADOS BRUTOS'!$A$3:$A$500,$B20,'DADOS BRUTOS'!CC$3:CC$500)+IF($C20="",0,SUMIF('DADOS BRUTOS'!$A$3:$A$500,$C20,'DADOS BRUTOS'!CC$3:CC$500)))</f>
        <v>0</v>
      </c>
      <c r="FD20" s="133" t="n">
        <f aca="false">IF(OR(FD$4="",$B20=""),0,SUMIF('DADOS BRUTOS'!$A$3:$A$500,$B20,'DADOS BRUTOS'!CD$3:CD$500)+IF($C20="",0,SUMIF('DADOS BRUTOS'!$A$3:$A$500,$C20,'DADOS BRUTOS'!CD$3:CD$500)))</f>
        <v>0</v>
      </c>
      <c r="FE20" s="133" t="n">
        <f aca="false">IF(OR(FE$4="",$B20=""),0,SUMIF('DADOS BRUTOS'!$A$3:$A$500,$B20,'DADOS BRUTOS'!CE$3:CE$500)+IF($C20="",0,SUMIF('DADOS BRUTOS'!$A$3:$A$500,$C20,'DADOS BRUTOS'!CE$3:CE$500)))</f>
        <v>0</v>
      </c>
      <c r="FF20" s="133" t="n">
        <f aca="false">IF(OR(FF$4="",$B20=""),0,SUMIF('DADOS BRUTOS'!$A$3:$A$500,$B20,'DADOS BRUTOS'!CF$3:CF$500)+IF($C20="",0,SUMIF('DADOS BRUTOS'!$A$3:$A$500,$C20,'DADOS BRUTOS'!CF$3:CF$500)))</f>
        <v>0</v>
      </c>
      <c r="FG20" s="133" t="n">
        <f aca="false">IF(OR(FG$4="",$B20=""),0,SUMIF('DADOS BRUTOS'!$A$3:$A$500,$B20,'DADOS BRUTOS'!CG$3:CG$500)+IF($C20="",0,SUMIF('DADOS BRUTOS'!$A$3:$A$500,$C20,'DADOS BRUTOS'!CG$3:CG$500)))</f>
        <v>0</v>
      </c>
      <c r="FH20" s="133" t="n">
        <f aca="false">IF(OR(FH$4="",$B20=""),0,SUMIF('DADOS BRUTOS'!$A$3:$A$500,$B20,'DADOS BRUTOS'!CH$3:CH$500)+IF($C20="",0,SUMIF('DADOS BRUTOS'!$A$3:$A$500,$C20,'DADOS BRUTOS'!CH$3:CH$500)))</f>
        <v>0</v>
      </c>
      <c r="FI20" s="133" t="n">
        <f aca="false">IF(OR(FI$4="",$B20=""),0,SUMIF('DADOS BRUTOS'!$A$3:$A$500,$B20,'DADOS BRUTOS'!CI$3:CI$500)+IF($C20="",0,SUMIF('DADOS BRUTOS'!$A$3:$A$500,$C20,'DADOS BRUTOS'!CI$3:CI$500)))</f>
        <v>0</v>
      </c>
      <c r="FJ20" s="133" t="n">
        <f aca="false">IF(OR(FJ$4="",$B20=""),0,SUMIF('DADOS BRUTOS'!$A$3:$A$500,$B20,'DADOS BRUTOS'!CJ$3:CJ$500)+IF($C20="",0,SUMIF('DADOS BRUTOS'!$A$3:$A$500,$C20,'DADOS BRUTOS'!CJ$3:CJ$500)))</f>
        <v>0</v>
      </c>
      <c r="FK20" s="133" t="n">
        <f aca="false">IF(OR(FK$4="",$B20=""),0,SUMIF('DADOS BRUTOS'!$A$3:$A$500,$B20,'DADOS BRUTOS'!CK$3:CK$500)+IF($C20="",0,SUMIF('DADOS BRUTOS'!$A$3:$A$500,$C20,'DADOS BRUTOS'!CK$3:CK$500)))</f>
        <v>0</v>
      </c>
      <c r="FL20" s="133" t="n">
        <f aca="false">IF(OR(FL$4="",$B20=""),0,SUMIF('DADOS BRUTOS'!$A$3:$A$500,$B20,'DADOS BRUTOS'!CL$3:CL$500)+IF($C20="",0,SUMIF('DADOS BRUTOS'!$A$3:$A$500,$C20,'DADOS BRUTOS'!CL$3:CL$500)))</f>
        <v>0</v>
      </c>
      <c r="FM20" s="133" t="n">
        <f aca="false">IF(OR(FM$4="",$B20=""),0,SUMIF('DADOS BRUTOS'!$A$3:$A$500,$B20,'DADOS BRUTOS'!CM$3:CM$500)+IF($C20="",0,SUMIF('DADOS BRUTOS'!$A$3:$A$500,$C20,'DADOS BRUTOS'!CM$3:CM$500)))</f>
        <v>0</v>
      </c>
      <c r="FN20" s="133" t="n">
        <f aca="false">IF(OR(FN$4="",$B20=""),0,SUMIF('DADOS BRUTOS'!$A$3:$A$500,$B20,'DADOS BRUTOS'!CN$3:CN$500)+IF($C20="",0,SUMIF('DADOS BRUTOS'!$A$3:$A$500,$C20,'DADOS BRUTOS'!CN$3:CN$500)))</f>
        <v>0</v>
      </c>
      <c r="FO20" s="133" t="n">
        <f aca="false">IF(OR(FO$4="",$B20=""),0,SUMIF('DADOS BRUTOS'!$A$3:$A$500,$B20,'DADOS BRUTOS'!CO$3:CO$500)+IF($C20="",0,SUMIF('DADOS BRUTOS'!$A$3:$A$500,$C20,'DADOS BRUTOS'!CO$3:CO$500)))</f>
        <v>0</v>
      </c>
      <c r="FP20" s="133" t="n">
        <f aca="false">IF(OR(FP$4="",$B20=""),0,SUMIF('DADOS BRUTOS'!$A$3:$A$500,$B20,'DADOS BRUTOS'!CP$3:CP$500)+IF($C20="",0,SUMIF('DADOS BRUTOS'!$A$3:$A$500,$C20,'DADOS BRUTOS'!CP$3:CP$500)))</f>
        <v>0</v>
      </c>
      <c r="FQ20" s="133" t="n">
        <f aca="false">IF(OR(FQ$4="",$B20=""),0,SUMIF('DADOS BRUTOS'!$A$3:$A$500,$B20,'DADOS BRUTOS'!CQ$3:CQ$500)+IF($C20="",0,SUMIF('DADOS BRUTOS'!$A$3:$A$500,$C20,'DADOS BRUTOS'!CQ$3:CQ$500)))</f>
        <v>0</v>
      </c>
      <c r="FR20" s="133" t="n">
        <f aca="false">IF(OR(FR$4="",$B20=""),0,SUMIF('DADOS BRUTOS'!$A$3:$A$500,$B20,'DADOS BRUTOS'!CR$3:CR$500)+IF($C20="",0,SUMIF('DADOS BRUTOS'!$A$3:$A$500,$C20,'DADOS BRUTOS'!CR$3:CR$500)))</f>
        <v>0</v>
      </c>
      <c r="FS20" s="133" t="n">
        <f aca="false">IF(OR(FS$4="",$B20=""),0,SUMIF('DADOS BRUTOS'!$A$3:$A$500,$B20,'DADOS BRUTOS'!CS$3:CS$500)+IF($C20="",0,SUMIF('DADOS BRUTOS'!$A$3:$A$500,$C20,'DADOS BRUTOS'!CS$3:CS$500)))</f>
        <v>0</v>
      </c>
      <c r="FT20" s="133" t="n">
        <f aca="false">IF(OR(FT$4="",$B20=""),0,SUMIF('DADOS BRUTOS'!$A$3:$A$500,$B20,'DADOS BRUTOS'!CT$3:CT$500)+IF($C20="",0,SUMIF('DADOS BRUTOS'!$A$3:$A$500,$C20,'DADOS BRUTOS'!CT$3:CT$500)))</f>
        <v>0</v>
      </c>
      <c r="FU20" s="133" t="n">
        <f aca="false">IF(OR(FU$4="",$B20=""),0,SUMIF('DADOS BRUTOS'!$A$3:$A$500,$B20,'DADOS BRUTOS'!CU$3:CU$500)+IF($C20="",0,SUMIF('DADOS BRUTOS'!$A$3:$A$500,$C20,'DADOS BRUTOS'!CU$3:CU$500)))</f>
        <v>0</v>
      </c>
      <c r="FV20" s="133" t="n">
        <f aca="false">IF(OR(FV$4="",$B20=""),0,SUMIF('DADOS BRUTOS'!$A$3:$A$500,$B20,'DADOS BRUTOS'!CV$3:CV$500)+IF($C20="",0,SUMIF('DADOS BRUTOS'!$A$3:$A$500,$C20,'DADOS BRUTOS'!CV$3:CV$500)))</f>
        <v>0</v>
      </c>
      <c r="FW20" s="133" t="n">
        <f aca="false">IF(OR(FW$4="",$B20=""),0,SUMIF('DADOS BRUTOS'!$A$3:$A$500,$B20,'DADOS BRUTOS'!CW$3:CW$500)+IF($C20="",0,SUMIF('DADOS BRUTOS'!$A$3:$A$500,$C20,'DADOS BRUTOS'!CW$3:CW$500)))</f>
        <v>0</v>
      </c>
      <c r="FX20" s="133" t="n">
        <f aca="false">IF(OR(FX$4="",$B20=""),0,SUMIF('DADOS BRUTOS'!$A$3:$A$500,$B20,'DADOS BRUTOS'!CX$3:CX$500)+IF($C20="",0,SUMIF('DADOS BRUTOS'!$A$3:$A$500,$C20,'DADOS BRUTOS'!CX$3:CX$500)))</f>
        <v>0</v>
      </c>
      <c r="FY20" s="133" t="n">
        <f aca="false">IF(OR(FY$4="",$B20=""),0,SUMIF('DADOS BRUTOS'!$A$3:$A$500,$B20,'DADOS BRUTOS'!CY$3:CY$500)+IF($C20="",0,SUMIF('DADOS BRUTOS'!$A$3:$A$500,$C20,'DADOS BRUTOS'!CY$3:CY$500)))</f>
        <v>0</v>
      </c>
      <c r="FZ20" s="133" t="n">
        <f aca="false">IF(OR(FZ$4="",$B20=""),0,SUMIF('DADOS BRUTOS'!$A$3:$A$500,$B20,'DADOS BRUTOS'!CZ$3:CZ$500)+IF($C20="",0,SUMIF('DADOS BRUTOS'!$A$3:$A$500,$C20,'DADOS BRUTOS'!CZ$3:CZ$500)))</f>
        <v>0</v>
      </c>
      <c r="GA20" s="133" t="n">
        <f aca="false">IF(OR(GA$4="",$B20=""),0,SUMIF('DADOS BRUTOS'!$A$3:$A$500,$B20,'DADOS BRUTOS'!DA$3:DA$500)+IF($C20="",0,SUMIF('DADOS BRUTOS'!$A$3:$A$500,$C20,'DADOS BRUTOS'!DA$3:DA$500)))</f>
        <v>0</v>
      </c>
      <c r="GB20" s="133" t="n">
        <f aca="false">IF(OR(GB$4="",$B20=""),0,SUMIF('DADOS BRUTOS'!$A$3:$A$500,$B20,'DADOS BRUTOS'!DB$3:DB$500)+IF($C20="",0,SUMIF('DADOS BRUTOS'!$A$3:$A$500,$C20,'DADOS BRUTOS'!DB$3:DB$500)))</f>
        <v>0</v>
      </c>
      <c r="GC20" s="133" t="n">
        <f aca="false">IF(OR(GC$4="",$B20=""),0,SUMIF('DADOS BRUTOS'!$A$3:$A$500,$B20,'DADOS BRUTOS'!DC$3:DC$500)+IF($C20="",0,SUMIF('DADOS BRUTOS'!$A$3:$A$500,$C20,'DADOS BRUTOS'!DC$3:DC$500)))</f>
        <v>0</v>
      </c>
      <c r="GD20" s="133" t="n">
        <f aca="false">IF(OR(GD$4="",$B20=""),0,SUMIF('DADOS BRUTOS'!$A$3:$A$500,$B20,'DADOS BRUTOS'!DD$3:DD$500)+IF($C20="",0,SUMIF('DADOS BRUTOS'!$A$3:$A$500,$C20,'DADOS BRUTOS'!DD$3:DD$500)))</f>
        <v>0</v>
      </c>
      <c r="GE20" s="133" t="n">
        <f aca="false">IF(OR(GE$4="",$B20=""),0,SUMIF('DADOS BRUTOS'!$A$3:$A$500,$B20,'DADOS BRUTOS'!DE$3:DE$500)+IF($C20="",0,SUMIF('DADOS BRUTOS'!$A$3:$A$500,$C20,'DADOS BRUTOS'!DE$3:DE$500)))</f>
        <v>0</v>
      </c>
      <c r="GF20" s="133" t="n">
        <f aca="false">IF(OR(GF$4="",$B20=""),0,SUMIF('DADOS BRUTOS'!$A$3:$A$500,$B20,'DADOS BRUTOS'!DF$3:DF$500)+IF($C20="",0,SUMIF('DADOS BRUTOS'!$A$3:$A$500,$C20,'DADOS BRUTOS'!DF$3:DF$500)))</f>
        <v>0</v>
      </c>
      <c r="GG20" s="133" t="n">
        <f aca="false">IF(OR(GG$4="",$B20=""),0,SUMIF('DADOS BRUTOS'!$A$3:$A$500,$B20,'DADOS BRUTOS'!DG$3:DG$500)+IF($C20="",0,SUMIF('DADOS BRUTOS'!$A$3:$A$500,$C20,'DADOS BRUTOS'!DG$3:DG$500)))</f>
        <v>0</v>
      </c>
      <c r="GH20" s="133" t="n">
        <f aca="false">IF(OR(GH$4="",$B20=""),0,SUMIF('DADOS BRUTOS'!$A$3:$A$500,$B20,'DADOS BRUTOS'!DH$3:DH$500)+IF($C20="",0,SUMIF('DADOS BRUTOS'!$A$3:$A$500,$C20,'DADOS BRUTOS'!DH$3:DH$500)))</f>
        <v>0</v>
      </c>
      <c r="GI20" s="133" t="n">
        <f aca="false">IF(OR(GI$4="",$B20=""),0,SUMIF('DADOS BRUTOS'!$A$3:$A$500,$B20,'DADOS BRUTOS'!DI$3:DI$500)+IF($C20="",0,SUMIF('DADOS BRUTOS'!$A$3:$A$500,$C20,'DADOS BRUTOS'!DI$3:DI$500)))</f>
        <v>0</v>
      </c>
      <c r="GJ20" s="133" t="n">
        <f aca="false">IF(OR(GJ$4="",$B20=""),0,SUMIF('DADOS BRUTOS'!$A$3:$A$500,$B20,'DADOS BRUTOS'!DJ$3:DJ$500)+IF($C20="",0,SUMIF('DADOS BRUTOS'!$A$3:$A$500,$C20,'DADOS BRUTOS'!DJ$3:DJ$500)))</f>
        <v>0</v>
      </c>
      <c r="GK20" s="133" t="n">
        <f aca="false">IF(OR(GK$4="",$B20=""),0,SUMIF('DADOS BRUTOS'!$A$3:$A$500,$B20,'DADOS BRUTOS'!DK$3:DK$500)+IF($C20="",0,SUMIF('DADOS BRUTOS'!$A$3:$A$500,$C20,'DADOS BRUTOS'!DK$3:DK$500)))</f>
        <v>0</v>
      </c>
      <c r="GL20" s="133" t="n">
        <f aca="false">IF(OR(GL$4="",$B20=""),0,SUMIF('DADOS BRUTOS'!$A$3:$A$500,$B20,'DADOS BRUTOS'!DL$3:DL$500)+IF($C20="",0,SUMIF('DADOS BRUTOS'!$A$3:$A$500,$C20,'DADOS BRUTOS'!DL$3:DL$500)))</f>
        <v>0</v>
      </c>
      <c r="GM20" s="133" t="n">
        <f aca="false">IF(OR(GM$4="",$B20=""),0,SUMIF('DADOS BRUTOS'!$A$3:$A$500,$B20,'DADOS BRUTOS'!DM$3:DM$500)+IF($C20="",0,SUMIF('DADOS BRUTOS'!$A$3:$A$500,$C20,'DADOS BRUTOS'!DM$3:DM$500)))</f>
        <v>0</v>
      </c>
      <c r="GN20" s="133" t="n">
        <f aca="false">IF(OR(GN$4="",$B20=""),0,SUMIF('DADOS BRUTOS'!$A$3:$A$500,$B20,'DADOS BRUTOS'!DN$3:DN$500)+IF($C20="",0,SUMIF('DADOS BRUTOS'!$A$3:$A$500,$C20,'DADOS BRUTOS'!DN$3:DN$500)))</f>
        <v>0</v>
      </c>
      <c r="GO20" s="133" t="n">
        <f aca="false">IF(OR(GO$4="",$B20=""),0,SUMIF('DADOS BRUTOS'!$A$3:$A$500,$B20,'DADOS BRUTOS'!DO$3:DO$500)+IF($C20="",0,SUMIF('DADOS BRUTOS'!$A$3:$A$500,$C20,'DADOS BRUTOS'!DO$3:DO$500)))</f>
        <v>0</v>
      </c>
      <c r="GP20" s="133" t="n">
        <f aca="false">IF(OR(GP$4="",$B20=""),0,SUMIF('DADOS BRUTOS'!$A$3:$A$500,$B20,'DADOS BRUTOS'!DP$3:DP$500)+IF($C20="",0,SUMIF('DADOS BRUTOS'!$A$3:$A$500,$C20,'DADOS BRUTOS'!DP$3:DP$500)))</f>
        <v>0</v>
      </c>
      <c r="GQ20" s="133" t="n">
        <f aca="false">IF(OR(GQ$4="",$B20=""),0,SUMIF('DADOS BRUTOS'!$A$3:$A$500,$B20,'DADOS BRUTOS'!DQ$3:DQ$500)+IF($C20="",0,SUMIF('DADOS BRUTOS'!$A$3:$A$500,$C20,'DADOS BRUTOS'!DQ$3:DQ$500)))</f>
        <v>0</v>
      </c>
      <c r="GR20" s="133" t="n">
        <f aca="false">IF(OR(GR$4="",$B20=""),0,SUMIF('DADOS BRUTOS'!$A$3:$A$500,$B20,'DADOS BRUTOS'!DR$3:DR$500)+IF($C20="",0,SUMIF('DADOS BRUTOS'!$A$3:$A$500,$C20,'DADOS BRUTOS'!DR$3:DR$500)))</f>
        <v>0</v>
      </c>
      <c r="GS20" s="133" t="n">
        <f aca="false">IF(OR(GS$4="",$B20=""),0,SUMIF('DADOS BRUTOS'!$A$3:$A$500,$B20,'DADOS BRUTOS'!DS$3:DS$500)+IF($C20="",0,SUMIF('DADOS BRUTOS'!$A$3:$A$500,$C20,'DADOS BRUTOS'!DS$3:DS$500)))</f>
        <v>0</v>
      </c>
      <c r="GT20" s="133" t="n">
        <f aca="false">IF(OR(GT$4="",$B20=""),0,SUMIF('DADOS BRUTOS'!$A$3:$A$500,$B20,'DADOS BRUTOS'!DT$3:DT$500)+IF($C20="",0,SUMIF('DADOS BRUTOS'!$A$3:$A$500,$C20,'DADOS BRUTOS'!DT$3:DT$500)))</f>
        <v>0</v>
      </c>
      <c r="GU20" s="133" t="n">
        <f aca="false">IF(OR(GU$4="",$B20=""),0,SUMIF('DADOS BRUTOS'!$A$3:$A$500,$B20,'DADOS BRUTOS'!DU$3:DU$500)+IF($C20="",0,SUMIF('DADOS BRUTOS'!$A$3:$A$500,$C20,'DADOS BRUTOS'!DU$3:DU$500)))</f>
        <v>0</v>
      </c>
      <c r="GV20" s="133" t="n">
        <f aca="false">IF(OR(GV$4="",$B20=""),0,SUMIF('DADOS BRUTOS'!$A$3:$A$500,$B20,'DADOS BRUTOS'!DV$3:DV$500)+IF($C20="",0,SUMIF('DADOS BRUTOS'!$A$3:$A$500,$C20,'DADOS BRUTOS'!DV$3:DV$500)))</f>
        <v>0</v>
      </c>
      <c r="GW20" s="133" t="n">
        <f aca="false">IF(OR(GW$4="",$B20=""),0,SUMIF('DADOS BRUTOS'!$A$3:$A$500,$B20,'DADOS BRUTOS'!DW$3:DW$500)+IF($C20="",0,SUMIF('DADOS BRUTOS'!$A$3:$A$500,$C20,'DADOS BRUTOS'!DW$3:DW$500)))</f>
        <v>0</v>
      </c>
      <c r="GX20" s="133" t="n">
        <f aca="false">IF(OR(GX$4="",$B20=""),0,SUMIF('DADOS BRUTOS'!$A$3:$A$500,$B20,'DADOS BRUTOS'!DX$3:DX$500)+IF($C20="",0,SUMIF('DADOS BRUTOS'!$A$3:$A$500,$C20,'DADOS BRUTOS'!DX$3:DX$500)))</f>
        <v>0</v>
      </c>
      <c r="GY20" s="133" t="n">
        <f aca="false">IF(OR(GY$4="",$B20=""),0,SUMIF('DADOS BRUTOS'!$A$3:$A$500,$B20,'DADOS BRUTOS'!DY$3:DY$500)+IF($C20="",0,SUMIF('DADOS BRUTOS'!$A$3:$A$500,$C20,'DADOS BRUTOS'!DY$3:DY$500)))</f>
        <v>0</v>
      </c>
      <c r="GZ20" s="133" t="n">
        <f aca="false">IF(OR(GZ$4="",$B20=""),0,SUMIF('DADOS BRUTOS'!$A$3:$A$500,$B20,'DADOS BRUTOS'!DZ$3:DZ$500)+IF($C20="",0,SUMIF('DADOS BRUTOS'!$A$3:$A$500,$C20,'DADOS BRUTOS'!DZ$3:DZ$500)))</f>
        <v>0</v>
      </c>
      <c r="HA20" s="133" t="n">
        <f aca="false">IF(OR(HA$4="",$B20=""),0,SUMIF('DADOS BRUTOS'!$A$3:$A$500,$B20,'DADOS BRUTOS'!EA$3:EA$500)+IF($C20="",0,SUMIF('DADOS BRUTOS'!$A$3:$A$500,$C20,'DADOS BRUTOS'!EA$3:EA$500)))</f>
        <v>0</v>
      </c>
      <c r="HB20" s="133" t="n">
        <f aca="false">IF(OR(HB$4="",$B20=""),0,SUMIF('DADOS BRUTOS'!$A$3:$A$500,$B20,'DADOS BRUTOS'!EB$3:EB$500)+IF($C20="",0,SUMIF('DADOS BRUTOS'!$A$3:$A$500,$C20,'DADOS BRUTOS'!EB$3:EB$500)))</f>
        <v>0</v>
      </c>
      <c r="HC20" s="133" t="n">
        <f aca="false">IF(OR(HC$4="",$B20=""),0,SUMIF('DADOS BRUTOS'!$A$3:$A$500,$B20,'DADOS BRUTOS'!EC$3:EC$500)+IF($C20="",0,SUMIF('DADOS BRUTOS'!$A$3:$A$500,$C20,'DADOS BRUTOS'!EC$3:EC$500)))</f>
        <v>0</v>
      </c>
      <c r="HD20" s="133" t="n">
        <f aca="false">IF(OR(HD$4="",$B20=""),0,SUMIF('DADOS BRUTOS'!$A$3:$A$500,$B20,'DADOS BRUTOS'!ED$3:ED$500)+IF($C20="",0,SUMIF('DADOS BRUTOS'!$A$3:$A$500,$C20,'DADOS BRUTOS'!ED$3:ED$500)))</f>
        <v>0</v>
      </c>
      <c r="HE20" s="133" t="n">
        <f aca="false">IF(OR(HE$4="",$B20=""),0,SUMIF('DADOS BRUTOS'!$A$3:$A$500,$B20,'DADOS BRUTOS'!EE$3:EE$500)+IF($C20="",0,SUMIF('DADOS BRUTOS'!$A$3:$A$500,$C20,'DADOS BRUTOS'!EE$3:EE$500)))</f>
        <v>0</v>
      </c>
      <c r="HF20" s="133" t="n">
        <f aca="false">IF(OR(HF$4="",$B20=""),0,SUMIF('DADOS BRUTOS'!$A$3:$A$500,$B20,'DADOS BRUTOS'!EF$3:EF$500)+IF($C20="",0,SUMIF('DADOS BRUTOS'!$A$3:$A$500,$C20,'DADOS BRUTOS'!EF$3:EF$500)))</f>
        <v>0</v>
      </c>
      <c r="HG20" s="133" t="n">
        <f aca="false">IF(OR(HG$4="",$B20=""),0,SUMIF('DADOS BRUTOS'!$A$3:$A$500,$B20,'DADOS BRUTOS'!EG$3:EG$500)+IF($C20="",0,SUMIF('DADOS BRUTOS'!$A$3:$A$500,$C20,'DADOS BRUTOS'!EG$3:EG$500)))</f>
        <v>0</v>
      </c>
      <c r="HH20" s="133" t="n">
        <f aca="false">IF(OR(HH$4="",$B20=""),0,SUMIF('DADOS BRUTOS'!$A$3:$A$500,$B20,'DADOS BRUTOS'!EH$3:EH$500)+IF($C20="",0,SUMIF('DADOS BRUTOS'!$A$3:$A$500,$C20,'DADOS BRUTOS'!EH$3:EH$500)))</f>
        <v>0</v>
      </c>
      <c r="HI20" s="133" t="n">
        <f aca="false">IF(OR(HI$4="",$B20=""),0,SUMIF('DADOS BRUTOS'!$A$3:$A$500,$B20,'DADOS BRUTOS'!EI$3:EI$500)+IF($C20="",0,SUMIF('DADOS BRUTOS'!$A$3:$A$500,$C20,'DADOS BRUTOS'!EI$3:EI$500)))</f>
        <v>0</v>
      </c>
      <c r="HJ20" s="133" t="n">
        <f aca="false">IF(OR(HJ$4="",$B20=""),0,SUMIF('DADOS BRUTOS'!$A$3:$A$500,$B20,'DADOS BRUTOS'!EJ$3:EJ$500)+IF($C20="",0,SUMIF('DADOS BRUTOS'!$A$3:$A$500,$C20,'DADOS BRUTOS'!EJ$3:EJ$500)))</f>
        <v>0</v>
      </c>
      <c r="HK20" s="133" t="n">
        <f aca="false">IF(OR(HK$4="",$B20=""),0,SUMIF('DADOS BRUTOS'!$A$3:$A$500,$B20,'DADOS BRUTOS'!EK$3:EK$500)+IF($C20="",0,SUMIF('DADOS BRUTOS'!$A$3:$A$500,$C20,'DADOS BRUTOS'!EK$3:EK$500)))</f>
        <v>0</v>
      </c>
      <c r="HL20" s="133" t="n">
        <f aca="false">IF(OR(HL$4="",$B20=""),0,SUMIF('DADOS BRUTOS'!$A$3:$A$500,$B20,'DADOS BRUTOS'!EL$3:EL$500)+IF($C20="",0,SUMIF('DADOS BRUTOS'!$A$3:$A$500,$C20,'DADOS BRUTOS'!EL$3:EL$500)))</f>
        <v>0</v>
      </c>
      <c r="HM20" s="133" t="n">
        <f aca="false">IF(OR(HM$4="",$B20=""),0,SUMIF('DADOS BRUTOS'!$A$3:$A$500,$B20,'DADOS BRUTOS'!EM$3:EM$500)+IF($C20="",0,SUMIF('DADOS BRUTOS'!$A$3:$A$500,$C20,'DADOS BRUTOS'!EM$3:EM$500)))</f>
        <v>0</v>
      </c>
      <c r="HN20" s="133" t="n">
        <f aca="false">IF(OR(HN$4="",$B20=""),0,SUMIF('DADOS BRUTOS'!$A$3:$A$500,$B20,'DADOS BRUTOS'!EN$3:EN$500)+IF($C20="",0,SUMIF('DADOS BRUTOS'!$A$3:$A$500,$C20,'DADOS BRUTOS'!EN$3:EN$500)))</f>
        <v>0</v>
      </c>
      <c r="HO20" s="133" t="n">
        <f aca="false">IF(OR(HO$4="",$B20=""),0,SUMIF('DADOS BRUTOS'!$A$3:$A$500,$B20,'DADOS BRUTOS'!EO$3:EO$500)+IF($C20="",0,SUMIF('DADOS BRUTOS'!$A$3:$A$500,$C20,'DADOS BRUTOS'!EO$3:EO$500)))</f>
        <v>0</v>
      </c>
      <c r="HP20" s="133" t="n">
        <f aca="false">IF(OR(HP$4="",$B20=""),0,SUMIF('DADOS BRUTOS'!$A$3:$A$500,$B20,'DADOS BRUTOS'!EP$3:EP$500)+IF($C20="",0,SUMIF('DADOS BRUTOS'!$A$3:$A$500,$C20,'DADOS BRUTOS'!EP$3:EP$500)))</f>
        <v>0</v>
      </c>
      <c r="HQ20" s="133" t="n">
        <f aca="false">IF(OR(HQ$4="",$B20=""),0,SUMIF('DADOS BRUTOS'!$A$3:$A$500,$B20,'DADOS BRUTOS'!EQ$3:EQ$500)+IF($C20="",0,SUMIF('DADOS BRUTOS'!$A$3:$A$500,$C20,'DADOS BRUTOS'!EQ$3:EQ$500)))</f>
        <v>0</v>
      </c>
      <c r="HR20" s="133" t="n">
        <f aca="false">IF(OR(HR$4="",$B20=""),0,SUMIF('DADOS BRUTOS'!$A$3:$A$500,$B20,'DADOS BRUTOS'!ER$3:ER$500)+IF($C20="",0,SUMIF('DADOS BRUTOS'!$A$3:$A$500,$C20,'DADOS BRUTOS'!ER$3:ER$500)))</f>
        <v>0</v>
      </c>
      <c r="HS20" s="133" t="n">
        <f aca="false">IF(OR(HS$4="",$B20=""),0,SUMIF('DADOS BRUTOS'!$A$3:$A$500,$B20,'DADOS BRUTOS'!ES$3:ES$500)+IF($C20="",0,SUMIF('DADOS BRUTOS'!$A$3:$A$500,$C20,'DADOS BRUTOS'!ES$3:ES$500)))</f>
        <v>0</v>
      </c>
      <c r="HT20" s="133" t="n">
        <f aca="false">IF(OR(HT$4="",$B20=""),0,SUMIF('DADOS BRUTOS'!$A$3:$A$500,$B20,'DADOS BRUTOS'!ET$3:ET$500)+IF($C20="",0,SUMIF('DADOS BRUTOS'!$A$3:$A$500,$C20,'DADOS BRUTOS'!ET$3:ET$500)))</f>
        <v>0</v>
      </c>
      <c r="HU20" s="133" t="n">
        <f aca="false">IF(OR(HU$4="",$B20=""),0,SUMIF('DADOS BRUTOS'!$A$3:$A$500,$B20,'DADOS BRUTOS'!EU$3:EU$500)+IF($C20="",0,SUMIF('DADOS BRUTOS'!$A$3:$A$500,$C20,'DADOS BRUTOS'!EU$3:EU$500)))</f>
        <v>0</v>
      </c>
      <c r="HV20" s="133" t="n">
        <f aca="false">IF(OR(HV$4="",$B20=""),0,SUMIF('DADOS BRUTOS'!$A$3:$A$500,$B20,'DADOS BRUTOS'!EV$3:EV$500)+IF($C20="",0,SUMIF('DADOS BRUTOS'!$A$3:$A$500,$C20,'DADOS BRUTOS'!EV$3:EV$500)))</f>
        <v>0</v>
      </c>
      <c r="HW20" s="133" t="n">
        <f aca="false">IF(OR(HW$4="",$B20=""),0,SUMIF('DADOS BRUTOS'!$A$3:$A$500,$B20,'DADOS BRUTOS'!EW$3:EW$500)+IF($C20="",0,SUMIF('DADOS BRUTOS'!$A$3:$A$500,$C20,'DADOS BRUTOS'!EW$3:EW$500)))</f>
        <v>0</v>
      </c>
      <c r="HX20" s="133" t="n">
        <f aca="false">IF(OR(HX$4="",$B20=""),0,SUMIF('DADOS BRUTOS'!$A$3:$A$500,$B20,'DADOS BRUTOS'!EX$3:EX$500)+IF($C20="",0,SUMIF('DADOS BRUTOS'!$A$3:$A$500,$C20,'DADOS BRUTOS'!EX$3:EX$500)))</f>
        <v>0</v>
      </c>
      <c r="HY20" s="133" t="n">
        <f aca="false">IF(OR(HY$4="",$B20=""),0,SUMIF('DADOS BRUTOS'!$A$3:$A$500,$B20,'DADOS BRUTOS'!EY$3:EY$500)+IF($C20="",0,SUMIF('DADOS BRUTOS'!$A$3:$A$500,$C20,'DADOS BRUTOS'!EY$3:EY$500)))</f>
        <v>0</v>
      </c>
      <c r="HZ20" s="133" t="n">
        <f aca="false">IF(OR(HZ$4="",$B20=""),0,SUMIF('DADOS BRUTOS'!$A$3:$A$500,$B20,'DADOS BRUTOS'!EZ$3:EZ$500)+IF($C20="",0,SUMIF('DADOS BRUTOS'!$A$3:$A$500,$C20,'DADOS BRUTOS'!EZ$3:EZ$500)))</f>
        <v>0</v>
      </c>
      <c r="IA20" s="133" t="n">
        <f aca="false">IF(OR(IA$4="",$B20=""),0,SUMIF('DADOS BRUTOS'!$A$3:$A$500,$B20,'DADOS BRUTOS'!FA$3:FA$500)+IF($C20="",0,SUMIF('DADOS BRUTOS'!$A$3:$A$500,$C20,'DADOS BRUTOS'!FA$3:FA$500)))</f>
        <v>0</v>
      </c>
      <c r="IB20" s="133" t="n">
        <f aca="false">IF(OR(IB$4="",$B20=""),0,SUMIF('DADOS BRUTOS'!$A$3:$A$500,$B20,'DADOS BRUTOS'!FB$3:FB$500)+IF($C20="",0,SUMIF('DADOS BRUTOS'!$A$3:$A$500,$C20,'DADOS BRUTOS'!FB$3:FB$500)))</f>
        <v>0</v>
      </c>
      <c r="IC20" s="133" t="n">
        <f aca="false">IF(OR(IC$4="",$B20=""),0,SUMIF('DADOS BRUTOS'!$A$3:$A$500,$B20,'DADOS BRUTOS'!FC$3:FC$500)+IF($C20="",0,SUMIF('DADOS BRUTOS'!$A$3:$A$500,$C20,'DADOS BRUTOS'!FC$3:FC$500)))</f>
        <v>0</v>
      </c>
      <c r="ID20" s="133" t="n">
        <f aca="false">IF(OR(ID$4="",$B20=""),0,SUMIF('DADOS BRUTOS'!$A$3:$A$500,$B20,'DADOS BRUTOS'!FD$3:FD$500)+IF($C20="",0,SUMIF('DADOS BRUTOS'!$A$3:$A$500,$C20,'DADOS BRUTOS'!FD$3:FD$500)))</f>
        <v>0</v>
      </c>
      <c r="IE20" s="133" t="n">
        <f aca="false">IF(OR(IE$4="",$B20=""),0,SUMIF('DADOS BRUTOS'!$A$3:$A$500,$B20,'DADOS BRUTOS'!FE$3:FE$500)+IF($C20="",0,SUMIF('DADOS BRUTOS'!$A$3:$A$500,$C20,'DADOS BRUTOS'!FE$3:FE$500)))</f>
        <v>0</v>
      </c>
      <c r="IF20" s="133" t="n">
        <f aca="false">IF(OR(IF$4="",$B20=""),0,SUMIF('DADOS BRUTOS'!$A$3:$A$500,$B20,'DADOS BRUTOS'!FF$3:FF$500)+IF($C20="",0,SUMIF('DADOS BRUTOS'!$A$3:$A$500,$C20,'DADOS BRUTOS'!FF$3:FF$500)))</f>
        <v>0</v>
      </c>
      <c r="IG20" s="133" t="n">
        <f aca="false">IF(OR(IG$4="",$B20=""),0,SUMIF('DADOS BRUTOS'!$A$3:$A$500,$B20,'DADOS BRUTOS'!FG$3:FG$500)+IF($C20="",0,SUMIF('DADOS BRUTOS'!$A$3:$A$500,$C20,'DADOS BRUTOS'!FG$3:FG$500)))</f>
        <v>0</v>
      </c>
      <c r="IH20" s="133" t="n">
        <f aca="false">IF(OR(IH$4="",$B20=""),0,SUMIF('DADOS BRUTOS'!$A$3:$A$500,$B20,'DADOS BRUTOS'!FH$3:FH$500)+IF($C20="",0,SUMIF('DADOS BRUTOS'!$A$3:$A$500,$C20,'DADOS BRUTOS'!FH$3:FH$500)))</f>
        <v>0</v>
      </c>
      <c r="II20" s="133" t="n">
        <f aca="false">IF(OR(II$4="",$B20=""),0,SUMIF('DADOS BRUTOS'!$A$3:$A$500,$B20,'DADOS BRUTOS'!FI$3:FI$500)+IF($C20="",0,SUMIF('DADOS BRUTOS'!$A$3:$A$500,$C20,'DADOS BRUTOS'!FI$3:FI$500)))</f>
        <v>0</v>
      </c>
      <c r="IJ20" s="133" t="n">
        <f aca="false">IF(OR(IJ$4="",$B20=""),0,SUMIF('DADOS BRUTOS'!$A$3:$A$500,$B20,'DADOS BRUTOS'!FJ$3:FJ$500)+IF($C20="",0,SUMIF('DADOS BRUTOS'!$A$3:$A$500,$C20,'DADOS BRUTOS'!FJ$3:FJ$500)))</f>
        <v>0</v>
      </c>
      <c r="IK20" s="133" t="n">
        <f aca="false">IF(OR(IK$4="",$B20=""),0,SUMIF('DADOS BRUTOS'!$A$3:$A$500,$B20,'DADOS BRUTOS'!FK$3:FK$500)+IF($C20="",0,SUMIF('DADOS BRUTOS'!$A$3:$A$500,$C20,'DADOS BRUTOS'!FK$3:FK$500)))</f>
        <v>0</v>
      </c>
      <c r="IL20" s="133" t="n">
        <f aca="false">IF(OR(IL$4="",$B20=""),0,SUMIF('DADOS BRUTOS'!$A$3:$A$500,$B20,'DADOS BRUTOS'!FL$3:FL$500)+IF($C20="",0,SUMIF('DADOS BRUTOS'!$A$3:$A$500,$C20,'DADOS BRUTOS'!FL$3:FL$500)))</f>
        <v>0</v>
      </c>
      <c r="IM20" s="133" t="n">
        <f aca="false">IF(OR(IM$4="",$B20=""),0,SUMIF('DADOS BRUTOS'!$A$3:$A$500,$B20,'DADOS BRUTOS'!FM$3:FM$500)+IF($C20="",0,SUMIF('DADOS BRUTOS'!$A$3:$A$500,$C20,'DADOS BRUTOS'!FM$3:FM$500)))</f>
        <v>0</v>
      </c>
      <c r="IN20" s="133" t="n">
        <f aca="false">IF(OR(IN$4="",$B20=""),0,SUMIF('DADOS BRUTOS'!$A$3:$A$500,$B20,'DADOS BRUTOS'!FN$3:FN$500)+IF($C20="",0,SUMIF('DADOS BRUTOS'!$A$3:$A$500,$C20,'DADOS BRUTOS'!FN$3:FN$500)))</f>
        <v>0</v>
      </c>
      <c r="IO20" s="133" t="n">
        <f aca="false">IF(OR(IO$4="",$B20=""),0,SUMIF('DADOS BRUTOS'!$A$3:$A$500,$B20,'DADOS BRUTOS'!FO$3:FO$500)+IF($C20="",0,SUMIF('DADOS BRUTOS'!$A$3:$A$500,$C20,'DADOS BRUTOS'!FO$3:FO$500)))</f>
        <v>0</v>
      </c>
      <c r="IP20" s="133" t="n">
        <f aca="false">IF(OR(IP$4="",$B20=""),0,SUMIF('DADOS BRUTOS'!$A$3:$A$500,$B20,'DADOS BRUTOS'!FP$3:FP$500)+IF($C20="",0,SUMIF('DADOS BRUTOS'!$A$3:$A$500,$C20,'DADOS BRUTOS'!FP$3:FP$500)))</f>
        <v>0</v>
      </c>
      <c r="IQ20" s="133" t="n">
        <f aca="false">IF(OR(IQ$4="",$B20=""),0,SUMIF('DADOS BRUTOS'!$A$3:$A$500,$B20,'DADOS BRUTOS'!FQ$3:FQ$500)+IF($C20="",0,SUMIF('DADOS BRUTOS'!$A$3:$A$500,$C20,'DADOS BRUTOS'!FQ$3:FQ$500)))</f>
        <v>0</v>
      </c>
      <c r="IR20" s="133" t="n">
        <f aca="false">IF(OR(IR$4="",$B20=""),0,SUMIF('DADOS BRUTOS'!$A$3:$A$500,$B20,'DADOS BRUTOS'!FR$3:FR$500)+IF($C20="",0,SUMIF('DADOS BRUTOS'!$A$3:$A$500,$C20,'DADOS BRUTOS'!FR$3:FR$500)))</f>
        <v>0</v>
      </c>
      <c r="IS20" s="133" t="n">
        <f aca="false">IF(OR(IS$4="",$B20=""),0,SUMIF('DADOS BRUTOS'!$A$3:$A$500,$B20,'DADOS BRUTOS'!FS$3:FS$500)+IF($C20="",0,SUMIF('DADOS BRUTOS'!$A$3:$A$500,$C20,'DADOS BRUTOS'!FS$3:FS$500)))</f>
        <v>0</v>
      </c>
      <c r="IT20" s="133" t="n">
        <f aca="false">IF(OR(IT$4="",$B20=""),0,SUMIF('DADOS BRUTOS'!$A$3:$A$500,$B20,'DADOS BRUTOS'!FT$3:FT$500)+IF($C20="",0,SUMIF('DADOS BRUTOS'!$A$3:$A$500,$C20,'DADOS BRUTOS'!FT$3:FT$500)))</f>
        <v>0</v>
      </c>
      <c r="IU20" s="133" t="n">
        <f aca="false">IF(OR(IU$4="",$B20=""),0,SUMIF('DADOS BRUTOS'!$A$3:$A$500,$B20,'DADOS BRUTOS'!FU$3:FU$500)+IF($C20="",0,SUMIF('DADOS BRUTOS'!$A$3:$A$500,$C20,'DADOS BRUTOS'!FU$3:FU$500)))</f>
        <v>0</v>
      </c>
      <c r="IV20" s="133" t="n">
        <f aca="false">IF(OR(IV$4="",$B20=""),0,SUMIF('DADOS BRUTOS'!$A$3:$A$500,$B20,'DADOS BRUTOS'!FV$3:FV$500)+IF($C20="",0,SUMIF('DADOS BRUTOS'!$A$3:$A$500,$C20,'DADOS BRUTOS'!FV$3:FV$500)))</f>
        <v>0</v>
      </c>
      <c r="IW20" s="133" t="n">
        <f aca="false">IF(OR(IW$4="",$B20=""),0,SUMIF('DADOS BRUTOS'!$A$3:$A$500,$B20,'DADOS BRUTOS'!FW$3:FW$500)+IF($C20="",0,SUMIF('DADOS BRUTOS'!$A$3:$A$500,$C20,'DADOS BRUTOS'!FW$3:FW$500)))</f>
        <v>0</v>
      </c>
      <c r="IX20" s="133" t="n">
        <f aca="false">IF(OR(IX$4="",$B20=""),0,SUMIF('DADOS BRUTOS'!$A$3:$A$500,$B20,'DADOS BRUTOS'!FX$3:FX$500)+IF($C20="",0,SUMIF('DADOS BRUTOS'!$A$3:$A$500,$C20,'DADOS BRUTOS'!FX$3:FX$500)))</f>
        <v>0</v>
      </c>
      <c r="IY20" s="133" t="n">
        <f aca="false">IF(OR(IY$4="",$B20=""),0,SUMIF('DADOS BRUTOS'!$A$3:$A$500,$B20,'DADOS BRUTOS'!FY$3:FY$500)+IF($C20="",0,SUMIF('DADOS BRUTOS'!$A$3:$A$500,$C20,'DADOS BRUTOS'!FY$3:FY$500)))</f>
        <v>0</v>
      </c>
      <c r="IZ20" s="133" t="n">
        <f aca="false">IF(OR(IZ$4="",$B20=""),0,SUMIF('DADOS BRUTOS'!$A$3:$A$500,$B20,'DADOS BRUTOS'!FZ$3:FZ$500)+IF($C20="",0,SUMIF('DADOS BRUTOS'!$A$3:$A$500,$C20,'DADOS BRUTOS'!FZ$3:FZ$500)))</f>
        <v>0</v>
      </c>
      <c r="JA20" s="133" t="n">
        <f aca="false">IF(OR(JA$4="",$B20=""),0,SUMIF('DADOS BRUTOS'!$A$3:$A$500,$B20,'DADOS BRUTOS'!GA$3:GA$500)+IF($C20="",0,SUMIF('DADOS BRUTOS'!$A$3:$A$500,$C20,'DADOS BRUTOS'!GA$3:GA$500)))</f>
        <v>0</v>
      </c>
      <c r="JB20" s="133" t="n">
        <f aca="false">IF(OR(JB$4="",$B20=""),0,SUMIF('DADOS BRUTOS'!$A$3:$A$500,$B20,'DADOS BRUTOS'!GB$3:GB$500)+IF($C20="",0,SUMIF('DADOS BRUTOS'!$A$3:$A$500,$C20,'DADOS BRUTOS'!GB$3:GB$500)))</f>
        <v>0</v>
      </c>
      <c r="JC20" s="133" t="n">
        <f aca="false">IF(OR(JC$4="",$B20=""),0,SUMIF('DADOS BRUTOS'!$A$3:$A$500,$B20,'DADOS BRUTOS'!GC$3:GC$500)+IF($C20="",0,SUMIF('DADOS BRUTOS'!$A$3:$A$500,$C20,'DADOS BRUTOS'!GC$3:GC$500)))</f>
        <v>0</v>
      </c>
      <c r="JD20" s="133" t="n">
        <f aca="false">IF(OR(JD$4="",$B20=""),0,SUMIF('DADOS BRUTOS'!$A$3:$A$500,$B20,'DADOS BRUTOS'!GD$3:GD$500)+IF($C20="",0,SUMIF('DADOS BRUTOS'!$A$3:$A$500,$C20,'DADOS BRUTOS'!GD$3:GD$500)))</f>
        <v>0</v>
      </c>
      <c r="JE20" s="133" t="n">
        <f aca="false">IF(OR(JE$4="",$B20=""),0,SUMIF('DADOS BRUTOS'!$A$3:$A$500,$B20,'DADOS BRUTOS'!GE$3:GE$500)+IF($C20="",0,SUMIF('DADOS BRUTOS'!$A$3:$A$500,$C20,'DADOS BRUTOS'!GE$3:GE$500)))</f>
        <v>0</v>
      </c>
      <c r="JF20" s="133" t="n">
        <f aca="false">IF(OR(JF$4="",$B20=""),0,SUMIF('DADOS BRUTOS'!$A$3:$A$500,$B20,'DADOS BRUTOS'!GF$3:GF$500)+IF($C20="",0,SUMIF('DADOS BRUTOS'!$A$3:$A$500,$C20,'DADOS BRUTOS'!GF$3:GF$500)))</f>
        <v>0</v>
      </c>
      <c r="JG20" s="133" t="n">
        <f aca="false">IF(OR(JG$4="",$B20=""),0,SUMIF('DADOS BRUTOS'!$A$3:$A$500,$B20,'DADOS BRUTOS'!GG$3:GG$500)+IF($C20="",0,SUMIF('DADOS BRUTOS'!$A$3:$A$500,$C20,'DADOS BRUTOS'!GG$3:GG$500)))</f>
        <v>0</v>
      </c>
      <c r="JH20" s="133" t="n">
        <f aca="false">IF(OR(JH$4="",$B20=""),0,SUMIF('DADOS BRUTOS'!$A$3:$A$500,$B20,'DADOS BRUTOS'!GH$3:GH$500)+IF($C20="",0,SUMIF('DADOS BRUTOS'!$A$3:$A$500,$C20,'DADOS BRUTOS'!GH$3:GH$500)))</f>
        <v>0</v>
      </c>
      <c r="JI20" s="133" t="n">
        <f aca="false">IF(OR(JI$4="",$B20=""),0,SUMIF('DADOS BRUTOS'!$A$3:$A$500,$B20,'DADOS BRUTOS'!GI$3:GI$500)+IF($C20="",0,SUMIF('DADOS BRUTOS'!$A$3:$A$500,$C20,'DADOS BRUTOS'!GI$3:GI$500)))</f>
        <v>0</v>
      </c>
      <c r="JJ20" s="133" t="n">
        <f aca="false">IF(OR(JJ$4="",$B20=""),0,SUMIF('DADOS BRUTOS'!$A$3:$A$500,$B20,'DADOS BRUTOS'!GJ$3:GJ$500)+IF($C20="",0,SUMIF('DADOS BRUTOS'!$A$3:$A$500,$C20,'DADOS BRUTOS'!GJ$3:GJ$500)))</f>
        <v>0</v>
      </c>
      <c r="JK20" s="133" t="n">
        <f aca="false">IF(OR(JK$4="",$B20=""),0,SUMIF('DADOS BRUTOS'!$A$3:$A$500,$B20,'DADOS BRUTOS'!GK$3:GK$500)+IF($C20="",0,SUMIF('DADOS BRUTOS'!$A$3:$A$500,$C20,'DADOS BRUTOS'!GK$3:GK$500)))</f>
        <v>0</v>
      </c>
      <c r="JL20" s="133" t="n">
        <f aca="false">IF(OR(JL$4="",$B20=""),0,SUMIF('DADOS BRUTOS'!$A$3:$A$500,$B20,'DADOS BRUTOS'!GL$3:GL$500)+IF($C20="",0,SUMIF('DADOS BRUTOS'!$A$3:$A$500,$C20,'DADOS BRUTOS'!GL$3:GL$500)))</f>
        <v>0</v>
      </c>
      <c r="JM20" s="133" t="n">
        <f aca="false">IF(OR(JM$4="",$B20=""),0,SUMIF('DADOS BRUTOS'!$A$3:$A$500,$B20,'DADOS BRUTOS'!GM$3:GM$500)+IF($C20="",0,SUMIF('DADOS BRUTOS'!$A$3:$A$500,$C20,'DADOS BRUTOS'!GM$3:GM$500)))</f>
        <v>0</v>
      </c>
      <c r="JN20" s="133" t="n">
        <f aca="false">IF(OR(JN$4="",$B20=""),0,SUMIF('DADOS BRUTOS'!$A$3:$A$500,$B20,'DADOS BRUTOS'!GN$3:GN$500)+IF($C20="",0,SUMIF('DADOS BRUTOS'!$A$3:$A$500,$C20,'DADOS BRUTOS'!GN$3:GN$500)))</f>
        <v>0</v>
      </c>
      <c r="JO20" s="133" t="n">
        <f aca="false">IF(OR(JO$4="",$B20=""),0,SUMIF('DADOS BRUTOS'!$A$3:$A$500,$B20,'DADOS BRUTOS'!GO$3:GO$500)+IF($C20="",0,SUMIF('DADOS BRUTOS'!$A$3:$A$500,$C20,'DADOS BRUTOS'!GO$3:GO$500)))</f>
        <v>0</v>
      </c>
      <c r="JP20" s="133" t="n">
        <f aca="false">IF(OR(JP$4="",$B20=""),0,SUMIF('DADOS BRUTOS'!$A$3:$A$500,$B20,'DADOS BRUTOS'!GP$3:GP$500)+IF($C20="",0,SUMIF('DADOS BRUTOS'!$A$3:$A$500,$C20,'DADOS BRUTOS'!GP$3:GP$500)))</f>
        <v>0</v>
      </c>
      <c r="JQ20" s="133" t="n">
        <f aca="false">IF(OR(JQ$4="",$B20=""),0,SUMIF('DADOS BRUTOS'!$A$3:$A$500,$B20,'DADOS BRUTOS'!GQ$3:GQ$500)+IF($C20="",0,SUMIF('DADOS BRUTOS'!$A$3:$A$500,$C20,'DADOS BRUTOS'!GQ$3:GQ$500)))</f>
        <v>0</v>
      </c>
      <c r="JR20" s="133" t="n">
        <f aca="false">IF(OR(JR$4="",$B20=""),0,SUMIF('DADOS BRUTOS'!$A$3:$A$500,$B20,'DADOS BRUTOS'!GR$3:GR$500)+IF($C20="",0,SUMIF('DADOS BRUTOS'!$A$3:$A$500,$C20,'DADOS BRUTOS'!GR$3:GR$500)))</f>
        <v>0</v>
      </c>
      <c r="JS20" s="133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 t="s">
        <v>2875</v>
      </c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0</v>
      </c>
      <c r="J21" s="50" t="n">
        <f aca="false">SUMIF($CB$4:$JS$4,J$4,$CB21:$JS21)</f>
        <v>0</v>
      </c>
      <c r="K21" s="50" t="n">
        <f aca="false">SUMIF($CB$4:$JS$4,K$4,$CB21:$JS21)</f>
        <v>0</v>
      </c>
      <c r="L21" s="50" t="n">
        <f aca="false">SUMIF($CB$4:$JS$4,L$4,$CB21:$JS21)</f>
        <v>0</v>
      </c>
      <c r="M21" s="50" t="n">
        <f aca="false">SUMIF($CB$4:$JS$4,M$4,$CB21:$JS21)</f>
        <v>0</v>
      </c>
      <c r="N21" s="50" t="n">
        <f aca="false">SUMIF($CB$4:$JS$4,N$4,$CB21:$JS21)</f>
        <v>0</v>
      </c>
      <c r="O21" s="50" t="n">
        <f aca="false">SUMIF($CB$4:$JS$4,O$4,$CB21:$JS21)</f>
        <v>0</v>
      </c>
      <c r="P21" s="50" t="n">
        <f aca="false">SUMIF($CB$4:$JS$4,P$4,$CB21:$JS21)</f>
        <v>0</v>
      </c>
      <c r="Q21" s="50" t="n">
        <f aca="false">SUMIF($CB$4:$JS$4,Q$4,$CB21:$JS21)</f>
        <v>0</v>
      </c>
      <c r="R21" s="50" t="n">
        <f aca="false">SUMIF($CB$4:$JS$4,R$4,$CB21:$JS21)</f>
        <v>0</v>
      </c>
      <c r="S21" s="50" t="n">
        <f aca="false">SUMIF($CB$4:$JS$4,S$4,$CB21:$JS21)</f>
        <v>0</v>
      </c>
      <c r="T21" s="50" t="n">
        <f aca="false">SUMIF($CB$4:$JS$4,T$4,$CB21:$JS21)</f>
        <v>0</v>
      </c>
      <c r="U21" s="50" t="n">
        <f aca="false">SUMIF($CB$4:$JS$4,U$4,$CB21:$JS21)</f>
        <v>22233.82</v>
      </c>
      <c r="V21" s="50" t="n">
        <f aca="false">SUMIF($CB$4:$JS$4,V$4,$CB21:$JS21)</f>
        <v>49774.54</v>
      </c>
      <c r="W21" s="50" t="n">
        <f aca="false">SUMIF($CB$4:$JS$4,W$4,$CB21:$JS21)</f>
        <v>269581.19</v>
      </c>
      <c r="X21" s="50" t="n">
        <f aca="false">SUMIF($CB$4:$JS$4,X$4,$CB21:$JS21)</f>
        <v>650557.02</v>
      </c>
      <c r="Y21" s="50" t="n">
        <f aca="false">SUMIF($CB$4:$JS$4,Y$4,$CB21:$JS21)</f>
        <v>1415388.68</v>
      </c>
      <c r="Z21" s="50" t="n">
        <f aca="false">SUMIF($CB$4:$JS$4,Z$4,$CB21:$JS21)</f>
        <v>1153768.07</v>
      </c>
      <c r="AA21" s="50" t="n">
        <f aca="false">SUMIF($CB$4:$JS$4,AA$4,$CB21:$JS21)</f>
        <v>184443.09</v>
      </c>
      <c r="AB21" s="50" t="n">
        <f aca="false">SUMIF($CB$4:$JS$4,AB$4,$CB21:$JS21)</f>
        <v>23141.5</v>
      </c>
      <c r="AC21" s="50" t="n">
        <f aca="false">SUMIF($CB$4:$JS$4,AC$4,$CB21:$JS21)</f>
        <v>529800</v>
      </c>
      <c r="AD21" s="50" t="n">
        <f aca="false">SUMIF($CB$4:$JS$4,AD$4,$CB21:$JS21)</f>
        <v>0</v>
      </c>
      <c r="AE21" s="50" t="n">
        <f aca="false">SUMIF($CB$4:$JS$4,AE$4,$CB21:$JS21)</f>
        <v>8355.27</v>
      </c>
      <c r="AF21" s="50" t="n">
        <f aca="false">SUMIF($CB$4:$JS$4,AF$4,$CB21:$JS21)</f>
        <v>0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0</v>
      </c>
      <c r="AL21" s="50" t="n">
        <f aca="false">SUMIF($CB$4:$JS$4,AL$4,$CB21:$JS21)</f>
        <v>0</v>
      </c>
      <c r="AM21" s="50" t="n">
        <f aca="false">SUMIF($CB$4:$JS$4,AM$4,$CB21:$JS21)</f>
        <v>0</v>
      </c>
      <c r="AN21" s="50" t="n">
        <f aca="false">SUMIF($CB$4:$JS$4,AN$4,$CB21:$JS21)</f>
        <v>0</v>
      </c>
      <c r="AO21" s="50" t="n">
        <f aca="false">SUMIF($CB$4:$JS$4,AO$4,$CB21:$JS21)</f>
        <v>0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23975.79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227.52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4394.69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4335641.18</v>
      </c>
      <c r="BZ21" s="45" t="n">
        <f aca="false">SUMPRODUCT(($CB$4:$JS$4&lt;&gt;"")*($CB$4:$JS$4&lt;=$D$4),$CB21:$JS21,$CB$1:$JS$1)</f>
        <v>0</v>
      </c>
      <c r="CB21" s="133" t="n">
        <f aca="false">IF(OR(CB$4="",$B21=""),0,SUMIF('DADOS BRUTOS'!$A$3:$A$500,$B21,'DADOS BRUTOS'!B$3:B$500)+IF($C21="",0,SUMIF('DADOS BRUTOS'!$A$3:$A$500,$C21,'DADOS BRUTOS'!B$3:B$500)))</f>
        <v>0</v>
      </c>
      <c r="CC21" s="133" t="n">
        <f aca="false">IF(OR(CC$4="",$B21=""),0,SUMIF('DADOS BRUTOS'!$A$3:$A$500,$B21,'DADOS BRUTOS'!C$3:C$500)+IF($C21="",0,SUMIF('DADOS BRUTOS'!$A$3:$A$500,$C21,'DADOS BRUTOS'!C$3:C$500)))</f>
        <v>0</v>
      </c>
      <c r="CD21" s="133" t="n">
        <f aca="false">IF(OR(CD$4="",$B21=""),0,SUMIF('DADOS BRUTOS'!$A$3:$A$500,$B21,'DADOS BRUTOS'!D$3:D$500)+IF($C21="",0,SUMIF('DADOS BRUTOS'!$A$3:$A$500,$C21,'DADOS BRUTOS'!D$3:D$500)))</f>
        <v>0</v>
      </c>
      <c r="CE21" s="133" t="n">
        <f aca="false">IF(OR(CE$4="",$B21=""),0,SUMIF('DADOS BRUTOS'!$A$3:$A$500,$B21,'DADOS BRUTOS'!E$3:E$500)+IF($C21="",0,SUMIF('DADOS BRUTOS'!$A$3:$A$500,$C21,'DADOS BRUTOS'!E$3:E$500)))</f>
        <v>0</v>
      </c>
      <c r="CF21" s="133" t="n">
        <f aca="false">IF(OR(CF$4="",$B21=""),0,SUMIF('DADOS BRUTOS'!$A$3:$A$500,$B21,'DADOS BRUTOS'!F$3:F$500)+IF($C21="",0,SUMIF('DADOS BRUTOS'!$A$3:$A$500,$C21,'DADOS BRUTOS'!F$3:F$500)))</f>
        <v>0</v>
      </c>
      <c r="CG21" s="133" t="n">
        <f aca="false">IF(OR(CG$4="",$B21=""),0,SUMIF('DADOS BRUTOS'!$A$3:$A$500,$B21,'DADOS BRUTOS'!G$3:G$500)+IF($C21="",0,SUMIF('DADOS BRUTOS'!$A$3:$A$500,$C21,'DADOS BRUTOS'!G$3:G$500)))</f>
        <v>0</v>
      </c>
      <c r="CH21" s="133" t="n">
        <f aca="false">IF(OR(CH$4="",$B21=""),0,SUMIF('DADOS BRUTOS'!$A$3:$A$500,$B21,'DADOS BRUTOS'!H$3:H$500)+IF($C21="",0,SUMIF('DADOS BRUTOS'!$A$3:$A$500,$C21,'DADOS BRUTOS'!H$3:H$500)))</f>
        <v>0</v>
      </c>
      <c r="CI21" s="133" t="n">
        <f aca="false">IF(OR(CI$4="",$B21=""),0,SUMIF('DADOS BRUTOS'!$A$3:$A$500,$B21,'DADOS BRUTOS'!I$3:I$500)+IF($C21="",0,SUMIF('DADOS BRUTOS'!$A$3:$A$500,$C21,'DADOS BRUTOS'!I$3:I$500)))</f>
        <v>0</v>
      </c>
      <c r="CJ21" s="133" t="n">
        <f aca="false">IF(OR(CJ$4="",$B21=""),0,SUMIF('DADOS BRUTOS'!$A$3:$A$500,$B21,'DADOS BRUTOS'!J$3:J$500)+IF($C21="",0,SUMIF('DADOS BRUTOS'!$A$3:$A$500,$C21,'DADOS BRUTOS'!J$3:J$500)))</f>
        <v>0</v>
      </c>
      <c r="CK21" s="133" t="n">
        <f aca="false">IF(OR(CK$4="",$B21=""),0,SUMIF('DADOS BRUTOS'!$A$3:$A$500,$B21,'DADOS BRUTOS'!K$3:K$500)+IF($C21="",0,SUMIF('DADOS BRUTOS'!$A$3:$A$500,$C21,'DADOS BRUTOS'!K$3:K$500)))</f>
        <v>0</v>
      </c>
      <c r="CL21" s="133" t="n">
        <f aca="false">IF(OR(CL$4="",$B21=""),0,SUMIF('DADOS BRUTOS'!$A$3:$A$500,$B21,'DADOS BRUTOS'!L$3:L$500)+IF($C21="",0,SUMIF('DADOS BRUTOS'!$A$3:$A$500,$C21,'DADOS BRUTOS'!L$3:L$500)))</f>
        <v>0</v>
      </c>
      <c r="CM21" s="133" t="n">
        <f aca="false">IF(OR(CM$4="",$B21=""),0,SUMIF('DADOS BRUTOS'!$A$3:$A$500,$B21,'DADOS BRUTOS'!M$3:M$500)+IF($C21="",0,SUMIF('DADOS BRUTOS'!$A$3:$A$500,$C21,'DADOS BRUTOS'!M$3:M$500)))</f>
        <v>0</v>
      </c>
      <c r="CN21" s="133" t="n">
        <f aca="false">IF(OR(CN$4="",$B21=""),0,SUMIF('DADOS BRUTOS'!$A$3:$A$500,$B21,'DADOS BRUTOS'!N$3:N$500)+IF($C21="",0,SUMIF('DADOS BRUTOS'!$A$3:$A$500,$C21,'DADOS BRUTOS'!N$3:N$500)))</f>
        <v>0</v>
      </c>
      <c r="CO21" s="133" t="n">
        <f aca="false">IF(OR(CO$4="",$B21=""),0,SUMIF('DADOS BRUTOS'!$A$3:$A$500,$B21,'DADOS BRUTOS'!O$3:O$500)+IF($C21="",0,SUMIF('DADOS BRUTOS'!$A$3:$A$500,$C21,'DADOS BRUTOS'!O$3:O$500)))</f>
        <v>0</v>
      </c>
      <c r="CP21" s="133" t="n">
        <f aca="false">IF(OR(CP$4="",$B21=""),0,SUMIF('DADOS BRUTOS'!$A$3:$A$500,$B21,'DADOS BRUTOS'!P$3:P$500)+IF($C21="",0,SUMIF('DADOS BRUTOS'!$A$3:$A$500,$C21,'DADOS BRUTOS'!P$3:P$500)))</f>
        <v>0</v>
      </c>
      <c r="CQ21" s="133" t="n">
        <f aca="false">IF(OR(CQ$4="",$B21=""),0,SUMIF('DADOS BRUTOS'!$A$3:$A$500,$B21,'DADOS BRUTOS'!Q$3:Q$500)+IF($C21="",0,SUMIF('DADOS BRUTOS'!$A$3:$A$500,$C21,'DADOS BRUTOS'!Q$3:Q$500)))</f>
        <v>0</v>
      </c>
      <c r="CR21" s="133" t="n">
        <f aca="false">IF(OR(CR$4="",$B21=""),0,SUMIF('DADOS BRUTOS'!$A$3:$A$500,$B21,'DADOS BRUTOS'!R$3:R$500)+IF($C21="",0,SUMIF('DADOS BRUTOS'!$A$3:$A$500,$C21,'DADOS BRUTOS'!R$3:R$500)))</f>
        <v>0</v>
      </c>
      <c r="CS21" s="133" t="n">
        <f aca="false">IF(OR(CS$4="",$B21=""),0,SUMIF('DADOS BRUTOS'!$A$3:$A$500,$B21,'DADOS BRUTOS'!S$3:S$500)+IF($C21="",0,SUMIF('DADOS BRUTOS'!$A$3:$A$500,$C21,'DADOS BRUTOS'!S$3:S$500)))</f>
        <v>0</v>
      </c>
      <c r="CT21" s="133" t="n">
        <f aca="false">IF(OR(CT$4="",$B21=""),0,SUMIF('DADOS BRUTOS'!$A$3:$A$500,$B21,'DADOS BRUTOS'!T$3:T$500)+IF($C21="",0,SUMIF('DADOS BRUTOS'!$A$3:$A$500,$C21,'DADOS BRUTOS'!T$3:T$500)))</f>
        <v>0</v>
      </c>
      <c r="CU21" s="133" t="n">
        <f aca="false">IF(OR(CU$4="",$B21=""),0,SUMIF('DADOS BRUTOS'!$A$3:$A$500,$B21,'DADOS BRUTOS'!U$3:U$500)+IF($C21="",0,SUMIF('DADOS BRUTOS'!$A$3:$A$500,$C21,'DADOS BRUTOS'!U$3:U$500)))</f>
        <v>0</v>
      </c>
      <c r="CV21" s="133" t="n">
        <f aca="false">IF(OR(CV$4="",$B21=""),0,SUMIF('DADOS BRUTOS'!$A$3:$A$500,$B21,'DADOS BRUTOS'!V$3:V$500)+IF($C21="",0,SUMIF('DADOS BRUTOS'!$A$3:$A$500,$C21,'DADOS BRUTOS'!V$3:V$500)))</f>
        <v>0</v>
      </c>
      <c r="CW21" s="133" t="n">
        <f aca="false">IF(OR(CW$4="",$B21=""),0,SUMIF('DADOS BRUTOS'!$A$3:$A$500,$B21,'DADOS BRUTOS'!W$3:W$500)+IF($C21="",0,SUMIF('DADOS BRUTOS'!$A$3:$A$500,$C21,'DADOS BRUTOS'!W$3:W$500)))</f>
        <v>0</v>
      </c>
      <c r="CX21" s="133" t="n">
        <f aca="false">IF(OR(CX$4="",$B21=""),0,SUMIF('DADOS BRUTOS'!$A$3:$A$500,$B21,'DADOS BRUTOS'!X$3:X$500)+IF($C21="",0,SUMIF('DADOS BRUTOS'!$A$3:$A$500,$C21,'DADOS BRUTOS'!X$3:X$500)))</f>
        <v>0</v>
      </c>
      <c r="CY21" s="133" t="n">
        <f aca="false">IF(OR(CY$4="",$B21=""),0,SUMIF('DADOS BRUTOS'!$A$3:$A$500,$B21,'DADOS BRUTOS'!Y$3:Y$500)+IF($C21="",0,SUMIF('DADOS BRUTOS'!$A$3:$A$500,$C21,'DADOS BRUTOS'!Y$3:Y$500)))</f>
        <v>0</v>
      </c>
      <c r="CZ21" s="133" t="n">
        <f aca="false">IF(OR(CZ$4="",$B21=""),0,SUMIF('DADOS BRUTOS'!$A$3:$A$500,$B21,'DADOS BRUTOS'!Z$3:Z$500)+IF($C21="",0,SUMIF('DADOS BRUTOS'!$A$3:$A$500,$C21,'DADOS BRUTOS'!Z$3:Z$500)))</f>
        <v>0</v>
      </c>
      <c r="DA21" s="133" t="n">
        <f aca="false">IF(OR(DA$4="",$B21=""),0,SUMIF('DADOS BRUTOS'!$A$3:$A$500,$B21,'DADOS BRUTOS'!AA$3:AA$500)+IF($C21="",0,SUMIF('DADOS BRUTOS'!$A$3:$A$500,$C21,'DADOS BRUTOS'!AA$3:AA$500)))</f>
        <v>0</v>
      </c>
      <c r="DB21" s="133" t="n">
        <f aca="false">IF(OR(DB$4="",$B21=""),0,SUMIF('DADOS BRUTOS'!$A$3:$A$500,$B21,'DADOS BRUTOS'!AB$3:AB$500)+IF($C21="",0,SUMIF('DADOS BRUTOS'!$A$3:$A$500,$C21,'DADOS BRUTOS'!AB$3:AB$500)))</f>
        <v>0</v>
      </c>
      <c r="DC21" s="133" t="n">
        <f aca="false">IF(OR(DC$4="",$B21=""),0,SUMIF('DADOS BRUTOS'!$A$3:$A$500,$B21,'DADOS BRUTOS'!AC$3:AC$500)+IF($C21="",0,SUMIF('DADOS BRUTOS'!$A$3:$A$500,$C21,'DADOS BRUTOS'!AC$3:AC$500)))</f>
        <v>0</v>
      </c>
      <c r="DD21" s="133" t="n">
        <f aca="false">IF(OR(DD$4="",$B21=""),0,SUMIF('DADOS BRUTOS'!$A$3:$A$500,$B21,'DADOS BRUTOS'!AD$3:AD$500)+IF($C21="",0,SUMIF('DADOS BRUTOS'!$A$3:$A$500,$C21,'DADOS BRUTOS'!AD$3:AD$500)))</f>
        <v>0</v>
      </c>
      <c r="DE21" s="133" t="n">
        <f aca="false">IF(OR(DE$4="",$B21=""),0,SUMIF('DADOS BRUTOS'!$A$3:$A$500,$B21,'DADOS BRUTOS'!AE$3:AE$500)+IF($C21="",0,SUMIF('DADOS BRUTOS'!$A$3:$A$500,$C21,'DADOS BRUTOS'!AE$3:AE$500)))</f>
        <v>22233.82</v>
      </c>
      <c r="DF21" s="133" t="n">
        <f aca="false">IF(OR(DF$4="",$B21=""),0,SUMIF('DADOS BRUTOS'!$A$3:$A$500,$B21,'DADOS BRUTOS'!AF$3:AF$500)+IF($C21="",0,SUMIF('DADOS BRUTOS'!$A$3:$A$500,$C21,'DADOS BRUTOS'!AF$3:AF$500)))</f>
        <v>49774.54</v>
      </c>
      <c r="DG21" s="133" t="n">
        <f aca="false">IF(OR(DG$4="",$B21=""),0,SUMIF('DADOS BRUTOS'!$A$3:$A$500,$B21,'DADOS BRUTOS'!AG$3:AG$500)+IF($C21="",0,SUMIF('DADOS BRUTOS'!$A$3:$A$500,$C21,'DADOS BRUTOS'!AG$3:AG$500)))</f>
        <v>269581.19</v>
      </c>
      <c r="DH21" s="133" t="n">
        <f aca="false">IF(OR(DH$4="",$B21=""),0,SUMIF('DADOS BRUTOS'!$A$3:$A$500,$B21,'DADOS BRUTOS'!AH$3:AH$500)+IF($C21="",0,SUMIF('DADOS BRUTOS'!$A$3:$A$500,$C21,'DADOS BRUTOS'!AH$3:AH$500)))</f>
        <v>650557.02</v>
      </c>
      <c r="DI21" s="133" t="n">
        <f aca="false">IF(OR(DI$4="",$B21=""),0,SUMIF('DADOS BRUTOS'!$A$3:$A$500,$B21,'DADOS BRUTOS'!AI$3:AI$500)+IF($C21="",0,SUMIF('DADOS BRUTOS'!$A$3:$A$500,$C21,'DADOS BRUTOS'!AI$3:AI$500)))</f>
        <v>1415388.68</v>
      </c>
      <c r="DJ21" s="133" t="n">
        <f aca="false">IF(OR(DJ$4="",$B21=""),0,SUMIF('DADOS BRUTOS'!$A$3:$A$500,$B21,'DADOS BRUTOS'!AJ$3:AJ$500)+IF($C21="",0,SUMIF('DADOS BRUTOS'!$A$3:$A$500,$C21,'DADOS BRUTOS'!AJ$3:AJ$500)))</f>
        <v>1153768.07</v>
      </c>
      <c r="DK21" s="133" t="n">
        <f aca="false">IF(OR(DK$4="",$B21=""),0,SUMIF('DADOS BRUTOS'!$A$3:$A$500,$B21,'DADOS BRUTOS'!AK$3:AK$500)+IF($C21="",0,SUMIF('DADOS BRUTOS'!$A$3:$A$500,$C21,'DADOS BRUTOS'!AK$3:AK$500)))</f>
        <v>184443.09</v>
      </c>
      <c r="DL21" s="133" t="n">
        <f aca="false">IF(OR(DL$4="",$B21=""),0,SUMIF('DADOS BRUTOS'!$A$3:$A$500,$B21,'DADOS BRUTOS'!AL$3:AL$500)+IF($C21="",0,SUMIF('DADOS BRUTOS'!$A$3:$A$500,$C21,'DADOS BRUTOS'!AL$3:AL$500)))</f>
        <v>23141.5</v>
      </c>
      <c r="DM21" s="133" t="n">
        <f aca="false">IF(OR(DM$4="",$B21=""),0,SUMIF('DADOS BRUTOS'!$A$3:$A$500,$B21,'DADOS BRUTOS'!AM$3:AM$500)+IF($C21="",0,SUMIF('DADOS BRUTOS'!$A$3:$A$500,$C21,'DADOS BRUTOS'!AM$3:AM$500)))</f>
        <v>529800</v>
      </c>
      <c r="DN21" s="133" t="n">
        <f aca="false">IF(OR(DN$4="",$B21=""),0,SUMIF('DADOS BRUTOS'!$A$3:$A$500,$B21,'DADOS BRUTOS'!AN$3:AN$500)+IF($C21="",0,SUMIF('DADOS BRUTOS'!$A$3:$A$500,$C21,'DADOS BRUTOS'!AN$3:AN$500)))</f>
        <v>0</v>
      </c>
      <c r="DO21" s="133" t="n">
        <f aca="false">IF(OR(DO$4="",$B21=""),0,SUMIF('DADOS BRUTOS'!$A$3:$A$500,$B21,'DADOS BRUTOS'!AO$3:AO$500)+IF($C21="",0,SUMIF('DADOS BRUTOS'!$A$3:$A$500,$C21,'DADOS BRUTOS'!AO$3:AO$500)))</f>
        <v>8355.27</v>
      </c>
      <c r="DP21" s="133" t="n">
        <f aca="false">IF(OR(DP$4="",$B21=""),0,SUMIF('DADOS BRUTOS'!$A$3:$A$500,$B21,'DADOS BRUTOS'!AP$3:AP$500)+IF($C21="",0,SUMIF('DADOS BRUTOS'!$A$3:$A$500,$C21,'DADOS BRUTOS'!AP$3:AP$500)))</f>
        <v>0</v>
      </c>
      <c r="DQ21" s="133" t="n">
        <f aca="false">IF(OR(DQ$4="",$B21=""),0,SUMIF('DADOS BRUTOS'!$A$3:$A$500,$B21,'DADOS BRUTOS'!AQ$3:AQ$500)+IF($C21="",0,SUMIF('DADOS BRUTOS'!$A$3:$A$500,$C21,'DADOS BRUTOS'!AQ$3:AQ$500)))</f>
        <v>0</v>
      </c>
      <c r="DR21" s="133" t="n">
        <f aca="false">IF(OR(DR$4="",$B21=""),0,SUMIF('DADOS BRUTOS'!$A$3:$A$500,$B21,'DADOS BRUTOS'!AR$3:AR$500)+IF($C21="",0,SUMIF('DADOS BRUTOS'!$A$3:$A$500,$C21,'DADOS BRUTOS'!AR$3:AR$500)))</f>
        <v>0</v>
      </c>
      <c r="DS21" s="133" t="n">
        <f aca="false">IF(OR(DS$4="",$B21=""),0,SUMIF('DADOS BRUTOS'!$A$3:$A$500,$B21,'DADOS BRUTOS'!AS$3:AS$500)+IF($C21="",0,SUMIF('DADOS BRUTOS'!$A$3:$A$500,$C21,'DADOS BRUTOS'!AS$3:AS$500)))</f>
        <v>0</v>
      </c>
      <c r="DT21" s="133" t="n">
        <f aca="false">IF(OR(DT$4="",$B21=""),0,SUMIF('DADOS BRUTOS'!$A$3:$A$500,$B21,'DADOS BRUTOS'!AT$3:AT$500)+IF($C21="",0,SUMIF('DADOS BRUTOS'!$A$3:$A$500,$C21,'DADOS BRUTOS'!AT$3:AT$500)))</f>
        <v>0</v>
      </c>
      <c r="DU21" s="133" t="n">
        <f aca="false">IF(OR(DU$4="",$B21=""),0,SUMIF('DADOS BRUTOS'!$A$3:$A$500,$B21,'DADOS BRUTOS'!AU$3:AU$500)+IF($C21="",0,SUMIF('DADOS BRUTOS'!$A$3:$A$500,$C21,'DADOS BRUTOS'!AU$3:AU$500)))</f>
        <v>0</v>
      </c>
      <c r="DV21" s="133" t="n">
        <f aca="false">IF(OR(DV$4="",$B21=""),0,SUMIF('DADOS BRUTOS'!$A$3:$A$500,$B21,'DADOS BRUTOS'!AV$3:AV$500)+IF($C21="",0,SUMIF('DADOS BRUTOS'!$A$3:$A$500,$C21,'DADOS BRUTOS'!AV$3:AV$500)))</f>
        <v>0</v>
      </c>
      <c r="DW21" s="133" t="n">
        <f aca="false">IF(OR(DW$4="",$B21=""),0,SUMIF('DADOS BRUTOS'!$A$3:$A$500,$B21,'DADOS BRUTOS'!AW$3:AW$500)+IF($C21="",0,SUMIF('DADOS BRUTOS'!$A$3:$A$500,$C21,'DADOS BRUTOS'!AW$3:AW$500)))</f>
        <v>0</v>
      </c>
      <c r="DX21" s="133" t="n">
        <f aca="false">IF(OR(DX$4="",$B21=""),0,SUMIF('DADOS BRUTOS'!$A$3:$A$500,$B21,'DADOS BRUTOS'!AX$3:AX$500)+IF($C21="",0,SUMIF('DADOS BRUTOS'!$A$3:$A$500,$C21,'DADOS BRUTOS'!AX$3:AX$500)))</f>
        <v>0</v>
      </c>
      <c r="DY21" s="133" t="n">
        <f aca="false">IF(OR(DY$4="",$B21=""),0,SUMIF('DADOS BRUTOS'!$A$3:$A$500,$B21,'DADOS BRUTOS'!AY$3:AY$500)+IF($C21="",0,SUMIF('DADOS BRUTOS'!$A$3:$A$500,$C21,'DADOS BRUTOS'!AY$3:AY$500)))</f>
        <v>0</v>
      </c>
      <c r="DZ21" s="133" t="n">
        <f aca="false">IF(OR(DZ$4="",$B21=""),0,SUMIF('DADOS BRUTOS'!$A$3:$A$500,$B21,'DADOS BRUTOS'!AZ$3:AZ$500)+IF($C21="",0,SUMIF('DADOS BRUTOS'!$A$3:$A$500,$C21,'DADOS BRUTOS'!AZ$3:AZ$500)))</f>
        <v>0</v>
      </c>
      <c r="EA21" s="133" t="n">
        <f aca="false">IF(OR(EA$4="",$B21=""),0,SUMIF('DADOS BRUTOS'!$A$3:$A$500,$B21,'DADOS BRUTOS'!BA$3:BA$500)+IF($C21="",0,SUMIF('DADOS BRUTOS'!$A$3:$A$500,$C21,'DADOS BRUTOS'!BA$3:BA$500)))</f>
        <v>0</v>
      </c>
      <c r="EB21" s="133" t="n">
        <f aca="false">IF(OR(EB$4="",$B21=""),0,SUMIF('DADOS BRUTOS'!$A$3:$A$500,$B21,'DADOS BRUTOS'!BB$3:BB$500)+IF($C21="",0,SUMIF('DADOS BRUTOS'!$A$3:$A$500,$C21,'DADOS BRUTOS'!BB$3:BB$500)))</f>
        <v>0</v>
      </c>
      <c r="EC21" s="133" t="n">
        <f aca="false">IF(OR(EC$4="",$B21=""),0,SUMIF('DADOS BRUTOS'!$A$3:$A$500,$B21,'DADOS BRUTOS'!BC$3:BC$500)+IF($C21="",0,SUMIF('DADOS BRUTOS'!$A$3:$A$500,$C21,'DADOS BRUTOS'!BC$3:BC$500)))</f>
        <v>0</v>
      </c>
      <c r="ED21" s="133" t="n">
        <f aca="false">IF(OR(ED$4="",$B21=""),0,SUMIF('DADOS BRUTOS'!$A$3:$A$500,$B21,'DADOS BRUTOS'!BD$3:BD$500)+IF($C21="",0,SUMIF('DADOS BRUTOS'!$A$3:$A$500,$C21,'DADOS BRUTOS'!BD$3:BD$500)))</f>
        <v>0</v>
      </c>
      <c r="EE21" s="133" t="n">
        <f aca="false">IF(OR(EE$4="",$B21=""),0,SUMIF('DADOS BRUTOS'!$A$3:$A$500,$B21,'DADOS BRUTOS'!BE$3:BE$500)+IF($C21="",0,SUMIF('DADOS BRUTOS'!$A$3:$A$500,$C21,'DADOS BRUTOS'!BE$3:BE$500)))</f>
        <v>23975.79</v>
      </c>
      <c r="EF21" s="133" t="n">
        <f aca="false">IF(OR(EF$4="",$B21=""),0,SUMIF('DADOS BRUTOS'!$A$3:$A$500,$B21,'DADOS BRUTOS'!BF$3:BF$500)+IF($C21="",0,SUMIF('DADOS BRUTOS'!$A$3:$A$500,$C21,'DADOS BRUTOS'!BF$3:BF$500)))</f>
        <v>0</v>
      </c>
      <c r="EG21" s="133" t="n">
        <f aca="false">IF(OR(EG$4="",$B21=""),0,SUMIF('DADOS BRUTOS'!$A$3:$A$500,$B21,'DADOS BRUTOS'!BG$3:BG$500)+IF($C21="",0,SUMIF('DADOS BRUTOS'!$A$3:$A$500,$C21,'DADOS BRUTOS'!BG$3:BG$500)))</f>
        <v>0</v>
      </c>
      <c r="EH21" s="133" t="n">
        <f aca="false">IF(OR(EH$4="",$B21=""),0,SUMIF('DADOS BRUTOS'!$A$3:$A$500,$B21,'DADOS BRUTOS'!BH$3:BH$500)+IF($C21="",0,SUMIF('DADOS BRUTOS'!$A$3:$A$500,$C21,'DADOS BRUTOS'!BH$3:BH$500)))</f>
        <v>0</v>
      </c>
      <c r="EI21" s="133" t="n">
        <f aca="false">IF(OR(EI$4="",$B21=""),0,SUMIF('DADOS BRUTOS'!$A$3:$A$500,$B21,'DADOS BRUTOS'!BI$3:BI$500)+IF($C21="",0,SUMIF('DADOS BRUTOS'!$A$3:$A$500,$C21,'DADOS BRUTOS'!BI$3:BI$500)))</f>
        <v>227.52</v>
      </c>
      <c r="EJ21" s="133" t="n">
        <f aca="false">IF(OR(EJ$4="",$B21=""),0,SUMIF('DADOS BRUTOS'!$A$3:$A$500,$B21,'DADOS BRUTOS'!BJ$3:BJ$500)+IF($C21="",0,SUMIF('DADOS BRUTOS'!$A$3:$A$500,$C21,'DADOS BRUTOS'!BJ$3:BJ$500)))</f>
        <v>0</v>
      </c>
      <c r="EK21" s="133" t="n">
        <f aca="false">IF(OR(EK$4="",$B21=""),0,SUMIF('DADOS BRUTOS'!$A$3:$A$500,$B21,'DADOS BRUTOS'!BK$3:BK$500)+IF($C21="",0,SUMIF('DADOS BRUTOS'!$A$3:$A$500,$C21,'DADOS BRUTOS'!BK$3:BK$500)))</f>
        <v>0</v>
      </c>
      <c r="EL21" s="133" t="n">
        <f aca="false">IF(OR(EL$4="",$B21=""),0,SUMIF('DADOS BRUTOS'!$A$3:$A$500,$B21,'DADOS BRUTOS'!BL$3:BL$500)+IF($C21="",0,SUMIF('DADOS BRUTOS'!$A$3:$A$500,$C21,'DADOS BRUTOS'!BL$3:BL$500)))</f>
        <v>4394.69</v>
      </c>
      <c r="EM21" s="133" t="n">
        <f aca="false">IF(OR(EM$4="",$B21=""),0,SUMIF('DADOS BRUTOS'!$A$3:$A$500,$B21,'DADOS BRUTOS'!BM$3:BM$500)+IF($C21="",0,SUMIF('DADOS BRUTOS'!$A$3:$A$500,$C21,'DADOS BRUTOS'!BM$3:BM$500)))</f>
        <v>0</v>
      </c>
      <c r="EN21" s="133" t="n">
        <f aca="false">IF(OR(EN$4="",$B21=""),0,SUMIF('DADOS BRUTOS'!$A$3:$A$500,$B21,'DADOS BRUTOS'!BN$3:BN$500)+IF($C21="",0,SUMIF('DADOS BRUTOS'!$A$3:$A$500,$C21,'DADOS BRUTOS'!BN$3:BN$500)))</f>
        <v>0</v>
      </c>
      <c r="EO21" s="133" t="n">
        <f aca="false">IF(OR(EO$4="",$B21=""),0,SUMIF('DADOS BRUTOS'!$A$3:$A$500,$B21,'DADOS BRUTOS'!BO$3:BO$500)+IF($C21="",0,SUMIF('DADOS BRUTOS'!$A$3:$A$500,$C21,'DADOS BRUTOS'!BO$3:BO$500)))</f>
        <v>0</v>
      </c>
      <c r="EP21" s="133" t="n">
        <f aca="false">IF(OR(EP$4="",$B21=""),0,SUMIF('DADOS BRUTOS'!$A$3:$A$500,$B21,'DADOS BRUTOS'!BP$3:BP$500)+IF($C21="",0,SUMIF('DADOS BRUTOS'!$A$3:$A$500,$C21,'DADOS BRUTOS'!BP$3:BP$500)))</f>
        <v>0</v>
      </c>
      <c r="EQ21" s="133" t="n">
        <f aca="false">IF(OR(EQ$4="",$B21=""),0,SUMIF('DADOS BRUTOS'!$A$3:$A$500,$B21,'DADOS BRUTOS'!BQ$3:BQ$500)+IF($C21="",0,SUMIF('DADOS BRUTOS'!$A$3:$A$500,$C21,'DADOS BRUTOS'!BQ$3:BQ$500)))</f>
        <v>0</v>
      </c>
      <c r="ER21" s="133" t="n">
        <f aca="false">IF(OR(ER$4="",$B21=""),0,SUMIF('DADOS BRUTOS'!$A$3:$A$500,$B21,'DADOS BRUTOS'!BR$3:BR$500)+IF($C21="",0,SUMIF('DADOS BRUTOS'!$A$3:$A$500,$C21,'DADOS BRUTOS'!BR$3:BR$500)))</f>
        <v>0</v>
      </c>
      <c r="ES21" s="133" t="n">
        <f aca="false">IF(OR(ES$4="",$B21=""),0,SUMIF('DADOS BRUTOS'!$A$3:$A$500,$B21,'DADOS BRUTOS'!BS$3:BS$500)+IF($C21="",0,SUMIF('DADOS BRUTOS'!$A$3:$A$500,$C21,'DADOS BRUTOS'!BS$3:BS$500)))</f>
        <v>0</v>
      </c>
      <c r="ET21" s="133" t="n">
        <f aca="false">IF(OR(ET$4="",$B21=""),0,SUMIF('DADOS BRUTOS'!$A$3:$A$500,$B21,'DADOS BRUTOS'!BT$3:BT$500)+IF($C21="",0,SUMIF('DADOS BRUTOS'!$A$3:$A$500,$C21,'DADOS BRUTOS'!BT$3:BT$500)))</f>
        <v>0</v>
      </c>
      <c r="EU21" s="133" t="n">
        <f aca="false">IF(OR(EU$4="",$B21=""),0,SUMIF('DADOS BRUTOS'!$A$3:$A$500,$B21,'DADOS BRUTOS'!BU$3:BU$500)+IF($C21="",0,SUMIF('DADOS BRUTOS'!$A$3:$A$500,$C21,'DADOS BRUTOS'!BU$3:BU$500)))</f>
        <v>0</v>
      </c>
      <c r="EV21" s="133" t="n">
        <f aca="false">IF(OR(EV$4="",$B21=""),0,SUMIF('DADOS BRUTOS'!$A$3:$A$500,$B21,'DADOS BRUTOS'!BV$3:BV$500)+IF($C21="",0,SUMIF('DADOS BRUTOS'!$A$3:$A$500,$C21,'DADOS BRUTOS'!BV$3:BV$500)))</f>
        <v>0</v>
      </c>
      <c r="EW21" s="133" t="n">
        <f aca="false">IF(OR(EW$4="",$B21=""),0,SUMIF('DADOS BRUTOS'!$A$3:$A$500,$B21,'DADOS BRUTOS'!BW$3:BW$500)+IF($C21="",0,SUMIF('DADOS BRUTOS'!$A$3:$A$500,$C21,'DADOS BRUTOS'!BW$3:BW$500)))</f>
        <v>0</v>
      </c>
      <c r="EX21" s="133" t="n">
        <f aca="false">IF(OR(EX$4="",$B21=""),0,SUMIF('DADOS BRUTOS'!$A$3:$A$500,$B21,'DADOS BRUTOS'!BX$3:BX$500)+IF($C21="",0,SUMIF('DADOS BRUTOS'!$A$3:$A$500,$C21,'DADOS BRUTOS'!BX$3:BX$500)))</f>
        <v>0</v>
      </c>
      <c r="EY21" s="133" t="n">
        <f aca="false">IF(OR(EY$4="",$B21=""),0,SUMIF('DADOS BRUTOS'!$A$3:$A$500,$B21,'DADOS BRUTOS'!BY$3:BY$500)+IF($C21="",0,SUMIF('DADOS BRUTOS'!$A$3:$A$500,$C21,'DADOS BRUTOS'!BY$3:BY$500)))</f>
        <v>0</v>
      </c>
      <c r="EZ21" s="133" t="n">
        <f aca="false">IF(OR(EZ$4="",$B21=""),0,SUMIF('DADOS BRUTOS'!$A$3:$A$500,$B21,'DADOS BRUTOS'!BZ$3:BZ$500)+IF($C21="",0,SUMIF('DADOS BRUTOS'!$A$3:$A$500,$C21,'DADOS BRUTOS'!BZ$3:BZ$500)))</f>
        <v>0</v>
      </c>
      <c r="FA21" s="133" t="n">
        <f aca="false">IF(OR(FA$4="",$B21=""),0,SUMIF('DADOS BRUTOS'!$A$3:$A$500,$B21,'DADOS BRUTOS'!CA$3:CA$500)+IF($C21="",0,SUMIF('DADOS BRUTOS'!$A$3:$A$500,$C21,'DADOS BRUTOS'!CA$3:CA$500)))</f>
        <v>0</v>
      </c>
      <c r="FB21" s="133" t="n">
        <f aca="false">IF(OR(FB$4="",$B21=""),0,SUMIF('DADOS BRUTOS'!$A$3:$A$500,$B21,'DADOS BRUTOS'!CB$3:CB$500)+IF($C21="",0,SUMIF('DADOS BRUTOS'!$A$3:$A$500,$C21,'DADOS BRUTOS'!CB$3:CB$500)))</f>
        <v>0</v>
      </c>
      <c r="FC21" s="133" t="n">
        <f aca="false">IF(OR(FC$4="",$B21=""),0,SUMIF('DADOS BRUTOS'!$A$3:$A$500,$B21,'DADOS BRUTOS'!CC$3:CC$500)+IF($C21="",0,SUMIF('DADOS BRUTOS'!$A$3:$A$500,$C21,'DADOS BRUTOS'!CC$3:CC$500)))</f>
        <v>0</v>
      </c>
      <c r="FD21" s="133" t="n">
        <f aca="false">IF(OR(FD$4="",$B21=""),0,SUMIF('DADOS BRUTOS'!$A$3:$A$500,$B21,'DADOS BRUTOS'!CD$3:CD$500)+IF($C21="",0,SUMIF('DADOS BRUTOS'!$A$3:$A$500,$C21,'DADOS BRUTOS'!CD$3:CD$500)))</f>
        <v>0</v>
      </c>
      <c r="FE21" s="133" t="n">
        <f aca="false">IF(OR(FE$4="",$B21=""),0,SUMIF('DADOS BRUTOS'!$A$3:$A$500,$B21,'DADOS BRUTOS'!CE$3:CE$500)+IF($C21="",0,SUMIF('DADOS BRUTOS'!$A$3:$A$500,$C21,'DADOS BRUTOS'!CE$3:CE$500)))</f>
        <v>0</v>
      </c>
      <c r="FF21" s="133" t="n">
        <f aca="false">IF(OR(FF$4="",$B21=""),0,SUMIF('DADOS BRUTOS'!$A$3:$A$500,$B21,'DADOS BRUTOS'!CF$3:CF$500)+IF($C21="",0,SUMIF('DADOS BRUTOS'!$A$3:$A$500,$C21,'DADOS BRUTOS'!CF$3:CF$500)))</f>
        <v>0</v>
      </c>
      <c r="FG21" s="133" t="n">
        <f aca="false">IF(OR(FG$4="",$B21=""),0,SUMIF('DADOS BRUTOS'!$A$3:$A$500,$B21,'DADOS BRUTOS'!CG$3:CG$500)+IF($C21="",0,SUMIF('DADOS BRUTOS'!$A$3:$A$500,$C21,'DADOS BRUTOS'!CG$3:CG$500)))</f>
        <v>0</v>
      </c>
      <c r="FH21" s="133" t="n">
        <f aca="false">IF(OR(FH$4="",$B21=""),0,SUMIF('DADOS BRUTOS'!$A$3:$A$500,$B21,'DADOS BRUTOS'!CH$3:CH$500)+IF($C21="",0,SUMIF('DADOS BRUTOS'!$A$3:$A$500,$C21,'DADOS BRUTOS'!CH$3:CH$500)))</f>
        <v>0</v>
      </c>
      <c r="FI21" s="133" t="n">
        <f aca="false">IF(OR(FI$4="",$B21=""),0,SUMIF('DADOS BRUTOS'!$A$3:$A$500,$B21,'DADOS BRUTOS'!CI$3:CI$500)+IF($C21="",0,SUMIF('DADOS BRUTOS'!$A$3:$A$500,$C21,'DADOS BRUTOS'!CI$3:CI$500)))</f>
        <v>0</v>
      </c>
      <c r="FJ21" s="133" t="n">
        <f aca="false">IF(OR(FJ$4="",$B21=""),0,SUMIF('DADOS BRUTOS'!$A$3:$A$500,$B21,'DADOS BRUTOS'!CJ$3:CJ$500)+IF($C21="",0,SUMIF('DADOS BRUTOS'!$A$3:$A$500,$C21,'DADOS BRUTOS'!CJ$3:CJ$500)))</f>
        <v>0</v>
      </c>
      <c r="FK21" s="133" t="n">
        <f aca="false">IF(OR(FK$4="",$B21=""),0,SUMIF('DADOS BRUTOS'!$A$3:$A$500,$B21,'DADOS BRUTOS'!CK$3:CK$500)+IF($C21="",0,SUMIF('DADOS BRUTOS'!$A$3:$A$500,$C21,'DADOS BRUTOS'!CK$3:CK$500)))</f>
        <v>0</v>
      </c>
      <c r="FL21" s="133" t="n">
        <f aca="false">IF(OR(FL$4="",$B21=""),0,SUMIF('DADOS BRUTOS'!$A$3:$A$500,$B21,'DADOS BRUTOS'!CL$3:CL$500)+IF($C21="",0,SUMIF('DADOS BRUTOS'!$A$3:$A$500,$C21,'DADOS BRUTOS'!CL$3:CL$500)))</f>
        <v>0</v>
      </c>
      <c r="FM21" s="133" t="n">
        <f aca="false">IF(OR(FM$4="",$B21=""),0,SUMIF('DADOS BRUTOS'!$A$3:$A$500,$B21,'DADOS BRUTOS'!CM$3:CM$500)+IF($C21="",0,SUMIF('DADOS BRUTOS'!$A$3:$A$500,$C21,'DADOS BRUTOS'!CM$3:CM$500)))</f>
        <v>0</v>
      </c>
      <c r="FN21" s="133" t="n">
        <f aca="false">IF(OR(FN$4="",$B21=""),0,SUMIF('DADOS BRUTOS'!$A$3:$A$500,$B21,'DADOS BRUTOS'!CN$3:CN$500)+IF($C21="",0,SUMIF('DADOS BRUTOS'!$A$3:$A$500,$C21,'DADOS BRUTOS'!CN$3:CN$500)))</f>
        <v>0</v>
      </c>
      <c r="FO21" s="133" t="n">
        <f aca="false">IF(OR(FO$4="",$B21=""),0,SUMIF('DADOS BRUTOS'!$A$3:$A$500,$B21,'DADOS BRUTOS'!CO$3:CO$500)+IF($C21="",0,SUMIF('DADOS BRUTOS'!$A$3:$A$500,$C21,'DADOS BRUTOS'!CO$3:CO$500)))</f>
        <v>0</v>
      </c>
      <c r="FP21" s="133" t="n">
        <f aca="false">IF(OR(FP$4="",$B21=""),0,SUMIF('DADOS BRUTOS'!$A$3:$A$500,$B21,'DADOS BRUTOS'!CP$3:CP$500)+IF($C21="",0,SUMIF('DADOS BRUTOS'!$A$3:$A$500,$C21,'DADOS BRUTOS'!CP$3:CP$500)))</f>
        <v>0</v>
      </c>
      <c r="FQ21" s="133" t="n">
        <f aca="false">IF(OR(FQ$4="",$B21=""),0,SUMIF('DADOS BRUTOS'!$A$3:$A$500,$B21,'DADOS BRUTOS'!CQ$3:CQ$500)+IF($C21="",0,SUMIF('DADOS BRUTOS'!$A$3:$A$500,$C21,'DADOS BRUTOS'!CQ$3:CQ$500)))</f>
        <v>0</v>
      </c>
      <c r="FR21" s="133" t="n">
        <f aca="false">IF(OR(FR$4="",$B21=""),0,SUMIF('DADOS BRUTOS'!$A$3:$A$500,$B21,'DADOS BRUTOS'!CR$3:CR$500)+IF($C21="",0,SUMIF('DADOS BRUTOS'!$A$3:$A$500,$C21,'DADOS BRUTOS'!CR$3:CR$500)))</f>
        <v>0</v>
      </c>
      <c r="FS21" s="133" t="n">
        <f aca="false">IF(OR(FS$4="",$B21=""),0,SUMIF('DADOS BRUTOS'!$A$3:$A$500,$B21,'DADOS BRUTOS'!CS$3:CS$500)+IF($C21="",0,SUMIF('DADOS BRUTOS'!$A$3:$A$500,$C21,'DADOS BRUTOS'!CS$3:CS$500)))</f>
        <v>0</v>
      </c>
      <c r="FT21" s="133" t="n">
        <f aca="false">IF(OR(FT$4="",$B21=""),0,SUMIF('DADOS BRUTOS'!$A$3:$A$500,$B21,'DADOS BRUTOS'!CT$3:CT$500)+IF($C21="",0,SUMIF('DADOS BRUTOS'!$A$3:$A$500,$C21,'DADOS BRUTOS'!CT$3:CT$500)))</f>
        <v>0</v>
      </c>
      <c r="FU21" s="133" t="n">
        <f aca="false">IF(OR(FU$4="",$B21=""),0,SUMIF('DADOS BRUTOS'!$A$3:$A$500,$B21,'DADOS BRUTOS'!CU$3:CU$500)+IF($C21="",0,SUMIF('DADOS BRUTOS'!$A$3:$A$500,$C21,'DADOS BRUTOS'!CU$3:CU$500)))</f>
        <v>0</v>
      </c>
      <c r="FV21" s="133" t="n">
        <f aca="false">IF(OR(FV$4="",$B21=""),0,SUMIF('DADOS BRUTOS'!$A$3:$A$500,$B21,'DADOS BRUTOS'!CV$3:CV$500)+IF($C21="",0,SUMIF('DADOS BRUTOS'!$A$3:$A$500,$C21,'DADOS BRUTOS'!CV$3:CV$500)))</f>
        <v>0</v>
      </c>
      <c r="FW21" s="133" t="n">
        <f aca="false">IF(OR(FW$4="",$B21=""),0,SUMIF('DADOS BRUTOS'!$A$3:$A$500,$B21,'DADOS BRUTOS'!CW$3:CW$500)+IF($C21="",0,SUMIF('DADOS BRUTOS'!$A$3:$A$500,$C21,'DADOS BRUTOS'!CW$3:CW$500)))</f>
        <v>0</v>
      </c>
      <c r="FX21" s="133" t="n">
        <f aca="false">IF(OR(FX$4="",$B21=""),0,SUMIF('DADOS BRUTOS'!$A$3:$A$500,$B21,'DADOS BRUTOS'!CX$3:CX$500)+IF($C21="",0,SUMIF('DADOS BRUTOS'!$A$3:$A$500,$C21,'DADOS BRUTOS'!CX$3:CX$500)))</f>
        <v>0</v>
      </c>
      <c r="FY21" s="133" t="n">
        <f aca="false">IF(OR(FY$4="",$B21=""),0,SUMIF('DADOS BRUTOS'!$A$3:$A$500,$B21,'DADOS BRUTOS'!CY$3:CY$500)+IF($C21="",0,SUMIF('DADOS BRUTOS'!$A$3:$A$500,$C21,'DADOS BRUTOS'!CY$3:CY$500)))</f>
        <v>0</v>
      </c>
      <c r="FZ21" s="133" t="n">
        <f aca="false">IF(OR(FZ$4="",$B21=""),0,SUMIF('DADOS BRUTOS'!$A$3:$A$500,$B21,'DADOS BRUTOS'!CZ$3:CZ$500)+IF($C21="",0,SUMIF('DADOS BRUTOS'!$A$3:$A$500,$C21,'DADOS BRUTOS'!CZ$3:CZ$500)))</f>
        <v>0</v>
      </c>
      <c r="GA21" s="133" t="n">
        <f aca="false">IF(OR(GA$4="",$B21=""),0,SUMIF('DADOS BRUTOS'!$A$3:$A$500,$B21,'DADOS BRUTOS'!DA$3:DA$500)+IF($C21="",0,SUMIF('DADOS BRUTOS'!$A$3:$A$500,$C21,'DADOS BRUTOS'!DA$3:DA$500)))</f>
        <v>0</v>
      </c>
      <c r="GB21" s="133" t="n">
        <f aca="false">IF(OR(GB$4="",$B21=""),0,SUMIF('DADOS BRUTOS'!$A$3:$A$500,$B21,'DADOS BRUTOS'!DB$3:DB$500)+IF($C21="",0,SUMIF('DADOS BRUTOS'!$A$3:$A$500,$C21,'DADOS BRUTOS'!DB$3:DB$500)))</f>
        <v>0</v>
      </c>
      <c r="GC21" s="133" t="n">
        <f aca="false">IF(OR(GC$4="",$B21=""),0,SUMIF('DADOS BRUTOS'!$A$3:$A$500,$B21,'DADOS BRUTOS'!DC$3:DC$500)+IF($C21="",0,SUMIF('DADOS BRUTOS'!$A$3:$A$500,$C21,'DADOS BRUTOS'!DC$3:DC$500)))</f>
        <v>0</v>
      </c>
      <c r="GD21" s="133" t="n">
        <f aca="false">IF(OR(GD$4="",$B21=""),0,SUMIF('DADOS BRUTOS'!$A$3:$A$500,$B21,'DADOS BRUTOS'!DD$3:DD$500)+IF($C21="",0,SUMIF('DADOS BRUTOS'!$A$3:$A$500,$C21,'DADOS BRUTOS'!DD$3:DD$500)))</f>
        <v>0</v>
      </c>
      <c r="GE21" s="133" t="n">
        <f aca="false">IF(OR(GE$4="",$B21=""),0,SUMIF('DADOS BRUTOS'!$A$3:$A$500,$B21,'DADOS BRUTOS'!DE$3:DE$500)+IF($C21="",0,SUMIF('DADOS BRUTOS'!$A$3:$A$500,$C21,'DADOS BRUTOS'!DE$3:DE$500)))</f>
        <v>0</v>
      </c>
      <c r="GF21" s="133" t="n">
        <f aca="false">IF(OR(GF$4="",$B21=""),0,SUMIF('DADOS BRUTOS'!$A$3:$A$500,$B21,'DADOS BRUTOS'!DF$3:DF$500)+IF($C21="",0,SUMIF('DADOS BRUTOS'!$A$3:$A$500,$C21,'DADOS BRUTOS'!DF$3:DF$500)))</f>
        <v>0</v>
      </c>
      <c r="GG21" s="133" t="n">
        <f aca="false">IF(OR(GG$4="",$B21=""),0,SUMIF('DADOS BRUTOS'!$A$3:$A$500,$B21,'DADOS BRUTOS'!DG$3:DG$500)+IF($C21="",0,SUMIF('DADOS BRUTOS'!$A$3:$A$500,$C21,'DADOS BRUTOS'!DG$3:DG$500)))</f>
        <v>0</v>
      </c>
      <c r="GH21" s="133" t="n">
        <f aca="false">IF(OR(GH$4="",$B21=""),0,SUMIF('DADOS BRUTOS'!$A$3:$A$500,$B21,'DADOS BRUTOS'!DH$3:DH$500)+IF($C21="",0,SUMIF('DADOS BRUTOS'!$A$3:$A$500,$C21,'DADOS BRUTOS'!DH$3:DH$500)))</f>
        <v>0</v>
      </c>
      <c r="GI21" s="133" t="n">
        <f aca="false">IF(OR(GI$4="",$B21=""),0,SUMIF('DADOS BRUTOS'!$A$3:$A$500,$B21,'DADOS BRUTOS'!DI$3:DI$500)+IF($C21="",0,SUMIF('DADOS BRUTOS'!$A$3:$A$500,$C21,'DADOS BRUTOS'!DI$3:DI$500)))</f>
        <v>0</v>
      </c>
      <c r="GJ21" s="133" t="n">
        <f aca="false">IF(OR(GJ$4="",$B21=""),0,SUMIF('DADOS BRUTOS'!$A$3:$A$500,$B21,'DADOS BRUTOS'!DJ$3:DJ$500)+IF($C21="",0,SUMIF('DADOS BRUTOS'!$A$3:$A$500,$C21,'DADOS BRUTOS'!DJ$3:DJ$500)))</f>
        <v>0</v>
      </c>
      <c r="GK21" s="133" t="n">
        <f aca="false">IF(OR(GK$4="",$B21=""),0,SUMIF('DADOS BRUTOS'!$A$3:$A$500,$B21,'DADOS BRUTOS'!DK$3:DK$500)+IF($C21="",0,SUMIF('DADOS BRUTOS'!$A$3:$A$500,$C21,'DADOS BRUTOS'!DK$3:DK$500)))</f>
        <v>0</v>
      </c>
      <c r="GL21" s="133" t="n">
        <f aca="false">IF(OR(GL$4="",$B21=""),0,SUMIF('DADOS BRUTOS'!$A$3:$A$500,$B21,'DADOS BRUTOS'!DL$3:DL$500)+IF($C21="",0,SUMIF('DADOS BRUTOS'!$A$3:$A$500,$C21,'DADOS BRUTOS'!DL$3:DL$500)))</f>
        <v>0</v>
      </c>
      <c r="GM21" s="133" t="n">
        <f aca="false">IF(OR(GM$4="",$B21=""),0,SUMIF('DADOS BRUTOS'!$A$3:$A$500,$B21,'DADOS BRUTOS'!DM$3:DM$500)+IF($C21="",0,SUMIF('DADOS BRUTOS'!$A$3:$A$500,$C21,'DADOS BRUTOS'!DM$3:DM$500)))</f>
        <v>0</v>
      </c>
      <c r="GN21" s="133" t="n">
        <f aca="false">IF(OR(GN$4="",$B21=""),0,SUMIF('DADOS BRUTOS'!$A$3:$A$500,$B21,'DADOS BRUTOS'!DN$3:DN$500)+IF($C21="",0,SUMIF('DADOS BRUTOS'!$A$3:$A$500,$C21,'DADOS BRUTOS'!DN$3:DN$500)))</f>
        <v>0</v>
      </c>
      <c r="GO21" s="133" t="n">
        <f aca="false">IF(OR(GO$4="",$B21=""),0,SUMIF('DADOS BRUTOS'!$A$3:$A$500,$B21,'DADOS BRUTOS'!DO$3:DO$500)+IF($C21="",0,SUMIF('DADOS BRUTOS'!$A$3:$A$500,$C21,'DADOS BRUTOS'!DO$3:DO$500)))</f>
        <v>0</v>
      </c>
      <c r="GP21" s="133" t="n">
        <f aca="false">IF(OR(GP$4="",$B21=""),0,SUMIF('DADOS BRUTOS'!$A$3:$A$500,$B21,'DADOS BRUTOS'!DP$3:DP$500)+IF($C21="",0,SUMIF('DADOS BRUTOS'!$A$3:$A$500,$C21,'DADOS BRUTOS'!DP$3:DP$500)))</f>
        <v>0</v>
      </c>
      <c r="GQ21" s="133" t="n">
        <f aca="false">IF(OR(GQ$4="",$B21=""),0,SUMIF('DADOS BRUTOS'!$A$3:$A$500,$B21,'DADOS BRUTOS'!DQ$3:DQ$500)+IF($C21="",0,SUMIF('DADOS BRUTOS'!$A$3:$A$500,$C21,'DADOS BRUTOS'!DQ$3:DQ$500)))</f>
        <v>0</v>
      </c>
      <c r="GR21" s="133" t="n">
        <f aca="false">IF(OR(GR$4="",$B21=""),0,SUMIF('DADOS BRUTOS'!$A$3:$A$500,$B21,'DADOS BRUTOS'!DR$3:DR$500)+IF($C21="",0,SUMIF('DADOS BRUTOS'!$A$3:$A$500,$C21,'DADOS BRUTOS'!DR$3:DR$500)))</f>
        <v>0</v>
      </c>
      <c r="GS21" s="133" t="n">
        <f aca="false">IF(OR(GS$4="",$B21=""),0,SUMIF('DADOS BRUTOS'!$A$3:$A$500,$B21,'DADOS BRUTOS'!DS$3:DS$500)+IF($C21="",0,SUMIF('DADOS BRUTOS'!$A$3:$A$500,$C21,'DADOS BRUTOS'!DS$3:DS$500)))</f>
        <v>0</v>
      </c>
      <c r="GT21" s="133" t="n">
        <f aca="false">IF(OR(GT$4="",$B21=""),0,SUMIF('DADOS BRUTOS'!$A$3:$A$500,$B21,'DADOS BRUTOS'!DT$3:DT$500)+IF($C21="",0,SUMIF('DADOS BRUTOS'!$A$3:$A$500,$C21,'DADOS BRUTOS'!DT$3:DT$500)))</f>
        <v>0</v>
      </c>
      <c r="GU21" s="133" t="n">
        <f aca="false">IF(OR(GU$4="",$B21=""),0,SUMIF('DADOS BRUTOS'!$A$3:$A$500,$B21,'DADOS BRUTOS'!DU$3:DU$500)+IF($C21="",0,SUMIF('DADOS BRUTOS'!$A$3:$A$500,$C21,'DADOS BRUTOS'!DU$3:DU$500)))</f>
        <v>0</v>
      </c>
      <c r="GV21" s="133" t="n">
        <f aca="false">IF(OR(GV$4="",$B21=""),0,SUMIF('DADOS BRUTOS'!$A$3:$A$500,$B21,'DADOS BRUTOS'!DV$3:DV$500)+IF($C21="",0,SUMIF('DADOS BRUTOS'!$A$3:$A$500,$C21,'DADOS BRUTOS'!DV$3:DV$500)))</f>
        <v>0</v>
      </c>
      <c r="GW21" s="133" t="n">
        <f aca="false">IF(OR(GW$4="",$B21=""),0,SUMIF('DADOS BRUTOS'!$A$3:$A$500,$B21,'DADOS BRUTOS'!DW$3:DW$500)+IF($C21="",0,SUMIF('DADOS BRUTOS'!$A$3:$A$500,$C21,'DADOS BRUTOS'!DW$3:DW$500)))</f>
        <v>0</v>
      </c>
      <c r="GX21" s="133" t="n">
        <f aca="false">IF(OR(GX$4="",$B21=""),0,SUMIF('DADOS BRUTOS'!$A$3:$A$500,$B21,'DADOS BRUTOS'!DX$3:DX$500)+IF($C21="",0,SUMIF('DADOS BRUTOS'!$A$3:$A$500,$C21,'DADOS BRUTOS'!DX$3:DX$500)))</f>
        <v>0</v>
      </c>
      <c r="GY21" s="133" t="n">
        <f aca="false">IF(OR(GY$4="",$B21=""),0,SUMIF('DADOS BRUTOS'!$A$3:$A$500,$B21,'DADOS BRUTOS'!DY$3:DY$500)+IF($C21="",0,SUMIF('DADOS BRUTOS'!$A$3:$A$500,$C21,'DADOS BRUTOS'!DY$3:DY$500)))</f>
        <v>0</v>
      </c>
      <c r="GZ21" s="133" t="n">
        <f aca="false">IF(OR(GZ$4="",$B21=""),0,SUMIF('DADOS BRUTOS'!$A$3:$A$500,$B21,'DADOS BRUTOS'!DZ$3:DZ$500)+IF($C21="",0,SUMIF('DADOS BRUTOS'!$A$3:$A$500,$C21,'DADOS BRUTOS'!DZ$3:DZ$500)))</f>
        <v>0</v>
      </c>
      <c r="HA21" s="133" t="n">
        <f aca="false">IF(OR(HA$4="",$B21=""),0,SUMIF('DADOS BRUTOS'!$A$3:$A$500,$B21,'DADOS BRUTOS'!EA$3:EA$500)+IF($C21="",0,SUMIF('DADOS BRUTOS'!$A$3:$A$500,$C21,'DADOS BRUTOS'!EA$3:EA$500)))</f>
        <v>0</v>
      </c>
      <c r="HB21" s="133" t="n">
        <f aca="false">IF(OR(HB$4="",$B21=""),0,SUMIF('DADOS BRUTOS'!$A$3:$A$500,$B21,'DADOS BRUTOS'!EB$3:EB$500)+IF($C21="",0,SUMIF('DADOS BRUTOS'!$A$3:$A$500,$C21,'DADOS BRUTOS'!EB$3:EB$500)))</f>
        <v>0</v>
      </c>
      <c r="HC21" s="133" t="n">
        <f aca="false">IF(OR(HC$4="",$B21=""),0,SUMIF('DADOS BRUTOS'!$A$3:$A$500,$B21,'DADOS BRUTOS'!EC$3:EC$500)+IF($C21="",0,SUMIF('DADOS BRUTOS'!$A$3:$A$500,$C21,'DADOS BRUTOS'!EC$3:EC$500)))</f>
        <v>0</v>
      </c>
      <c r="HD21" s="133" t="n">
        <f aca="false">IF(OR(HD$4="",$B21=""),0,SUMIF('DADOS BRUTOS'!$A$3:$A$500,$B21,'DADOS BRUTOS'!ED$3:ED$500)+IF($C21="",0,SUMIF('DADOS BRUTOS'!$A$3:$A$500,$C21,'DADOS BRUTOS'!ED$3:ED$500)))</f>
        <v>0</v>
      </c>
      <c r="HE21" s="133" t="n">
        <f aca="false">IF(OR(HE$4="",$B21=""),0,SUMIF('DADOS BRUTOS'!$A$3:$A$500,$B21,'DADOS BRUTOS'!EE$3:EE$500)+IF($C21="",0,SUMIF('DADOS BRUTOS'!$A$3:$A$500,$C21,'DADOS BRUTOS'!EE$3:EE$500)))</f>
        <v>0</v>
      </c>
      <c r="HF21" s="133" t="n">
        <f aca="false">IF(OR(HF$4="",$B21=""),0,SUMIF('DADOS BRUTOS'!$A$3:$A$500,$B21,'DADOS BRUTOS'!EF$3:EF$500)+IF($C21="",0,SUMIF('DADOS BRUTOS'!$A$3:$A$500,$C21,'DADOS BRUTOS'!EF$3:EF$500)))</f>
        <v>0</v>
      </c>
      <c r="HG21" s="133" t="n">
        <f aca="false">IF(OR(HG$4="",$B21=""),0,SUMIF('DADOS BRUTOS'!$A$3:$A$500,$B21,'DADOS BRUTOS'!EG$3:EG$500)+IF($C21="",0,SUMIF('DADOS BRUTOS'!$A$3:$A$500,$C21,'DADOS BRUTOS'!EG$3:EG$500)))</f>
        <v>0</v>
      </c>
      <c r="HH21" s="133" t="n">
        <f aca="false">IF(OR(HH$4="",$B21=""),0,SUMIF('DADOS BRUTOS'!$A$3:$A$500,$B21,'DADOS BRUTOS'!EH$3:EH$500)+IF($C21="",0,SUMIF('DADOS BRUTOS'!$A$3:$A$500,$C21,'DADOS BRUTOS'!EH$3:EH$500)))</f>
        <v>0</v>
      </c>
      <c r="HI21" s="133" t="n">
        <f aca="false">IF(OR(HI$4="",$B21=""),0,SUMIF('DADOS BRUTOS'!$A$3:$A$500,$B21,'DADOS BRUTOS'!EI$3:EI$500)+IF($C21="",0,SUMIF('DADOS BRUTOS'!$A$3:$A$500,$C21,'DADOS BRUTOS'!EI$3:EI$500)))</f>
        <v>0</v>
      </c>
      <c r="HJ21" s="133" t="n">
        <f aca="false">IF(OR(HJ$4="",$B21=""),0,SUMIF('DADOS BRUTOS'!$A$3:$A$500,$B21,'DADOS BRUTOS'!EJ$3:EJ$500)+IF($C21="",0,SUMIF('DADOS BRUTOS'!$A$3:$A$500,$C21,'DADOS BRUTOS'!EJ$3:EJ$500)))</f>
        <v>0</v>
      </c>
      <c r="HK21" s="133" t="n">
        <f aca="false">IF(OR(HK$4="",$B21=""),0,SUMIF('DADOS BRUTOS'!$A$3:$A$500,$B21,'DADOS BRUTOS'!EK$3:EK$500)+IF($C21="",0,SUMIF('DADOS BRUTOS'!$A$3:$A$500,$C21,'DADOS BRUTOS'!EK$3:EK$500)))</f>
        <v>0</v>
      </c>
      <c r="HL21" s="133" t="n">
        <f aca="false">IF(OR(HL$4="",$B21=""),0,SUMIF('DADOS BRUTOS'!$A$3:$A$500,$B21,'DADOS BRUTOS'!EL$3:EL$500)+IF($C21="",0,SUMIF('DADOS BRUTOS'!$A$3:$A$500,$C21,'DADOS BRUTOS'!EL$3:EL$500)))</f>
        <v>0</v>
      </c>
      <c r="HM21" s="133" t="n">
        <f aca="false">IF(OR(HM$4="",$B21=""),0,SUMIF('DADOS BRUTOS'!$A$3:$A$500,$B21,'DADOS BRUTOS'!EM$3:EM$500)+IF($C21="",0,SUMIF('DADOS BRUTOS'!$A$3:$A$500,$C21,'DADOS BRUTOS'!EM$3:EM$500)))</f>
        <v>0</v>
      </c>
      <c r="HN21" s="133" t="n">
        <f aca="false">IF(OR(HN$4="",$B21=""),0,SUMIF('DADOS BRUTOS'!$A$3:$A$500,$B21,'DADOS BRUTOS'!EN$3:EN$500)+IF($C21="",0,SUMIF('DADOS BRUTOS'!$A$3:$A$500,$C21,'DADOS BRUTOS'!EN$3:EN$500)))</f>
        <v>0</v>
      </c>
      <c r="HO21" s="133" t="n">
        <f aca="false">IF(OR(HO$4="",$B21=""),0,SUMIF('DADOS BRUTOS'!$A$3:$A$500,$B21,'DADOS BRUTOS'!EO$3:EO$500)+IF($C21="",0,SUMIF('DADOS BRUTOS'!$A$3:$A$500,$C21,'DADOS BRUTOS'!EO$3:EO$500)))</f>
        <v>0</v>
      </c>
      <c r="HP21" s="133" t="n">
        <f aca="false">IF(OR(HP$4="",$B21=""),0,SUMIF('DADOS BRUTOS'!$A$3:$A$500,$B21,'DADOS BRUTOS'!EP$3:EP$500)+IF($C21="",0,SUMIF('DADOS BRUTOS'!$A$3:$A$500,$C21,'DADOS BRUTOS'!EP$3:EP$500)))</f>
        <v>0</v>
      </c>
      <c r="HQ21" s="133" t="n">
        <f aca="false">IF(OR(HQ$4="",$B21=""),0,SUMIF('DADOS BRUTOS'!$A$3:$A$500,$B21,'DADOS BRUTOS'!EQ$3:EQ$500)+IF($C21="",0,SUMIF('DADOS BRUTOS'!$A$3:$A$500,$C21,'DADOS BRUTOS'!EQ$3:EQ$500)))</f>
        <v>0</v>
      </c>
      <c r="HR21" s="133" t="n">
        <f aca="false">IF(OR(HR$4="",$B21=""),0,SUMIF('DADOS BRUTOS'!$A$3:$A$500,$B21,'DADOS BRUTOS'!ER$3:ER$500)+IF($C21="",0,SUMIF('DADOS BRUTOS'!$A$3:$A$500,$C21,'DADOS BRUTOS'!ER$3:ER$500)))</f>
        <v>0</v>
      </c>
      <c r="HS21" s="133" t="n">
        <f aca="false">IF(OR(HS$4="",$B21=""),0,SUMIF('DADOS BRUTOS'!$A$3:$A$500,$B21,'DADOS BRUTOS'!ES$3:ES$500)+IF($C21="",0,SUMIF('DADOS BRUTOS'!$A$3:$A$500,$C21,'DADOS BRUTOS'!ES$3:ES$500)))</f>
        <v>0</v>
      </c>
      <c r="HT21" s="133" t="n">
        <f aca="false">IF(OR(HT$4="",$B21=""),0,SUMIF('DADOS BRUTOS'!$A$3:$A$500,$B21,'DADOS BRUTOS'!ET$3:ET$500)+IF($C21="",0,SUMIF('DADOS BRUTOS'!$A$3:$A$500,$C21,'DADOS BRUTOS'!ET$3:ET$500)))</f>
        <v>0</v>
      </c>
      <c r="HU21" s="133" t="n">
        <f aca="false">IF(OR(HU$4="",$B21=""),0,SUMIF('DADOS BRUTOS'!$A$3:$A$500,$B21,'DADOS BRUTOS'!EU$3:EU$500)+IF($C21="",0,SUMIF('DADOS BRUTOS'!$A$3:$A$500,$C21,'DADOS BRUTOS'!EU$3:EU$500)))</f>
        <v>0</v>
      </c>
      <c r="HV21" s="133" t="n">
        <f aca="false">IF(OR(HV$4="",$B21=""),0,SUMIF('DADOS BRUTOS'!$A$3:$A$500,$B21,'DADOS BRUTOS'!EV$3:EV$500)+IF($C21="",0,SUMIF('DADOS BRUTOS'!$A$3:$A$500,$C21,'DADOS BRUTOS'!EV$3:EV$500)))</f>
        <v>0</v>
      </c>
      <c r="HW21" s="133" t="n">
        <f aca="false">IF(OR(HW$4="",$B21=""),0,SUMIF('DADOS BRUTOS'!$A$3:$A$500,$B21,'DADOS BRUTOS'!EW$3:EW$500)+IF($C21="",0,SUMIF('DADOS BRUTOS'!$A$3:$A$500,$C21,'DADOS BRUTOS'!EW$3:EW$500)))</f>
        <v>0</v>
      </c>
      <c r="HX21" s="133" t="n">
        <f aca="false">IF(OR(HX$4="",$B21=""),0,SUMIF('DADOS BRUTOS'!$A$3:$A$500,$B21,'DADOS BRUTOS'!EX$3:EX$500)+IF($C21="",0,SUMIF('DADOS BRUTOS'!$A$3:$A$500,$C21,'DADOS BRUTOS'!EX$3:EX$500)))</f>
        <v>0</v>
      </c>
      <c r="HY21" s="133" t="n">
        <f aca="false">IF(OR(HY$4="",$B21=""),0,SUMIF('DADOS BRUTOS'!$A$3:$A$500,$B21,'DADOS BRUTOS'!EY$3:EY$500)+IF($C21="",0,SUMIF('DADOS BRUTOS'!$A$3:$A$500,$C21,'DADOS BRUTOS'!EY$3:EY$500)))</f>
        <v>0</v>
      </c>
      <c r="HZ21" s="133" t="n">
        <f aca="false">IF(OR(HZ$4="",$B21=""),0,SUMIF('DADOS BRUTOS'!$A$3:$A$500,$B21,'DADOS BRUTOS'!EZ$3:EZ$500)+IF($C21="",0,SUMIF('DADOS BRUTOS'!$A$3:$A$500,$C21,'DADOS BRUTOS'!EZ$3:EZ$500)))</f>
        <v>0</v>
      </c>
      <c r="IA21" s="133" t="n">
        <f aca="false">IF(OR(IA$4="",$B21=""),0,SUMIF('DADOS BRUTOS'!$A$3:$A$500,$B21,'DADOS BRUTOS'!FA$3:FA$500)+IF($C21="",0,SUMIF('DADOS BRUTOS'!$A$3:$A$500,$C21,'DADOS BRUTOS'!FA$3:FA$500)))</f>
        <v>0</v>
      </c>
      <c r="IB21" s="133" t="n">
        <f aca="false">IF(OR(IB$4="",$B21=""),0,SUMIF('DADOS BRUTOS'!$A$3:$A$500,$B21,'DADOS BRUTOS'!FB$3:FB$500)+IF($C21="",0,SUMIF('DADOS BRUTOS'!$A$3:$A$500,$C21,'DADOS BRUTOS'!FB$3:FB$500)))</f>
        <v>0</v>
      </c>
      <c r="IC21" s="133" t="n">
        <f aca="false">IF(OR(IC$4="",$B21=""),0,SUMIF('DADOS BRUTOS'!$A$3:$A$500,$B21,'DADOS BRUTOS'!FC$3:FC$500)+IF($C21="",0,SUMIF('DADOS BRUTOS'!$A$3:$A$500,$C21,'DADOS BRUTOS'!FC$3:FC$500)))</f>
        <v>0</v>
      </c>
      <c r="ID21" s="133" t="n">
        <f aca="false">IF(OR(ID$4="",$B21=""),0,SUMIF('DADOS BRUTOS'!$A$3:$A$500,$B21,'DADOS BRUTOS'!FD$3:FD$500)+IF($C21="",0,SUMIF('DADOS BRUTOS'!$A$3:$A$500,$C21,'DADOS BRUTOS'!FD$3:FD$500)))</f>
        <v>0</v>
      </c>
      <c r="IE21" s="133" t="n">
        <f aca="false">IF(OR(IE$4="",$B21=""),0,SUMIF('DADOS BRUTOS'!$A$3:$A$500,$B21,'DADOS BRUTOS'!FE$3:FE$500)+IF($C21="",0,SUMIF('DADOS BRUTOS'!$A$3:$A$500,$C21,'DADOS BRUTOS'!FE$3:FE$500)))</f>
        <v>0</v>
      </c>
      <c r="IF21" s="133" t="n">
        <f aca="false">IF(OR(IF$4="",$B21=""),0,SUMIF('DADOS BRUTOS'!$A$3:$A$500,$B21,'DADOS BRUTOS'!FF$3:FF$500)+IF($C21="",0,SUMIF('DADOS BRUTOS'!$A$3:$A$500,$C21,'DADOS BRUTOS'!FF$3:FF$500)))</f>
        <v>0</v>
      </c>
      <c r="IG21" s="133" t="n">
        <f aca="false">IF(OR(IG$4="",$B21=""),0,SUMIF('DADOS BRUTOS'!$A$3:$A$500,$B21,'DADOS BRUTOS'!FG$3:FG$500)+IF($C21="",0,SUMIF('DADOS BRUTOS'!$A$3:$A$500,$C21,'DADOS BRUTOS'!FG$3:FG$500)))</f>
        <v>0</v>
      </c>
      <c r="IH21" s="133" t="n">
        <f aca="false">IF(OR(IH$4="",$B21=""),0,SUMIF('DADOS BRUTOS'!$A$3:$A$500,$B21,'DADOS BRUTOS'!FH$3:FH$500)+IF($C21="",0,SUMIF('DADOS BRUTOS'!$A$3:$A$500,$C21,'DADOS BRUTOS'!FH$3:FH$500)))</f>
        <v>0</v>
      </c>
      <c r="II21" s="133" t="n">
        <f aca="false">IF(OR(II$4="",$B21=""),0,SUMIF('DADOS BRUTOS'!$A$3:$A$500,$B21,'DADOS BRUTOS'!FI$3:FI$500)+IF($C21="",0,SUMIF('DADOS BRUTOS'!$A$3:$A$500,$C21,'DADOS BRUTOS'!FI$3:FI$500)))</f>
        <v>0</v>
      </c>
      <c r="IJ21" s="133" t="n">
        <f aca="false">IF(OR(IJ$4="",$B21=""),0,SUMIF('DADOS BRUTOS'!$A$3:$A$500,$B21,'DADOS BRUTOS'!FJ$3:FJ$500)+IF($C21="",0,SUMIF('DADOS BRUTOS'!$A$3:$A$500,$C21,'DADOS BRUTOS'!FJ$3:FJ$500)))</f>
        <v>0</v>
      </c>
      <c r="IK21" s="133" t="n">
        <f aca="false">IF(OR(IK$4="",$B21=""),0,SUMIF('DADOS BRUTOS'!$A$3:$A$500,$B21,'DADOS BRUTOS'!FK$3:FK$500)+IF($C21="",0,SUMIF('DADOS BRUTOS'!$A$3:$A$500,$C21,'DADOS BRUTOS'!FK$3:FK$500)))</f>
        <v>0</v>
      </c>
      <c r="IL21" s="133" t="n">
        <f aca="false">IF(OR(IL$4="",$B21=""),0,SUMIF('DADOS BRUTOS'!$A$3:$A$500,$B21,'DADOS BRUTOS'!FL$3:FL$500)+IF($C21="",0,SUMIF('DADOS BRUTOS'!$A$3:$A$500,$C21,'DADOS BRUTOS'!FL$3:FL$500)))</f>
        <v>0</v>
      </c>
      <c r="IM21" s="133" t="n">
        <f aca="false">IF(OR(IM$4="",$B21=""),0,SUMIF('DADOS BRUTOS'!$A$3:$A$500,$B21,'DADOS BRUTOS'!FM$3:FM$500)+IF($C21="",0,SUMIF('DADOS BRUTOS'!$A$3:$A$500,$C21,'DADOS BRUTOS'!FM$3:FM$500)))</f>
        <v>0</v>
      </c>
      <c r="IN21" s="133" t="n">
        <f aca="false">IF(OR(IN$4="",$B21=""),0,SUMIF('DADOS BRUTOS'!$A$3:$A$500,$B21,'DADOS BRUTOS'!FN$3:FN$500)+IF($C21="",0,SUMIF('DADOS BRUTOS'!$A$3:$A$500,$C21,'DADOS BRUTOS'!FN$3:FN$500)))</f>
        <v>0</v>
      </c>
      <c r="IO21" s="133" t="n">
        <f aca="false">IF(OR(IO$4="",$B21=""),0,SUMIF('DADOS BRUTOS'!$A$3:$A$500,$B21,'DADOS BRUTOS'!FO$3:FO$500)+IF($C21="",0,SUMIF('DADOS BRUTOS'!$A$3:$A$500,$C21,'DADOS BRUTOS'!FO$3:FO$500)))</f>
        <v>0</v>
      </c>
      <c r="IP21" s="133" t="n">
        <f aca="false">IF(OR(IP$4="",$B21=""),0,SUMIF('DADOS BRUTOS'!$A$3:$A$500,$B21,'DADOS BRUTOS'!FP$3:FP$500)+IF($C21="",0,SUMIF('DADOS BRUTOS'!$A$3:$A$500,$C21,'DADOS BRUTOS'!FP$3:FP$500)))</f>
        <v>0</v>
      </c>
      <c r="IQ21" s="133" t="n">
        <f aca="false">IF(OR(IQ$4="",$B21=""),0,SUMIF('DADOS BRUTOS'!$A$3:$A$500,$B21,'DADOS BRUTOS'!FQ$3:FQ$500)+IF($C21="",0,SUMIF('DADOS BRUTOS'!$A$3:$A$500,$C21,'DADOS BRUTOS'!FQ$3:FQ$500)))</f>
        <v>0</v>
      </c>
      <c r="IR21" s="133" t="n">
        <f aca="false">IF(OR(IR$4="",$B21=""),0,SUMIF('DADOS BRUTOS'!$A$3:$A$500,$B21,'DADOS BRUTOS'!FR$3:FR$500)+IF($C21="",0,SUMIF('DADOS BRUTOS'!$A$3:$A$500,$C21,'DADOS BRUTOS'!FR$3:FR$500)))</f>
        <v>0</v>
      </c>
      <c r="IS21" s="133" t="n">
        <f aca="false">IF(OR(IS$4="",$B21=""),0,SUMIF('DADOS BRUTOS'!$A$3:$A$500,$B21,'DADOS BRUTOS'!FS$3:FS$500)+IF($C21="",0,SUMIF('DADOS BRUTOS'!$A$3:$A$500,$C21,'DADOS BRUTOS'!FS$3:FS$500)))</f>
        <v>0</v>
      </c>
      <c r="IT21" s="133" t="n">
        <f aca="false">IF(OR(IT$4="",$B21=""),0,SUMIF('DADOS BRUTOS'!$A$3:$A$500,$B21,'DADOS BRUTOS'!FT$3:FT$500)+IF($C21="",0,SUMIF('DADOS BRUTOS'!$A$3:$A$500,$C21,'DADOS BRUTOS'!FT$3:FT$500)))</f>
        <v>0</v>
      </c>
      <c r="IU21" s="133" t="n">
        <f aca="false">IF(OR(IU$4="",$B21=""),0,SUMIF('DADOS BRUTOS'!$A$3:$A$500,$B21,'DADOS BRUTOS'!FU$3:FU$500)+IF($C21="",0,SUMIF('DADOS BRUTOS'!$A$3:$A$500,$C21,'DADOS BRUTOS'!FU$3:FU$500)))</f>
        <v>0</v>
      </c>
      <c r="IV21" s="133" t="n">
        <f aca="false">IF(OR(IV$4="",$B21=""),0,SUMIF('DADOS BRUTOS'!$A$3:$A$500,$B21,'DADOS BRUTOS'!FV$3:FV$500)+IF($C21="",0,SUMIF('DADOS BRUTOS'!$A$3:$A$500,$C21,'DADOS BRUTOS'!FV$3:FV$500)))</f>
        <v>0</v>
      </c>
      <c r="IW21" s="133" t="n">
        <f aca="false">IF(OR(IW$4="",$B21=""),0,SUMIF('DADOS BRUTOS'!$A$3:$A$500,$B21,'DADOS BRUTOS'!FW$3:FW$500)+IF($C21="",0,SUMIF('DADOS BRUTOS'!$A$3:$A$500,$C21,'DADOS BRUTOS'!FW$3:FW$500)))</f>
        <v>0</v>
      </c>
      <c r="IX21" s="133" t="n">
        <f aca="false">IF(OR(IX$4="",$B21=""),0,SUMIF('DADOS BRUTOS'!$A$3:$A$500,$B21,'DADOS BRUTOS'!FX$3:FX$500)+IF($C21="",0,SUMIF('DADOS BRUTOS'!$A$3:$A$500,$C21,'DADOS BRUTOS'!FX$3:FX$500)))</f>
        <v>0</v>
      </c>
      <c r="IY21" s="133" t="n">
        <f aca="false">IF(OR(IY$4="",$B21=""),0,SUMIF('DADOS BRUTOS'!$A$3:$A$500,$B21,'DADOS BRUTOS'!FY$3:FY$500)+IF($C21="",0,SUMIF('DADOS BRUTOS'!$A$3:$A$500,$C21,'DADOS BRUTOS'!FY$3:FY$500)))</f>
        <v>0</v>
      </c>
      <c r="IZ21" s="133" t="n">
        <f aca="false">IF(OR(IZ$4="",$B21=""),0,SUMIF('DADOS BRUTOS'!$A$3:$A$500,$B21,'DADOS BRUTOS'!FZ$3:FZ$500)+IF($C21="",0,SUMIF('DADOS BRUTOS'!$A$3:$A$500,$C21,'DADOS BRUTOS'!FZ$3:FZ$500)))</f>
        <v>0</v>
      </c>
      <c r="JA21" s="133" t="n">
        <f aca="false">IF(OR(JA$4="",$B21=""),0,SUMIF('DADOS BRUTOS'!$A$3:$A$500,$B21,'DADOS BRUTOS'!GA$3:GA$500)+IF($C21="",0,SUMIF('DADOS BRUTOS'!$A$3:$A$500,$C21,'DADOS BRUTOS'!GA$3:GA$500)))</f>
        <v>0</v>
      </c>
      <c r="JB21" s="133" t="n">
        <f aca="false">IF(OR(JB$4="",$B21=""),0,SUMIF('DADOS BRUTOS'!$A$3:$A$500,$B21,'DADOS BRUTOS'!GB$3:GB$500)+IF($C21="",0,SUMIF('DADOS BRUTOS'!$A$3:$A$500,$C21,'DADOS BRUTOS'!GB$3:GB$500)))</f>
        <v>0</v>
      </c>
      <c r="JC21" s="133" t="n">
        <f aca="false">IF(OR(JC$4="",$B21=""),0,SUMIF('DADOS BRUTOS'!$A$3:$A$500,$B21,'DADOS BRUTOS'!GC$3:GC$500)+IF($C21="",0,SUMIF('DADOS BRUTOS'!$A$3:$A$500,$C21,'DADOS BRUTOS'!GC$3:GC$500)))</f>
        <v>0</v>
      </c>
      <c r="JD21" s="133" t="n">
        <f aca="false">IF(OR(JD$4="",$B21=""),0,SUMIF('DADOS BRUTOS'!$A$3:$A$500,$B21,'DADOS BRUTOS'!GD$3:GD$500)+IF($C21="",0,SUMIF('DADOS BRUTOS'!$A$3:$A$500,$C21,'DADOS BRUTOS'!GD$3:GD$500)))</f>
        <v>0</v>
      </c>
      <c r="JE21" s="133" t="n">
        <f aca="false">IF(OR(JE$4="",$B21=""),0,SUMIF('DADOS BRUTOS'!$A$3:$A$500,$B21,'DADOS BRUTOS'!GE$3:GE$500)+IF($C21="",0,SUMIF('DADOS BRUTOS'!$A$3:$A$500,$C21,'DADOS BRUTOS'!GE$3:GE$500)))</f>
        <v>0</v>
      </c>
      <c r="JF21" s="133" t="n">
        <f aca="false">IF(OR(JF$4="",$B21=""),0,SUMIF('DADOS BRUTOS'!$A$3:$A$500,$B21,'DADOS BRUTOS'!GF$3:GF$500)+IF($C21="",0,SUMIF('DADOS BRUTOS'!$A$3:$A$500,$C21,'DADOS BRUTOS'!GF$3:GF$500)))</f>
        <v>0</v>
      </c>
      <c r="JG21" s="133" t="n">
        <f aca="false">IF(OR(JG$4="",$B21=""),0,SUMIF('DADOS BRUTOS'!$A$3:$A$500,$B21,'DADOS BRUTOS'!GG$3:GG$500)+IF($C21="",0,SUMIF('DADOS BRUTOS'!$A$3:$A$500,$C21,'DADOS BRUTOS'!GG$3:GG$500)))</f>
        <v>0</v>
      </c>
      <c r="JH21" s="133" t="n">
        <f aca="false">IF(OR(JH$4="",$B21=""),0,SUMIF('DADOS BRUTOS'!$A$3:$A$500,$B21,'DADOS BRUTOS'!GH$3:GH$500)+IF($C21="",0,SUMIF('DADOS BRUTOS'!$A$3:$A$500,$C21,'DADOS BRUTOS'!GH$3:GH$500)))</f>
        <v>0</v>
      </c>
      <c r="JI21" s="133" t="n">
        <f aca="false">IF(OR(JI$4="",$B21=""),0,SUMIF('DADOS BRUTOS'!$A$3:$A$500,$B21,'DADOS BRUTOS'!GI$3:GI$500)+IF($C21="",0,SUMIF('DADOS BRUTOS'!$A$3:$A$500,$C21,'DADOS BRUTOS'!GI$3:GI$500)))</f>
        <v>0</v>
      </c>
      <c r="JJ21" s="133" t="n">
        <f aca="false">IF(OR(JJ$4="",$B21=""),0,SUMIF('DADOS BRUTOS'!$A$3:$A$500,$B21,'DADOS BRUTOS'!GJ$3:GJ$500)+IF($C21="",0,SUMIF('DADOS BRUTOS'!$A$3:$A$500,$C21,'DADOS BRUTOS'!GJ$3:GJ$500)))</f>
        <v>0</v>
      </c>
      <c r="JK21" s="133" t="n">
        <f aca="false">IF(OR(JK$4="",$B21=""),0,SUMIF('DADOS BRUTOS'!$A$3:$A$500,$B21,'DADOS BRUTOS'!GK$3:GK$500)+IF($C21="",0,SUMIF('DADOS BRUTOS'!$A$3:$A$500,$C21,'DADOS BRUTOS'!GK$3:GK$500)))</f>
        <v>0</v>
      </c>
      <c r="JL21" s="133" t="n">
        <f aca="false">IF(OR(JL$4="",$B21=""),0,SUMIF('DADOS BRUTOS'!$A$3:$A$500,$B21,'DADOS BRUTOS'!GL$3:GL$500)+IF($C21="",0,SUMIF('DADOS BRUTOS'!$A$3:$A$500,$C21,'DADOS BRUTOS'!GL$3:GL$500)))</f>
        <v>0</v>
      </c>
      <c r="JM21" s="133" t="n">
        <f aca="false">IF(OR(JM$4="",$B21=""),0,SUMIF('DADOS BRUTOS'!$A$3:$A$500,$B21,'DADOS BRUTOS'!GM$3:GM$500)+IF($C21="",0,SUMIF('DADOS BRUTOS'!$A$3:$A$500,$C21,'DADOS BRUTOS'!GM$3:GM$500)))</f>
        <v>0</v>
      </c>
      <c r="JN21" s="133" t="n">
        <f aca="false">IF(OR(JN$4="",$B21=""),0,SUMIF('DADOS BRUTOS'!$A$3:$A$500,$B21,'DADOS BRUTOS'!GN$3:GN$500)+IF($C21="",0,SUMIF('DADOS BRUTOS'!$A$3:$A$500,$C21,'DADOS BRUTOS'!GN$3:GN$500)))</f>
        <v>0</v>
      </c>
      <c r="JO21" s="133" t="n">
        <f aca="false">IF(OR(JO$4="",$B21=""),0,SUMIF('DADOS BRUTOS'!$A$3:$A$500,$B21,'DADOS BRUTOS'!GO$3:GO$500)+IF($C21="",0,SUMIF('DADOS BRUTOS'!$A$3:$A$500,$C21,'DADOS BRUTOS'!GO$3:GO$500)))</f>
        <v>0</v>
      </c>
      <c r="JP21" s="133" t="n">
        <f aca="false">IF(OR(JP$4="",$B21=""),0,SUMIF('DADOS BRUTOS'!$A$3:$A$500,$B21,'DADOS BRUTOS'!GP$3:GP$500)+IF($C21="",0,SUMIF('DADOS BRUTOS'!$A$3:$A$500,$C21,'DADOS BRUTOS'!GP$3:GP$500)))</f>
        <v>0</v>
      </c>
      <c r="JQ21" s="133" t="n">
        <f aca="false">IF(OR(JQ$4="",$B21=""),0,SUMIF('DADOS BRUTOS'!$A$3:$A$500,$B21,'DADOS BRUTOS'!GQ$3:GQ$500)+IF($C21="",0,SUMIF('DADOS BRUTOS'!$A$3:$A$500,$C21,'DADOS BRUTOS'!GQ$3:GQ$500)))</f>
        <v>0</v>
      </c>
      <c r="JR21" s="133" t="n">
        <f aca="false">IF(OR(JR$4="",$B21=""),0,SUMIF('DADOS BRUTOS'!$A$3:$A$500,$B21,'DADOS BRUTOS'!GR$3:GR$500)+IF($C21="",0,SUMIF('DADOS BRUTOS'!$A$3:$A$500,$C21,'DADOS BRUTOS'!GR$3:GR$500)))</f>
        <v>0</v>
      </c>
      <c r="JS21" s="133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168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0</v>
      </c>
      <c r="Q22" s="50" t="n">
        <f aca="false">SUMIF($CB$4:$JS$4,Q$4,$CB22:$JS22)</f>
        <v>0</v>
      </c>
      <c r="R22" s="50" t="n">
        <f aca="false">SUMIF($CB$4:$JS$4,R$4,$CB22:$JS22)</f>
        <v>0</v>
      </c>
      <c r="S22" s="50" t="n">
        <f aca="false">SUMIF($CB$4:$JS$4,S$4,$CB22:$JS22)</f>
        <v>0</v>
      </c>
      <c r="T22" s="50" t="n">
        <f aca="false">SUMIF($CB$4:$JS$4,T$4,$CB22:$JS22)</f>
        <v>0</v>
      </c>
      <c r="U22" s="50" t="n">
        <f aca="false">SUMIF($CB$4:$JS$4,U$4,$CB22:$JS22)</f>
        <v>0</v>
      </c>
      <c r="V22" s="50" t="n">
        <f aca="false">SUMIF($CB$4:$JS$4,V$4,$CB22:$JS22)</f>
        <v>0</v>
      </c>
      <c r="W22" s="50" t="n">
        <f aca="false">SUMIF($CB$4:$JS$4,W$4,$CB22:$JS22)</f>
        <v>0</v>
      </c>
      <c r="X22" s="50" t="n">
        <f aca="false">SUMIF($CB$4:$JS$4,X$4,$CB22:$JS22)</f>
        <v>0</v>
      </c>
      <c r="Y22" s="50" t="n">
        <f aca="false">SUMIF($CB$4:$JS$4,Y$4,$CB22:$JS22)</f>
        <v>0</v>
      </c>
      <c r="Z22" s="50" t="n">
        <f aca="false">SUMIF($CB$4:$JS$4,Z$4,$CB22:$JS22)</f>
        <v>0</v>
      </c>
      <c r="AA22" s="50" t="n">
        <f aca="false">SUMIF($CB$4:$JS$4,AA$4,$CB22:$JS22)</f>
        <v>0</v>
      </c>
      <c r="AB22" s="50" t="n">
        <f aca="false">SUMIF($CB$4:$JS$4,AB$4,$CB22:$JS22)</f>
        <v>0</v>
      </c>
      <c r="AC22" s="50" t="n">
        <f aca="false">SUMIF($CB$4:$JS$4,AC$4,$CB22:$JS22)</f>
        <v>0</v>
      </c>
      <c r="AD22" s="50" t="n">
        <f aca="false">SUMIF($CB$4:$JS$4,AD$4,$CB22:$JS22)</f>
        <v>0</v>
      </c>
      <c r="AE22" s="50" t="n">
        <f aca="false">SUMIF($CB$4:$JS$4,AE$4,$CB22:$JS22)</f>
        <v>0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0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0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0</v>
      </c>
      <c r="BZ22" s="45" t="n">
        <f aca="false">SUMPRODUCT(($CB$4:$JS$4&lt;&gt;"")*($CB$4:$JS$4&lt;=$D$4),$CB22:$JS22,$CB$1:$JS$1)</f>
        <v>0</v>
      </c>
      <c r="CB22" s="133" t="n">
        <f aca="false">IF(OR(CB$4="",$B22=""),0,SUMIF('DADOS BRUTOS'!$A$3:$A$500,$B22,'DADOS BRUTOS'!B$3:B$500)+IF($C22="",0,SUMIF('DADOS BRUTOS'!$A$3:$A$500,$C22,'DADOS BRUTOS'!B$3:B$500)))</f>
        <v>0</v>
      </c>
      <c r="CC22" s="133" t="n">
        <f aca="false">IF(OR(CC$4="",$B22=""),0,SUMIF('DADOS BRUTOS'!$A$3:$A$500,$B22,'DADOS BRUTOS'!C$3:C$500)+IF($C22="",0,SUMIF('DADOS BRUTOS'!$A$3:$A$500,$C22,'DADOS BRUTOS'!C$3:C$500)))</f>
        <v>0</v>
      </c>
      <c r="CD22" s="133" t="n">
        <f aca="false">IF(OR(CD$4="",$B22=""),0,SUMIF('DADOS BRUTOS'!$A$3:$A$500,$B22,'DADOS BRUTOS'!D$3:D$500)+IF($C22="",0,SUMIF('DADOS BRUTOS'!$A$3:$A$500,$C22,'DADOS BRUTOS'!D$3:D$500)))</f>
        <v>0</v>
      </c>
      <c r="CE22" s="133" t="n">
        <f aca="false">IF(OR(CE$4="",$B22=""),0,SUMIF('DADOS BRUTOS'!$A$3:$A$500,$B22,'DADOS BRUTOS'!E$3:E$500)+IF($C22="",0,SUMIF('DADOS BRUTOS'!$A$3:$A$500,$C22,'DADOS BRUTOS'!E$3:E$500)))</f>
        <v>0</v>
      </c>
      <c r="CF22" s="133" t="n">
        <f aca="false">IF(OR(CF$4="",$B22=""),0,SUMIF('DADOS BRUTOS'!$A$3:$A$500,$B22,'DADOS BRUTOS'!F$3:F$500)+IF($C22="",0,SUMIF('DADOS BRUTOS'!$A$3:$A$500,$C22,'DADOS BRUTOS'!F$3:F$500)))</f>
        <v>0</v>
      </c>
      <c r="CG22" s="133" t="n">
        <f aca="false">IF(OR(CG$4="",$B22=""),0,SUMIF('DADOS BRUTOS'!$A$3:$A$500,$B22,'DADOS BRUTOS'!G$3:G$500)+IF($C22="",0,SUMIF('DADOS BRUTOS'!$A$3:$A$500,$C22,'DADOS BRUTOS'!G$3:G$500)))</f>
        <v>0</v>
      </c>
      <c r="CH22" s="133" t="n">
        <f aca="false">IF(OR(CH$4="",$B22=""),0,SUMIF('DADOS BRUTOS'!$A$3:$A$500,$B22,'DADOS BRUTOS'!H$3:H$500)+IF($C22="",0,SUMIF('DADOS BRUTOS'!$A$3:$A$500,$C22,'DADOS BRUTOS'!H$3:H$500)))</f>
        <v>0</v>
      </c>
      <c r="CI22" s="133" t="n">
        <f aca="false">IF(OR(CI$4="",$B22=""),0,SUMIF('DADOS BRUTOS'!$A$3:$A$500,$B22,'DADOS BRUTOS'!I$3:I$500)+IF($C22="",0,SUMIF('DADOS BRUTOS'!$A$3:$A$500,$C22,'DADOS BRUTOS'!I$3:I$500)))</f>
        <v>0</v>
      </c>
      <c r="CJ22" s="133" t="n">
        <f aca="false">IF(OR(CJ$4="",$B22=""),0,SUMIF('DADOS BRUTOS'!$A$3:$A$500,$B22,'DADOS BRUTOS'!J$3:J$500)+IF($C22="",0,SUMIF('DADOS BRUTOS'!$A$3:$A$500,$C22,'DADOS BRUTOS'!J$3:J$500)))</f>
        <v>0</v>
      </c>
      <c r="CK22" s="133" t="n">
        <f aca="false">IF(OR(CK$4="",$B22=""),0,SUMIF('DADOS BRUTOS'!$A$3:$A$500,$B22,'DADOS BRUTOS'!K$3:K$500)+IF($C22="",0,SUMIF('DADOS BRUTOS'!$A$3:$A$500,$C22,'DADOS BRUTOS'!K$3:K$500)))</f>
        <v>0</v>
      </c>
      <c r="CL22" s="133" t="n">
        <f aca="false">IF(OR(CL$4="",$B22=""),0,SUMIF('DADOS BRUTOS'!$A$3:$A$500,$B22,'DADOS BRUTOS'!L$3:L$500)+IF($C22="",0,SUMIF('DADOS BRUTOS'!$A$3:$A$500,$C22,'DADOS BRUTOS'!L$3:L$500)))</f>
        <v>0</v>
      </c>
      <c r="CM22" s="133" t="n">
        <f aca="false">IF(OR(CM$4="",$B22=""),0,SUMIF('DADOS BRUTOS'!$A$3:$A$500,$B22,'DADOS BRUTOS'!M$3:M$500)+IF($C22="",0,SUMIF('DADOS BRUTOS'!$A$3:$A$500,$C22,'DADOS BRUTOS'!M$3:M$500)))</f>
        <v>0</v>
      </c>
      <c r="CN22" s="133" t="n">
        <f aca="false">IF(OR(CN$4="",$B22=""),0,SUMIF('DADOS BRUTOS'!$A$3:$A$500,$B22,'DADOS BRUTOS'!N$3:N$500)+IF($C22="",0,SUMIF('DADOS BRUTOS'!$A$3:$A$500,$C22,'DADOS BRUTOS'!N$3:N$500)))</f>
        <v>0</v>
      </c>
      <c r="CO22" s="133" t="n">
        <f aca="false">IF(OR(CO$4="",$B22=""),0,SUMIF('DADOS BRUTOS'!$A$3:$A$500,$B22,'DADOS BRUTOS'!O$3:O$500)+IF($C22="",0,SUMIF('DADOS BRUTOS'!$A$3:$A$500,$C22,'DADOS BRUTOS'!O$3:O$500)))</f>
        <v>0</v>
      </c>
      <c r="CP22" s="133" t="n">
        <f aca="false">IF(OR(CP$4="",$B22=""),0,SUMIF('DADOS BRUTOS'!$A$3:$A$500,$B22,'DADOS BRUTOS'!P$3:P$500)+IF($C22="",0,SUMIF('DADOS BRUTOS'!$A$3:$A$500,$C22,'DADOS BRUTOS'!P$3:P$500)))</f>
        <v>0</v>
      </c>
      <c r="CQ22" s="133" t="n">
        <f aca="false">IF(OR(CQ$4="",$B22=""),0,SUMIF('DADOS BRUTOS'!$A$3:$A$500,$B22,'DADOS BRUTOS'!Q$3:Q$500)+IF($C22="",0,SUMIF('DADOS BRUTOS'!$A$3:$A$500,$C22,'DADOS BRUTOS'!Q$3:Q$500)))</f>
        <v>0</v>
      </c>
      <c r="CR22" s="133" t="n">
        <f aca="false">IF(OR(CR$4="",$B22=""),0,SUMIF('DADOS BRUTOS'!$A$3:$A$500,$B22,'DADOS BRUTOS'!R$3:R$500)+IF($C22="",0,SUMIF('DADOS BRUTOS'!$A$3:$A$500,$C22,'DADOS BRUTOS'!R$3:R$500)))</f>
        <v>0</v>
      </c>
      <c r="CS22" s="133" t="n">
        <f aca="false">IF(OR(CS$4="",$B22=""),0,SUMIF('DADOS BRUTOS'!$A$3:$A$500,$B22,'DADOS BRUTOS'!S$3:S$500)+IF($C22="",0,SUMIF('DADOS BRUTOS'!$A$3:$A$500,$C22,'DADOS BRUTOS'!S$3:S$500)))</f>
        <v>0</v>
      </c>
      <c r="CT22" s="133" t="n">
        <f aca="false">IF(OR(CT$4="",$B22=""),0,SUMIF('DADOS BRUTOS'!$A$3:$A$500,$B22,'DADOS BRUTOS'!T$3:T$500)+IF($C22="",0,SUMIF('DADOS BRUTOS'!$A$3:$A$500,$C22,'DADOS BRUTOS'!T$3:T$500)))</f>
        <v>0</v>
      </c>
      <c r="CU22" s="133" t="n">
        <f aca="false">IF(OR(CU$4="",$B22=""),0,SUMIF('DADOS BRUTOS'!$A$3:$A$500,$B22,'DADOS BRUTOS'!U$3:U$500)+IF($C22="",0,SUMIF('DADOS BRUTOS'!$A$3:$A$500,$C22,'DADOS BRUTOS'!U$3:U$500)))</f>
        <v>0</v>
      </c>
      <c r="CV22" s="133" t="n">
        <f aca="false">IF(OR(CV$4="",$B22=""),0,SUMIF('DADOS BRUTOS'!$A$3:$A$500,$B22,'DADOS BRUTOS'!V$3:V$500)+IF($C22="",0,SUMIF('DADOS BRUTOS'!$A$3:$A$500,$C22,'DADOS BRUTOS'!V$3:V$500)))</f>
        <v>0</v>
      </c>
      <c r="CW22" s="133" t="n">
        <f aca="false">IF(OR(CW$4="",$B22=""),0,SUMIF('DADOS BRUTOS'!$A$3:$A$500,$B22,'DADOS BRUTOS'!W$3:W$500)+IF($C22="",0,SUMIF('DADOS BRUTOS'!$A$3:$A$500,$C22,'DADOS BRUTOS'!W$3:W$500)))</f>
        <v>0</v>
      </c>
      <c r="CX22" s="133" t="n">
        <f aca="false">IF(OR(CX$4="",$B22=""),0,SUMIF('DADOS BRUTOS'!$A$3:$A$500,$B22,'DADOS BRUTOS'!X$3:X$500)+IF($C22="",0,SUMIF('DADOS BRUTOS'!$A$3:$A$500,$C22,'DADOS BRUTOS'!X$3:X$500)))</f>
        <v>0</v>
      </c>
      <c r="CY22" s="133" t="n">
        <f aca="false">IF(OR(CY$4="",$B22=""),0,SUMIF('DADOS BRUTOS'!$A$3:$A$500,$B22,'DADOS BRUTOS'!Y$3:Y$500)+IF($C22="",0,SUMIF('DADOS BRUTOS'!$A$3:$A$500,$C22,'DADOS BRUTOS'!Y$3:Y$500)))</f>
        <v>0</v>
      </c>
      <c r="CZ22" s="133" t="n">
        <f aca="false">IF(OR(CZ$4="",$B22=""),0,SUMIF('DADOS BRUTOS'!$A$3:$A$500,$B22,'DADOS BRUTOS'!Z$3:Z$500)+IF($C22="",0,SUMIF('DADOS BRUTOS'!$A$3:$A$500,$C22,'DADOS BRUTOS'!Z$3:Z$500)))</f>
        <v>0</v>
      </c>
      <c r="DA22" s="133" t="n">
        <f aca="false">IF(OR(DA$4="",$B22=""),0,SUMIF('DADOS BRUTOS'!$A$3:$A$500,$B22,'DADOS BRUTOS'!AA$3:AA$500)+IF($C22="",0,SUMIF('DADOS BRUTOS'!$A$3:$A$500,$C22,'DADOS BRUTOS'!AA$3:AA$500)))</f>
        <v>0</v>
      </c>
      <c r="DB22" s="133" t="n">
        <f aca="false">IF(OR(DB$4="",$B22=""),0,SUMIF('DADOS BRUTOS'!$A$3:$A$500,$B22,'DADOS BRUTOS'!AB$3:AB$500)+IF($C22="",0,SUMIF('DADOS BRUTOS'!$A$3:$A$500,$C22,'DADOS BRUTOS'!AB$3:AB$500)))</f>
        <v>0</v>
      </c>
      <c r="DC22" s="133" t="n">
        <f aca="false">IF(OR(DC$4="",$B22=""),0,SUMIF('DADOS BRUTOS'!$A$3:$A$500,$B22,'DADOS BRUTOS'!AC$3:AC$500)+IF($C22="",0,SUMIF('DADOS BRUTOS'!$A$3:$A$500,$C22,'DADOS BRUTOS'!AC$3:AC$500)))</f>
        <v>0</v>
      </c>
      <c r="DD22" s="133" t="n">
        <f aca="false">IF(OR(DD$4="",$B22=""),0,SUMIF('DADOS BRUTOS'!$A$3:$A$500,$B22,'DADOS BRUTOS'!AD$3:AD$500)+IF($C22="",0,SUMIF('DADOS BRUTOS'!$A$3:$A$500,$C22,'DADOS BRUTOS'!AD$3:AD$500)))</f>
        <v>0</v>
      </c>
      <c r="DE22" s="133" t="n">
        <f aca="false">IF(OR(DE$4="",$B22=""),0,SUMIF('DADOS BRUTOS'!$A$3:$A$500,$B22,'DADOS BRUTOS'!AE$3:AE$500)+IF($C22="",0,SUMIF('DADOS BRUTOS'!$A$3:$A$500,$C22,'DADOS BRUTOS'!AE$3:AE$500)))</f>
        <v>0</v>
      </c>
      <c r="DF22" s="133" t="n">
        <f aca="false">IF(OR(DF$4="",$B22=""),0,SUMIF('DADOS BRUTOS'!$A$3:$A$500,$B22,'DADOS BRUTOS'!AF$3:AF$500)+IF($C22="",0,SUMIF('DADOS BRUTOS'!$A$3:$A$500,$C22,'DADOS BRUTOS'!AF$3:AF$500)))</f>
        <v>0</v>
      </c>
      <c r="DG22" s="133" t="n">
        <f aca="false">IF(OR(DG$4="",$B22=""),0,SUMIF('DADOS BRUTOS'!$A$3:$A$500,$B22,'DADOS BRUTOS'!AG$3:AG$500)+IF($C22="",0,SUMIF('DADOS BRUTOS'!$A$3:$A$500,$C22,'DADOS BRUTOS'!AG$3:AG$500)))</f>
        <v>0</v>
      </c>
      <c r="DH22" s="133" t="n">
        <f aca="false">IF(OR(DH$4="",$B22=""),0,SUMIF('DADOS BRUTOS'!$A$3:$A$500,$B22,'DADOS BRUTOS'!AH$3:AH$500)+IF($C22="",0,SUMIF('DADOS BRUTOS'!$A$3:$A$500,$C22,'DADOS BRUTOS'!AH$3:AH$500)))</f>
        <v>0</v>
      </c>
      <c r="DI22" s="133" t="n">
        <f aca="false">IF(OR(DI$4="",$B22=""),0,SUMIF('DADOS BRUTOS'!$A$3:$A$500,$B22,'DADOS BRUTOS'!AI$3:AI$500)+IF($C22="",0,SUMIF('DADOS BRUTOS'!$A$3:$A$500,$C22,'DADOS BRUTOS'!AI$3:AI$500)))</f>
        <v>0</v>
      </c>
      <c r="DJ22" s="133" t="n">
        <f aca="false">IF(OR(DJ$4="",$B22=""),0,SUMIF('DADOS BRUTOS'!$A$3:$A$500,$B22,'DADOS BRUTOS'!AJ$3:AJ$500)+IF($C22="",0,SUMIF('DADOS BRUTOS'!$A$3:$A$500,$C22,'DADOS BRUTOS'!AJ$3:AJ$500)))</f>
        <v>0</v>
      </c>
      <c r="DK22" s="133" t="n">
        <f aca="false">IF(OR(DK$4="",$B22=""),0,SUMIF('DADOS BRUTOS'!$A$3:$A$500,$B22,'DADOS BRUTOS'!AK$3:AK$500)+IF($C22="",0,SUMIF('DADOS BRUTOS'!$A$3:$A$500,$C22,'DADOS BRUTOS'!AK$3:AK$500)))</f>
        <v>0</v>
      </c>
      <c r="DL22" s="133" t="n">
        <f aca="false">IF(OR(DL$4="",$B22=""),0,SUMIF('DADOS BRUTOS'!$A$3:$A$500,$B22,'DADOS BRUTOS'!AL$3:AL$500)+IF($C22="",0,SUMIF('DADOS BRUTOS'!$A$3:$A$500,$C22,'DADOS BRUTOS'!AL$3:AL$500)))</f>
        <v>0</v>
      </c>
      <c r="DM22" s="133" t="n">
        <f aca="false">IF(OR(DM$4="",$B22=""),0,SUMIF('DADOS BRUTOS'!$A$3:$A$500,$B22,'DADOS BRUTOS'!AM$3:AM$500)+IF($C22="",0,SUMIF('DADOS BRUTOS'!$A$3:$A$500,$C22,'DADOS BRUTOS'!AM$3:AM$500)))</f>
        <v>0</v>
      </c>
      <c r="DN22" s="133" t="n">
        <f aca="false">IF(OR(DN$4="",$B22=""),0,SUMIF('DADOS BRUTOS'!$A$3:$A$500,$B22,'DADOS BRUTOS'!AN$3:AN$500)+IF($C22="",0,SUMIF('DADOS BRUTOS'!$A$3:$A$500,$C22,'DADOS BRUTOS'!AN$3:AN$500)))</f>
        <v>0</v>
      </c>
      <c r="DO22" s="133" t="n">
        <f aca="false">IF(OR(DO$4="",$B22=""),0,SUMIF('DADOS BRUTOS'!$A$3:$A$500,$B22,'DADOS BRUTOS'!AO$3:AO$500)+IF($C22="",0,SUMIF('DADOS BRUTOS'!$A$3:$A$500,$C22,'DADOS BRUTOS'!AO$3:AO$500)))</f>
        <v>0</v>
      </c>
      <c r="DP22" s="133" t="n">
        <f aca="false">IF(OR(DP$4="",$B22=""),0,SUMIF('DADOS BRUTOS'!$A$3:$A$500,$B22,'DADOS BRUTOS'!AP$3:AP$500)+IF($C22="",0,SUMIF('DADOS BRUTOS'!$A$3:$A$500,$C22,'DADOS BRUTOS'!AP$3:AP$500)))</f>
        <v>0</v>
      </c>
      <c r="DQ22" s="133" t="n">
        <f aca="false">IF(OR(DQ$4="",$B22=""),0,SUMIF('DADOS BRUTOS'!$A$3:$A$500,$B22,'DADOS BRUTOS'!AQ$3:AQ$500)+IF($C22="",0,SUMIF('DADOS BRUTOS'!$A$3:$A$500,$C22,'DADOS BRUTOS'!AQ$3:AQ$500)))</f>
        <v>0</v>
      </c>
      <c r="DR22" s="133" t="n">
        <f aca="false">IF(OR(DR$4="",$B22=""),0,SUMIF('DADOS BRUTOS'!$A$3:$A$500,$B22,'DADOS BRUTOS'!AR$3:AR$500)+IF($C22="",0,SUMIF('DADOS BRUTOS'!$A$3:$A$500,$C22,'DADOS BRUTOS'!AR$3:AR$500)))</f>
        <v>0</v>
      </c>
      <c r="DS22" s="133" t="n">
        <f aca="false">IF(OR(DS$4="",$B22=""),0,SUMIF('DADOS BRUTOS'!$A$3:$A$500,$B22,'DADOS BRUTOS'!AS$3:AS$500)+IF($C22="",0,SUMIF('DADOS BRUTOS'!$A$3:$A$500,$C22,'DADOS BRUTOS'!AS$3:AS$500)))</f>
        <v>0</v>
      </c>
      <c r="DT22" s="133" t="n">
        <f aca="false">IF(OR(DT$4="",$B22=""),0,SUMIF('DADOS BRUTOS'!$A$3:$A$500,$B22,'DADOS BRUTOS'!AT$3:AT$500)+IF($C22="",0,SUMIF('DADOS BRUTOS'!$A$3:$A$500,$C22,'DADOS BRUTOS'!AT$3:AT$500)))</f>
        <v>0</v>
      </c>
      <c r="DU22" s="133" t="n">
        <f aca="false">IF(OR(DU$4="",$B22=""),0,SUMIF('DADOS BRUTOS'!$A$3:$A$500,$B22,'DADOS BRUTOS'!AU$3:AU$500)+IF($C22="",0,SUMIF('DADOS BRUTOS'!$A$3:$A$500,$C22,'DADOS BRUTOS'!AU$3:AU$500)))</f>
        <v>0</v>
      </c>
      <c r="DV22" s="133" t="n">
        <f aca="false">IF(OR(DV$4="",$B22=""),0,SUMIF('DADOS BRUTOS'!$A$3:$A$500,$B22,'DADOS BRUTOS'!AV$3:AV$500)+IF($C22="",0,SUMIF('DADOS BRUTOS'!$A$3:$A$500,$C22,'DADOS BRUTOS'!AV$3:AV$500)))</f>
        <v>0</v>
      </c>
      <c r="DW22" s="133" t="n">
        <f aca="false">IF(OR(DW$4="",$B22=""),0,SUMIF('DADOS BRUTOS'!$A$3:$A$500,$B22,'DADOS BRUTOS'!AW$3:AW$500)+IF($C22="",0,SUMIF('DADOS BRUTOS'!$A$3:$A$500,$C22,'DADOS BRUTOS'!AW$3:AW$500)))</f>
        <v>0</v>
      </c>
      <c r="DX22" s="133" t="n">
        <f aca="false">IF(OR(DX$4="",$B22=""),0,SUMIF('DADOS BRUTOS'!$A$3:$A$500,$B22,'DADOS BRUTOS'!AX$3:AX$500)+IF($C22="",0,SUMIF('DADOS BRUTOS'!$A$3:$A$500,$C22,'DADOS BRUTOS'!AX$3:AX$500)))</f>
        <v>0</v>
      </c>
      <c r="DY22" s="133" t="n">
        <f aca="false">IF(OR(DY$4="",$B22=""),0,SUMIF('DADOS BRUTOS'!$A$3:$A$500,$B22,'DADOS BRUTOS'!AY$3:AY$500)+IF($C22="",0,SUMIF('DADOS BRUTOS'!$A$3:$A$500,$C22,'DADOS BRUTOS'!AY$3:AY$500)))</f>
        <v>0</v>
      </c>
      <c r="DZ22" s="133" t="n">
        <f aca="false">IF(OR(DZ$4="",$B22=""),0,SUMIF('DADOS BRUTOS'!$A$3:$A$500,$B22,'DADOS BRUTOS'!AZ$3:AZ$500)+IF($C22="",0,SUMIF('DADOS BRUTOS'!$A$3:$A$500,$C22,'DADOS BRUTOS'!AZ$3:AZ$500)))</f>
        <v>0</v>
      </c>
      <c r="EA22" s="133" t="n">
        <f aca="false">IF(OR(EA$4="",$B22=""),0,SUMIF('DADOS BRUTOS'!$A$3:$A$500,$B22,'DADOS BRUTOS'!BA$3:BA$500)+IF($C22="",0,SUMIF('DADOS BRUTOS'!$A$3:$A$500,$C22,'DADOS BRUTOS'!BA$3:BA$500)))</f>
        <v>0</v>
      </c>
      <c r="EB22" s="133" t="n">
        <f aca="false">IF(OR(EB$4="",$B22=""),0,SUMIF('DADOS BRUTOS'!$A$3:$A$500,$B22,'DADOS BRUTOS'!BB$3:BB$500)+IF($C22="",0,SUMIF('DADOS BRUTOS'!$A$3:$A$500,$C22,'DADOS BRUTOS'!BB$3:BB$500)))</f>
        <v>0</v>
      </c>
      <c r="EC22" s="133" t="n">
        <f aca="false">IF(OR(EC$4="",$B22=""),0,SUMIF('DADOS BRUTOS'!$A$3:$A$500,$B22,'DADOS BRUTOS'!BC$3:BC$500)+IF($C22="",0,SUMIF('DADOS BRUTOS'!$A$3:$A$500,$C22,'DADOS BRUTOS'!BC$3:BC$500)))</f>
        <v>0</v>
      </c>
      <c r="ED22" s="133" t="n">
        <f aca="false">IF(OR(ED$4="",$B22=""),0,SUMIF('DADOS BRUTOS'!$A$3:$A$500,$B22,'DADOS BRUTOS'!BD$3:BD$500)+IF($C22="",0,SUMIF('DADOS BRUTOS'!$A$3:$A$500,$C22,'DADOS BRUTOS'!BD$3:BD$500)))</f>
        <v>0</v>
      </c>
      <c r="EE22" s="133" t="n">
        <f aca="false">IF(OR(EE$4="",$B22=""),0,SUMIF('DADOS BRUTOS'!$A$3:$A$500,$B22,'DADOS BRUTOS'!BE$3:BE$500)+IF($C22="",0,SUMIF('DADOS BRUTOS'!$A$3:$A$500,$C22,'DADOS BRUTOS'!BE$3:BE$500)))</f>
        <v>0</v>
      </c>
      <c r="EF22" s="133" t="n">
        <f aca="false">IF(OR(EF$4="",$B22=""),0,SUMIF('DADOS BRUTOS'!$A$3:$A$500,$B22,'DADOS BRUTOS'!BF$3:BF$500)+IF($C22="",0,SUMIF('DADOS BRUTOS'!$A$3:$A$500,$C22,'DADOS BRUTOS'!BF$3:BF$500)))</f>
        <v>0</v>
      </c>
      <c r="EG22" s="133" t="n">
        <f aca="false">IF(OR(EG$4="",$B22=""),0,SUMIF('DADOS BRUTOS'!$A$3:$A$500,$B22,'DADOS BRUTOS'!BG$3:BG$500)+IF($C22="",0,SUMIF('DADOS BRUTOS'!$A$3:$A$500,$C22,'DADOS BRUTOS'!BG$3:BG$500)))</f>
        <v>0</v>
      </c>
      <c r="EH22" s="133" t="n">
        <f aca="false">IF(OR(EH$4="",$B22=""),0,SUMIF('DADOS BRUTOS'!$A$3:$A$500,$B22,'DADOS BRUTOS'!BH$3:BH$500)+IF($C22="",0,SUMIF('DADOS BRUTOS'!$A$3:$A$500,$C22,'DADOS BRUTOS'!BH$3:BH$500)))</f>
        <v>0</v>
      </c>
      <c r="EI22" s="133" t="n">
        <f aca="false">IF(OR(EI$4="",$B22=""),0,SUMIF('DADOS BRUTOS'!$A$3:$A$500,$B22,'DADOS BRUTOS'!BI$3:BI$500)+IF($C22="",0,SUMIF('DADOS BRUTOS'!$A$3:$A$500,$C22,'DADOS BRUTOS'!BI$3:BI$500)))</f>
        <v>0</v>
      </c>
      <c r="EJ22" s="133" t="n">
        <f aca="false">IF(OR(EJ$4="",$B22=""),0,SUMIF('DADOS BRUTOS'!$A$3:$A$500,$B22,'DADOS BRUTOS'!BJ$3:BJ$500)+IF($C22="",0,SUMIF('DADOS BRUTOS'!$A$3:$A$500,$C22,'DADOS BRUTOS'!BJ$3:BJ$500)))</f>
        <v>0</v>
      </c>
      <c r="EK22" s="133" t="n">
        <f aca="false">IF(OR(EK$4="",$B22=""),0,SUMIF('DADOS BRUTOS'!$A$3:$A$500,$B22,'DADOS BRUTOS'!BK$3:BK$500)+IF($C22="",0,SUMIF('DADOS BRUTOS'!$A$3:$A$500,$C22,'DADOS BRUTOS'!BK$3:BK$500)))</f>
        <v>0</v>
      </c>
      <c r="EL22" s="133" t="n">
        <f aca="false">IF(OR(EL$4="",$B22=""),0,SUMIF('DADOS BRUTOS'!$A$3:$A$500,$B22,'DADOS BRUTOS'!BL$3:BL$500)+IF($C22="",0,SUMIF('DADOS BRUTOS'!$A$3:$A$500,$C22,'DADOS BRUTOS'!BL$3:BL$500)))</f>
        <v>0</v>
      </c>
      <c r="EM22" s="133" t="n">
        <f aca="false">IF(OR(EM$4="",$B22=""),0,SUMIF('DADOS BRUTOS'!$A$3:$A$500,$B22,'DADOS BRUTOS'!BM$3:BM$500)+IF($C22="",0,SUMIF('DADOS BRUTOS'!$A$3:$A$500,$C22,'DADOS BRUTOS'!BM$3:BM$500)))</f>
        <v>0</v>
      </c>
      <c r="EN22" s="133" t="n">
        <f aca="false">IF(OR(EN$4="",$B22=""),0,SUMIF('DADOS BRUTOS'!$A$3:$A$500,$B22,'DADOS BRUTOS'!BN$3:BN$500)+IF($C22="",0,SUMIF('DADOS BRUTOS'!$A$3:$A$500,$C22,'DADOS BRUTOS'!BN$3:BN$500)))</f>
        <v>0</v>
      </c>
      <c r="EO22" s="133" t="n">
        <f aca="false">IF(OR(EO$4="",$B22=""),0,SUMIF('DADOS BRUTOS'!$A$3:$A$500,$B22,'DADOS BRUTOS'!BO$3:BO$500)+IF($C22="",0,SUMIF('DADOS BRUTOS'!$A$3:$A$500,$C22,'DADOS BRUTOS'!BO$3:BO$500)))</f>
        <v>0</v>
      </c>
      <c r="EP22" s="133" t="n">
        <f aca="false">IF(OR(EP$4="",$B22=""),0,SUMIF('DADOS BRUTOS'!$A$3:$A$500,$B22,'DADOS BRUTOS'!BP$3:BP$500)+IF($C22="",0,SUMIF('DADOS BRUTOS'!$A$3:$A$500,$C22,'DADOS BRUTOS'!BP$3:BP$500)))</f>
        <v>0</v>
      </c>
      <c r="EQ22" s="133" t="n">
        <f aca="false">IF(OR(EQ$4="",$B22=""),0,SUMIF('DADOS BRUTOS'!$A$3:$A$500,$B22,'DADOS BRUTOS'!BQ$3:BQ$500)+IF($C22="",0,SUMIF('DADOS BRUTOS'!$A$3:$A$500,$C22,'DADOS BRUTOS'!BQ$3:BQ$500)))</f>
        <v>0</v>
      </c>
      <c r="ER22" s="133" t="n">
        <f aca="false">IF(OR(ER$4="",$B22=""),0,SUMIF('DADOS BRUTOS'!$A$3:$A$500,$B22,'DADOS BRUTOS'!BR$3:BR$500)+IF($C22="",0,SUMIF('DADOS BRUTOS'!$A$3:$A$500,$C22,'DADOS BRUTOS'!BR$3:BR$500)))</f>
        <v>0</v>
      </c>
      <c r="ES22" s="133" t="n">
        <f aca="false">IF(OR(ES$4="",$B22=""),0,SUMIF('DADOS BRUTOS'!$A$3:$A$500,$B22,'DADOS BRUTOS'!BS$3:BS$500)+IF($C22="",0,SUMIF('DADOS BRUTOS'!$A$3:$A$500,$C22,'DADOS BRUTOS'!BS$3:BS$500)))</f>
        <v>0</v>
      </c>
      <c r="ET22" s="133" t="n">
        <f aca="false">IF(OR(ET$4="",$B22=""),0,SUMIF('DADOS BRUTOS'!$A$3:$A$500,$B22,'DADOS BRUTOS'!BT$3:BT$500)+IF($C22="",0,SUMIF('DADOS BRUTOS'!$A$3:$A$500,$C22,'DADOS BRUTOS'!BT$3:BT$500)))</f>
        <v>0</v>
      </c>
      <c r="EU22" s="133" t="n">
        <f aca="false">IF(OR(EU$4="",$B22=""),0,SUMIF('DADOS BRUTOS'!$A$3:$A$500,$B22,'DADOS BRUTOS'!BU$3:BU$500)+IF($C22="",0,SUMIF('DADOS BRUTOS'!$A$3:$A$500,$C22,'DADOS BRUTOS'!BU$3:BU$500)))</f>
        <v>0</v>
      </c>
      <c r="EV22" s="133" t="n">
        <f aca="false">IF(OR(EV$4="",$B22=""),0,SUMIF('DADOS BRUTOS'!$A$3:$A$500,$B22,'DADOS BRUTOS'!BV$3:BV$500)+IF($C22="",0,SUMIF('DADOS BRUTOS'!$A$3:$A$500,$C22,'DADOS BRUTOS'!BV$3:BV$500)))</f>
        <v>0</v>
      </c>
      <c r="EW22" s="133" t="n">
        <f aca="false">IF(OR(EW$4="",$B22=""),0,SUMIF('DADOS BRUTOS'!$A$3:$A$500,$B22,'DADOS BRUTOS'!BW$3:BW$500)+IF($C22="",0,SUMIF('DADOS BRUTOS'!$A$3:$A$500,$C22,'DADOS BRUTOS'!BW$3:BW$500)))</f>
        <v>0</v>
      </c>
      <c r="EX22" s="133" t="n">
        <f aca="false">IF(OR(EX$4="",$B22=""),0,SUMIF('DADOS BRUTOS'!$A$3:$A$500,$B22,'DADOS BRUTOS'!BX$3:BX$500)+IF($C22="",0,SUMIF('DADOS BRUTOS'!$A$3:$A$500,$C22,'DADOS BRUTOS'!BX$3:BX$500)))</f>
        <v>0</v>
      </c>
      <c r="EY22" s="133" t="n">
        <f aca="false">IF(OR(EY$4="",$B22=""),0,SUMIF('DADOS BRUTOS'!$A$3:$A$500,$B22,'DADOS BRUTOS'!BY$3:BY$500)+IF($C22="",0,SUMIF('DADOS BRUTOS'!$A$3:$A$500,$C22,'DADOS BRUTOS'!BY$3:BY$500)))</f>
        <v>0</v>
      </c>
      <c r="EZ22" s="133" t="n">
        <f aca="false">IF(OR(EZ$4="",$B22=""),0,SUMIF('DADOS BRUTOS'!$A$3:$A$500,$B22,'DADOS BRUTOS'!BZ$3:BZ$500)+IF($C22="",0,SUMIF('DADOS BRUTOS'!$A$3:$A$500,$C22,'DADOS BRUTOS'!BZ$3:BZ$500)))</f>
        <v>0</v>
      </c>
      <c r="FA22" s="133" t="n">
        <f aca="false">IF(OR(FA$4="",$B22=""),0,SUMIF('DADOS BRUTOS'!$A$3:$A$500,$B22,'DADOS BRUTOS'!CA$3:CA$500)+IF($C22="",0,SUMIF('DADOS BRUTOS'!$A$3:$A$500,$C22,'DADOS BRUTOS'!CA$3:CA$500)))</f>
        <v>0</v>
      </c>
      <c r="FB22" s="133" t="n">
        <f aca="false">IF(OR(FB$4="",$B22=""),0,SUMIF('DADOS BRUTOS'!$A$3:$A$500,$B22,'DADOS BRUTOS'!CB$3:CB$500)+IF($C22="",0,SUMIF('DADOS BRUTOS'!$A$3:$A$500,$C22,'DADOS BRUTOS'!CB$3:CB$500)))</f>
        <v>0</v>
      </c>
      <c r="FC22" s="133" t="n">
        <f aca="false">IF(OR(FC$4="",$B22=""),0,SUMIF('DADOS BRUTOS'!$A$3:$A$500,$B22,'DADOS BRUTOS'!CC$3:CC$500)+IF($C22="",0,SUMIF('DADOS BRUTOS'!$A$3:$A$500,$C22,'DADOS BRUTOS'!CC$3:CC$500)))</f>
        <v>0</v>
      </c>
      <c r="FD22" s="133" t="n">
        <f aca="false">IF(OR(FD$4="",$B22=""),0,SUMIF('DADOS BRUTOS'!$A$3:$A$500,$B22,'DADOS BRUTOS'!CD$3:CD$500)+IF($C22="",0,SUMIF('DADOS BRUTOS'!$A$3:$A$500,$C22,'DADOS BRUTOS'!CD$3:CD$500)))</f>
        <v>0</v>
      </c>
      <c r="FE22" s="133" t="n">
        <f aca="false">IF(OR(FE$4="",$B22=""),0,SUMIF('DADOS BRUTOS'!$A$3:$A$500,$B22,'DADOS BRUTOS'!CE$3:CE$500)+IF($C22="",0,SUMIF('DADOS BRUTOS'!$A$3:$A$500,$C22,'DADOS BRUTOS'!CE$3:CE$500)))</f>
        <v>0</v>
      </c>
      <c r="FF22" s="133" t="n">
        <f aca="false">IF(OR(FF$4="",$B22=""),0,SUMIF('DADOS BRUTOS'!$A$3:$A$500,$B22,'DADOS BRUTOS'!CF$3:CF$500)+IF($C22="",0,SUMIF('DADOS BRUTOS'!$A$3:$A$500,$C22,'DADOS BRUTOS'!CF$3:CF$500)))</f>
        <v>0</v>
      </c>
      <c r="FG22" s="133" t="n">
        <f aca="false">IF(OR(FG$4="",$B22=""),0,SUMIF('DADOS BRUTOS'!$A$3:$A$500,$B22,'DADOS BRUTOS'!CG$3:CG$500)+IF($C22="",0,SUMIF('DADOS BRUTOS'!$A$3:$A$500,$C22,'DADOS BRUTOS'!CG$3:CG$500)))</f>
        <v>0</v>
      </c>
      <c r="FH22" s="133" t="n">
        <f aca="false">IF(OR(FH$4="",$B22=""),0,SUMIF('DADOS BRUTOS'!$A$3:$A$500,$B22,'DADOS BRUTOS'!CH$3:CH$500)+IF($C22="",0,SUMIF('DADOS BRUTOS'!$A$3:$A$500,$C22,'DADOS BRUTOS'!CH$3:CH$500)))</f>
        <v>0</v>
      </c>
      <c r="FI22" s="133" t="n">
        <f aca="false">IF(OR(FI$4="",$B22=""),0,SUMIF('DADOS BRUTOS'!$A$3:$A$500,$B22,'DADOS BRUTOS'!CI$3:CI$500)+IF($C22="",0,SUMIF('DADOS BRUTOS'!$A$3:$A$500,$C22,'DADOS BRUTOS'!CI$3:CI$500)))</f>
        <v>0</v>
      </c>
      <c r="FJ22" s="133" t="n">
        <f aca="false">IF(OR(FJ$4="",$B22=""),0,SUMIF('DADOS BRUTOS'!$A$3:$A$500,$B22,'DADOS BRUTOS'!CJ$3:CJ$500)+IF($C22="",0,SUMIF('DADOS BRUTOS'!$A$3:$A$500,$C22,'DADOS BRUTOS'!CJ$3:CJ$500)))</f>
        <v>0</v>
      </c>
      <c r="FK22" s="133" t="n">
        <f aca="false">IF(OR(FK$4="",$B22=""),0,SUMIF('DADOS BRUTOS'!$A$3:$A$500,$B22,'DADOS BRUTOS'!CK$3:CK$500)+IF($C22="",0,SUMIF('DADOS BRUTOS'!$A$3:$A$500,$C22,'DADOS BRUTOS'!CK$3:CK$500)))</f>
        <v>0</v>
      </c>
      <c r="FL22" s="133" t="n">
        <f aca="false">IF(OR(FL$4="",$B22=""),0,SUMIF('DADOS BRUTOS'!$A$3:$A$500,$B22,'DADOS BRUTOS'!CL$3:CL$500)+IF($C22="",0,SUMIF('DADOS BRUTOS'!$A$3:$A$500,$C22,'DADOS BRUTOS'!CL$3:CL$500)))</f>
        <v>0</v>
      </c>
      <c r="FM22" s="133" t="n">
        <f aca="false">IF(OR(FM$4="",$B22=""),0,SUMIF('DADOS BRUTOS'!$A$3:$A$500,$B22,'DADOS BRUTOS'!CM$3:CM$500)+IF($C22="",0,SUMIF('DADOS BRUTOS'!$A$3:$A$500,$C22,'DADOS BRUTOS'!CM$3:CM$500)))</f>
        <v>0</v>
      </c>
      <c r="FN22" s="133" t="n">
        <f aca="false">IF(OR(FN$4="",$B22=""),0,SUMIF('DADOS BRUTOS'!$A$3:$A$500,$B22,'DADOS BRUTOS'!CN$3:CN$500)+IF($C22="",0,SUMIF('DADOS BRUTOS'!$A$3:$A$500,$C22,'DADOS BRUTOS'!CN$3:CN$500)))</f>
        <v>0</v>
      </c>
      <c r="FO22" s="133" t="n">
        <f aca="false">IF(OR(FO$4="",$B22=""),0,SUMIF('DADOS BRUTOS'!$A$3:$A$500,$B22,'DADOS BRUTOS'!CO$3:CO$500)+IF($C22="",0,SUMIF('DADOS BRUTOS'!$A$3:$A$500,$C22,'DADOS BRUTOS'!CO$3:CO$500)))</f>
        <v>0</v>
      </c>
      <c r="FP22" s="133" t="n">
        <f aca="false">IF(OR(FP$4="",$B22=""),0,SUMIF('DADOS BRUTOS'!$A$3:$A$500,$B22,'DADOS BRUTOS'!CP$3:CP$500)+IF($C22="",0,SUMIF('DADOS BRUTOS'!$A$3:$A$500,$C22,'DADOS BRUTOS'!CP$3:CP$500)))</f>
        <v>0</v>
      </c>
      <c r="FQ22" s="133" t="n">
        <f aca="false">IF(OR(FQ$4="",$B22=""),0,SUMIF('DADOS BRUTOS'!$A$3:$A$500,$B22,'DADOS BRUTOS'!CQ$3:CQ$500)+IF($C22="",0,SUMIF('DADOS BRUTOS'!$A$3:$A$500,$C22,'DADOS BRUTOS'!CQ$3:CQ$500)))</f>
        <v>0</v>
      </c>
      <c r="FR22" s="133" t="n">
        <f aca="false">IF(OR(FR$4="",$B22=""),0,SUMIF('DADOS BRUTOS'!$A$3:$A$500,$B22,'DADOS BRUTOS'!CR$3:CR$500)+IF($C22="",0,SUMIF('DADOS BRUTOS'!$A$3:$A$500,$C22,'DADOS BRUTOS'!CR$3:CR$500)))</f>
        <v>0</v>
      </c>
      <c r="FS22" s="133" t="n">
        <f aca="false">IF(OR(FS$4="",$B22=""),0,SUMIF('DADOS BRUTOS'!$A$3:$A$500,$B22,'DADOS BRUTOS'!CS$3:CS$500)+IF($C22="",0,SUMIF('DADOS BRUTOS'!$A$3:$A$500,$C22,'DADOS BRUTOS'!CS$3:CS$500)))</f>
        <v>0</v>
      </c>
      <c r="FT22" s="133" t="n">
        <f aca="false">IF(OR(FT$4="",$B22=""),0,SUMIF('DADOS BRUTOS'!$A$3:$A$500,$B22,'DADOS BRUTOS'!CT$3:CT$500)+IF($C22="",0,SUMIF('DADOS BRUTOS'!$A$3:$A$500,$C22,'DADOS BRUTOS'!CT$3:CT$500)))</f>
        <v>0</v>
      </c>
      <c r="FU22" s="133" t="n">
        <f aca="false">IF(OR(FU$4="",$B22=""),0,SUMIF('DADOS BRUTOS'!$A$3:$A$500,$B22,'DADOS BRUTOS'!CU$3:CU$500)+IF($C22="",0,SUMIF('DADOS BRUTOS'!$A$3:$A$500,$C22,'DADOS BRUTOS'!CU$3:CU$500)))</f>
        <v>0</v>
      </c>
      <c r="FV22" s="133" t="n">
        <f aca="false">IF(OR(FV$4="",$B22=""),0,SUMIF('DADOS BRUTOS'!$A$3:$A$500,$B22,'DADOS BRUTOS'!CV$3:CV$500)+IF($C22="",0,SUMIF('DADOS BRUTOS'!$A$3:$A$500,$C22,'DADOS BRUTOS'!CV$3:CV$500)))</f>
        <v>0</v>
      </c>
      <c r="FW22" s="133" t="n">
        <f aca="false">IF(OR(FW$4="",$B22=""),0,SUMIF('DADOS BRUTOS'!$A$3:$A$500,$B22,'DADOS BRUTOS'!CW$3:CW$500)+IF($C22="",0,SUMIF('DADOS BRUTOS'!$A$3:$A$500,$C22,'DADOS BRUTOS'!CW$3:CW$500)))</f>
        <v>0</v>
      </c>
      <c r="FX22" s="133" t="n">
        <f aca="false">IF(OR(FX$4="",$B22=""),0,SUMIF('DADOS BRUTOS'!$A$3:$A$500,$B22,'DADOS BRUTOS'!CX$3:CX$500)+IF($C22="",0,SUMIF('DADOS BRUTOS'!$A$3:$A$500,$C22,'DADOS BRUTOS'!CX$3:CX$500)))</f>
        <v>0</v>
      </c>
      <c r="FY22" s="133" t="n">
        <f aca="false">IF(OR(FY$4="",$B22=""),0,SUMIF('DADOS BRUTOS'!$A$3:$A$500,$B22,'DADOS BRUTOS'!CY$3:CY$500)+IF($C22="",0,SUMIF('DADOS BRUTOS'!$A$3:$A$500,$C22,'DADOS BRUTOS'!CY$3:CY$500)))</f>
        <v>0</v>
      </c>
      <c r="FZ22" s="133" t="n">
        <f aca="false">IF(OR(FZ$4="",$B22=""),0,SUMIF('DADOS BRUTOS'!$A$3:$A$500,$B22,'DADOS BRUTOS'!CZ$3:CZ$500)+IF($C22="",0,SUMIF('DADOS BRUTOS'!$A$3:$A$500,$C22,'DADOS BRUTOS'!CZ$3:CZ$500)))</f>
        <v>0</v>
      </c>
      <c r="GA22" s="133" t="n">
        <f aca="false">IF(OR(GA$4="",$B22=""),0,SUMIF('DADOS BRUTOS'!$A$3:$A$500,$B22,'DADOS BRUTOS'!DA$3:DA$500)+IF($C22="",0,SUMIF('DADOS BRUTOS'!$A$3:$A$500,$C22,'DADOS BRUTOS'!DA$3:DA$500)))</f>
        <v>0</v>
      </c>
      <c r="GB22" s="133" t="n">
        <f aca="false">IF(OR(GB$4="",$B22=""),0,SUMIF('DADOS BRUTOS'!$A$3:$A$500,$B22,'DADOS BRUTOS'!DB$3:DB$500)+IF($C22="",0,SUMIF('DADOS BRUTOS'!$A$3:$A$500,$C22,'DADOS BRUTOS'!DB$3:DB$500)))</f>
        <v>0</v>
      </c>
      <c r="GC22" s="133" t="n">
        <f aca="false">IF(OR(GC$4="",$B22=""),0,SUMIF('DADOS BRUTOS'!$A$3:$A$500,$B22,'DADOS BRUTOS'!DC$3:DC$500)+IF($C22="",0,SUMIF('DADOS BRUTOS'!$A$3:$A$500,$C22,'DADOS BRUTOS'!DC$3:DC$500)))</f>
        <v>0</v>
      </c>
      <c r="GD22" s="133" t="n">
        <f aca="false">IF(OR(GD$4="",$B22=""),0,SUMIF('DADOS BRUTOS'!$A$3:$A$500,$B22,'DADOS BRUTOS'!DD$3:DD$500)+IF($C22="",0,SUMIF('DADOS BRUTOS'!$A$3:$A$500,$C22,'DADOS BRUTOS'!DD$3:DD$500)))</f>
        <v>0</v>
      </c>
      <c r="GE22" s="133" t="n">
        <f aca="false">IF(OR(GE$4="",$B22=""),0,SUMIF('DADOS BRUTOS'!$A$3:$A$500,$B22,'DADOS BRUTOS'!DE$3:DE$500)+IF($C22="",0,SUMIF('DADOS BRUTOS'!$A$3:$A$500,$C22,'DADOS BRUTOS'!DE$3:DE$500)))</f>
        <v>0</v>
      </c>
      <c r="GF22" s="133" t="n">
        <f aca="false">IF(OR(GF$4="",$B22=""),0,SUMIF('DADOS BRUTOS'!$A$3:$A$500,$B22,'DADOS BRUTOS'!DF$3:DF$500)+IF($C22="",0,SUMIF('DADOS BRUTOS'!$A$3:$A$500,$C22,'DADOS BRUTOS'!DF$3:DF$500)))</f>
        <v>0</v>
      </c>
      <c r="GG22" s="133" t="n">
        <f aca="false">IF(OR(GG$4="",$B22=""),0,SUMIF('DADOS BRUTOS'!$A$3:$A$500,$B22,'DADOS BRUTOS'!DG$3:DG$500)+IF($C22="",0,SUMIF('DADOS BRUTOS'!$A$3:$A$500,$C22,'DADOS BRUTOS'!DG$3:DG$500)))</f>
        <v>0</v>
      </c>
      <c r="GH22" s="133" t="n">
        <f aca="false">IF(OR(GH$4="",$B22=""),0,SUMIF('DADOS BRUTOS'!$A$3:$A$500,$B22,'DADOS BRUTOS'!DH$3:DH$500)+IF($C22="",0,SUMIF('DADOS BRUTOS'!$A$3:$A$500,$C22,'DADOS BRUTOS'!DH$3:DH$500)))</f>
        <v>0</v>
      </c>
      <c r="GI22" s="133" t="n">
        <f aca="false">IF(OR(GI$4="",$B22=""),0,SUMIF('DADOS BRUTOS'!$A$3:$A$500,$B22,'DADOS BRUTOS'!DI$3:DI$500)+IF($C22="",0,SUMIF('DADOS BRUTOS'!$A$3:$A$500,$C22,'DADOS BRUTOS'!DI$3:DI$500)))</f>
        <v>0</v>
      </c>
      <c r="GJ22" s="133" t="n">
        <f aca="false">IF(OR(GJ$4="",$B22=""),0,SUMIF('DADOS BRUTOS'!$A$3:$A$500,$B22,'DADOS BRUTOS'!DJ$3:DJ$500)+IF($C22="",0,SUMIF('DADOS BRUTOS'!$A$3:$A$500,$C22,'DADOS BRUTOS'!DJ$3:DJ$500)))</f>
        <v>0</v>
      </c>
      <c r="GK22" s="133" t="n">
        <f aca="false">IF(OR(GK$4="",$B22=""),0,SUMIF('DADOS BRUTOS'!$A$3:$A$500,$B22,'DADOS BRUTOS'!DK$3:DK$500)+IF($C22="",0,SUMIF('DADOS BRUTOS'!$A$3:$A$500,$C22,'DADOS BRUTOS'!DK$3:DK$500)))</f>
        <v>0</v>
      </c>
      <c r="GL22" s="133" t="n">
        <f aca="false">IF(OR(GL$4="",$B22=""),0,SUMIF('DADOS BRUTOS'!$A$3:$A$500,$B22,'DADOS BRUTOS'!DL$3:DL$500)+IF($C22="",0,SUMIF('DADOS BRUTOS'!$A$3:$A$500,$C22,'DADOS BRUTOS'!DL$3:DL$500)))</f>
        <v>0</v>
      </c>
      <c r="GM22" s="133" t="n">
        <f aca="false">IF(OR(GM$4="",$B22=""),0,SUMIF('DADOS BRUTOS'!$A$3:$A$500,$B22,'DADOS BRUTOS'!DM$3:DM$500)+IF($C22="",0,SUMIF('DADOS BRUTOS'!$A$3:$A$500,$C22,'DADOS BRUTOS'!DM$3:DM$500)))</f>
        <v>0</v>
      </c>
      <c r="GN22" s="133" t="n">
        <f aca="false">IF(OR(GN$4="",$B22=""),0,SUMIF('DADOS BRUTOS'!$A$3:$A$500,$B22,'DADOS BRUTOS'!DN$3:DN$500)+IF($C22="",0,SUMIF('DADOS BRUTOS'!$A$3:$A$500,$C22,'DADOS BRUTOS'!DN$3:DN$500)))</f>
        <v>0</v>
      </c>
      <c r="GO22" s="133" t="n">
        <f aca="false">IF(OR(GO$4="",$B22=""),0,SUMIF('DADOS BRUTOS'!$A$3:$A$500,$B22,'DADOS BRUTOS'!DO$3:DO$500)+IF($C22="",0,SUMIF('DADOS BRUTOS'!$A$3:$A$500,$C22,'DADOS BRUTOS'!DO$3:DO$500)))</f>
        <v>0</v>
      </c>
      <c r="GP22" s="133" t="n">
        <f aca="false">IF(OR(GP$4="",$B22=""),0,SUMIF('DADOS BRUTOS'!$A$3:$A$500,$B22,'DADOS BRUTOS'!DP$3:DP$500)+IF($C22="",0,SUMIF('DADOS BRUTOS'!$A$3:$A$500,$C22,'DADOS BRUTOS'!DP$3:DP$500)))</f>
        <v>0</v>
      </c>
      <c r="GQ22" s="133" t="n">
        <f aca="false">IF(OR(GQ$4="",$B22=""),0,SUMIF('DADOS BRUTOS'!$A$3:$A$500,$B22,'DADOS BRUTOS'!DQ$3:DQ$500)+IF($C22="",0,SUMIF('DADOS BRUTOS'!$A$3:$A$500,$C22,'DADOS BRUTOS'!DQ$3:DQ$500)))</f>
        <v>0</v>
      </c>
      <c r="GR22" s="133" t="n">
        <f aca="false">IF(OR(GR$4="",$B22=""),0,SUMIF('DADOS BRUTOS'!$A$3:$A$500,$B22,'DADOS BRUTOS'!DR$3:DR$500)+IF($C22="",0,SUMIF('DADOS BRUTOS'!$A$3:$A$500,$C22,'DADOS BRUTOS'!DR$3:DR$500)))</f>
        <v>0</v>
      </c>
      <c r="GS22" s="133" t="n">
        <f aca="false">IF(OR(GS$4="",$B22=""),0,SUMIF('DADOS BRUTOS'!$A$3:$A$500,$B22,'DADOS BRUTOS'!DS$3:DS$500)+IF($C22="",0,SUMIF('DADOS BRUTOS'!$A$3:$A$500,$C22,'DADOS BRUTOS'!DS$3:DS$500)))</f>
        <v>0</v>
      </c>
      <c r="GT22" s="133" t="n">
        <f aca="false">IF(OR(GT$4="",$B22=""),0,SUMIF('DADOS BRUTOS'!$A$3:$A$500,$B22,'DADOS BRUTOS'!DT$3:DT$500)+IF($C22="",0,SUMIF('DADOS BRUTOS'!$A$3:$A$500,$C22,'DADOS BRUTOS'!DT$3:DT$500)))</f>
        <v>0</v>
      </c>
      <c r="GU22" s="133" t="n">
        <f aca="false">IF(OR(GU$4="",$B22=""),0,SUMIF('DADOS BRUTOS'!$A$3:$A$500,$B22,'DADOS BRUTOS'!DU$3:DU$500)+IF($C22="",0,SUMIF('DADOS BRUTOS'!$A$3:$A$500,$C22,'DADOS BRUTOS'!DU$3:DU$500)))</f>
        <v>0</v>
      </c>
      <c r="GV22" s="133" t="n">
        <f aca="false">IF(OR(GV$4="",$B22=""),0,SUMIF('DADOS BRUTOS'!$A$3:$A$500,$B22,'DADOS BRUTOS'!DV$3:DV$500)+IF($C22="",0,SUMIF('DADOS BRUTOS'!$A$3:$A$500,$C22,'DADOS BRUTOS'!DV$3:DV$500)))</f>
        <v>0</v>
      </c>
      <c r="GW22" s="133" t="n">
        <f aca="false">IF(OR(GW$4="",$B22=""),0,SUMIF('DADOS BRUTOS'!$A$3:$A$500,$B22,'DADOS BRUTOS'!DW$3:DW$500)+IF($C22="",0,SUMIF('DADOS BRUTOS'!$A$3:$A$500,$C22,'DADOS BRUTOS'!DW$3:DW$500)))</f>
        <v>0</v>
      </c>
      <c r="GX22" s="133" t="n">
        <f aca="false">IF(OR(GX$4="",$B22=""),0,SUMIF('DADOS BRUTOS'!$A$3:$A$500,$B22,'DADOS BRUTOS'!DX$3:DX$500)+IF($C22="",0,SUMIF('DADOS BRUTOS'!$A$3:$A$500,$C22,'DADOS BRUTOS'!DX$3:DX$500)))</f>
        <v>0</v>
      </c>
      <c r="GY22" s="133" t="n">
        <f aca="false">IF(OR(GY$4="",$B22=""),0,SUMIF('DADOS BRUTOS'!$A$3:$A$500,$B22,'DADOS BRUTOS'!DY$3:DY$500)+IF($C22="",0,SUMIF('DADOS BRUTOS'!$A$3:$A$500,$C22,'DADOS BRUTOS'!DY$3:DY$500)))</f>
        <v>0</v>
      </c>
      <c r="GZ22" s="133" t="n">
        <f aca="false">IF(OR(GZ$4="",$B22=""),0,SUMIF('DADOS BRUTOS'!$A$3:$A$500,$B22,'DADOS BRUTOS'!DZ$3:DZ$500)+IF($C22="",0,SUMIF('DADOS BRUTOS'!$A$3:$A$500,$C22,'DADOS BRUTOS'!DZ$3:DZ$500)))</f>
        <v>0</v>
      </c>
      <c r="HA22" s="133" t="n">
        <f aca="false">IF(OR(HA$4="",$B22=""),0,SUMIF('DADOS BRUTOS'!$A$3:$A$500,$B22,'DADOS BRUTOS'!EA$3:EA$500)+IF($C22="",0,SUMIF('DADOS BRUTOS'!$A$3:$A$500,$C22,'DADOS BRUTOS'!EA$3:EA$500)))</f>
        <v>0</v>
      </c>
      <c r="HB22" s="133" t="n">
        <f aca="false">IF(OR(HB$4="",$B22=""),0,SUMIF('DADOS BRUTOS'!$A$3:$A$500,$B22,'DADOS BRUTOS'!EB$3:EB$500)+IF($C22="",0,SUMIF('DADOS BRUTOS'!$A$3:$A$500,$C22,'DADOS BRUTOS'!EB$3:EB$500)))</f>
        <v>0</v>
      </c>
      <c r="HC22" s="133" t="n">
        <f aca="false">IF(OR(HC$4="",$B22=""),0,SUMIF('DADOS BRUTOS'!$A$3:$A$500,$B22,'DADOS BRUTOS'!EC$3:EC$500)+IF($C22="",0,SUMIF('DADOS BRUTOS'!$A$3:$A$500,$C22,'DADOS BRUTOS'!EC$3:EC$500)))</f>
        <v>0</v>
      </c>
      <c r="HD22" s="133" t="n">
        <f aca="false">IF(OR(HD$4="",$B22=""),0,SUMIF('DADOS BRUTOS'!$A$3:$A$500,$B22,'DADOS BRUTOS'!ED$3:ED$500)+IF($C22="",0,SUMIF('DADOS BRUTOS'!$A$3:$A$500,$C22,'DADOS BRUTOS'!ED$3:ED$500)))</f>
        <v>0</v>
      </c>
      <c r="HE22" s="133" t="n">
        <f aca="false">IF(OR(HE$4="",$B22=""),0,SUMIF('DADOS BRUTOS'!$A$3:$A$500,$B22,'DADOS BRUTOS'!EE$3:EE$500)+IF($C22="",0,SUMIF('DADOS BRUTOS'!$A$3:$A$500,$C22,'DADOS BRUTOS'!EE$3:EE$500)))</f>
        <v>0</v>
      </c>
      <c r="HF22" s="133" t="n">
        <f aca="false">IF(OR(HF$4="",$B22=""),0,SUMIF('DADOS BRUTOS'!$A$3:$A$500,$B22,'DADOS BRUTOS'!EF$3:EF$500)+IF($C22="",0,SUMIF('DADOS BRUTOS'!$A$3:$A$500,$C22,'DADOS BRUTOS'!EF$3:EF$500)))</f>
        <v>0</v>
      </c>
      <c r="HG22" s="133" t="n">
        <f aca="false">IF(OR(HG$4="",$B22=""),0,SUMIF('DADOS BRUTOS'!$A$3:$A$500,$B22,'DADOS BRUTOS'!EG$3:EG$500)+IF($C22="",0,SUMIF('DADOS BRUTOS'!$A$3:$A$500,$C22,'DADOS BRUTOS'!EG$3:EG$500)))</f>
        <v>0</v>
      </c>
      <c r="HH22" s="133" t="n">
        <f aca="false">IF(OR(HH$4="",$B22=""),0,SUMIF('DADOS BRUTOS'!$A$3:$A$500,$B22,'DADOS BRUTOS'!EH$3:EH$500)+IF($C22="",0,SUMIF('DADOS BRUTOS'!$A$3:$A$500,$C22,'DADOS BRUTOS'!EH$3:EH$500)))</f>
        <v>0</v>
      </c>
      <c r="HI22" s="133" t="n">
        <f aca="false">IF(OR(HI$4="",$B22=""),0,SUMIF('DADOS BRUTOS'!$A$3:$A$500,$B22,'DADOS BRUTOS'!EI$3:EI$500)+IF($C22="",0,SUMIF('DADOS BRUTOS'!$A$3:$A$500,$C22,'DADOS BRUTOS'!EI$3:EI$500)))</f>
        <v>0</v>
      </c>
      <c r="HJ22" s="133" t="n">
        <f aca="false">IF(OR(HJ$4="",$B22=""),0,SUMIF('DADOS BRUTOS'!$A$3:$A$500,$B22,'DADOS BRUTOS'!EJ$3:EJ$500)+IF($C22="",0,SUMIF('DADOS BRUTOS'!$A$3:$A$500,$C22,'DADOS BRUTOS'!EJ$3:EJ$500)))</f>
        <v>0</v>
      </c>
      <c r="HK22" s="133" t="n">
        <f aca="false">IF(OR(HK$4="",$B22=""),0,SUMIF('DADOS BRUTOS'!$A$3:$A$500,$B22,'DADOS BRUTOS'!EK$3:EK$500)+IF($C22="",0,SUMIF('DADOS BRUTOS'!$A$3:$A$500,$C22,'DADOS BRUTOS'!EK$3:EK$500)))</f>
        <v>0</v>
      </c>
      <c r="HL22" s="133" t="n">
        <f aca="false">IF(OR(HL$4="",$B22=""),0,SUMIF('DADOS BRUTOS'!$A$3:$A$500,$B22,'DADOS BRUTOS'!EL$3:EL$500)+IF($C22="",0,SUMIF('DADOS BRUTOS'!$A$3:$A$500,$C22,'DADOS BRUTOS'!EL$3:EL$500)))</f>
        <v>0</v>
      </c>
      <c r="HM22" s="133" t="n">
        <f aca="false">IF(OR(HM$4="",$B22=""),0,SUMIF('DADOS BRUTOS'!$A$3:$A$500,$B22,'DADOS BRUTOS'!EM$3:EM$500)+IF($C22="",0,SUMIF('DADOS BRUTOS'!$A$3:$A$500,$C22,'DADOS BRUTOS'!EM$3:EM$500)))</f>
        <v>0</v>
      </c>
      <c r="HN22" s="133" t="n">
        <f aca="false">IF(OR(HN$4="",$B22=""),0,SUMIF('DADOS BRUTOS'!$A$3:$A$500,$B22,'DADOS BRUTOS'!EN$3:EN$500)+IF($C22="",0,SUMIF('DADOS BRUTOS'!$A$3:$A$500,$C22,'DADOS BRUTOS'!EN$3:EN$500)))</f>
        <v>0</v>
      </c>
      <c r="HO22" s="133" t="n">
        <f aca="false">IF(OR(HO$4="",$B22=""),0,SUMIF('DADOS BRUTOS'!$A$3:$A$500,$B22,'DADOS BRUTOS'!EO$3:EO$500)+IF($C22="",0,SUMIF('DADOS BRUTOS'!$A$3:$A$500,$C22,'DADOS BRUTOS'!EO$3:EO$500)))</f>
        <v>0</v>
      </c>
      <c r="HP22" s="133" t="n">
        <f aca="false">IF(OR(HP$4="",$B22=""),0,SUMIF('DADOS BRUTOS'!$A$3:$A$500,$B22,'DADOS BRUTOS'!EP$3:EP$500)+IF($C22="",0,SUMIF('DADOS BRUTOS'!$A$3:$A$500,$C22,'DADOS BRUTOS'!EP$3:EP$500)))</f>
        <v>0</v>
      </c>
      <c r="HQ22" s="133" t="n">
        <f aca="false">IF(OR(HQ$4="",$B22=""),0,SUMIF('DADOS BRUTOS'!$A$3:$A$500,$B22,'DADOS BRUTOS'!EQ$3:EQ$500)+IF($C22="",0,SUMIF('DADOS BRUTOS'!$A$3:$A$500,$C22,'DADOS BRUTOS'!EQ$3:EQ$500)))</f>
        <v>0</v>
      </c>
      <c r="HR22" s="133" t="n">
        <f aca="false">IF(OR(HR$4="",$B22=""),0,SUMIF('DADOS BRUTOS'!$A$3:$A$500,$B22,'DADOS BRUTOS'!ER$3:ER$500)+IF($C22="",0,SUMIF('DADOS BRUTOS'!$A$3:$A$500,$C22,'DADOS BRUTOS'!ER$3:ER$500)))</f>
        <v>0</v>
      </c>
      <c r="HS22" s="133" t="n">
        <f aca="false">IF(OR(HS$4="",$B22=""),0,SUMIF('DADOS BRUTOS'!$A$3:$A$500,$B22,'DADOS BRUTOS'!ES$3:ES$500)+IF($C22="",0,SUMIF('DADOS BRUTOS'!$A$3:$A$500,$C22,'DADOS BRUTOS'!ES$3:ES$500)))</f>
        <v>0</v>
      </c>
      <c r="HT22" s="133" t="n">
        <f aca="false">IF(OR(HT$4="",$B22=""),0,SUMIF('DADOS BRUTOS'!$A$3:$A$500,$B22,'DADOS BRUTOS'!ET$3:ET$500)+IF($C22="",0,SUMIF('DADOS BRUTOS'!$A$3:$A$500,$C22,'DADOS BRUTOS'!ET$3:ET$500)))</f>
        <v>0</v>
      </c>
      <c r="HU22" s="133" t="n">
        <f aca="false">IF(OR(HU$4="",$B22=""),0,SUMIF('DADOS BRUTOS'!$A$3:$A$500,$B22,'DADOS BRUTOS'!EU$3:EU$500)+IF($C22="",0,SUMIF('DADOS BRUTOS'!$A$3:$A$500,$C22,'DADOS BRUTOS'!EU$3:EU$500)))</f>
        <v>0</v>
      </c>
      <c r="HV22" s="133" t="n">
        <f aca="false">IF(OR(HV$4="",$B22=""),0,SUMIF('DADOS BRUTOS'!$A$3:$A$500,$B22,'DADOS BRUTOS'!EV$3:EV$500)+IF($C22="",0,SUMIF('DADOS BRUTOS'!$A$3:$A$500,$C22,'DADOS BRUTOS'!EV$3:EV$500)))</f>
        <v>0</v>
      </c>
      <c r="HW22" s="133" t="n">
        <f aca="false">IF(OR(HW$4="",$B22=""),0,SUMIF('DADOS BRUTOS'!$A$3:$A$500,$B22,'DADOS BRUTOS'!EW$3:EW$500)+IF($C22="",0,SUMIF('DADOS BRUTOS'!$A$3:$A$500,$C22,'DADOS BRUTOS'!EW$3:EW$500)))</f>
        <v>0</v>
      </c>
      <c r="HX22" s="133" t="n">
        <f aca="false">IF(OR(HX$4="",$B22=""),0,SUMIF('DADOS BRUTOS'!$A$3:$A$500,$B22,'DADOS BRUTOS'!EX$3:EX$500)+IF($C22="",0,SUMIF('DADOS BRUTOS'!$A$3:$A$500,$C22,'DADOS BRUTOS'!EX$3:EX$500)))</f>
        <v>0</v>
      </c>
      <c r="HY22" s="133" t="n">
        <f aca="false">IF(OR(HY$4="",$B22=""),0,SUMIF('DADOS BRUTOS'!$A$3:$A$500,$B22,'DADOS BRUTOS'!EY$3:EY$500)+IF($C22="",0,SUMIF('DADOS BRUTOS'!$A$3:$A$500,$C22,'DADOS BRUTOS'!EY$3:EY$500)))</f>
        <v>0</v>
      </c>
      <c r="HZ22" s="133" t="n">
        <f aca="false">IF(OR(HZ$4="",$B22=""),0,SUMIF('DADOS BRUTOS'!$A$3:$A$500,$B22,'DADOS BRUTOS'!EZ$3:EZ$500)+IF($C22="",0,SUMIF('DADOS BRUTOS'!$A$3:$A$500,$C22,'DADOS BRUTOS'!EZ$3:EZ$500)))</f>
        <v>0</v>
      </c>
      <c r="IA22" s="133" t="n">
        <f aca="false">IF(OR(IA$4="",$B22=""),0,SUMIF('DADOS BRUTOS'!$A$3:$A$500,$B22,'DADOS BRUTOS'!FA$3:FA$500)+IF($C22="",0,SUMIF('DADOS BRUTOS'!$A$3:$A$500,$C22,'DADOS BRUTOS'!FA$3:FA$500)))</f>
        <v>0</v>
      </c>
      <c r="IB22" s="133" t="n">
        <f aca="false">IF(OR(IB$4="",$B22=""),0,SUMIF('DADOS BRUTOS'!$A$3:$A$500,$B22,'DADOS BRUTOS'!FB$3:FB$500)+IF($C22="",0,SUMIF('DADOS BRUTOS'!$A$3:$A$500,$C22,'DADOS BRUTOS'!FB$3:FB$500)))</f>
        <v>0</v>
      </c>
      <c r="IC22" s="133" t="n">
        <f aca="false">IF(OR(IC$4="",$B22=""),0,SUMIF('DADOS BRUTOS'!$A$3:$A$500,$B22,'DADOS BRUTOS'!FC$3:FC$500)+IF($C22="",0,SUMIF('DADOS BRUTOS'!$A$3:$A$500,$C22,'DADOS BRUTOS'!FC$3:FC$500)))</f>
        <v>0</v>
      </c>
      <c r="ID22" s="133" t="n">
        <f aca="false">IF(OR(ID$4="",$B22=""),0,SUMIF('DADOS BRUTOS'!$A$3:$A$500,$B22,'DADOS BRUTOS'!FD$3:FD$500)+IF($C22="",0,SUMIF('DADOS BRUTOS'!$A$3:$A$500,$C22,'DADOS BRUTOS'!FD$3:FD$500)))</f>
        <v>0</v>
      </c>
      <c r="IE22" s="133" t="n">
        <f aca="false">IF(OR(IE$4="",$B22=""),0,SUMIF('DADOS BRUTOS'!$A$3:$A$500,$B22,'DADOS BRUTOS'!FE$3:FE$500)+IF($C22="",0,SUMIF('DADOS BRUTOS'!$A$3:$A$500,$C22,'DADOS BRUTOS'!FE$3:FE$500)))</f>
        <v>0</v>
      </c>
      <c r="IF22" s="133" t="n">
        <f aca="false">IF(OR(IF$4="",$B22=""),0,SUMIF('DADOS BRUTOS'!$A$3:$A$500,$B22,'DADOS BRUTOS'!FF$3:FF$500)+IF($C22="",0,SUMIF('DADOS BRUTOS'!$A$3:$A$500,$C22,'DADOS BRUTOS'!FF$3:FF$500)))</f>
        <v>0</v>
      </c>
      <c r="IG22" s="133" t="n">
        <f aca="false">IF(OR(IG$4="",$B22=""),0,SUMIF('DADOS BRUTOS'!$A$3:$A$500,$B22,'DADOS BRUTOS'!FG$3:FG$500)+IF($C22="",0,SUMIF('DADOS BRUTOS'!$A$3:$A$500,$C22,'DADOS BRUTOS'!FG$3:FG$500)))</f>
        <v>0</v>
      </c>
      <c r="IH22" s="133" t="n">
        <f aca="false">IF(OR(IH$4="",$B22=""),0,SUMIF('DADOS BRUTOS'!$A$3:$A$500,$B22,'DADOS BRUTOS'!FH$3:FH$500)+IF($C22="",0,SUMIF('DADOS BRUTOS'!$A$3:$A$500,$C22,'DADOS BRUTOS'!FH$3:FH$500)))</f>
        <v>0</v>
      </c>
      <c r="II22" s="133" t="n">
        <f aca="false">IF(OR(II$4="",$B22=""),0,SUMIF('DADOS BRUTOS'!$A$3:$A$500,$B22,'DADOS BRUTOS'!FI$3:FI$500)+IF($C22="",0,SUMIF('DADOS BRUTOS'!$A$3:$A$500,$C22,'DADOS BRUTOS'!FI$3:FI$500)))</f>
        <v>0</v>
      </c>
      <c r="IJ22" s="133" t="n">
        <f aca="false">IF(OR(IJ$4="",$B22=""),0,SUMIF('DADOS BRUTOS'!$A$3:$A$500,$B22,'DADOS BRUTOS'!FJ$3:FJ$500)+IF($C22="",0,SUMIF('DADOS BRUTOS'!$A$3:$A$500,$C22,'DADOS BRUTOS'!FJ$3:FJ$500)))</f>
        <v>0</v>
      </c>
      <c r="IK22" s="133" t="n">
        <f aca="false">IF(OR(IK$4="",$B22=""),0,SUMIF('DADOS BRUTOS'!$A$3:$A$500,$B22,'DADOS BRUTOS'!FK$3:FK$500)+IF($C22="",0,SUMIF('DADOS BRUTOS'!$A$3:$A$500,$C22,'DADOS BRUTOS'!FK$3:FK$500)))</f>
        <v>0</v>
      </c>
      <c r="IL22" s="133" t="n">
        <f aca="false">IF(OR(IL$4="",$B22=""),0,SUMIF('DADOS BRUTOS'!$A$3:$A$500,$B22,'DADOS BRUTOS'!FL$3:FL$500)+IF($C22="",0,SUMIF('DADOS BRUTOS'!$A$3:$A$500,$C22,'DADOS BRUTOS'!FL$3:FL$500)))</f>
        <v>0</v>
      </c>
      <c r="IM22" s="133" t="n">
        <f aca="false">IF(OR(IM$4="",$B22=""),0,SUMIF('DADOS BRUTOS'!$A$3:$A$500,$B22,'DADOS BRUTOS'!FM$3:FM$500)+IF($C22="",0,SUMIF('DADOS BRUTOS'!$A$3:$A$500,$C22,'DADOS BRUTOS'!FM$3:FM$500)))</f>
        <v>0</v>
      </c>
      <c r="IN22" s="133" t="n">
        <f aca="false">IF(OR(IN$4="",$B22=""),0,SUMIF('DADOS BRUTOS'!$A$3:$A$500,$B22,'DADOS BRUTOS'!FN$3:FN$500)+IF($C22="",0,SUMIF('DADOS BRUTOS'!$A$3:$A$500,$C22,'DADOS BRUTOS'!FN$3:FN$500)))</f>
        <v>0</v>
      </c>
      <c r="IO22" s="133" t="n">
        <f aca="false">IF(OR(IO$4="",$B22=""),0,SUMIF('DADOS BRUTOS'!$A$3:$A$500,$B22,'DADOS BRUTOS'!FO$3:FO$500)+IF($C22="",0,SUMIF('DADOS BRUTOS'!$A$3:$A$500,$C22,'DADOS BRUTOS'!FO$3:FO$500)))</f>
        <v>0</v>
      </c>
      <c r="IP22" s="133" t="n">
        <f aca="false">IF(OR(IP$4="",$B22=""),0,SUMIF('DADOS BRUTOS'!$A$3:$A$500,$B22,'DADOS BRUTOS'!FP$3:FP$500)+IF($C22="",0,SUMIF('DADOS BRUTOS'!$A$3:$A$500,$C22,'DADOS BRUTOS'!FP$3:FP$500)))</f>
        <v>0</v>
      </c>
      <c r="IQ22" s="133" t="n">
        <f aca="false">IF(OR(IQ$4="",$B22=""),0,SUMIF('DADOS BRUTOS'!$A$3:$A$500,$B22,'DADOS BRUTOS'!FQ$3:FQ$500)+IF($C22="",0,SUMIF('DADOS BRUTOS'!$A$3:$A$500,$C22,'DADOS BRUTOS'!FQ$3:FQ$500)))</f>
        <v>0</v>
      </c>
      <c r="IR22" s="133" t="n">
        <f aca="false">IF(OR(IR$4="",$B22=""),0,SUMIF('DADOS BRUTOS'!$A$3:$A$500,$B22,'DADOS BRUTOS'!FR$3:FR$500)+IF($C22="",0,SUMIF('DADOS BRUTOS'!$A$3:$A$500,$C22,'DADOS BRUTOS'!FR$3:FR$500)))</f>
        <v>0</v>
      </c>
      <c r="IS22" s="133" t="n">
        <f aca="false">IF(OR(IS$4="",$B22=""),0,SUMIF('DADOS BRUTOS'!$A$3:$A$500,$B22,'DADOS BRUTOS'!FS$3:FS$500)+IF($C22="",0,SUMIF('DADOS BRUTOS'!$A$3:$A$500,$C22,'DADOS BRUTOS'!FS$3:FS$500)))</f>
        <v>0</v>
      </c>
      <c r="IT22" s="133" t="n">
        <f aca="false">IF(OR(IT$4="",$B22=""),0,SUMIF('DADOS BRUTOS'!$A$3:$A$500,$B22,'DADOS BRUTOS'!FT$3:FT$500)+IF($C22="",0,SUMIF('DADOS BRUTOS'!$A$3:$A$500,$C22,'DADOS BRUTOS'!FT$3:FT$500)))</f>
        <v>0</v>
      </c>
      <c r="IU22" s="133" t="n">
        <f aca="false">IF(OR(IU$4="",$B22=""),0,SUMIF('DADOS BRUTOS'!$A$3:$A$500,$B22,'DADOS BRUTOS'!FU$3:FU$500)+IF($C22="",0,SUMIF('DADOS BRUTOS'!$A$3:$A$500,$C22,'DADOS BRUTOS'!FU$3:FU$500)))</f>
        <v>0</v>
      </c>
      <c r="IV22" s="133" t="n">
        <f aca="false">IF(OR(IV$4="",$B22=""),0,SUMIF('DADOS BRUTOS'!$A$3:$A$500,$B22,'DADOS BRUTOS'!FV$3:FV$500)+IF($C22="",0,SUMIF('DADOS BRUTOS'!$A$3:$A$500,$C22,'DADOS BRUTOS'!FV$3:FV$500)))</f>
        <v>0</v>
      </c>
      <c r="IW22" s="133" t="n">
        <f aca="false">IF(OR(IW$4="",$B22=""),0,SUMIF('DADOS BRUTOS'!$A$3:$A$500,$B22,'DADOS BRUTOS'!FW$3:FW$500)+IF($C22="",0,SUMIF('DADOS BRUTOS'!$A$3:$A$500,$C22,'DADOS BRUTOS'!FW$3:FW$500)))</f>
        <v>0</v>
      </c>
      <c r="IX22" s="133" t="n">
        <f aca="false">IF(OR(IX$4="",$B22=""),0,SUMIF('DADOS BRUTOS'!$A$3:$A$500,$B22,'DADOS BRUTOS'!FX$3:FX$500)+IF($C22="",0,SUMIF('DADOS BRUTOS'!$A$3:$A$500,$C22,'DADOS BRUTOS'!FX$3:FX$500)))</f>
        <v>0</v>
      </c>
      <c r="IY22" s="133" t="n">
        <f aca="false">IF(OR(IY$4="",$B22=""),0,SUMIF('DADOS BRUTOS'!$A$3:$A$500,$B22,'DADOS BRUTOS'!FY$3:FY$500)+IF($C22="",0,SUMIF('DADOS BRUTOS'!$A$3:$A$500,$C22,'DADOS BRUTOS'!FY$3:FY$500)))</f>
        <v>0</v>
      </c>
      <c r="IZ22" s="133" t="n">
        <f aca="false">IF(OR(IZ$4="",$B22=""),0,SUMIF('DADOS BRUTOS'!$A$3:$A$500,$B22,'DADOS BRUTOS'!FZ$3:FZ$500)+IF($C22="",0,SUMIF('DADOS BRUTOS'!$A$3:$A$500,$C22,'DADOS BRUTOS'!FZ$3:FZ$500)))</f>
        <v>0</v>
      </c>
      <c r="JA22" s="133" t="n">
        <f aca="false">IF(OR(JA$4="",$B22=""),0,SUMIF('DADOS BRUTOS'!$A$3:$A$500,$B22,'DADOS BRUTOS'!GA$3:GA$500)+IF($C22="",0,SUMIF('DADOS BRUTOS'!$A$3:$A$500,$C22,'DADOS BRUTOS'!GA$3:GA$500)))</f>
        <v>0</v>
      </c>
      <c r="JB22" s="133" t="n">
        <f aca="false">IF(OR(JB$4="",$B22=""),0,SUMIF('DADOS BRUTOS'!$A$3:$A$500,$B22,'DADOS BRUTOS'!GB$3:GB$500)+IF($C22="",0,SUMIF('DADOS BRUTOS'!$A$3:$A$500,$C22,'DADOS BRUTOS'!GB$3:GB$500)))</f>
        <v>0</v>
      </c>
      <c r="JC22" s="133" t="n">
        <f aca="false">IF(OR(JC$4="",$B22=""),0,SUMIF('DADOS BRUTOS'!$A$3:$A$500,$B22,'DADOS BRUTOS'!GC$3:GC$500)+IF($C22="",0,SUMIF('DADOS BRUTOS'!$A$3:$A$500,$C22,'DADOS BRUTOS'!GC$3:GC$500)))</f>
        <v>0</v>
      </c>
      <c r="JD22" s="133" t="n">
        <f aca="false">IF(OR(JD$4="",$B22=""),0,SUMIF('DADOS BRUTOS'!$A$3:$A$500,$B22,'DADOS BRUTOS'!GD$3:GD$500)+IF($C22="",0,SUMIF('DADOS BRUTOS'!$A$3:$A$500,$C22,'DADOS BRUTOS'!GD$3:GD$500)))</f>
        <v>0</v>
      </c>
      <c r="JE22" s="133" t="n">
        <f aca="false">IF(OR(JE$4="",$B22=""),0,SUMIF('DADOS BRUTOS'!$A$3:$A$500,$B22,'DADOS BRUTOS'!GE$3:GE$500)+IF($C22="",0,SUMIF('DADOS BRUTOS'!$A$3:$A$500,$C22,'DADOS BRUTOS'!GE$3:GE$500)))</f>
        <v>0</v>
      </c>
      <c r="JF22" s="133" t="n">
        <f aca="false">IF(OR(JF$4="",$B22=""),0,SUMIF('DADOS BRUTOS'!$A$3:$A$500,$B22,'DADOS BRUTOS'!GF$3:GF$500)+IF($C22="",0,SUMIF('DADOS BRUTOS'!$A$3:$A$500,$C22,'DADOS BRUTOS'!GF$3:GF$500)))</f>
        <v>0</v>
      </c>
      <c r="JG22" s="133" t="n">
        <f aca="false">IF(OR(JG$4="",$B22=""),0,SUMIF('DADOS BRUTOS'!$A$3:$A$500,$B22,'DADOS BRUTOS'!GG$3:GG$500)+IF($C22="",0,SUMIF('DADOS BRUTOS'!$A$3:$A$500,$C22,'DADOS BRUTOS'!GG$3:GG$500)))</f>
        <v>0</v>
      </c>
      <c r="JH22" s="133" t="n">
        <f aca="false">IF(OR(JH$4="",$B22=""),0,SUMIF('DADOS BRUTOS'!$A$3:$A$500,$B22,'DADOS BRUTOS'!GH$3:GH$500)+IF($C22="",0,SUMIF('DADOS BRUTOS'!$A$3:$A$500,$C22,'DADOS BRUTOS'!GH$3:GH$500)))</f>
        <v>0</v>
      </c>
      <c r="JI22" s="133" t="n">
        <f aca="false">IF(OR(JI$4="",$B22=""),0,SUMIF('DADOS BRUTOS'!$A$3:$A$500,$B22,'DADOS BRUTOS'!GI$3:GI$500)+IF($C22="",0,SUMIF('DADOS BRUTOS'!$A$3:$A$500,$C22,'DADOS BRUTOS'!GI$3:GI$500)))</f>
        <v>0</v>
      </c>
      <c r="JJ22" s="133" t="n">
        <f aca="false">IF(OR(JJ$4="",$B22=""),0,SUMIF('DADOS BRUTOS'!$A$3:$A$500,$B22,'DADOS BRUTOS'!GJ$3:GJ$500)+IF($C22="",0,SUMIF('DADOS BRUTOS'!$A$3:$A$500,$C22,'DADOS BRUTOS'!GJ$3:GJ$500)))</f>
        <v>0</v>
      </c>
      <c r="JK22" s="133" t="n">
        <f aca="false">IF(OR(JK$4="",$B22=""),0,SUMIF('DADOS BRUTOS'!$A$3:$A$500,$B22,'DADOS BRUTOS'!GK$3:GK$500)+IF($C22="",0,SUMIF('DADOS BRUTOS'!$A$3:$A$500,$C22,'DADOS BRUTOS'!GK$3:GK$500)))</f>
        <v>0</v>
      </c>
      <c r="JL22" s="133" t="n">
        <f aca="false">IF(OR(JL$4="",$B22=""),0,SUMIF('DADOS BRUTOS'!$A$3:$A$500,$B22,'DADOS BRUTOS'!GL$3:GL$500)+IF($C22="",0,SUMIF('DADOS BRUTOS'!$A$3:$A$500,$C22,'DADOS BRUTOS'!GL$3:GL$500)))</f>
        <v>0</v>
      </c>
      <c r="JM22" s="133" t="n">
        <f aca="false">IF(OR(JM$4="",$B22=""),0,SUMIF('DADOS BRUTOS'!$A$3:$A$500,$B22,'DADOS BRUTOS'!GM$3:GM$500)+IF($C22="",0,SUMIF('DADOS BRUTOS'!$A$3:$A$500,$C22,'DADOS BRUTOS'!GM$3:GM$500)))</f>
        <v>0</v>
      </c>
      <c r="JN22" s="133" t="n">
        <f aca="false">IF(OR(JN$4="",$B22=""),0,SUMIF('DADOS BRUTOS'!$A$3:$A$500,$B22,'DADOS BRUTOS'!GN$3:GN$500)+IF($C22="",0,SUMIF('DADOS BRUTOS'!$A$3:$A$500,$C22,'DADOS BRUTOS'!GN$3:GN$500)))</f>
        <v>0</v>
      </c>
      <c r="JO22" s="133" t="n">
        <f aca="false">IF(OR(JO$4="",$B22=""),0,SUMIF('DADOS BRUTOS'!$A$3:$A$500,$B22,'DADOS BRUTOS'!GO$3:GO$500)+IF($C22="",0,SUMIF('DADOS BRUTOS'!$A$3:$A$500,$C22,'DADOS BRUTOS'!GO$3:GO$500)))</f>
        <v>0</v>
      </c>
      <c r="JP22" s="133" t="n">
        <f aca="false">IF(OR(JP$4="",$B22=""),0,SUMIF('DADOS BRUTOS'!$A$3:$A$500,$B22,'DADOS BRUTOS'!GP$3:GP$500)+IF($C22="",0,SUMIF('DADOS BRUTOS'!$A$3:$A$500,$C22,'DADOS BRUTOS'!GP$3:GP$500)))</f>
        <v>0</v>
      </c>
      <c r="JQ22" s="133" t="n">
        <f aca="false">IF(OR(JQ$4="",$B22=""),0,SUMIF('DADOS BRUTOS'!$A$3:$A$500,$B22,'DADOS BRUTOS'!GQ$3:GQ$500)+IF($C22="",0,SUMIF('DADOS BRUTOS'!$A$3:$A$500,$C22,'DADOS BRUTOS'!GQ$3:GQ$500)))</f>
        <v>0</v>
      </c>
      <c r="JR22" s="133" t="n">
        <f aca="false">IF(OR(JR$4="",$B22=""),0,SUMIF('DADOS BRUTOS'!$A$3:$A$500,$B22,'DADOS BRUTOS'!GR$3:GR$500)+IF($C22="",0,SUMIF('DADOS BRUTOS'!$A$3:$A$500,$C22,'DADOS BRUTOS'!GR$3:GR$500)))</f>
        <v>0</v>
      </c>
      <c r="JS22" s="133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171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0</v>
      </c>
      <c r="Y23" s="50" t="n">
        <f aca="false">SUMIF($CB$4:$JS$4,Y$4,$CB23:$JS23)</f>
        <v>0</v>
      </c>
      <c r="Z23" s="50" t="n">
        <f aca="false">SUMIF($CB$4:$JS$4,Z$4,$CB23:$JS23)</f>
        <v>0</v>
      </c>
      <c r="AA23" s="50" t="n">
        <f aca="false">SUMIF($CB$4:$JS$4,AA$4,$CB23:$JS23)</f>
        <v>0</v>
      </c>
      <c r="AB23" s="50" t="n">
        <f aca="false">SUMIF($CB$4:$JS$4,AB$4,$CB23:$JS23)</f>
        <v>0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0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0</v>
      </c>
      <c r="BZ23" s="45" t="n">
        <f aca="false">SUMPRODUCT(($CB$4:$JS$4&lt;&gt;"")*($CB$4:$JS$4&lt;=$D$4),$CB23:$JS23,$CB$1:$JS$1)</f>
        <v>0</v>
      </c>
      <c r="CB23" s="133" t="n">
        <f aca="false">IF(OR(CB$4="",$B23=""),0,SUMIF('DADOS BRUTOS'!$A$3:$A$500,$B23,'DADOS BRUTOS'!B$3:B$500)+IF($C23="",0,SUMIF('DADOS BRUTOS'!$A$3:$A$500,$C23,'DADOS BRUTOS'!B$3:B$500)))</f>
        <v>0</v>
      </c>
      <c r="CC23" s="133" t="n">
        <f aca="false">IF(OR(CC$4="",$B23=""),0,SUMIF('DADOS BRUTOS'!$A$3:$A$500,$B23,'DADOS BRUTOS'!C$3:C$500)+IF($C23="",0,SUMIF('DADOS BRUTOS'!$A$3:$A$500,$C23,'DADOS BRUTOS'!C$3:C$500)))</f>
        <v>0</v>
      </c>
      <c r="CD23" s="133" t="n">
        <f aca="false">IF(OR(CD$4="",$B23=""),0,SUMIF('DADOS BRUTOS'!$A$3:$A$500,$B23,'DADOS BRUTOS'!D$3:D$500)+IF($C23="",0,SUMIF('DADOS BRUTOS'!$A$3:$A$500,$C23,'DADOS BRUTOS'!D$3:D$500)))</f>
        <v>0</v>
      </c>
      <c r="CE23" s="133" t="n">
        <f aca="false">IF(OR(CE$4="",$B23=""),0,SUMIF('DADOS BRUTOS'!$A$3:$A$500,$B23,'DADOS BRUTOS'!E$3:E$500)+IF($C23="",0,SUMIF('DADOS BRUTOS'!$A$3:$A$500,$C23,'DADOS BRUTOS'!E$3:E$500)))</f>
        <v>0</v>
      </c>
      <c r="CF23" s="133" t="n">
        <f aca="false">IF(OR(CF$4="",$B23=""),0,SUMIF('DADOS BRUTOS'!$A$3:$A$500,$B23,'DADOS BRUTOS'!F$3:F$500)+IF($C23="",0,SUMIF('DADOS BRUTOS'!$A$3:$A$500,$C23,'DADOS BRUTOS'!F$3:F$500)))</f>
        <v>0</v>
      </c>
      <c r="CG23" s="133" t="n">
        <f aca="false">IF(OR(CG$4="",$B23=""),0,SUMIF('DADOS BRUTOS'!$A$3:$A$500,$B23,'DADOS BRUTOS'!G$3:G$500)+IF($C23="",0,SUMIF('DADOS BRUTOS'!$A$3:$A$500,$C23,'DADOS BRUTOS'!G$3:G$500)))</f>
        <v>0</v>
      </c>
      <c r="CH23" s="133" t="n">
        <f aca="false">IF(OR(CH$4="",$B23=""),0,SUMIF('DADOS BRUTOS'!$A$3:$A$500,$B23,'DADOS BRUTOS'!H$3:H$500)+IF($C23="",0,SUMIF('DADOS BRUTOS'!$A$3:$A$500,$C23,'DADOS BRUTOS'!H$3:H$500)))</f>
        <v>0</v>
      </c>
      <c r="CI23" s="133" t="n">
        <f aca="false">IF(OR(CI$4="",$B23=""),0,SUMIF('DADOS BRUTOS'!$A$3:$A$500,$B23,'DADOS BRUTOS'!I$3:I$500)+IF($C23="",0,SUMIF('DADOS BRUTOS'!$A$3:$A$500,$C23,'DADOS BRUTOS'!I$3:I$500)))</f>
        <v>0</v>
      </c>
      <c r="CJ23" s="133" t="n">
        <f aca="false">IF(OR(CJ$4="",$B23=""),0,SUMIF('DADOS BRUTOS'!$A$3:$A$500,$B23,'DADOS BRUTOS'!J$3:J$500)+IF($C23="",0,SUMIF('DADOS BRUTOS'!$A$3:$A$500,$C23,'DADOS BRUTOS'!J$3:J$500)))</f>
        <v>0</v>
      </c>
      <c r="CK23" s="133" t="n">
        <f aca="false">IF(OR(CK$4="",$B23=""),0,SUMIF('DADOS BRUTOS'!$A$3:$A$500,$B23,'DADOS BRUTOS'!K$3:K$500)+IF($C23="",0,SUMIF('DADOS BRUTOS'!$A$3:$A$500,$C23,'DADOS BRUTOS'!K$3:K$500)))</f>
        <v>0</v>
      </c>
      <c r="CL23" s="133" t="n">
        <f aca="false">IF(OR(CL$4="",$B23=""),0,SUMIF('DADOS BRUTOS'!$A$3:$A$500,$B23,'DADOS BRUTOS'!L$3:L$500)+IF($C23="",0,SUMIF('DADOS BRUTOS'!$A$3:$A$500,$C23,'DADOS BRUTOS'!L$3:L$500)))</f>
        <v>0</v>
      </c>
      <c r="CM23" s="133" t="n">
        <f aca="false">IF(OR(CM$4="",$B23=""),0,SUMIF('DADOS BRUTOS'!$A$3:$A$500,$B23,'DADOS BRUTOS'!M$3:M$500)+IF($C23="",0,SUMIF('DADOS BRUTOS'!$A$3:$A$500,$C23,'DADOS BRUTOS'!M$3:M$500)))</f>
        <v>0</v>
      </c>
      <c r="CN23" s="133" t="n">
        <f aca="false">IF(OR(CN$4="",$B23=""),0,SUMIF('DADOS BRUTOS'!$A$3:$A$500,$B23,'DADOS BRUTOS'!N$3:N$500)+IF($C23="",0,SUMIF('DADOS BRUTOS'!$A$3:$A$500,$C23,'DADOS BRUTOS'!N$3:N$500)))</f>
        <v>0</v>
      </c>
      <c r="CO23" s="133" t="n">
        <f aca="false">IF(OR(CO$4="",$B23=""),0,SUMIF('DADOS BRUTOS'!$A$3:$A$500,$B23,'DADOS BRUTOS'!O$3:O$500)+IF($C23="",0,SUMIF('DADOS BRUTOS'!$A$3:$A$500,$C23,'DADOS BRUTOS'!O$3:O$500)))</f>
        <v>0</v>
      </c>
      <c r="CP23" s="133" t="n">
        <f aca="false">IF(OR(CP$4="",$B23=""),0,SUMIF('DADOS BRUTOS'!$A$3:$A$500,$B23,'DADOS BRUTOS'!P$3:P$500)+IF($C23="",0,SUMIF('DADOS BRUTOS'!$A$3:$A$500,$C23,'DADOS BRUTOS'!P$3:P$500)))</f>
        <v>0</v>
      </c>
      <c r="CQ23" s="133" t="n">
        <f aca="false">IF(OR(CQ$4="",$B23=""),0,SUMIF('DADOS BRUTOS'!$A$3:$A$500,$B23,'DADOS BRUTOS'!Q$3:Q$500)+IF($C23="",0,SUMIF('DADOS BRUTOS'!$A$3:$A$500,$C23,'DADOS BRUTOS'!Q$3:Q$500)))</f>
        <v>0</v>
      </c>
      <c r="CR23" s="133" t="n">
        <f aca="false">IF(OR(CR$4="",$B23=""),0,SUMIF('DADOS BRUTOS'!$A$3:$A$500,$B23,'DADOS BRUTOS'!R$3:R$500)+IF($C23="",0,SUMIF('DADOS BRUTOS'!$A$3:$A$500,$C23,'DADOS BRUTOS'!R$3:R$500)))</f>
        <v>0</v>
      </c>
      <c r="CS23" s="133" t="n">
        <f aca="false">IF(OR(CS$4="",$B23=""),0,SUMIF('DADOS BRUTOS'!$A$3:$A$500,$B23,'DADOS BRUTOS'!S$3:S$500)+IF($C23="",0,SUMIF('DADOS BRUTOS'!$A$3:$A$500,$C23,'DADOS BRUTOS'!S$3:S$500)))</f>
        <v>0</v>
      </c>
      <c r="CT23" s="133" t="n">
        <f aca="false">IF(OR(CT$4="",$B23=""),0,SUMIF('DADOS BRUTOS'!$A$3:$A$500,$B23,'DADOS BRUTOS'!T$3:T$500)+IF($C23="",0,SUMIF('DADOS BRUTOS'!$A$3:$A$500,$C23,'DADOS BRUTOS'!T$3:T$500)))</f>
        <v>0</v>
      </c>
      <c r="CU23" s="133" t="n">
        <f aca="false">IF(OR(CU$4="",$B23=""),0,SUMIF('DADOS BRUTOS'!$A$3:$A$500,$B23,'DADOS BRUTOS'!U$3:U$500)+IF($C23="",0,SUMIF('DADOS BRUTOS'!$A$3:$A$500,$C23,'DADOS BRUTOS'!U$3:U$500)))</f>
        <v>0</v>
      </c>
      <c r="CV23" s="133" t="n">
        <f aca="false">IF(OR(CV$4="",$B23=""),0,SUMIF('DADOS BRUTOS'!$A$3:$A$500,$B23,'DADOS BRUTOS'!V$3:V$500)+IF($C23="",0,SUMIF('DADOS BRUTOS'!$A$3:$A$500,$C23,'DADOS BRUTOS'!V$3:V$500)))</f>
        <v>0</v>
      </c>
      <c r="CW23" s="133" t="n">
        <f aca="false">IF(OR(CW$4="",$B23=""),0,SUMIF('DADOS BRUTOS'!$A$3:$A$500,$B23,'DADOS BRUTOS'!W$3:W$500)+IF($C23="",0,SUMIF('DADOS BRUTOS'!$A$3:$A$500,$C23,'DADOS BRUTOS'!W$3:W$500)))</f>
        <v>0</v>
      </c>
      <c r="CX23" s="133" t="n">
        <f aca="false">IF(OR(CX$4="",$B23=""),0,SUMIF('DADOS BRUTOS'!$A$3:$A$500,$B23,'DADOS BRUTOS'!X$3:X$500)+IF($C23="",0,SUMIF('DADOS BRUTOS'!$A$3:$A$500,$C23,'DADOS BRUTOS'!X$3:X$500)))</f>
        <v>0</v>
      </c>
      <c r="CY23" s="133" t="n">
        <f aca="false">IF(OR(CY$4="",$B23=""),0,SUMIF('DADOS BRUTOS'!$A$3:$A$500,$B23,'DADOS BRUTOS'!Y$3:Y$500)+IF($C23="",0,SUMIF('DADOS BRUTOS'!$A$3:$A$500,$C23,'DADOS BRUTOS'!Y$3:Y$500)))</f>
        <v>0</v>
      </c>
      <c r="CZ23" s="133" t="n">
        <f aca="false">IF(OR(CZ$4="",$B23=""),0,SUMIF('DADOS BRUTOS'!$A$3:$A$500,$B23,'DADOS BRUTOS'!Z$3:Z$500)+IF($C23="",0,SUMIF('DADOS BRUTOS'!$A$3:$A$500,$C23,'DADOS BRUTOS'!Z$3:Z$500)))</f>
        <v>0</v>
      </c>
      <c r="DA23" s="133" t="n">
        <f aca="false">IF(OR(DA$4="",$B23=""),0,SUMIF('DADOS BRUTOS'!$A$3:$A$500,$B23,'DADOS BRUTOS'!AA$3:AA$500)+IF($C23="",0,SUMIF('DADOS BRUTOS'!$A$3:$A$500,$C23,'DADOS BRUTOS'!AA$3:AA$500)))</f>
        <v>0</v>
      </c>
      <c r="DB23" s="133" t="n">
        <f aca="false">IF(OR(DB$4="",$B23=""),0,SUMIF('DADOS BRUTOS'!$A$3:$A$500,$B23,'DADOS BRUTOS'!AB$3:AB$500)+IF($C23="",0,SUMIF('DADOS BRUTOS'!$A$3:$A$500,$C23,'DADOS BRUTOS'!AB$3:AB$500)))</f>
        <v>0</v>
      </c>
      <c r="DC23" s="133" t="n">
        <f aca="false">IF(OR(DC$4="",$B23=""),0,SUMIF('DADOS BRUTOS'!$A$3:$A$500,$B23,'DADOS BRUTOS'!AC$3:AC$500)+IF($C23="",0,SUMIF('DADOS BRUTOS'!$A$3:$A$500,$C23,'DADOS BRUTOS'!AC$3:AC$500)))</f>
        <v>0</v>
      </c>
      <c r="DD23" s="133" t="n">
        <f aca="false">IF(OR(DD$4="",$B23=""),0,SUMIF('DADOS BRUTOS'!$A$3:$A$500,$B23,'DADOS BRUTOS'!AD$3:AD$500)+IF($C23="",0,SUMIF('DADOS BRUTOS'!$A$3:$A$500,$C23,'DADOS BRUTOS'!AD$3:AD$500)))</f>
        <v>0</v>
      </c>
      <c r="DE23" s="133" t="n">
        <f aca="false">IF(OR(DE$4="",$B23=""),0,SUMIF('DADOS BRUTOS'!$A$3:$A$500,$B23,'DADOS BRUTOS'!AE$3:AE$500)+IF($C23="",0,SUMIF('DADOS BRUTOS'!$A$3:$A$500,$C23,'DADOS BRUTOS'!AE$3:AE$500)))</f>
        <v>0</v>
      </c>
      <c r="DF23" s="133" t="n">
        <f aca="false">IF(OR(DF$4="",$B23=""),0,SUMIF('DADOS BRUTOS'!$A$3:$A$500,$B23,'DADOS BRUTOS'!AF$3:AF$500)+IF($C23="",0,SUMIF('DADOS BRUTOS'!$A$3:$A$500,$C23,'DADOS BRUTOS'!AF$3:AF$500)))</f>
        <v>0</v>
      </c>
      <c r="DG23" s="133" t="n">
        <f aca="false">IF(OR(DG$4="",$B23=""),0,SUMIF('DADOS BRUTOS'!$A$3:$A$500,$B23,'DADOS BRUTOS'!AG$3:AG$500)+IF($C23="",0,SUMIF('DADOS BRUTOS'!$A$3:$A$500,$C23,'DADOS BRUTOS'!AG$3:AG$500)))</f>
        <v>0</v>
      </c>
      <c r="DH23" s="133" t="n">
        <f aca="false">IF(OR(DH$4="",$B23=""),0,SUMIF('DADOS BRUTOS'!$A$3:$A$500,$B23,'DADOS BRUTOS'!AH$3:AH$500)+IF($C23="",0,SUMIF('DADOS BRUTOS'!$A$3:$A$500,$C23,'DADOS BRUTOS'!AH$3:AH$500)))</f>
        <v>0</v>
      </c>
      <c r="DI23" s="133" t="n">
        <f aca="false">IF(OR(DI$4="",$B23=""),0,SUMIF('DADOS BRUTOS'!$A$3:$A$500,$B23,'DADOS BRUTOS'!AI$3:AI$500)+IF($C23="",0,SUMIF('DADOS BRUTOS'!$A$3:$A$500,$C23,'DADOS BRUTOS'!AI$3:AI$500)))</f>
        <v>0</v>
      </c>
      <c r="DJ23" s="133" t="n">
        <f aca="false">IF(OR(DJ$4="",$B23=""),0,SUMIF('DADOS BRUTOS'!$A$3:$A$500,$B23,'DADOS BRUTOS'!AJ$3:AJ$500)+IF($C23="",0,SUMIF('DADOS BRUTOS'!$A$3:$A$500,$C23,'DADOS BRUTOS'!AJ$3:AJ$500)))</f>
        <v>0</v>
      </c>
      <c r="DK23" s="133" t="n">
        <f aca="false">IF(OR(DK$4="",$B23=""),0,SUMIF('DADOS BRUTOS'!$A$3:$A$500,$B23,'DADOS BRUTOS'!AK$3:AK$500)+IF($C23="",0,SUMIF('DADOS BRUTOS'!$A$3:$A$500,$C23,'DADOS BRUTOS'!AK$3:AK$500)))</f>
        <v>0</v>
      </c>
      <c r="DL23" s="133" t="n">
        <f aca="false">IF(OR(DL$4="",$B23=""),0,SUMIF('DADOS BRUTOS'!$A$3:$A$500,$B23,'DADOS BRUTOS'!AL$3:AL$500)+IF($C23="",0,SUMIF('DADOS BRUTOS'!$A$3:$A$500,$C23,'DADOS BRUTOS'!AL$3:AL$500)))</f>
        <v>0</v>
      </c>
      <c r="DM23" s="133" t="n">
        <f aca="false">IF(OR(DM$4="",$B23=""),0,SUMIF('DADOS BRUTOS'!$A$3:$A$500,$B23,'DADOS BRUTOS'!AM$3:AM$500)+IF($C23="",0,SUMIF('DADOS BRUTOS'!$A$3:$A$500,$C23,'DADOS BRUTOS'!AM$3:AM$500)))</f>
        <v>0</v>
      </c>
      <c r="DN23" s="133" t="n">
        <f aca="false">IF(OR(DN$4="",$B23=""),0,SUMIF('DADOS BRUTOS'!$A$3:$A$500,$B23,'DADOS BRUTOS'!AN$3:AN$500)+IF($C23="",0,SUMIF('DADOS BRUTOS'!$A$3:$A$500,$C23,'DADOS BRUTOS'!AN$3:AN$500)))</f>
        <v>0</v>
      </c>
      <c r="DO23" s="133" t="n">
        <f aca="false">IF(OR(DO$4="",$B23=""),0,SUMIF('DADOS BRUTOS'!$A$3:$A$500,$B23,'DADOS BRUTOS'!AO$3:AO$500)+IF($C23="",0,SUMIF('DADOS BRUTOS'!$A$3:$A$500,$C23,'DADOS BRUTOS'!AO$3:AO$500)))</f>
        <v>0</v>
      </c>
      <c r="DP23" s="133" t="n">
        <f aca="false">IF(OR(DP$4="",$B23=""),0,SUMIF('DADOS BRUTOS'!$A$3:$A$500,$B23,'DADOS BRUTOS'!AP$3:AP$500)+IF($C23="",0,SUMIF('DADOS BRUTOS'!$A$3:$A$500,$C23,'DADOS BRUTOS'!AP$3:AP$500)))</f>
        <v>0</v>
      </c>
      <c r="DQ23" s="133" t="n">
        <f aca="false">IF(OR(DQ$4="",$B23=""),0,SUMIF('DADOS BRUTOS'!$A$3:$A$500,$B23,'DADOS BRUTOS'!AQ$3:AQ$500)+IF($C23="",0,SUMIF('DADOS BRUTOS'!$A$3:$A$500,$C23,'DADOS BRUTOS'!AQ$3:AQ$500)))</f>
        <v>0</v>
      </c>
      <c r="DR23" s="133" t="n">
        <f aca="false">IF(OR(DR$4="",$B23=""),0,SUMIF('DADOS BRUTOS'!$A$3:$A$500,$B23,'DADOS BRUTOS'!AR$3:AR$500)+IF($C23="",0,SUMIF('DADOS BRUTOS'!$A$3:$A$500,$C23,'DADOS BRUTOS'!AR$3:AR$500)))</f>
        <v>0</v>
      </c>
      <c r="DS23" s="133" t="n">
        <f aca="false">IF(OR(DS$4="",$B23=""),0,SUMIF('DADOS BRUTOS'!$A$3:$A$500,$B23,'DADOS BRUTOS'!AS$3:AS$500)+IF($C23="",0,SUMIF('DADOS BRUTOS'!$A$3:$A$500,$C23,'DADOS BRUTOS'!AS$3:AS$500)))</f>
        <v>0</v>
      </c>
      <c r="DT23" s="133" t="n">
        <f aca="false">IF(OR(DT$4="",$B23=""),0,SUMIF('DADOS BRUTOS'!$A$3:$A$500,$B23,'DADOS BRUTOS'!AT$3:AT$500)+IF($C23="",0,SUMIF('DADOS BRUTOS'!$A$3:$A$500,$C23,'DADOS BRUTOS'!AT$3:AT$500)))</f>
        <v>0</v>
      </c>
      <c r="DU23" s="133" t="n">
        <f aca="false">IF(OR(DU$4="",$B23=""),0,SUMIF('DADOS BRUTOS'!$A$3:$A$500,$B23,'DADOS BRUTOS'!AU$3:AU$500)+IF($C23="",0,SUMIF('DADOS BRUTOS'!$A$3:$A$500,$C23,'DADOS BRUTOS'!AU$3:AU$500)))</f>
        <v>0</v>
      </c>
      <c r="DV23" s="133" t="n">
        <f aca="false">IF(OR(DV$4="",$B23=""),0,SUMIF('DADOS BRUTOS'!$A$3:$A$500,$B23,'DADOS BRUTOS'!AV$3:AV$500)+IF($C23="",0,SUMIF('DADOS BRUTOS'!$A$3:$A$500,$C23,'DADOS BRUTOS'!AV$3:AV$500)))</f>
        <v>0</v>
      </c>
      <c r="DW23" s="133" t="n">
        <f aca="false">IF(OR(DW$4="",$B23=""),0,SUMIF('DADOS BRUTOS'!$A$3:$A$500,$B23,'DADOS BRUTOS'!AW$3:AW$500)+IF($C23="",0,SUMIF('DADOS BRUTOS'!$A$3:$A$500,$C23,'DADOS BRUTOS'!AW$3:AW$500)))</f>
        <v>0</v>
      </c>
      <c r="DX23" s="133" t="n">
        <f aca="false">IF(OR(DX$4="",$B23=""),0,SUMIF('DADOS BRUTOS'!$A$3:$A$500,$B23,'DADOS BRUTOS'!AX$3:AX$500)+IF($C23="",0,SUMIF('DADOS BRUTOS'!$A$3:$A$500,$C23,'DADOS BRUTOS'!AX$3:AX$500)))</f>
        <v>0</v>
      </c>
      <c r="DY23" s="133" t="n">
        <f aca="false">IF(OR(DY$4="",$B23=""),0,SUMIF('DADOS BRUTOS'!$A$3:$A$500,$B23,'DADOS BRUTOS'!AY$3:AY$500)+IF($C23="",0,SUMIF('DADOS BRUTOS'!$A$3:$A$500,$C23,'DADOS BRUTOS'!AY$3:AY$500)))</f>
        <v>0</v>
      </c>
      <c r="DZ23" s="133" t="n">
        <f aca="false">IF(OR(DZ$4="",$B23=""),0,SUMIF('DADOS BRUTOS'!$A$3:$A$500,$B23,'DADOS BRUTOS'!AZ$3:AZ$500)+IF($C23="",0,SUMIF('DADOS BRUTOS'!$A$3:$A$500,$C23,'DADOS BRUTOS'!AZ$3:AZ$500)))</f>
        <v>0</v>
      </c>
      <c r="EA23" s="133" t="n">
        <f aca="false">IF(OR(EA$4="",$B23=""),0,SUMIF('DADOS BRUTOS'!$A$3:$A$500,$B23,'DADOS BRUTOS'!BA$3:BA$500)+IF($C23="",0,SUMIF('DADOS BRUTOS'!$A$3:$A$500,$C23,'DADOS BRUTOS'!BA$3:BA$500)))</f>
        <v>0</v>
      </c>
      <c r="EB23" s="133" t="n">
        <f aca="false">IF(OR(EB$4="",$B23=""),0,SUMIF('DADOS BRUTOS'!$A$3:$A$500,$B23,'DADOS BRUTOS'!BB$3:BB$500)+IF($C23="",0,SUMIF('DADOS BRUTOS'!$A$3:$A$500,$C23,'DADOS BRUTOS'!BB$3:BB$500)))</f>
        <v>0</v>
      </c>
      <c r="EC23" s="133" t="n">
        <f aca="false">IF(OR(EC$4="",$B23=""),0,SUMIF('DADOS BRUTOS'!$A$3:$A$500,$B23,'DADOS BRUTOS'!BC$3:BC$500)+IF($C23="",0,SUMIF('DADOS BRUTOS'!$A$3:$A$500,$C23,'DADOS BRUTOS'!BC$3:BC$500)))</f>
        <v>0</v>
      </c>
      <c r="ED23" s="133" t="n">
        <f aca="false">IF(OR(ED$4="",$B23=""),0,SUMIF('DADOS BRUTOS'!$A$3:$A$500,$B23,'DADOS BRUTOS'!BD$3:BD$500)+IF($C23="",0,SUMIF('DADOS BRUTOS'!$A$3:$A$500,$C23,'DADOS BRUTOS'!BD$3:BD$500)))</f>
        <v>0</v>
      </c>
      <c r="EE23" s="133" t="n">
        <f aca="false">IF(OR(EE$4="",$B23=""),0,SUMIF('DADOS BRUTOS'!$A$3:$A$500,$B23,'DADOS BRUTOS'!BE$3:BE$500)+IF($C23="",0,SUMIF('DADOS BRUTOS'!$A$3:$A$500,$C23,'DADOS BRUTOS'!BE$3:BE$500)))</f>
        <v>0</v>
      </c>
      <c r="EF23" s="133" t="n">
        <f aca="false">IF(OR(EF$4="",$B23=""),0,SUMIF('DADOS BRUTOS'!$A$3:$A$500,$B23,'DADOS BRUTOS'!BF$3:BF$500)+IF($C23="",0,SUMIF('DADOS BRUTOS'!$A$3:$A$500,$C23,'DADOS BRUTOS'!BF$3:BF$500)))</f>
        <v>0</v>
      </c>
      <c r="EG23" s="133" t="n">
        <f aca="false">IF(OR(EG$4="",$B23=""),0,SUMIF('DADOS BRUTOS'!$A$3:$A$500,$B23,'DADOS BRUTOS'!BG$3:BG$500)+IF($C23="",0,SUMIF('DADOS BRUTOS'!$A$3:$A$500,$C23,'DADOS BRUTOS'!BG$3:BG$500)))</f>
        <v>0</v>
      </c>
      <c r="EH23" s="133" t="n">
        <f aca="false">IF(OR(EH$4="",$B23=""),0,SUMIF('DADOS BRUTOS'!$A$3:$A$500,$B23,'DADOS BRUTOS'!BH$3:BH$500)+IF($C23="",0,SUMIF('DADOS BRUTOS'!$A$3:$A$500,$C23,'DADOS BRUTOS'!BH$3:BH$500)))</f>
        <v>0</v>
      </c>
      <c r="EI23" s="133" t="n">
        <f aca="false">IF(OR(EI$4="",$B23=""),0,SUMIF('DADOS BRUTOS'!$A$3:$A$500,$B23,'DADOS BRUTOS'!BI$3:BI$500)+IF($C23="",0,SUMIF('DADOS BRUTOS'!$A$3:$A$500,$C23,'DADOS BRUTOS'!BI$3:BI$500)))</f>
        <v>0</v>
      </c>
      <c r="EJ23" s="133" t="n">
        <f aca="false">IF(OR(EJ$4="",$B23=""),0,SUMIF('DADOS BRUTOS'!$A$3:$A$500,$B23,'DADOS BRUTOS'!BJ$3:BJ$500)+IF($C23="",0,SUMIF('DADOS BRUTOS'!$A$3:$A$500,$C23,'DADOS BRUTOS'!BJ$3:BJ$500)))</f>
        <v>0</v>
      </c>
      <c r="EK23" s="133" t="n">
        <f aca="false">IF(OR(EK$4="",$B23=""),0,SUMIF('DADOS BRUTOS'!$A$3:$A$500,$B23,'DADOS BRUTOS'!BK$3:BK$500)+IF($C23="",0,SUMIF('DADOS BRUTOS'!$A$3:$A$500,$C23,'DADOS BRUTOS'!BK$3:BK$500)))</f>
        <v>0</v>
      </c>
      <c r="EL23" s="133" t="n">
        <f aca="false">IF(OR(EL$4="",$B23=""),0,SUMIF('DADOS BRUTOS'!$A$3:$A$500,$B23,'DADOS BRUTOS'!BL$3:BL$500)+IF($C23="",0,SUMIF('DADOS BRUTOS'!$A$3:$A$500,$C23,'DADOS BRUTOS'!BL$3:BL$500)))</f>
        <v>0</v>
      </c>
      <c r="EM23" s="133" t="n">
        <f aca="false">IF(OR(EM$4="",$B23=""),0,SUMIF('DADOS BRUTOS'!$A$3:$A$500,$B23,'DADOS BRUTOS'!BM$3:BM$500)+IF($C23="",0,SUMIF('DADOS BRUTOS'!$A$3:$A$500,$C23,'DADOS BRUTOS'!BM$3:BM$500)))</f>
        <v>0</v>
      </c>
      <c r="EN23" s="133" t="n">
        <f aca="false">IF(OR(EN$4="",$B23=""),0,SUMIF('DADOS BRUTOS'!$A$3:$A$500,$B23,'DADOS BRUTOS'!BN$3:BN$500)+IF($C23="",0,SUMIF('DADOS BRUTOS'!$A$3:$A$500,$C23,'DADOS BRUTOS'!BN$3:BN$500)))</f>
        <v>0</v>
      </c>
      <c r="EO23" s="133" t="n">
        <f aca="false">IF(OR(EO$4="",$B23=""),0,SUMIF('DADOS BRUTOS'!$A$3:$A$500,$B23,'DADOS BRUTOS'!BO$3:BO$500)+IF($C23="",0,SUMIF('DADOS BRUTOS'!$A$3:$A$500,$C23,'DADOS BRUTOS'!BO$3:BO$500)))</f>
        <v>0</v>
      </c>
      <c r="EP23" s="133" t="n">
        <f aca="false">IF(OR(EP$4="",$B23=""),0,SUMIF('DADOS BRUTOS'!$A$3:$A$500,$B23,'DADOS BRUTOS'!BP$3:BP$500)+IF($C23="",0,SUMIF('DADOS BRUTOS'!$A$3:$A$500,$C23,'DADOS BRUTOS'!BP$3:BP$500)))</f>
        <v>0</v>
      </c>
      <c r="EQ23" s="133" t="n">
        <f aca="false">IF(OR(EQ$4="",$B23=""),0,SUMIF('DADOS BRUTOS'!$A$3:$A$500,$B23,'DADOS BRUTOS'!BQ$3:BQ$500)+IF($C23="",0,SUMIF('DADOS BRUTOS'!$A$3:$A$500,$C23,'DADOS BRUTOS'!BQ$3:BQ$500)))</f>
        <v>0</v>
      </c>
      <c r="ER23" s="133" t="n">
        <f aca="false">IF(OR(ER$4="",$B23=""),0,SUMIF('DADOS BRUTOS'!$A$3:$A$500,$B23,'DADOS BRUTOS'!BR$3:BR$500)+IF($C23="",0,SUMIF('DADOS BRUTOS'!$A$3:$A$500,$C23,'DADOS BRUTOS'!BR$3:BR$500)))</f>
        <v>0</v>
      </c>
      <c r="ES23" s="133" t="n">
        <f aca="false">IF(OR(ES$4="",$B23=""),0,SUMIF('DADOS BRUTOS'!$A$3:$A$500,$B23,'DADOS BRUTOS'!BS$3:BS$500)+IF($C23="",0,SUMIF('DADOS BRUTOS'!$A$3:$A$500,$C23,'DADOS BRUTOS'!BS$3:BS$500)))</f>
        <v>0</v>
      </c>
      <c r="ET23" s="133" t="n">
        <f aca="false">IF(OR(ET$4="",$B23=""),0,SUMIF('DADOS BRUTOS'!$A$3:$A$500,$B23,'DADOS BRUTOS'!BT$3:BT$500)+IF($C23="",0,SUMIF('DADOS BRUTOS'!$A$3:$A$500,$C23,'DADOS BRUTOS'!BT$3:BT$500)))</f>
        <v>0</v>
      </c>
      <c r="EU23" s="133" t="n">
        <f aca="false">IF(OR(EU$4="",$B23=""),0,SUMIF('DADOS BRUTOS'!$A$3:$A$500,$B23,'DADOS BRUTOS'!BU$3:BU$500)+IF($C23="",0,SUMIF('DADOS BRUTOS'!$A$3:$A$500,$C23,'DADOS BRUTOS'!BU$3:BU$500)))</f>
        <v>0</v>
      </c>
      <c r="EV23" s="133" t="n">
        <f aca="false">IF(OR(EV$4="",$B23=""),0,SUMIF('DADOS BRUTOS'!$A$3:$A$500,$B23,'DADOS BRUTOS'!BV$3:BV$500)+IF($C23="",0,SUMIF('DADOS BRUTOS'!$A$3:$A$500,$C23,'DADOS BRUTOS'!BV$3:BV$500)))</f>
        <v>0</v>
      </c>
      <c r="EW23" s="133" t="n">
        <f aca="false">IF(OR(EW$4="",$B23=""),0,SUMIF('DADOS BRUTOS'!$A$3:$A$500,$B23,'DADOS BRUTOS'!BW$3:BW$500)+IF($C23="",0,SUMIF('DADOS BRUTOS'!$A$3:$A$500,$C23,'DADOS BRUTOS'!BW$3:BW$500)))</f>
        <v>0</v>
      </c>
      <c r="EX23" s="133" t="n">
        <f aca="false">IF(OR(EX$4="",$B23=""),0,SUMIF('DADOS BRUTOS'!$A$3:$A$500,$B23,'DADOS BRUTOS'!BX$3:BX$500)+IF($C23="",0,SUMIF('DADOS BRUTOS'!$A$3:$A$500,$C23,'DADOS BRUTOS'!BX$3:BX$500)))</f>
        <v>0</v>
      </c>
      <c r="EY23" s="133" t="n">
        <f aca="false">IF(OR(EY$4="",$B23=""),0,SUMIF('DADOS BRUTOS'!$A$3:$A$500,$B23,'DADOS BRUTOS'!BY$3:BY$500)+IF($C23="",0,SUMIF('DADOS BRUTOS'!$A$3:$A$500,$C23,'DADOS BRUTOS'!BY$3:BY$500)))</f>
        <v>0</v>
      </c>
      <c r="EZ23" s="133" t="n">
        <f aca="false">IF(OR(EZ$4="",$B23=""),0,SUMIF('DADOS BRUTOS'!$A$3:$A$500,$B23,'DADOS BRUTOS'!BZ$3:BZ$500)+IF($C23="",0,SUMIF('DADOS BRUTOS'!$A$3:$A$500,$C23,'DADOS BRUTOS'!BZ$3:BZ$500)))</f>
        <v>0</v>
      </c>
      <c r="FA23" s="133" t="n">
        <f aca="false">IF(OR(FA$4="",$B23=""),0,SUMIF('DADOS BRUTOS'!$A$3:$A$500,$B23,'DADOS BRUTOS'!CA$3:CA$500)+IF($C23="",0,SUMIF('DADOS BRUTOS'!$A$3:$A$500,$C23,'DADOS BRUTOS'!CA$3:CA$500)))</f>
        <v>0</v>
      </c>
      <c r="FB23" s="133" t="n">
        <f aca="false">IF(OR(FB$4="",$B23=""),0,SUMIF('DADOS BRUTOS'!$A$3:$A$500,$B23,'DADOS BRUTOS'!CB$3:CB$500)+IF($C23="",0,SUMIF('DADOS BRUTOS'!$A$3:$A$500,$C23,'DADOS BRUTOS'!CB$3:CB$500)))</f>
        <v>0</v>
      </c>
      <c r="FC23" s="133" t="n">
        <f aca="false">IF(OR(FC$4="",$B23=""),0,SUMIF('DADOS BRUTOS'!$A$3:$A$500,$B23,'DADOS BRUTOS'!CC$3:CC$500)+IF($C23="",0,SUMIF('DADOS BRUTOS'!$A$3:$A$500,$C23,'DADOS BRUTOS'!CC$3:CC$500)))</f>
        <v>0</v>
      </c>
      <c r="FD23" s="133" t="n">
        <f aca="false">IF(OR(FD$4="",$B23=""),0,SUMIF('DADOS BRUTOS'!$A$3:$A$500,$B23,'DADOS BRUTOS'!CD$3:CD$500)+IF($C23="",0,SUMIF('DADOS BRUTOS'!$A$3:$A$500,$C23,'DADOS BRUTOS'!CD$3:CD$500)))</f>
        <v>0</v>
      </c>
      <c r="FE23" s="133" t="n">
        <f aca="false">IF(OR(FE$4="",$B23=""),0,SUMIF('DADOS BRUTOS'!$A$3:$A$500,$B23,'DADOS BRUTOS'!CE$3:CE$500)+IF($C23="",0,SUMIF('DADOS BRUTOS'!$A$3:$A$500,$C23,'DADOS BRUTOS'!CE$3:CE$500)))</f>
        <v>0</v>
      </c>
      <c r="FF23" s="133" t="n">
        <f aca="false">IF(OR(FF$4="",$B23=""),0,SUMIF('DADOS BRUTOS'!$A$3:$A$500,$B23,'DADOS BRUTOS'!CF$3:CF$500)+IF($C23="",0,SUMIF('DADOS BRUTOS'!$A$3:$A$500,$C23,'DADOS BRUTOS'!CF$3:CF$500)))</f>
        <v>0</v>
      </c>
      <c r="FG23" s="133" t="n">
        <f aca="false">IF(OR(FG$4="",$B23=""),0,SUMIF('DADOS BRUTOS'!$A$3:$A$500,$B23,'DADOS BRUTOS'!CG$3:CG$500)+IF($C23="",0,SUMIF('DADOS BRUTOS'!$A$3:$A$500,$C23,'DADOS BRUTOS'!CG$3:CG$500)))</f>
        <v>0</v>
      </c>
      <c r="FH23" s="133" t="n">
        <f aca="false">IF(OR(FH$4="",$B23=""),0,SUMIF('DADOS BRUTOS'!$A$3:$A$500,$B23,'DADOS BRUTOS'!CH$3:CH$500)+IF($C23="",0,SUMIF('DADOS BRUTOS'!$A$3:$A$500,$C23,'DADOS BRUTOS'!CH$3:CH$500)))</f>
        <v>0</v>
      </c>
      <c r="FI23" s="133" t="n">
        <f aca="false">IF(OR(FI$4="",$B23=""),0,SUMIF('DADOS BRUTOS'!$A$3:$A$500,$B23,'DADOS BRUTOS'!CI$3:CI$500)+IF($C23="",0,SUMIF('DADOS BRUTOS'!$A$3:$A$500,$C23,'DADOS BRUTOS'!CI$3:CI$500)))</f>
        <v>0</v>
      </c>
      <c r="FJ23" s="133" t="n">
        <f aca="false">IF(OR(FJ$4="",$B23=""),0,SUMIF('DADOS BRUTOS'!$A$3:$A$500,$B23,'DADOS BRUTOS'!CJ$3:CJ$500)+IF($C23="",0,SUMIF('DADOS BRUTOS'!$A$3:$A$500,$C23,'DADOS BRUTOS'!CJ$3:CJ$500)))</f>
        <v>0</v>
      </c>
      <c r="FK23" s="133" t="n">
        <f aca="false">IF(OR(FK$4="",$B23=""),0,SUMIF('DADOS BRUTOS'!$A$3:$A$500,$B23,'DADOS BRUTOS'!CK$3:CK$500)+IF($C23="",0,SUMIF('DADOS BRUTOS'!$A$3:$A$500,$C23,'DADOS BRUTOS'!CK$3:CK$500)))</f>
        <v>0</v>
      </c>
      <c r="FL23" s="133" t="n">
        <f aca="false">IF(OR(FL$4="",$B23=""),0,SUMIF('DADOS BRUTOS'!$A$3:$A$500,$B23,'DADOS BRUTOS'!CL$3:CL$500)+IF($C23="",0,SUMIF('DADOS BRUTOS'!$A$3:$A$500,$C23,'DADOS BRUTOS'!CL$3:CL$500)))</f>
        <v>0</v>
      </c>
      <c r="FM23" s="133" t="n">
        <f aca="false">IF(OR(FM$4="",$B23=""),0,SUMIF('DADOS BRUTOS'!$A$3:$A$500,$B23,'DADOS BRUTOS'!CM$3:CM$500)+IF($C23="",0,SUMIF('DADOS BRUTOS'!$A$3:$A$500,$C23,'DADOS BRUTOS'!CM$3:CM$500)))</f>
        <v>0</v>
      </c>
      <c r="FN23" s="133" t="n">
        <f aca="false">IF(OR(FN$4="",$B23=""),0,SUMIF('DADOS BRUTOS'!$A$3:$A$500,$B23,'DADOS BRUTOS'!CN$3:CN$500)+IF($C23="",0,SUMIF('DADOS BRUTOS'!$A$3:$A$500,$C23,'DADOS BRUTOS'!CN$3:CN$500)))</f>
        <v>0</v>
      </c>
      <c r="FO23" s="133" t="n">
        <f aca="false">IF(OR(FO$4="",$B23=""),0,SUMIF('DADOS BRUTOS'!$A$3:$A$500,$B23,'DADOS BRUTOS'!CO$3:CO$500)+IF($C23="",0,SUMIF('DADOS BRUTOS'!$A$3:$A$500,$C23,'DADOS BRUTOS'!CO$3:CO$500)))</f>
        <v>0</v>
      </c>
      <c r="FP23" s="133" t="n">
        <f aca="false">IF(OR(FP$4="",$B23=""),0,SUMIF('DADOS BRUTOS'!$A$3:$A$500,$B23,'DADOS BRUTOS'!CP$3:CP$500)+IF($C23="",0,SUMIF('DADOS BRUTOS'!$A$3:$A$500,$C23,'DADOS BRUTOS'!CP$3:CP$500)))</f>
        <v>0</v>
      </c>
      <c r="FQ23" s="133" t="n">
        <f aca="false">IF(OR(FQ$4="",$B23=""),0,SUMIF('DADOS BRUTOS'!$A$3:$A$500,$B23,'DADOS BRUTOS'!CQ$3:CQ$500)+IF($C23="",0,SUMIF('DADOS BRUTOS'!$A$3:$A$500,$C23,'DADOS BRUTOS'!CQ$3:CQ$500)))</f>
        <v>0</v>
      </c>
      <c r="FR23" s="133" t="n">
        <f aca="false">IF(OR(FR$4="",$B23=""),0,SUMIF('DADOS BRUTOS'!$A$3:$A$500,$B23,'DADOS BRUTOS'!CR$3:CR$500)+IF($C23="",0,SUMIF('DADOS BRUTOS'!$A$3:$A$500,$C23,'DADOS BRUTOS'!CR$3:CR$500)))</f>
        <v>0</v>
      </c>
      <c r="FS23" s="133" t="n">
        <f aca="false">IF(OR(FS$4="",$B23=""),0,SUMIF('DADOS BRUTOS'!$A$3:$A$500,$B23,'DADOS BRUTOS'!CS$3:CS$500)+IF($C23="",0,SUMIF('DADOS BRUTOS'!$A$3:$A$500,$C23,'DADOS BRUTOS'!CS$3:CS$500)))</f>
        <v>0</v>
      </c>
      <c r="FT23" s="133" t="n">
        <f aca="false">IF(OR(FT$4="",$B23=""),0,SUMIF('DADOS BRUTOS'!$A$3:$A$500,$B23,'DADOS BRUTOS'!CT$3:CT$500)+IF($C23="",0,SUMIF('DADOS BRUTOS'!$A$3:$A$500,$C23,'DADOS BRUTOS'!CT$3:CT$500)))</f>
        <v>0</v>
      </c>
      <c r="FU23" s="133" t="n">
        <f aca="false">IF(OR(FU$4="",$B23=""),0,SUMIF('DADOS BRUTOS'!$A$3:$A$500,$B23,'DADOS BRUTOS'!CU$3:CU$500)+IF($C23="",0,SUMIF('DADOS BRUTOS'!$A$3:$A$500,$C23,'DADOS BRUTOS'!CU$3:CU$500)))</f>
        <v>0</v>
      </c>
      <c r="FV23" s="133" t="n">
        <f aca="false">IF(OR(FV$4="",$B23=""),0,SUMIF('DADOS BRUTOS'!$A$3:$A$500,$B23,'DADOS BRUTOS'!CV$3:CV$500)+IF($C23="",0,SUMIF('DADOS BRUTOS'!$A$3:$A$500,$C23,'DADOS BRUTOS'!CV$3:CV$500)))</f>
        <v>0</v>
      </c>
      <c r="FW23" s="133" t="n">
        <f aca="false">IF(OR(FW$4="",$B23=""),0,SUMIF('DADOS BRUTOS'!$A$3:$A$500,$B23,'DADOS BRUTOS'!CW$3:CW$500)+IF($C23="",0,SUMIF('DADOS BRUTOS'!$A$3:$A$500,$C23,'DADOS BRUTOS'!CW$3:CW$500)))</f>
        <v>0</v>
      </c>
      <c r="FX23" s="133" t="n">
        <f aca="false">IF(OR(FX$4="",$B23=""),0,SUMIF('DADOS BRUTOS'!$A$3:$A$500,$B23,'DADOS BRUTOS'!CX$3:CX$500)+IF($C23="",0,SUMIF('DADOS BRUTOS'!$A$3:$A$500,$C23,'DADOS BRUTOS'!CX$3:CX$500)))</f>
        <v>0</v>
      </c>
      <c r="FY23" s="133" t="n">
        <f aca="false">IF(OR(FY$4="",$B23=""),0,SUMIF('DADOS BRUTOS'!$A$3:$A$500,$B23,'DADOS BRUTOS'!CY$3:CY$500)+IF($C23="",0,SUMIF('DADOS BRUTOS'!$A$3:$A$500,$C23,'DADOS BRUTOS'!CY$3:CY$500)))</f>
        <v>0</v>
      </c>
      <c r="FZ23" s="133" t="n">
        <f aca="false">IF(OR(FZ$4="",$B23=""),0,SUMIF('DADOS BRUTOS'!$A$3:$A$500,$B23,'DADOS BRUTOS'!CZ$3:CZ$500)+IF($C23="",0,SUMIF('DADOS BRUTOS'!$A$3:$A$500,$C23,'DADOS BRUTOS'!CZ$3:CZ$500)))</f>
        <v>0</v>
      </c>
      <c r="GA23" s="133" t="n">
        <f aca="false">IF(OR(GA$4="",$B23=""),0,SUMIF('DADOS BRUTOS'!$A$3:$A$500,$B23,'DADOS BRUTOS'!DA$3:DA$500)+IF($C23="",0,SUMIF('DADOS BRUTOS'!$A$3:$A$500,$C23,'DADOS BRUTOS'!DA$3:DA$500)))</f>
        <v>0</v>
      </c>
      <c r="GB23" s="133" t="n">
        <f aca="false">IF(OR(GB$4="",$B23=""),0,SUMIF('DADOS BRUTOS'!$A$3:$A$500,$B23,'DADOS BRUTOS'!DB$3:DB$500)+IF($C23="",0,SUMIF('DADOS BRUTOS'!$A$3:$A$500,$C23,'DADOS BRUTOS'!DB$3:DB$500)))</f>
        <v>0</v>
      </c>
      <c r="GC23" s="133" t="n">
        <f aca="false">IF(OR(GC$4="",$B23=""),0,SUMIF('DADOS BRUTOS'!$A$3:$A$500,$B23,'DADOS BRUTOS'!DC$3:DC$500)+IF($C23="",0,SUMIF('DADOS BRUTOS'!$A$3:$A$500,$C23,'DADOS BRUTOS'!DC$3:DC$500)))</f>
        <v>0</v>
      </c>
      <c r="GD23" s="133" t="n">
        <f aca="false">IF(OR(GD$4="",$B23=""),0,SUMIF('DADOS BRUTOS'!$A$3:$A$500,$B23,'DADOS BRUTOS'!DD$3:DD$500)+IF($C23="",0,SUMIF('DADOS BRUTOS'!$A$3:$A$500,$C23,'DADOS BRUTOS'!DD$3:DD$500)))</f>
        <v>0</v>
      </c>
      <c r="GE23" s="133" t="n">
        <f aca="false">IF(OR(GE$4="",$B23=""),0,SUMIF('DADOS BRUTOS'!$A$3:$A$500,$B23,'DADOS BRUTOS'!DE$3:DE$500)+IF($C23="",0,SUMIF('DADOS BRUTOS'!$A$3:$A$500,$C23,'DADOS BRUTOS'!DE$3:DE$500)))</f>
        <v>0</v>
      </c>
      <c r="GF23" s="133" t="n">
        <f aca="false">IF(OR(GF$4="",$B23=""),0,SUMIF('DADOS BRUTOS'!$A$3:$A$500,$B23,'DADOS BRUTOS'!DF$3:DF$500)+IF($C23="",0,SUMIF('DADOS BRUTOS'!$A$3:$A$500,$C23,'DADOS BRUTOS'!DF$3:DF$500)))</f>
        <v>0</v>
      </c>
      <c r="GG23" s="133" t="n">
        <f aca="false">IF(OR(GG$4="",$B23=""),0,SUMIF('DADOS BRUTOS'!$A$3:$A$500,$B23,'DADOS BRUTOS'!DG$3:DG$500)+IF($C23="",0,SUMIF('DADOS BRUTOS'!$A$3:$A$500,$C23,'DADOS BRUTOS'!DG$3:DG$500)))</f>
        <v>0</v>
      </c>
      <c r="GH23" s="133" t="n">
        <f aca="false">IF(OR(GH$4="",$B23=""),0,SUMIF('DADOS BRUTOS'!$A$3:$A$500,$B23,'DADOS BRUTOS'!DH$3:DH$500)+IF($C23="",0,SUMIF('DADOS BRUTOS'!$A$3:$A$500,$C23,'DADOS BRUTOS'!DH$3:DH$500)))</f>
        <v>0</v>
      </c>
      <c r="GI23" s="133" t="n">
        <f aca="false">IF(OR(GI$4="",$B23=""),0,SUMIF('DADOS BRUTOS'!$A$3:$A$500,$B23,'DADOS BRUTOS'!DI$3:DI$500)+IF($C23="",0,SUMIF('DADOS BRUTOS'!$A$3:$A$500,$C23,'DADOS BRUTOS'!DI$3:DI$500)))</f>
        <v>0</v>
      </c>
      <c r="GJ23" s="133" t="n">
        <f aca="false">IF(OR(GJ$4="",$B23=""),0,SUMIF('DADOS BRUTOS'!$A$3:$A$500,$B23,'DADOS BRUTOS'!DJ$3:DJ$500)+IF($C23="",0,SUMIF('DADOS BRUTOS'!$A$3:$A$500,$C23,'DADOS BRUTOS'!DJ$3:DJ$500)))</f>
        <v>0</v>
      </c>
      <c r="GK23" s="133" t="n">
        <f aca="false">IF(OR(GK$4="",$B23=""),0,SUMIF('DADOS BRUTOS'!$A$3:$A$500,$B23,'DADOS BRUTOS'!DK$3:DK$500)+IF($C23="",0,SUMIF('DADOS BRUTOS'!$A$3:$A$500,$C23,'DADOS BRUTOS'!DK$3:DK$500)))</f>
        <v>0</v>
      </c>
      <c r="GL23" s="133" t="n">
        <f aca="false">IF(OR(GL$4="",$B23=""),0,SUMIF('DADOS BRUTOS'!$A$3:$A$500,$B23,'DADOS BRUTOS'!DL$3:DL$500)+IF($C23="",0,SUMIF('DADOS BRUTOS'!$A$3:$A$500,$C23,'DADOS BRUTOS'!DL$3:DL$500)))</f>
        <v>0</v>
      </c>
      <c r="GM23" s="133" t="n">
        <f aca="false">IF(OR(GM$4="",$B23=""),0,SUMIF('DADOS BRUTOS'!$A$3:$A$500,$B23,'DADOS BRUTOS'!DM$3:DM$500)+IF($C23="",0,SUMIF('DADOS BRUTOS'!$A$3:$A$500,$C23,'DADOS BRUTOS'!DM$3:DM$500)))</f>
        <v>0</v>
      </c>
      <c r="GN23" s="133" t="n">
        <f aca="false">IF(OR(GN$4="",$B23=""),0,SUMIF('DADOS BRUTOS'!$A$3:$A$500,$B23,'DADOS BRUTOS'!DN$3:DN$500)+IF($C23="",0,SUMIF('DADOS BRUTOS'!$A$3:$A$500,$C23,'DADOS BRUTOS'!DN$3:DN$500)))</f>
        <v>0</v>
      </c>
      <c r="GO23" s="133" t="n">
        <f aca="false">IF(OR(GO$4="",$B23=""),0,SUMIF('DADOS BRUTOS'!$A$3:$A$500,$B23,'DADOS BRUTOS'!DO$3:DO$500)+IF($C23="",0,SUMIF('DADOS BRUTOS'!$A$3:$A$500,$C23,'DADOS BRUTOS'!DO$3:DO$500)))</f>
        <v>0</v>
      </c>
      <c r="GP23" s="133" t="n">
        <f aca="false">IF(OR(GP$4="",$B23=""),0,SUMIF('DADOS BRUTOS'!$A$3:$A$500,$B23,'DADOS BRUTOS'!DP$3:DP$500)+IF($C23="",0,SUMIF('DADOS BRUTOS'!$A$3:$A$500,$C23,'DADOS BRUTOS'!DP$3:DP$500)))</f>
        <v>0</v>
      </c>
      <c r="GQ23" s="133" t="n">
        <f aca="false">IF(OR(GQ$4="",$B23=""),0,SUMIF('DADOS BRUTOS'!$A$3:$A$500,$B23,'DADOS BRUTOS'!DQ$3:DQ$500)+IF($C23="",0,SUMIF('DADOS BRUTOS'!$A$3:$A$500,$C23,'DADOS BRUTOS'!DQ$3:DQ$500)))</f>
        <v>0</v>
      </c>
      <c r="GR23" s="133" t="n">
        <f aca="false">IF(OR(GR$4="",$B23=""),0,SUMIF('DADOS BRUTOS'!$A$3:$A$500,$B23,'DADOS BRUTOS'!DR$3:DR$500)+IF($C23="",0,SUMIF('DADOS BRUTOS'!$A$3:$A$500,$C23,'DADOS BRUTOS'!DR$3:DR$500)))</f>
        <v>0</v>
      </c>
      <c r="GS23" s="133" t="n">
        <f aca="false">IF(OR(GS$4="",$B23=""),0,SUMIF('DADOS BRUTOS'!$A$3:$A$500,$B23,'DADOS BRUTOS'!DS$3:DS$500)+IF($C23="",0,SUMIF('DADOS BRUTOS'!$A$3:$A$500,$C23,'DADOS BRUTOS'!DS$3:DS$500)))</f>
        <v>0</v>
      </c>
      <c r="GT23" s="133" t="n">
        <f aca="false">IF(OR(GT$4="",$B23=""),0,SUMIF('DADOS BRUTOS'!$A$3:$A$500,$B23,'DADOS BRUTOS'!DT$3:DT$500)+IF($C23="",0,SUMIF('DADOS BRUTOS'!$A$3:$A$500,$C23,'DADOS BRUTOS'!DT$3:DT$500)))</f>
        <v>0</v>
      </c>
      <c r="GU23" s="133" t="n">
        <f aca="false">IF(OR(GU$4="",$B23=""),0,SUMIF('DADOS BRUTOS'!$A$3:$A$500,$B23,'DADOS BRUTOS'!DU$3:DU$500)+IF($C23="",0,SUMIF('DADOS BRUTOS'!$A$3:$A$500,$C23,'DADOS BRUTOS'!DU$3:DU$500)))</f>
        <v>0</v>
      </c>
      <c r="GV23" s="133" t="n">
        <f aca="false">IF(OR(GV$4="",$B23=""),0,SUMIF('DADOS BRUTOS'!$A$3:$A$500,$B23,'DADOS BRUTOS'!DV$3:DV$500)+IF($C23="",0,SUMIF('DADOS BRUTOS'!$A$3:$A$500,$C23,'DADOS BRUTOS'!DV$3:DV$500)))</f>
        <v>0</v>
      </c>
      <c r="GW23" s="133" t="n">
        <f aca="false">IF(OR(GW$4="",$B23=""),0,SUMIF('DADOS BRUTOS'!$A$3:$A$500,$B23,'DADOS BRUTOS'!DW$3:DW$500)+IF($C23="",0,SUMIF('DADOS BRUTOS'!$A$3:$A$500,$C23,'DADOS BRUTOS'!DW$3:DW$500)))</f>
        <v>0</v>
      </c>
      <c r="GX23" s="133" t="n">
        <f aca="false">IF(OR(GX$4="",$B23=""),0,SUMIF('DADOS BRUTOS'!$A$3:$A$500,$B23,'DADOS BRUTOS'!DX$3:DX$500)+IF($C23="",0,SUMIF('DADOS BRUTOS'!$A$3:$A$500,$C23,'DADOS BRUTOS'!DX$3:DX$500)))</f>
        <v>0</v>
      </c>
      <c r="GY23" s="133" t="n">
        <f aca="false">IF(OR(GY$4="",$B23=""),0,SUMIF('DADOS BRUTOS'!$A$3:$A$500,$B23,'DADOS BRUTOS'!DY$3:DY$500)+IF($C23="",0,SUMIF('DADOS BRUTOS'!$A$3:$A$500,$C23,'DADOS BRUTOS'!DY$3:DY$500)))</f>
        <v>0</v>
      </c>
      <c r="GZ23" s="133" t="n">
        <f aca="false">IF(OR(GZ$4="",$B23=""),0,SUMIF('DADOS BRUTOS'!$A$3:$A$500,$B23,'DADOS BRUTOS'!DZ$3:DZ$500)+IF($C23="",0,SUMIF('DADOS BRUTOS'!$A$3:$A$500,$C23,'DADOS BRUTOS'!DZ$3:DZ$500)))</f>
        <v>0</v>
      </c>
      <c r="HA23" s="133" t="n">
        <f aca="false">IF(OR(HA$4="",$B23=""),0,SUMIF('DADOS BRUTOS'!$A$3:$A$500,$B23,'DADOS BRUTOS'!EA$3:EA$500)+IF($C23="",0,SUMIF('DADOS BRUTOS'!$A$3:$A$500,$C23,'DADOS BRUTOS'!EA$3:EA$500)))</f>
        <v>0</v>
      </c>
      <c r="HB23" s="133" t="n">
        <f aca="false">IF(OR(HB$4="",$B23=""),0,SUMIF('DADOS BRUTOS'!$A$3:$A$500,$B23,'DADOS BRUTOS'!EB$3:EB$500)+IF($C23="",0,SUMIF('DADOS BRUTOS'!$A$3:$A$500,$C23,'DADOS BRUTOS'!EB$3:EB$500)))</f>
        <v>0</v>
      </c>
      <c r="HC23" s="133" t="n">
        <f aca="false">IF(OR(HC$4="",$B23=""),0,SUMIF('DADOS BRUTOS'!$A$3:$A$500,$B23,'DADOS BRUTOS'!EC$3:EC$500)+IF($C23="",0,SUMIF('DADOS BRUTOS'!$A$3:$A$500,$C23,'DADOS BRUTOS'!EC$3:EC$500)))</f>
        <v>0</v>
      </c>
      <c r="HD23" s="133" t="n">
        <f aca="false">IF(OR(HD$4="",$B23=""),0,SUMIF('DADOS BRUTOS'!$A$3:$A$500,$B23,'DADOS BRUTOS'!ED$3:ED$500)+IF($C23="",0,SUMIF('DADOS BRUTOS'!$A$3:$A$500,$C23,'DADOS BRUTOS'!ED$3:ED$500)))</f>
        <v>0</v>
      </c>
      <c r="HE23" s="133" t="n">
        <f aca="false">IF(OR(HE$4="",$B23=""),0,SUMIF('DADOS BRUTOS'!$A$3:$A$500,$B23,'DADOS BRUTOS'!EE$3:EE$500)+IF($C23="",0,SUMIF('DADOS BRUTOS'!$A$3:$A$500,$C23,'DADOS BRUTOS'!EE$3:EE$500)))</f>
        <v>0</v>
      </c>
      <c r="HF23" s="133" t="n">
        <f aca="false">IF(OR(HF$4="",$B23=""),0,SUMIF('DADOS BRUTOS'!$A$3:$A$500,$B23,'DADOS BRUTOS'!EF$3:EF$500)+IF($C23="",0,SUMIF('DADOS BRUTOS'!$A$3:$A$500,$C23,'DADOS BRUTOS'!EF$3:EF$500)))</f>
        <v>0</v>
      </c>
      <c r="HG23" s="133" t="n">
        <f aca="false">IF(OR(HG$4="",$B23=""),0,SUMIF('DADOS BRUTOS'!$A$3:$A$500,$B23,'DADOS BRUTOS'!EG$3:EG$500)+IF($C23="",0,SUMIF('DADOS BRUTOS'!$A$3:$A$500,$C23,'DADOS BRUTOS'!EG$3:EG$500)))</f>
        <v>0</v>
      </c>
      <c r="HH23" s="133" t="n">
        <f aca="false">IF(OR(HH$4="",$B23=""),0,SUMIF('DADOS BRUTOS'!$A$3:$A$500,$B23,'DADOS BRUTOS'!EH$3:EH$500)+IF($C23="",0,SUMIF('DADOS BRUTOS'!$A$3:$A$500,$C23,'DADOS BRUTOS'!EH$3:EH$500)))</f>
        <v>0</v>
      </c>
      <c r="HI23" s="133" t="n">
        <f aca="false">IF(OR(HI$4="",$B23=""),0,SUMIF('DADOS BRUTOS'!$A$3:$A$500,$B23,'DADOS BRUTOS'!EI$3:EI$500)+IF($C23="",0,SUMIF('DADOS BRUTOS'!$A$3:$A$500,$C23,'DADOS BRUTOS'!EI$3:EI$500)))</f>
        <v>0</v>
      </c>
      <c r="HJ23" s="133" t="n">
        <f aca="false">IF(OR(HJ$4="",$B23=""),0,SUMIF('DADOS BRUTOS'!$A$3:$A$500,$B23,'DADOS BRUTOS'!EJ$3:EJ$500)+IF($C23="",0,SUMIF('DADOS BRUTOS'!$A$3:$A$500,$C23,'DADOS BRUTOS'!EJ$3:EJ$500)))</f>
        <v>0</v>
      </c>
      <c r="HK23" s="133" t="n">
        <f aca="false">IF(OR(HK$4="",$B23=""),0,SUMIF('DADOS BRUTOS'!$A$3:$A$500,$B23,'DADOS BRUTOS'!EK$3:EK$500)+IF($C23="",0,SUMIF('DADOS BRUTOS'!$A$3:$A$500,$C23,'DADOS BRUTOS'!EK$3:EK$500)))</f>
        <v>0</v>
      </c>
      <c r="HL23" s="133" t="n">
        <f aca="false">IF(OR(HL$4="",$B23=""),0,SUMIF('DADOS BRUTOS'!$A$3:$A$500,$B23,'DADOS BRUTOS'!EL$3:EL$500)+IF($C23="",0,SUMIF('DADOS BRUTOS'!$A$3:$A$500,$C23,'DADOS BRUTOS'!EL$3:EL$500)))</f>
        <v>0</v>
      </c>
      <c r="HM23" s="133" t="n">
        <f aca="false">IF(OR(HM$4="",$B23=""),0,SUMIF('DADOS BRUTOS'!$A$3:$A$500,$B23,'DADOS BRUTOS'!EM$3:EM$500)+IF($C23="",0,SUMIF('DADOS BRUTOS'!$A$3:$A$500,$C23,'DADOS BRUTOS'!EM$3:EM$500)))</f>
        <v>0</v>
      </c>
      <c r="HN23" s="133" t="n">
        <f aca="false">IF(OR(HN$4="",$B23=""),0,SUMIF('DADOS BRUTOS'!$A$3:$A$500,$B23,'DADOS BRUTOS'!EN$3:EN$500)+IF($C23="",0,SUMIF('DADOS BRUTOS'!$A$3:$A$500,$C23,'DADOS BRUTOS'!EN$3:EN$500)))</f>
        <v>0</v>
      </c>
      <c r="HO23" s="133" t="n">
        <f aca="false">IF(OR(HO$4="",$B23=""),0,SUMIF('DADOS BRUTOS'!$A$3:$A$500,$B23,'DADOS BRUTOS'!EO$3:EO$500)+IF($C23="",0,SUMIF('DADOS BRUTOS'!$A$3:$A$500,$C23,'DADOS BRUTOS'!EO$3:EO$500)))</f>
        <v>0</v>
      </c>
      <c r="HP23" s="133" t="n">
        <f aca="false">IF(OR(HP$4="",$B23=""),0,SUMIF('DADOS BRUTOS'!$A$3:$A$500,$B23,'DADOS BRUTOS'!EP$3:EP$500)+IF($C23="",0,SUMIF('DADOS BRUTOS'!$A$3:$A$500,$C23,'DADOS BRUTOS'!EP$3:EP$500)))</f>
        <v>0</v>
      </c>
      <c r="HQ23" s="133" t="n">
        <f aca="false">IF(OR(HQ$4="",$B23=""),0,SUMIF('DADOS BRUTOS'!$A$3:$A$500,$B23,'DADOS BRUTOS'!EQ$3:EQ$500)+IF($C23="",0,SUMIF('DADOS BRUTOS'!$A$3:$A$500,$C23,'DADOS BRUTOS'!EQ$3:EQ$500)))</f>
        <v>0</v>
      </c>
      <c r="HR23" s="133" t="n">
        <f aca="false">IF(OR(HR$4="",$B23=""),0,SUMIF('DADOS BRUTOS'!$A$3:$A$500,$B23,'DADOS BRUTOS'!ER$3:ER$500)+IF($C23="",0,SUMIF('DADOS BRUTOS'!$A$3:$A$500,$C23,'DADOS BRUTOS'!ER$3:ER$500)))</f>
        <v>0</v>
      </c>
      <c r="HS23" s="133" t="n">
        <f aca="false">IF(OR(HS$4="",$B23=""),0,SUMIF('DADOS BRUTOS'!$A$3:$A$500,$B23,'DADOS BRUTOS'!ES$3:ES$500)+IF($C23="",0,SUMIF('DADOS BRUTOS'!$A$3:$A$500,$C23,'DADOS BRUTOS'!ES$3:ES$500)))</f>
        <v>0</v>
      </c>
      <c r="HT23" s="133" t="n">
        <f aca="false">IF(OR(HT$4="",$B23=""),0,SUMIF('DADOS BRUTOS'!$A$3:$A$500,$B23,'DADOS BRUTOS'!ET$3:ET$500)+IF($C23="",0,SUMIF('DADOS BRUTOS'!$A$3:$A$500,$C23,'DADOS BRUTOS'!ET$3:ET$500)))</f>
        <v>0</v>
      </c>
      <c r="HU23" s="133" t="n">
        <f aca="false">IF(OR(HU$4="",$B23=""),0,SUMIF('DADOS BRUTOS'!$A$3:$A$500,$B23,'DADOS BRUTOS'!EU$3:EU$500)+IF($C23="",0,SUMIF('DADOS BRUTOS'!$A$3:$A$500,$C23,'DADOS BRUTOS'!EU$3:EU$500)))</f>
        <v>0</v>
      </c>
      <c r="HV23" s="133" t="n">
        <f aca="false">IF(OR(HV$4="",$B23=""),0,SUMIF('DADOS BRUTOS'!$A$3:$A$500,$B23,'DADOS BRUTOS'!EV$3:EV$500)+IF($C23="",0,SUMIF('DADOS BRUTOS'!$A$3:$A$500,$C23,'DADOS BRUTOS'!EV$3:EV$500)))</f>
        <v>0</v>
      </c>
      <c r="HW23" s="133" t="n">
        <f aca="false">IF(OR(HW$4="",$B23=""),0,SUMIF('DADOS BRUTOS'!$A$3:$A$500,$B23,'DADOS BRUTOS'!EW$3:EW$500)+IF($C23="",0,SUMIF('DADOS BRUTOS'!$A$3:$A$500,$C23,'DADOS BRUTOS'!EW$3:EW$500)))</f>
        <v>0</v>
      </c>
      <c r="HX23" s="133" t="n">
        <f aca="false">IF(OR(HX$4="",$B23=""),0,SUMIF('DADOS BRUTOS'!$A$3:$A$500,$B23,'DADOS BRUTOS'!EX$3:EX$500)+IF($C23="",0,SUMIF('DADOS BRUTOS'!$A$3:$A$500,$C23,'DADOS BRUTOS'!EX$3:EX$500)))</f>
        <v>0</v>
      </c>
      <c r="HY23" s="133" t="n">
        <f aca="false">IF(OR(HY$4="",$B23=""),0,SUMIF('DADOS BRUTOS'!$A$3:$A$500,$B23,'DADOS BRUTOS'!EY$3:EY$500)+IF($C23="",0,SUMIF('DADOS BRUTOS'!$A$3:$A$500,$C23,'DADOS BRUTOS'!EY$3:EY$500)))</f>
        <v>0</v>
      </c>
      <c r="HZ23" s="133" t="n">
        <f aca="false">IF(OR(HZ$4="",$B23=""),0,SUMIF('DADOS BRUTOS'!$A$3:$A$500,$B23,'DADOS BRUTOS'!EZ$3:EZ$500)+IF($C23="",0,SUMIF('DADOS BRUTOS'!$A$3:$A$500,$C23,'DADOS BRUTOS'!EZ$3:EZ$500)))</f>
        <v>0</v>
      </c>
      <c r="IA23" s="133" t="n">
        <f aca="false">IF(OR(IA$4="",$B23=""),0,SUMIF('DADOS BRUTOS'!$A$3:$A$500,$B23,'DADOS BRUTOS'!FA$3:FA$500)+IF($C23="",0,SUMIF('DADOS BRUTOS'!$A$3:$A$500,$C23,'DADOS BRUTOS'!FA$3:FA$500)))</f>
        <v>0</v>
      </c>
      <c r="IB23" s="133" t="n">
        <f aca="false">IF(OR(IB$4="",$B23=""),0,SUMIF('DADOS BRUTOS'!$A$3:$A$500,$B23,'DADOS BRUTOS'!FB$3:FB$500)+IF($C23="",0,SUMIF('DADOS BRUTOS'!$A$3:$A$500,$C23,'DADOS BRUTOS'!FB$3:FB$500)))</f>
        <v>0</v>
      </c>
      <c r="IC23" s="133" t="n">
        <f aca="false">IF(OR(IC$4="",$B23=""),0,SUMIF('DADOS BRUTOS'!$A$3:$A$500,$B23,'DADOS BRUTOS'!FC$3:FC$500)+IF($C23="",0,SUMIF('DADOS BRUTOS'!$A$3:$A$500,$C23,'DADOS BRUTOS'!FC$3:FC$500)))</f>
        <v>0</v>
      </c>
      <c r="ID23" s="133" t="n">
        <f aca="false">IF(OR(ID$4="",$B23=""),0,SUMIF('DADOS BRUTOS'!$A$3:$A$500,$B23,'DADOS BRUTOS'!FD$3:FD$500)+IF($C23="",0,SUMIF('DADOS BRUTOS'!$A$3:$A$500,$C23,'DADOS BRUTOS'!FD$3:FD$500)))</f>
        <v>0</v>
      </c>
      <c r="IE23" s="133" t="n">
        <f aca="false">IF(OR(IE$4="",$B23=""),0,SUMIF('DADOS BRUTOS'!$A$3:$A$500,$B23,'DADOS BRUTOS'!FE$3:FE$500)+IF($C23="",0,SUMIF('DADOS BRUTOS'!$A$3:$A$500,$C23,'DADOS BRUTOS'!FE$3:FE$500)))</f>
        <v>0</v>
      </c>
      <c r="IF23" s="133" t="n">
        <f aca="false">IF(OR(IF$4="",$B23=""),0,SUMIF('DADOS BRUTOS'!$A$3:$A$500,$B23,'DADOS BRUTOS'!FF$3:FF$500)+IF($C23="",0,SUMIF('DADOS BRUTOS'!$A$3:$A$500,$C23,'DADOS BRUTOS'!FF$3:FF$500)))</f>
        <v>0</v>
      </c>
      <c r="IG23" s="133" t="n">
        <f aca="false">IF(OR(IG$4="",$B23=""),0,SUMIF('DADOS BRUTOS'!$A$3:$A$500,$B23,'DADOS BRUTOS'!FG$3:FG$500)+IF($C23="",0,SUMIF('DADOS BRUTOS'!$A$3:$A$500,$C23,'DADOS BRUTOS'!FG$3:FG$500)))</f>
        <v>0</v>
      </c>
      <c r="IH23" s="133" t="n">
        <f aca="false">IF(OR(IH$4="",$B23=""),0,SUMIF('DADOS BRUTOS'!$A$3:$A$500,$B23,'DADOS BRUTOS'!FH$3:FH$500)+IF($C23="",0,SUMIF('DADOS BRUTOS'!$A$3:$A$500,$C23,'DADOS BRUTOS'!FH$3:FH$500)))</f>
        <v>0</v>
      </c>
      <c r="II23" s="133" t="n">
        <f aca="false">IF(OR(II$4="",$B23=""),0,SUMIF('DADOS BRUTOS'!$A$3:$A$500,$B23,'DADOS BRUTOS'!FI$3:FI$500)+IF($C23="",0,SUMIF('DADOS BRUTOS'!$A$3:$A$500,$C23,'DADOS BRUTOS'!FI$3:FI$500)))</f>
        <v>0</v>
      </c>
      <c r="IJ23" s="133" t="n">
        <f aca="false">IF(OR(IJ$4="",$B23=""),0,SUMIF('DADOS BRUTOS'!$A$3:$A$500,$B23,'DADOS BRUTOS'!FJ$3:FJ$500)+IF($C23="",0,SUMIF('DADOS BRUTOS'!$A$3:$A$500,$C23,'DADOS BRUTOS'!FJ$3:FJ$500)))</f>
        <v>0</v>
      </c>
      <c r="IK23" s="133" t="n">
        <f aca="false">IF(OR(IK$4="",$B23=""),0,SUMIF('DADOS BRUTOS'!$A$3:$A$500,$B23,'DADOS BRUTOS'!FK$3:FK$500)+IF($C23="",0,SUMIF('DADOS BRUTOS'!$A$3:$A$500,$C23,'DADOS BRUTOS'!FK$3:FK$500)))</f>
        <v>0</v>
      </c>
      <c r="IL23" s="133" t="n">
        <f aca="false">IF(OR(IL$4="",$B23=""),0,SUMIF('DADOS BRUTOS'!$A$3:$A$500,$B23,'DADOS BRUTOS'!FL$3:FL$500)+IF($C23="",0,SUMIF('DADOS BRUTOS'!$A$3:$A$500,$C23,'DADOS BRUTOS'!FL$3:FL$500)))</f>
        <v>0</v>
      </c>
      <c r="IM23" s="133" t="n">
        <f aca="false">IF(OR(IM$4="",$B23=""),0,SUMIF('DADOS BRUTOS'!$A$3:$A$500,$B23,'DADOS BRUTOS'!FM$3:FM$500)+IF($C23="",0,SUMIF('DADOS BRUTOS'!$A$3:$A$500,$C23,'DADOS BRUTOS'!FM$3:FM$500)))</f>
        <v>0</v>
      </c>
      <c r="IN23" s="133" t="n">
        <f aca="false">IF(OR(IN$4="",$B23=""),0,SUMIF('DADOS BRUTOS'!$A$3:$A$500,$B23,'DADOS BRUTOS'!FN$3:FN$500)+IF($C23="",0,SUMIF('DADOS BRUTOS'!$A$3:$A$500,$C23,'DADOS BRUTOS'!FN$3:FN$500)))</f>
        <v>0</v>
      </c>
      <c r="IO23" s="133" t="n">
        <f aca="false">IF(OR(IO$4="",$B23=""),0,SUMIF('DADOS BRUTOS'!$A$3:$A$500,$B23,'DADOS BRUTOS'!FO$3:FO$500)+IF($C23="",0,SUMIF('DADOS BRUTOS'!$A$3:$A$500,$C23,'DADOS BRUTOS'!FO$3:FO$500)))</f>
        <v>0</v>
      </c>
      <c r="IP23" s="133" t="n">
        <f aca="false">IF(OR(IP$4="",$B23=""),0,SUMIF('DADOS BRUTOS'!$A$3:$A$500,$B23,'DADOS BRUTOS'!FP$3:FP$500)+IF($C23="",0,SUMIF('DADOS BRUTOS'!$A$3:$A$500,$C23,'DADOS BRUTOS'!FP$3:FP$500)))</f>
        <v>0</v>
      </c>
      <c r="IQ23" s="133" t="n">
        <f aca="false">IF(OR(IQ$4="",$B23=""),0,SUMIF('DADOS BRUTOS'!$A$3:$A$500,$B23,'DADOS BRUTOS'!FQ$3:FQ$500)+IF($C23="",0,SUMIF('DADOS BRUTOS'!$A$3:$A$500,$C23,'DADOS BRUTOS'!FQ$3:FQ$500)))</f>
        <v>0</v>
      </c>
      <c r="IR23" s="133" t="n">
        <f aca="false">IF(OR(IR$4="",$B23=""),0,SUMIF('DADOS BRUTOS'!$A$3:$A$500,$B23,'DADOS BRUTOS'!FR$3:FR$500)+IF($C23="",0,SUMIF('DADOS BRUTOS'!$A$3:$A$500,$C23,'DADOS BRUTOS'!FR$3:FR$500)))</f>
        <v>0</v>
      </c>
      <c r="IS23" s="133" t="n">
        <f aca="false">IF(OR(IS$4="",$B23=""),0,SUMIF('DADOS BRUTOS'!$A$3:$A$500,$B23,'DADOS BRUTOS'!FS$3:FS$500)+IF($C23="",0,SUMIF('DADOS BRUTOS'!$A$3:$A$500,$C23,'DADOS BRUTOS'!FS$3:FS$500)))</f>
        <v>0</v>
      </c>
      <c r="IT23" s="133" t="n">
        <f aca="false">IF(OR(IT$4="",$B23=""),0,SUMIF('DADOS BRUTOS'!$A$3:$A$500,$B23,'DADOS BRUTOS'!FT$3:FT$500)+IF($C23="",0,SUMIF('DADOS BRUTOS'!$A$3:$A$500,$C23,'DADOS BRUTOS'!FT$3:FT$500)))</f>
        <v>0</v>
      </c>
      <c r="IU23" s="133" t="n">
        <f aca="false">IF(OR(IU$4="",$B23=""),0,SUMIF('DADOS BRUTOS'!$A$3:$A$500,$B23,'DADOS BRUTOS'!FU$3:FU$500)+IF($C23="",0,SUMIF('DADOS BRUTOS'!$A$3:$A$500,$C23,'DADOS BRUTOS'!FU$3:FU$500)))</f>
        <v>0</v>
      </c>
      <c r="IV23" s="133" t="n">
        <f aca="false">IF(OR(IV$4="",$B23=""),0,SUMIF('DADOS BRUTOS'!$A$3:$A$500,$B23,'DADOS BRUTOS'!FV$3:FV$500)+IF($C23="",0,SUMIF('DADOS BRUTOS'!$A$3:$A$500,$C23,'DADOS BRUTOS'!FV$3:FV$500)))</f>
        <v>0</v>
      </c>
      <c r="IW23" s="133" t="n">
        <f aca="false">IF(OR(IW$4="",$B23=""),0,SUMIF('DADOS BRUTOS'!$A$3:$A$500,$B23,'DADOS BRUTOS'!FW$3:FW$500)+IF($C23="",0,SUMIF('DADOS BRUTOS'!$A$3:$A$500,$C23,'DADOS BRUTOS'!FW$3:FW$500)))</f>
        <v>0</v>
      </c>
      <c r="IX23" s="133" t="n">
        <f aca="false">IF(OR(IX$4="",$B23=""),0,SUMIF('DADOS BRUTOS'!$A$3:$A$500,$B23,'DADOS BRUTOS'!FX$3:FX$500)+IF($C23="",0,SUMIF('DADOS BRUTOS'!$A$3:$A$500,$C23,'DADOS BRUTOS'!FX$3:FX$500)))</f>
        <v>0</v>
      </c>
      <c r="IY23" s="133" t="n">
        <f aca="false">IF(OR(IY$4="",$B23=""),0,SUMIF('DADOS BRUTOS'!$A$3:$A$500,$B23,'DADOS BRUTOS'!FY$3:FY$500)+IF($C23="",0,SUMIF('DADOS BRUTOS'!$A$3:$A$500,$C23,'DADOS BRUTOS'!FY$3:FY$500)))</f>
        <v>0</v>
      </c>
      <c r="IZ23" s="133" t="n">
        <f aca="false">IF(OR(IZ$4="",$B23=""),0,SUMIF('DADOS BRUTOS'!$A$3:$A$500,$B23,'DADOS BRUTOS'!FZ$3:FZ$500)+IF($C23="",0,SUMIF('DADOS BRUTOS'!$A$3:$A$500,$C23,'DADOS BRUTOS'!FZ$3:FZ$500)))</f>
        <v>0</v>
      </c>
      <c r="JA23" s="133" t="n">
        <f aca="false">IF(OR(JA$4="",$B23=""),0,SUMIF('DADOS BRUTOS'!$A$3:$A$500,$B23,'DADOS BRUTOS'!GA$3:GA$500)+IF($C23="",0,SUMIF('DADOS BRUTOS'!$A$3:$A$500,$C23,'DADOS BRUTOS'!GA$3:GA$500)))</f>
        <v>0</v>
      </c>
      <c r="JB23" s="133" t="n">
        <f aca="false">IF(OR(JB$4="",$B23=""),0,SUMIF('DADOS BRUTOS'!$A$3:$A$500,$B23,'DADOS BRUTOS'!GB$3:GB$500)+IF($C23="",0,SUMIF('DADOS BRUTOS'!$A$3:$A$500,$C23,'DADOS BRUTOS'!GB$3:GB$500)))</f>
        <v>0</v>
      </c>
      <c r="JC23" s="133" t="n">
        <f aca="false">IF(OR(JC$4="",$B23=""),0,SUMIF('DADOS BRUTOS'!$A$3:$A$500,$B23,'DADOS BRUTOS'!GC$3:GC$500)+IF($C23="",0,SUMIF('DADOS BRUTOS'!$A$3:$A$500,$C23,'DADOS BRUTOS'!GC$3:GC$500)))</f>
        <v>0</v>
      </c>
      <c r="JD23" s="133" t="n">
        <f aca="false">IF(OR(JD$4="",$B23=""),0,SUMIF('DADOS BRUTOS'!$A$3:$A$500,$B23,'DADOS BRUTOS'!GD$3:GD$500)+IF($C23="",0,SUMIF('DADOS BRUTOS'!$A$3:$A$500,$C23,'DADOS BRUTOS'!GD$3:GD$500)))</f>
        <v>0</v>
      </c>
      <c r="JE23" s="133" t="n">
        <f aca="false">IF(OR(JE$4="",$B23=""),0,SUMIF('DADOS BRUTOS'!$A$3:$A$500,$B23,'DADOS BRUTOS'!GE$3:GE$500)+IF($C23="",0,SUMIF('DADOS BRUTOS'!$A$3:$A$500,$C23,'DADOS BRUTOS'!GE$3:GE$500)))</f>
        <v>0</v>
      </c>
      <c r="JF23" s="133" t="n">
        <f aca="false">IF(OR(JF$4="",$B23=""),0,SUMIF('DADOS BRUTOS'!$A$3:$A$500,$B23,'DADOS BRUTOS'!GF$3:GF$500)+IF($C23="",0,SUMIF('DADOS BRUTOS'!$A$3:$A$500,$C23,'DADOS BRUTOS'!GF$3:GF$500)))</f>
        <v>0</v>
      </c>
      <c r="JG23" s="133" t="n">
        <f aca="false">IF(OR(JG$4="",$B23=""),0,SUMIF('DADOS BRUTOS'!$A$3:$A$500,$B23,'DADOS BRUTOS'!GG$3:GG$500)+IF($C23="",0,SUMIF('DADOS BRUTOS'!$A$3:$A$500,$C23,'DADOS BRUTOS'!GG$3:GG$500)))</f>
        <v>0</v>
      </c>
      <c r="JH23" s="133" t="n">
        <f aca="false">IF(OR(JH$4="",$B23=""),0,SUMIF('DADOS BRUTOS'!$A$3:$A$500,$B23,'DADOS BRUTOS'!GH$3:GH$500)+IF($C23="",0,SUMIF('DADOS BRUTOS'!$A$3:$A$500,$C23,'DADOS BRUTOS'!GH$3:GH$500)))</f>
        <v>0</v>
      </c>
      <c r="JI23" s="133" t="n">
        <f aca="false">IF(OR(JI$4="",$B23=""),0,SUMIF('DADOS BRUTOS'!$A$3:$A$500,$B23,'DADOS BRUTOS'!GI$3:GI$500)+IF($C23="",0,SUMIF('DADOS BRUTOS'!$A$3:$A$500,$C23,'DADOS BRUTOS'!GI$3:GI$500)))</f>
        <v>0</v>
      </c>
      <c r="JJ23" s="133" t="n">
        <f aca="false">IF(OR(JJ$4="",$B23=""),0,SUMIF('DADOS BRUTOS'!$A$3:$A$500,$B23,'DADOS BRUTOS'!GJ$3:GJ$500)+IF($C23="",0,SUMIF('DADOS BRUTOS'!$A$3:$A$500,$C23,'DADOS BRUTOS'!GJ$3:GJ$500)))</f>
        <v>0</v>
      </c>
      <c r="JK23" s="133" t="n">
        <f aca="false">IF(OR(JK$4="",$B23=""),0,SUMIF('DADOS BRUTOS'!$A$3:$A$500,$B23,'DADOS BRUTOS'!GK$3:GK$500)+IF($C23="",0,SUMIF('DADOS BRUTOS'!$A$3:$A$500,$C23,'DADOS BRUTOS'!GK$3:GK$500)))</f>
        <v>0</v>
      </c>
      <c r="JL23" s="133" t="n">
        <f aca="false">IF(OR(JL$4="",$B23=""),0,SUMIF('DADOS BRUTOS'!$A$3:$A$500,$B23,'DADOS BRUTOS'!GL$3:GL$500)+IF($C23="",0,SUMIF('DADOS BRUTOS'!$A$3:$A$500,$C23,'DADOS BRUTOS'!GL$3:GL$500)))</f>
        <v>0</v>
      </c>
      <c r="JM23" s="133" t="n">
        <f aca="false">IF(OR(JM$4="",$B23=""),0,SUMIF('DADOS BRUTOS'!$A$3:$A$500,$B23,'DADOS BRUTOS'!GM$3:GM$500)+IF($C23="",0,SUMIF('DADOS BRUTOS'!$A$3:$A$500,$C23,'DADOS BRUTOS'!GM$3:GM$500)))</f>
        <v>0</v>
      </c>
      <c r="JN23" s="133" t="n">
        <f aca="false">IF(OR(JN$4="",$B23=""),0,SUMIF('DADOS BRUTOS'!$A$3:$A$500,$B23,'DADOS BRUTOS'!GN$3:GN$500)+IF($C23="",0,SUMIF('DADOS BRUTOS'!$A$3:$A$500,$C23,'DADOS BRUTOS'!GN$3:GN$500)))</f>
        <v>0</v>
      </c>
      <c r="JO23" s="133" t="n">
        <f aca="false">IF(OR(JO$4="",$B23=""),0,SUMIF('DADOS BRUTOS'!$A$3:$A$500,$B23,'DADOS BRUTOS'!GO$3:GO$500)+IF($C23="",0,SUMIF('DADOS BRUTOS'!$A$3:$A$500,$C23,'DADOS BRUTOS'!GO$3:GO$500)))</f>
        <v>0</v>
      </c>
      <c r="JP23" s="133" t="n">
        <f aca="false">IF(OR(JP$4="",$B23=""),0,SUMIF('DADOS BRUTOS'!$A$3:$A$500,$B23,'DADOS BRUTOS'!GP$3:GP$500)+IF($C23="",0,SUMIF('DADOS BRUTOS'!$A$3:$A$500,$C23,'DADOS BRUTOS'!GP$3:GP$500)))</f>
        <v>0</v>
      </c>
      <c r="JQ23" s="133" t="n">
        <f aca="false">IF(OR(JQ$4="",$B23=""),0,SUMIF('DADOS BRUTOS'!$A$3:$A$500,$B23,'DADOS BRUTOS'!GQ$3:GQ$500)+IF($C23="",0,SUMIF('DADOS BRUTOS'!$A$3:$A$500,$C23,'DADOS BRUTOS'!GQ$3:GQ$500)))</f>
        <v>0</v>
      </c>
      <c r="JR23" s="133" t="n">
        <f aca="false">IF(OR(JR$4="",$B23=""),0,SUMIF('DADOS BRUTOS'!$A$3:$A$500,$B23,'DADOS BRUTOS'!GR$3:GR$500)+IF($C23="",0,SUMIF('DADOS BRUTOS'!$A$3:$A$500,$C23,'DADOS BRUTOS'!GR$3:GR$500)))</f>
        <v>0</v>
      </c>
      <c r="JS23" s="133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0</v>
      </c>
      <c r="H24" s="50" t="n">
        <f aca="false">SUMIF($CB$4:$JS$4,H$4,$CB24:$JS24)</f>
        <v>0</v>
      </c>
      <c r="I24" s="50" t="n">
        <f aca="false">SUMIF($CB$4:$JS$4,I$4,$CB24:$JS24)</f>
        <v>0</v>
      </c>
      <c r="J24" s="50" t="n">
        <f aca="false">SUMIF($CB$4:$JS$4,J$4,$CB24:$JS24)</f>
        <v>0</v>
      </c>
      <c r="K24" s="50" t="n">
        <f aca="false">SUMIF($CB$4:$JS$4,K$4,$CB24:$JS24)</f>
        <v>0</v>
      </c>
      <c r="L24" s="50" t="n">
        <f aca="false">SUMIF($CB$4:$JS$4,L$4,$CB24:$JS24)</f>
        <v>0</v>
      </c>
      <c r="M24" s="50" t="n">
        <f aca="false">SUMIF($CB$4:$JS$4,M$4,$CB24:$JS24)</f>
        <v>0</v>
      </c>
      <c r="N24" s="50" t="n">
        <f aca="false">SUMIF($CB$4:$JS$4,N$4,$CB24:$JS24)</f>
        <v>2235.2</v>
      </c>
      <c r="O24" s="50" t="n">
        <f aca="false">SUMIF($CB$4:$JS$4,O$4,$CB24:$JS24)</f>
        <v>0</v>
      </c>
      <c r="P24" s="50" t="n">
        <f aca="false">SUMIF($CB$4:$JS$4,P$4,$CB24:$JS24)</f>
        <v>0</v>
      </c>
      <c r="Q24" s="50" t="n">
        <f aca="false">SUMIF($CB$4:$JS$4,Q$4,$CB24:$JS24)</f>
        <v>0</v>
      </c>
      <c r="R24" s="50" t="n">
        <f aca="false">SUMIF($CB$4:$JS$4,R$4,$CB24:$JS24)</f>
        <v>0</v>
      </c>
      <c r="S24" s="50" t="n">
        <f aca="false">SUMIF($CB$4:$JS$4,S$4,$CB24:$JS24)</f>
        <v>0</v>
      </c>
      <c r="T24" s="50" t="n">
        <f aca="false">SUMIF($CB$4:$JS$4,T$4,$CB24:$JS24)</f>
        <v>209001.57</v>
      </c>
      <c r="U24" s="50" t="n">
        <f aca="false">SUMIF($CB$4:$JS$4,U$4,$CB24:$JS24)</f>
        <v>3214.66</v>
      </c>
      <c r="V24" s="50" t="n">
        <f aca="false">SUMIF($CB$4:$JS$4,V$4,$CB24:$JS24)</f>
        <v>94109.06</v>
      </c>
      <c r="W24" s="50" t="n">
        <f aca="false">SUMIF($CB$4:$JS$4,W$4,$CB24:$JS24)</f>
        <v>6139.34</v>
      </c>
      <c r="X24" s="50" t="n">
        <f aca="false">SUMIF($CB$4:$JS$4,X$4,$CB24:$JS24)</f>
        <v>6662.65</v>
      </c>
      <c r="Y24" s="50" t="n">
        <f aca="false">SUMIF($CB$4:$JS$4,Y$4,$CB24:$JS24)</f>
        <v>4679.03</v>
      </c>
      <c r="Z24" s="50" t="n">
        <f aca="false">SUMIF($CB$4:$JS$4,Z$4,$CB24:$JS24)</f>
        <v>0</v>
      </c>
      <c r="AA24" s="50" t="n">
        <f aca="false">SUMIF($CB$4:$JS$4,AA$4,$CB24:$JS24)</f>
        <v>0</v>
      </c>
      <c r="AB24" s="50" t="n">
        <f aca="false">SUMIF($CB$4:$JS$4,AB$4,$CB24:$JS24)</f>
        <v>0</v>
      </c>
      <c r="AC24" s="50" t="n">
        <f aca="false">SUMIF($CB$4:$JS$4,AC$4,$CB24:$JS24)</f>
        <v>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326041.51</v>
      </c>
      <c r="BZ24" s="45" t="n">
        <f aca="false">SUMPRODUCT(($CB$4:$JS$4&lt;&gt;"")*($CB$4:$JS$4&lt;=$D$4),$CB24:$JS24,$CB$1:$JS$1)</f>
        <v>0</v>
      </c>
      <c r="CB24" s="133" t="n">
        <f aca="false">IF(OR(CB$4="",$B24=""),0,SUMIF('DADOS BRUTOS'!$A$3:$A$500,$B24,'DADOS BRUTOS'!B$3:B$500)+IF($C24="",0,SUMIF('DADOS BRUTOS'!$A$3:$A$500,$C24,'DADOS BRUTOS'!B$3:B$500)))</f>
        <v>0</v>
      </c>
      <c r="CC24" s="133" t="n">
        <f aca="false">IF(OR(CC$4="",$B24=""),0,SUMIF('DADOS BRUTOS'!$A$3:$A$500,$B24,'DADOS BRUTOS'!C$3:C$500)+IF($C24="",0,SUMIF('DADOS BRUTOS'!$A$3:$A$500,$C24,'DADOS BRUTOS'!C$3:C$500)))</f>
        <v>0</v>
      </c>
      <c r="CD24" s="133" t="n">
        <f aca="false">IF(OR(CD$4="",$B24=""),0,SUMIF('DADOS BRUTOS'!$A$3:$A$500,$B24,'DADOS BRUTOS'!D$3:D$500)+IF($C24="",0,SUMIF('DADOS BRUTOS'!$A$3:$A$500,$C24,'DADOS BRUTOS'!D$3:D$500)))</f>
        <v>0</v>
      </c>
      <c r="CE24" s="133" t="n">
        <f aca="false">IF(OR(CE$4="",$B24=""),0,SUMIF('DADOS BRUTOS'!$A$3:$A$500,$B24,'DADOS BRUTOS'!E$3:E$500)+IF($C24="",0,SUMIF('DADOS BRUTOS'!$A$3:$A$500,$C24,'DADOS BRUTOS'!E$3:E$500)))</f>
        <v>0</v>
      </c>
      <c r="CF24" s="133" t="n">
        <f aca="false">IF(OR(CF$4="",$B24=""),0,SUMIF('DADOS BRUTOS'!$A$3:$A$500,$B24,'DADOS BRUTOS'!F$3:F$500)+IF($C24="",0,SUMIF('DADOS BRUTOS'!$A$3:$A$500,$C24,'DADOS BRUTOS'!F$3:F$500)))</f>
        <v>0</v>
      </c>
      <c r="CG24" s="133" t="n">
        <f aca="false">IF(OR(CG$4="",$B24=""),0,SUMIF('DADOS BRUTOS'!$A$3:$A$500,$B24,'DADOS BRUTOS'!G$3:G$500)+IF($C24="",0,SUMIF('DADOS BRUTOS'!$A$3:$A$500,$C24,'DADOS BRUTOS'!G$3:G$500)))</f>
        <v>0</v>
      </c>
      <c r="CH24" s="133" t="n">
        <f aca="false">IF(OR(CH$4="",$B24=""),0,SUMIF('DADOS BRUTOS'!$A$3:$A$500,$B24,'DADOS BRUTOS'!H$3:H$500)+IF($C24="",0,SUMIF('DADOS BRUTOS'!$A$3:$A$500,$C24,'DADOS BRUTOS'!H$3:H$500)))</f>
        <v>0</v>
      </c>
      <c r="CI24" s="133" t="n">
        <f aca="false">IF(OR(CI$4="",$B24=""),0,SUMIF('DADOS BRUTOS'!$A$3:$A$500,$B24,'DADOS BRUTOS'!I$3:I$500)+IF($C24="",0,SUMIF('DADOS BRUTOS'!$A$3:$A$500,$C24,'DADOS BRUTOS'!I$3:I$500)))</f>
        <v>0</v>
      </c>
      <c r="CJ24" s="133" t="n">
        <f aca="false">IF(OR(CJ$4="",$B24=""),0,SUMIF('DADOS BRUTOS'!$A$3:$A$500,$B24,'DADOS BRUTOS'!J$3:J$500)+IF($C24="",0,SUMIF('DADOS BRUTOS'!$A$3:$A$500,$C24,'DADOS BRUTOS'!J$3:J$500)))</f>
        <v>0</v>
      </c>
      <c r="CK24" s="133" t="n">
        <f aca="false">IF(OR(CK$4="",$B24=""),0,SUMIF('DADOS BRUTOS'!$A$3:$A$500,$B24,'DADOS BRUTOS'!K$3:K$500)+IF($C24="",0,SUMIF('DADOS BRUTOS'!$A$3:$A$500,$C24,'DADOS BRUTOS'!K$3:K$500)))</f>
        <v>0</v>
      </c>
      <c r="CL24" s="133" t="n">
        <f aca="false">IF(OR(CL$4="",$B24=""),0,SUMIF('DADOS BRUTOS'!$A$3:$A$500,$B24,'DADOS BRUTOS'!L$3:L$500)+IF($C24="",0,SUMIF('DADOS BRUTOS'!$A$3:$A$500,$C24,'DADOS BRUTOS'!L$3:L$500)))</f>
        <v>0</v>
      </c>
      <c r="CM24" s="133" t="n">
        <f aca="false">IF(OR(CM$4="",$B24=""),0,SUMIF('DADOS BRUTOS'!$A$3:$A$500,$B24,'DADOS BRUTOS'!M$3:M$500)+IF($C24="",0,SUMIF('DADOS BRUTOS'!$A$3:$A$500,$C24,'DADOS BRUTOS'!M$3:M$500)))</f>
        <v>0</v>
      </c>
      <c r="CN24" s="133" t="n">
        <f aca="false">IF(OR(CN$4="",$B24=""),0,SUMIF('DADOS BRUTOS'!$A$3:$A$500,$B24,'DADOS BRUTOS'!N$3:N$500)+IF($C24="",0,SUMIF('DADOS BRUTOS'!$A$3:$A$500,$C24,'DADOS BRUTOS'!N$3:N$500)))</f>
        <v>0</v>
      </c>
      <c r="CO24" s="133" t="n">
        <f aca="false">IF(OR(CO$4="",$B24=""),0,SUMIF('DADOS BRUTOS'!$A$3:$A$500,$B24,'DADOS BRUTOS'!O$3:O$500)+IF($C24="",0,SUMIF('DADOS BRUTOS'!$A$3:$A$500,$C24,'DADOS BRUTOS'!O$3:O$500)))</f>
        <v>0</v>
      </c>
      <c r="CP24" s="133" t="n">
        <f aca="false">IF(OR(CP$4="",$B24=""),0,SUMIF('DADOS BRUTOS'!$A$3:$A$500,$B24,'DADOS BRUTOS'!P$3:P$500)+IF($C24="",0,SUMIF('DADOS BRUTOS'!$A$3:$A$500,$C24,'DADOS BRUTOS'!P$3:P$500)))</f>
        <v>0</v>
      </c>
      <c r="CQ24" s="133" t="n">
        <f aca="false">IF(OR(CQ$4="",$B24=""),0,SUMIF('DADOS BRUTOS'!$A$3:$A$500,$B24,'DADOS BRUTOS'!Q$3:Q$500)+IF($C24="",0,SUMIF('DADOS BRUTOS'!$A$3:$A$500,$C24,'DADOS BRUTOS'!Q$3:Q$500)))</f>
        <v>0</v>
      </c>
      <c r="CR24" s="133" t="n">
        <f aca="false">IF(OR(CR$4="",$B24=""),0,SUMIF('DADOS BRUTOS'!$A$3:$A$500,$B24,'DADOS BRUTOS'!R$3:R$500)+IF($C24="",0,SUMIF('DADOS BRUTOS'!$A$3:$A$500,$C24,'DADOS BRUTOS'!R$3:R$500)))</f>
        <v>0</v>
      </c>
      <c r="CS24" s="133" t="n">
        <f aca="false">IF(OR(CS$4="",$B24=""),0,SUMIF('DADOS BRUTOS'!$A$3:$A$500,$B24,'DADOS BRUTOS'!S$3:S$500)+IF($C24="",0,SUMIF('DADOS BRUTOS'!$A$3:$A$500,$C24,'DADOS BRUTOS'!S$3:S$500)))</f>
        <v>0</v>
      </c>
      <c r="CT24" s="133" t="n">
        <f aca="false">IF(OR(CT$4="",$B24=""),0,SUMIF('DADOS BRUTOS'!$A$3:$A$500,$B24,'DADOS BRUTOS'!T$3:T$500)+IF($C24="",0,SUMIF('DADOS BRUTOS'!$A$3:$A$500,$C24,'DADOS BRUTOS'!T$3:T$500)))</f>
        <v>0</v>
      </c>
      <c r="CU24" s="133" t="n">
        <f aca="false">IF(OR(CU$4="",$B24=""),0,SUMIF('DADOS BRUTOS'!$A$3:$A$500,$B24,'DADOS BRUTOS'!U$3:U$500)+IF($C24="",0,SUMIF('DADOS BRUTOS'!$A$3:$A$500,$C24,'DADOS BRUTOS'!U$3:U$500)))</f>
        <v>0</v>
      </c>
      <c r="CV24" s="133" t="n">
        <f aca="false">IF(OR(CV$4="",$B24=""),0,SUMIF('DADOS BRUTOS'!$A$3:$A$500,$B24,'DADOS BRUTOS'!V$3:V$500)+IF($C24="",0,SUMIF('DADOS BRUTOS'!$A$3:$A$500,$C24,'DADOS BRUTOS'!V$3:V$500)))</f>
        <v>0</v>
      </c>
      <c r="CW24" s="133" t="n">
        <f aca="false">IF(OR(CW$4="",$B24=""),0,SUMIF('DADOS BRUTOS'!$A$3:$A$500,$B24,'DADOS BRUTOS'!W$3:W$500)+IF($C24="",0,SUMIF('DADOS BRUTOS'!$A$3:$A$500,$C24,'DADOS BRUTOS'!W$3:W$500)))</f>
        <v>0</v>
      </c>
      <c r="CX24" s="133" t="n">
        <f aca="false">IF(OR(CX$4="",$B24=""),0,SUMIF('DADOS BRUTOS'!$A$3:$A$500,$B24,'DADOS BRUTOS'!X$3:X$500)+IF($C24="",0,SUMIF('DADOS BRUTOS'!$A$3:$A$500,$C24,'DADOS BRUTOS'!X$3:X$500)))</f>
        <v>2235.2</v>
      </c>
      <c r="CY24" s="133" t="n">
        <f aca="false">IF(OR(CY$4="",$B24=""),0,SUMIF('DADOS BRUTOS'!$A$3:$A$500,$B24,'DADOS BRUTOS'!Y$3:Y$500)+IF($C24="",0,SUMIF('DADOS BRUTOS'!$A$3:$A$500,$C24,'DADOS BRUTOS'!Y$3:Y$500)))</f>
        <v>0</v>
      </c>
      <c r="CZ24" s="133" t="n">
        <f aca="false">IF(OR(CZ$4="",$B24=""),0,SUMIF('DADOS BRUTOS'!$A$3:$A$500,$B24,'DADOS BRUTOS'!Z$3:Z$500)+IF($C24="",0,SUMIF('DADOS BRUTOS'!$A$3:$A$500,$C24,'DADOS BRUTOS'!Z$3:Z$500)))</f>
        <v>0</v>
      </c>
      <c r="DA24" s="133" t="n">
        <f aca="false">IF(OR(DA$4="",$B24=""),0,SUMIF('DADOS BRUTOS'!$A$3:$A$500,$B24,'DADOS BRUTOS'!AA$3:AA$500)+IF($C24="",0,SUMIF('DADOS BRUTOS'!$A$3:$A$500,$C24,'DADOS BRUTOS'!AA$3:AA$500)))</f>
        <v>0</v>
      </c>
      <c r="DB24" s="133" t="n">
        <f aca="false">IF(OR(DB$4="",$B24=""),0,SUMIF('DADOS BRUTOS'!$A$3:$A$500,$B24,'DADOS BRUTOS'!AB$3:AB$500)+IF($C24="",0,SUMIF('DADOS BRUTOS'!$A$3:$A$500,$C24,'DADOS BRUTOS'!AB$3:AB$500)))</f>
        <v>0</v>
      </c>
      <c r="DC24" s="133" t="n">
        <f aca="false">IF(OR(DC$4="",$B24=""),0,SUMIF('DADOS BRUTOS'!$A$3:$A$500,$B24,'DADOS BRUTOS'!AC$3:AC$500)+IF($C24="",0,SUMIF('DADOS BRUTOS'!$A$3:$A$500,$C24,'DADOS BRUTOS'!AC$3:AC$500)))</f>
        <v>0</v>
      </c>
      <c r="DD24" s="133" t="n">
        <f aca="false">IF(OR(DD$4="",$B24=""),0,SUMIF('DADOS BRUTOS'!$A$3:$A$500,$B24,'DADOS BRUTOS'!AD$3:AD$500)+IF($C24="",0,SUMIF('DADOS BRUTOS'!$A$3:$A$500,$C24,'DADOS BRUTOS'!AD$3:AD$500)))</f>
        <v>209001.57</v>
      </c>
      <c r="DE24" s="133" t="n">
        <f aca="false">IF(OR(DE$4="",$B24=""),0,SUMIF('DADOS BRUTOS'!$A$3:$A$500,$B24,'DADOS BRUTOS'!AE$3:AE$500)+IF($C24="",0,SUMIF('DADOS BRUTOS'!$A$3:$A$500,$C24,'DADOS BRUTOS'!AE$3:AE$500)))</f>
        <v>3214.66</v>
      </c>
      <c r="DF24" s="133" t="n">
        <f aca="false">IF(OR(DF$4="",$B24=""),0,SUMIF('DADOS BRUTOS'!$A$3:$A$500,$B24,'DADOS BRUTOS'!AF$3:AF$500)+IF($C24="",0,SUMIF('DADOS BRUTOS'!$A$3:$A$500,$C24,'DADOS BRUTOS'!AF$3:AF$500)))</f>
        <v>94109.06</v>
      </c>
      <c r="DG24" s="133" t="n">
        <f aca="false">IF(OR(DG$4="",$B24=""),0,SUMIF('DADOS BRUTOS'!$A$3:$A$500,$B24,'DADOS BRUTOS'!AG$3:AG$500)+IF($C24="",0,SUMIF('DADOS BRUTOS'!$A$3:$A$500,$C24,'DADOS BRUTOS'!AG$3:AG$500)))</f>
        <v>6139.34</v>
      </c>
      <c r="DH24" s="133" t="n">
        <f aca="false">IF(OR(DH$4="",$B24=""),0,SUMIF('DADOS BRUTOS'!$A$3:$A$500,$B24,'DADOS BRUTOS'!AH$3:AH$500)+IF($C24="",0,SUMIF('DADOS BRUTOS'!$A$3:$A$500,$C24,'DADOS BRUTOS'!AH$3:AH$500)))</f>
        <v>6662.65</v>
      </c>
      <c r="DI24" s="133" t="n">
        <f aca="false">IF(OR(DI$4="",$B24=""),0,SUMIF('DADOS BRUTOS'!$A$3:$A$500,$B24,'DADOS BRUTOS'!AI$3:AI$500)+IF($C24="",0,SUMIF('DADOS BRUTOS'!$A$3:$A$500,$C24,'DADOS BRUTOS'!AI$3:AI$500)))</f>
        <v>4679.03</v>
      </c>
      <c r="DJ24" s="133" t="n">
        <f aca="false">IF(OR(DJ$4="",$B24=""),0,SUMIF('DADOS BRUTOS'!$A$3:$A$500,$B24,'DADOS BRUTOS'!AJ$3:AJ$500)+IF($C24="",0,SUMIF('DADOS BRUTOS'!$A$3:$A$500,$C24,'DADOS BRUTOS'!AJ$3:AJ$500)))</f>
        <v>0</v>
      </c>
      <c r="DK24" s="133" t="n">
        <f aca="false">IF(OR(DK$4="",$B24=""),0,SUMIF('DADOS BRUTOS'!$A$3:$A$500,$B24,'DADOS BRUTOS'!AK$3:AK$500)+IF($C24="",0,SUMIF('DADOS BRUTOS'!$A$3:$A$500,$C24,'DADOS BRUTOS'!AK$3:AK$500)))</f>
        <v>0</v>
      </c>
      <c r="DL24" s="133" t="n">
        <f aca="false">IF(OR(DL$4="",$B24=""),0,SUMIF('DADOS BRUTOS'!$A$3:$A$500,$B24,'DADOS BRUTOS'!AL$3:AL$500)+IF($C24="",0,SUMIF('DADOS BRUTOS'!$A$3:$A$500,$C24,'DADOS BRUTOS'!AL$3:AL$500)))</f>
        <v>0</v>
      </c>
      <c r="DM24" s="133" t="n">
        <f aca="false">IF(OR(DM$4="",$B24=""),0,SUMIF('DADOS BRUTOS'!$A$3:$A$500,$B24,'DADOS BRUTOS'!AM$3:AM$500)+IF($C24="",0,SUMIF('DADOS BRUTOS'!$A$3:$A$500,$C24,'DADOS BRUTOS'!AM$3:AM$500)))</f>
        <v>0</v>
      </c>
      <c r="DN24" s="133" t="n">
        <f aca="false">IF(OR(DN$4="",$B24=""),0,SUMIF('DADOS BRUTOS'!$A$3:$A$500,$B24,'DADOS BRUTOS'!AN$3:AN$500)+IF($C24="",0,SUMIF('DADOS BRUTOS'!$A$3:$A$500,$C24,'DADOS BRUTOS'!AN$3:AN$500)))</f>
        <v>0</v>
      </c>
      <c r="DO24" s="133" t="n">
        <f aca="false">IF(OR(DO$4="",$B24=""),0,SUMIF('DADOS BRUTOS'!$A$3:$A$500,$B24,'DADOS BRUTOS'!AO$3:AO$500)+IF($C24="",0,SUMIF('DADOS BRUTOS'!$A$3:$A$500,$C24,'DADOS BRUTOS'!AO$3:AO$500)))</f>
        <v>0</v>
      </c>
      <c r="DP24" s="133" t="n">
        <f aca="false">IF(OR(DP$4="",$B24=""),0,SUMIF('DADOS BRUTOS'!$A$3:$A$500,$B24,'DADOS BRUTOS'!AP$3:AP$500)+IF($C24="",0,SUMIF('DADOS BRUTOS'!$A$3:$A$500,$C24,'DADOS BRUTOS'!AP$3:AP$500)))</f>
        <v>0</v>
      </c>
      <c r="DQ24" s="133" t="n">
        <f aca="false">IF(OR(DQ$4="",$B24=""),0,SUMIF('DADOS BRUTOS'!$A$3:$A$500,$B24,'DADOS BRUTOS'!AQ$3:AQ$500)+IF($C24="",0,SUMIF('DADOS BRUTOS'!$A$3:$A$500,$C24,'DADOS BRUTOS'!AQ$3:AQ$500)))</f>
        <v>0</v>
      </c>
      <c r="DR24" s="133" t="n">
        <f aca="false">IF(OR(DR$4="",$B24=""),0,SUMIF('DADOS BRUTOS'!$A$3:$A$500,$B24,'DADOS BRUTOS'!AR$3:AR$500)+IF($C24="",0,SUMIF('DADOS BRUTOS'!$A$3:$A$500,$C24,'DADOS BRUTOS'!AR$3:AR$500)))</f>
        <v>0</v>
      </c>
      <c r="DS24" s="133" t="n">
        <f aca="false">IF(OR(DS$4="",$B24=""),0,SUMIF('DADOS BRUTOS'!$A$3:$A$500,$B24,'DADOS BRUTOS'!AS$3:AS$500)+IF($C24="",0,SUMIF('DADOS BRUTOS'!$A$3:$A$500,$C24,'DADOS BRUTOS'!AS$3:AS$500)))</f>
        <v>0</v>
      </c>
      <c r="DT24" s="133" t="n">
        <f aca="false">IF(OR(DT$4="",$B24=""),0,SUMIF('DADOS BRUTOS'!$A$3:$A$500,$B24,'DADOS BRUTOS'!AT$3:AT$500)+IF($C24="",0,SUMIF('DADOS BRUTOS'!$A$3:$A$500,$C24,'DADOS BRUTOS'!AT$3:AT$500)))</f>
        <v>0</v>
      </c>
      <c r="DU24" s="133" t="n">
        <f aca="false">IF(OR(DU$4="",$B24=""),0,SUMIF('DADOS BRUTOS'!$A$3:$A$500,$B24,'DADOS BRUTOS'!AU$3:AU$500)+IF($C24="",0,SUMIF('DADOS BRUTOS'!$A$3:$A$500,$C24,'DADOS BRUTOS'!AU$3:AU$500)))</f>
        <v>0</v>
      </c>
      <c r="DV24" s="133" t="n">
        <f aca="false">IF(OR(DV$4="",$B24=""),0,SUMIF('DADOS BRUTOS'!$A$3:$A$500,$B24,'DADOS BRUTOS'!AV$3:AV$500)+IF($C24="",0,SUMIF('DADOS BRUTOS'!$A$3:$A$500,$C24,'DADOS BRUTOS'!AV$3:AV$500)))</f>
        <v>0</v>
      </c>
      <c r="DW24" s="133" t="n">
        <f aca="false">IF(OR(DW$4="",$B24=""),0,SUMIF('DADOS BRUTOS'!$A$3:$A$500,$B24,'DADOS BRUTOS'!AW$3:AW$500)+IF($C24="",0,SUMIF('DADOS BRUTOS'!$A$3:$A$500,$C24,'DADOS BRUTOS'!AW$3:AW$500)))</f>
        <v>0</v>
      </c>
      <c r="DX24" s="133" t="n">
        <f aca="false">IF(OR(DX$4="",$B24=""),0,SUMIF('DADOS BRUTOS'!$A$3:$A$500,$B24,'DADOS BRUTOS'!AX$3:AX$500)+IF($C24="",0,SUMIF('DADOS BRUTOS'!$A$3:$A$500,$C24,'DADOS BRUTOS'!AX$3:AX$500)))</f>
        <v>0</v>
      </c>
      <c r="DY24" s="133" t="n">
        <f aca="false">IF(OR(DY$4="",$B24=""),0,SUMIF('DADOS BRUTOS'!$A$3:$A$500,$B24,'DADOS BRUTOS'!AY$3:AY$500)+IF($C24="",0,SUMIF('DADOS BRUTOS'!$A$3:$A$500,$C24,'DADOS BRUTOS'!AY$3:AY$500)))</f>
        <v>0</v>
      </c>
      <c r="DZ24" s="133" t="n">
        <f aca="false">IF(OR(DZ$4="",$B24=""),0,SUMIF('DADOS BRUTOS'!$A$3:$A$500,$B24,'DADOS BRUTOS'!AZ$3:AZ$500)+IF($C24="",0,SUMIF('DADOS BRUTOS'!$A$3:$A$500,$C24,'DADOS BRUTOS'!AZ$3:AZ$500)))</f>
        <v>0</v>
      </c>
      <c r="EA24" s="133" t="n">
        <f aca="false">IF(OR(EA$4="",$B24=""),0,SUMIF('DADOS BRUTOS'!$A$3:$A$500,$B24,'DADOS BRUTOS'!BA$3:BA$500)+IF($C24="",0,SUMIF('DADOS BRUTOS'!$A$3:$A$500,$C24,'DADOS BRUTOS'!BA$3:BA$500)))</f>
        <v>0</v>
      </c>
      <c r="EB24" s="133" t="n">
        <f aca="false">IF(OR(EB$4="",$B24=""),0,SUMIF('DADOS BRUTOS'!$A$3:$A$500,$B24,'DADOS BRUTOS'!BB$3:BB$500)+IF($C24="",0,SUMIF('DADOS BRUTOS'!$A$3:$A$500,$C24,'DADOS BRUTOS'!BB$3:BB$500)))</f>
        <v>0</v>
      </c>
      <c r="EC24" s="133" t="n">
        <f aca="false">IF(OR(EC$4="",$B24=""),0,SUMIF('DADOS BRUTOS'!$A$3:$A$500,$B24,'DADOS BRUTOS'!BC$3:BC$500)+IF($C24="",0,SUMIF('DADOS BRUTOS'!$A$3:$A$500,$C24,'DADOS BRUTOS'!BC$3:BC$500)))</f>
        <v>0</v>
      </c>
      <c r="ED24" s="133" t="n">
        <f aca="false">IF(OR(ED$4="",$B24=""),0,SUMIF('DADOS BRUTOS'!$A$3:$A$500,$B24,'DADOS BRUTOS'!BD$3:BD$500)+IF($C24="",0,SUMIF('DADOS BRUTOS'!$A$3:$A$500,$C24,'DADOS BRUTOS'!BD$3:BD$500)))</f>
        <v>0</v>
      </c>
      <c r="EE24" s="133" t="n">
        <f aca="false">IF(OR(EE$4="",$B24=""),0,SUMIF('DADOS BRUTOS'!$A$3:$A$500,$B24,'DADOS BRUTOS'!BE$3:BE$500)+IF($C24="",0,SUMIF('DADOS BRUTOS'!$A$3:$A$500,$C24,'DADOS BRUTOS'!BE$3:BE$500)))</f>
        <v>0</v>
      </c>
      <c r="EF24" s="133" t="n">
        <f aca="false">IF(OR(EF$4="",$B24=""),0,SUMIF('DADOS BRUTOS'!$A$3:$A$500,$B24,'DADOS BRUTOS'!BF$3:BF$500)+IF($C24="",0,SUMIF('DADOS BRUTOS'!$A$3:$A$500,$C24,'DADOS BRUTOS'!BF$3:BF$500)))</f>
        <v>0</v>
      </c>
      <c r="EG24" s="133" t="n">
        <f aca="false">IF(OR(EG$4="",$B24=""),0,SUMIF('DADOS BRUTOS'!$A$3:$A$500,$B24,'DADOS BRUTOS'!BG$3:BG$500)+IF($C24="",0,SUMIF('DADOS BRUTOS'!$A$3:$A$500,$C24,'DADOS BRUTOS'!BG$3:BG$500)))</f>
        <v>0</v>
      </c>
      <c r="EH24" s="133" t="n">
        <f aca="false">IF(OR(EH$4="",$B24=""),0,SUMIF('DADOS BRUTOS'!$A$3:$A$500,$B24,'DADOS BRUTOS'!BH$3:BH$500)+IF($C24="",0,SUMIF('DADOS BRUTOS'!$A$3:$A$500,$C24,'DADOS BRUTOS'!BH$3:BH$500)))</f>
        <v>0</v>
      </c>
      <c r="EI24" s="133" t="n">
        <f aca="false">IF(OR(EI$4="",$B24=""),0,SUMIF('DADOS BRUTOS'!$A$3:$A$500,$B24,'DADOS BRUTOS'!BI$3:BI$500)+IF($C24="",0,SUMIF('DADOS BRUTOS'!$A$3:$A$500,$C24,'DADOS BRUTOS'!BI$3:BI$500)))</f>
        <v>0</v>
      </c>
      <c r="EJ24" s="133" t="n">
        <f aca="false">IF(OR(EJ$4="",$B24=""),0,SUMIF('DADOS BRUTOS'!$A$3:$A$500,$B24,'DADOS BRUTOS'!BJ$3:BJ$500)+IF($C24="",0,SUMIF('DADOS BRUTOS'!$A$3:$A$500,$C24,'DADOS BRUTOS'!BJ$3:BJ$500)))</f>
        <v>0</v>
      </c>
      <c r="EK24" s="133" t="n">
        <f aca="false">IF(OR(EK$4="",$B24=""),0,SUMIF('DADOS BRUTOS'!$A$3:$A$500,$B24,'DADOS BRUTOS'!BK$3:BK$500)+IF($C24="",0,SUMIF('DADOS BRUTOS'!$A$3:$A$500,$C24,'DADOS BRUTOS'!BK$3:BK$500)))</f>
        <v>0</v>
      </c>
      <c r="EL24" s="133" t="n">
        <f aca="false">IF(OR(EL$4="",$B24=""),0,SUMIF('DADOS BRUTOS'!$A$3:$A$500,$B24,'DADOS BRUTOS'!BL$3:BL$500)+IF($C24="",0,SUMIF('DADOS BRUTOS'!$A$3:$A$500,$C24,'DADOS BRUTOS'!BL$3:BL$500)))</f>
        <v>0</v>
      </c>
      <c r="EM24" s="133" t="n">
        <f aca="false">IF(OR(EM$4="",$B24=""),0,SUMIF('DADOS BRUTOS'!$A$3:$A$500,$B24,'DADOS BRUTOS'!BM$3:BM$500)+IF($C24="",0,SUMIF('DADOS BRUTOS'!$A$3:$A$500,$C24,'DADOS BRUTOS'!BM$3:BM$500)))</f>
        <v>0</v>
      </c>
      <c r="EN24" s="133" t="n">
        <f aca="false">IF(OR(EN$4="",$B24=""),0,SUMIF('DADOS BRUTOS'!$A$3:$A$500,$B24,'DADOS BRUTOS'!BN$3:BN$500)+IF($C24="",0,SUMIF('DADOS BRUTOS'!$A$3:$A$500,$C24,'DADOS BRUTOS'!BN$3:BN$500)))</f>
        <v>0</v>
      </c>
      <c r="EO24" s="133" t="n">
        <f aca="false">IF(OR(EO$4="",$B24=""),0,SUMIF('DADOS BRUTOS'!$A$3:$A$500,$B24,'DADOS BRUTOS'!BO$3:BO$500)+IF($C24="",0,SUMIF('DADOS BRUTOS'!$A$3:$A$500,$C24,'DADOS BRUTOS'!BO$3:BO$500)))</f>
        <v>0</v>
      </c>
      <c r="EP24" s="133" t="n">
        <f aca="false">IF(OR(EP$4="",$B24=""),0,SUMIF('DADOS BRUTOS'!$A$3:$A$500,$B24,'DADOS BRUTOS'!BP$3:BP$500)+IF($C24="",0,SUMIF('DADOS BRUTOS'!$A$3:$A$500,$C24,'DADOS BRUTOS'!BP$3:BP$500)))</f>
        <v>0</v>
      </c>
      <c r="EQ24" s="133" t="n">
        <f aca="false">IF(OR(EQ$4="",$B24=""),0,SUMIF('DADOS BRUTOS'!$A$3:$A$500,$B24,'DADOS BRUTOS'!BQ$3:BQ$500)+IF($C24="",0,SUMIF('DADOS BRUTOS'!$A$3:$A$500,$C24,'DADOS BRUTOS'!BQ$3:BQ$500)))</f>
        <v>0</v>
      </c>
      <c r="ER24" s="133" t="n">
        <f aca="false">IF(OR(ER$4="",$B24=""),0,SUMIF('DADOS BRUTOS'!$A$3:$A$500,$B24,'DADOS BRUTOS'!BR$3:BR$500)+IF($C24="",0,SUMIF('DADOS BRUTOS'!$A$3:$A$500,$C24,'DADOS BRUTOS'!BR$3:BR$500)))</f>
        <v>0</v>
      </c>
      <c r="ES24" s="133" t="n">
        <f aca="false">IF(OR(ES$4="",$B24=""),0,SUMIF('DADOS BRUTOS'!$A$3:$A$500,$B24,'DADOS BRUTOS'!BS$3:BS$500)+IF($C24="",0,SUMIF('DADOS BRUTOS'!$A$3:$A$500,$C24,'DADOS BRUTOS'!BS$3:BS$500)))</f>
        <v>0</v>
      </c>
      <c r="ET24" s="133" t="n">
        <f aca="false">IF(OR(ET$4="",$B24=""),0,SUMIF('DADOS BRUTOS'!$A$3:$A$500,$B24,'DADOS BRUTOS'!BT$3:BT$500)+IF($C24="",0,SUMIF('DADOS BRUTOS'!$A$3:$A$500,$C24,'DADOS BRUTOS'!BT$3:BT$500)))</f>
        <v>0</v>
      </c>
      <c r="EU24" s="133" t="n">
        <f aca="false">IF(OR(EU$4="",$B24=""),0,SUMIF('DADOS BRUTOS'!$A$3:$A$500,$B24,'DADOS BRUTOS'!BU$3:BU$500)+IF($C24="",0,SUMIF('DADOS BRUTOS'!$A$3:$A$500,$C24,'DADOS BRUTOS'!BU$3:BU$500)))</f>
        <v>0</v>
      </c>
      <c r="EV24" s="133" t="n">
        <f aca="false">IF(OR(EV$4="",$B24=""),0,SUMIF('DADOS BRUTOS'!$A$3:$A$500,$B24,'DADOS BRUTOS'!BV$3:BV$500)+IF($C24="",0,SUMIF('DADOS BRUTOS'!$A$3:$A$500,$C24,'DADOS BRUTOS'!BV$3:BV$500)))</f>
        <v>0</v>
      </c>
      <c r="EW24" s="133" t="n">
        <f aca="false">IF(OR(EW$4="",$B24=""),0,SUMIF('DADOS BRUTOS'!$A$3:$A$500,$B24,'DADOS BRUTOS'!BW$3:BW$500)+IF($C24="",0,SUMIF('DADOS BRUTOS'!$A$3:$A$500,$C24,'DADOS BRUTOS'!BW$3:BW$500)))</f>
        <v>0</v>
      </c>
      <c r="EX24" s="133" t="n">
        <f aca="false">IF(OR(EX$4="",$B24=""),0,SUMIF('DADOS BRUTOS'!$A$3:$A$500,$B24,'DADOS BRUTOS'!BX$3:BX$500)+IF($C24="",0,SUMIF('DADOS BRUTOS'!$A$3:$A$500,$C24,'DADOS BRUTOS'!BX$3:BX$500)))</f>
        <v>0</v>
      </c>
      <c r="EY24" s="133" t="n">
        <f aca="false">IF(OR(EY$4="",$B24=""),0,SUMIF('DADOS BRUTOS'!$A$3:$A$500,$B24,'DADOS BRUTOS'!BY$3:BY$500)+IF($C24="",0,SUMIF('DADOS BRUTOS'!$A$3:$A$500,$C24,'DADOS BRUTOS'!BY$3:BY$500)))</f>
        <v>0</v>
      </c>
      <c r="EZ24" s="133" t="n">
        <f aca="false">IF(OR(EZ$4="",$B24=""),0,SUMIF('DADOS BRUTOS'!$A$3:$A$500,$B24,'DADOS BRUTOS'!BZ$3:BZ$500)+IF($C24="",0,SUMIF('DADOS BRUTOS'!$A$3:$A$500,$C24,'DADOS BRUTOS'!BZ$3:BZ$500)))</f>
        <v>0</v>
      </c>
      <c r="FA24" s="133" t="n">
        <f aca="false">IF(OR(FA$4="",$B24=""),0,SUMIF('DADOS BRUTOS'!$A$3:$A$500,$B24,'DADOS BRUTOS'!CA$3:CA$500)+IF($C24="",0,SUMIF('DADOS BRUTOS'!$A$3:$A$500,$C24,'DADOS BRUTOS'!CA$3:CA$500)))</f>
        <v>0</v>
      </c>
      <c r="FB24" s="133" t="n">
        <f aca="false">IF(OR(FB$4="",$B24=""),0,SUMIF('DADOS BRUTOS'!$A$3:$A$500,$B24,'DADOS BRUTOS'!CB$3:CB$500)+IF($C24="",0,SUMIF('DADOS BRUTOS'!$A$3:$A$500,$C24,'DADOS BRUTOS'!CB$3:CB$500)))</f>
        <v>0</v>
      </c>
      <c r="FC24" s="133" t="n">
        <f aca="false">IF(OR(FC$4="",$B24=""),0,SUMIF('DADOS BRUTOS'!$A$3:$A$500,$B24,'DADOS BRUTOS'!CC$3:CC$500)+IF($C24="",0,SUMIF('DADOS BRUTOS'!$A$3:$A$500,$C24,'DADOS BRUTOS'!CC$3:CC$500)))</f>
        <v>0</v>
      </c>
      <c r="FD24" s="133" t="n">
        <f aca="false">IF(OR(FD$4="",$B24=""),0,SUMIF('DADOS BRUTOS'!$A$3:$A$500,$B24,'DADOS BRUTOS'!CD$3:CD$500)+IF($C24="",0,SUMIF('DADOS BRUTOS'!$A$3:$A$500,$C24,'DADOS BRUTOS'!CD$3:CD$500)))</f>
        <v>0</v>
      </c>
      <c r="FE24" s="133" t="n">
        <f aca="false">IF(OR(FE$4="",$B24=""),0,SUMIF('DADOS BRUTOS'!$A$3:$A$500,$B24,'DADOS BRUTOS'!CE$3:CE$500)+IF($C24="",0,SUMIF('DADOS BRUTOS'!$A$3:$A$500,$C24,'DADOS BRUTOS'!CE$3:CE$500)))</f>
        <v>0</v>
      </c>
      <c r="FF24" s="133" t="n">
        <f aca="false">IF(OR(FF$4="",$B24=""),0,SUMIF('DADOS BRUTOS'!$A$3:$A$500,$B24,'DADOS BRUTOS'!CF$3:CF$500)+IF($C24="",0,SUMIF('DADOS BRUTOS'!$A$3:$A$500,$C24,'DADOS BRUTOS'!CF$3:CF$500)))</f>
        <v>0</v>
      </c>
      <c r="FG24" s="133" t="n">
        <f aca="false">IF(OR(FG$4="",$B24=""),0,SUMIF('DADOS BRUTOS'!$A$3:$A$500,$B24,'DADOS BRUTOS'!CG$3:CG$500)+IF($C24="",0,SUMIF('DADOS BRUTOS'!$A$3:$A$500,$C24,'DADOS BRUTOS'!CG$3:CG$500)))</f>
        <v>0</v>
      </c>
      <c r="FH24" s="133" t="n">
        <f aca="false">IF(OR(FH$4="",$B24=""),0,SUMIF('DADOS BRUTOS'!$A$3:$A$500,$B24,'DADOS BRUTOS'!CH$3:CH$500)+IF($C24="",0,SUMIF('DADOS BRUTOS'!$A$3:$A$500,$C24,'DADOS BRUTOS'!CH$3:CH$500)))</f>
        <v>0</v>
      </c>
      <c r="FI24" s="133" t="n">
        <f aca="false">IF(OR(FI$4="",$B24=""),0,SUMIF('DADOS BRUTOS'!$A$3:$A$500,$B24,'DADOS BRUTOS'!CI$3:CI$500)+IF($C24="",0,SUMIF('DADOS BRUTOS'!$A$3:$A$500,$C24,'DADOS BRUTOS'!CI$3:CI$500)))</f>
        <v>0</v>
      </c>
      <c r="FJ24" s="133" t="n">
        <f aca="false">IF(OR(FJ$4="",$B24=""),0,SUMIF('DADOS BRUTOS'!$A$3:$A$500,$B24,'DADOS BRUTOS'!CJ$3:CJ$500)+IF($C24="",0,SUMIF('DADOS BRUTOS'!$A$3:$A$500,$C24,'DADOS BRUTOS'!CJ$3:CJ$500)))</f>
        <v>0</v>
      </c>
      <c r="FK24" s="133" t="n">
        <f aca="false">IF(OR(FK$4="",$B24=""),0,SUMIF('DADOS BRUTOS'!$A$3:$A$500,$B24,'DADOS BRUTOS'!CK$3:CK$500)+IF($C24="",0,SUMIF('DADOS BRUTOS'!$A$3:$A$500,$C24,'DADOS BRUTOS'!CK$3:CK$500)))</f>
        <v>0</v>
      </c>
      <c r="FL24" s="133" t="n">
        <f aca="false">IF(OR(FL$4="",$B24=""),0,SUMIF('DADOS BRUTOS'!$A$3:$A$500,$B24,'DADOS BRUTOS'!CL$3:CL$500)+IF($C24="",0,SUMIF('DADOS BRUTOS'!$A$3:$A$500,$C24,'DADOS BRUTOS'!CL$3:CL$500)))</f>
        <v>0</v>
      </c>
      <c r="FM24" s="133" t="n">
        <f aca="false">IF(OR(FM$4="",$B24=""),0,SUMIF('DADOS BRUTOS'!$A$3:$A$500,$B24,'DADOS BRUTOS'!CM$3:CM$500)+IF($C24="",0,SUMIF('DADOS BRUTOS'!$A$3:$A$500,$C24,'DADOS BRUTOS'!CM$3:CM$500)))</f>
        <v>0</v>
      </c>
      <c r="FN24" s="133" t="n">
        <f aca="false">IF(OR(FN$4="",$B24=""),0,SUMIF('DADOS BRUTOS'!$A$3:$A$500,$B24,'DADOS BRUTOS'!CN$3:CN$500)+IF($C24="",0,SUMIF('DADOS BRUTOS'!$A$3:$A$500,$C24,'DADOS BRUTOS'!CN$3:CN$500)))</f>
        <v>0</v>
      </c>
      <c r="FO24" s="133" t="n">
        <f aca="false">IF(OR(FO$4="",$B24=""),0,SUMIF('DADOS BRUTOS'!$A$3:$A$500,$B24,'DADOS BRUTOS'!CO$3:CO$500)+IF($C24="",0,SUMIF('DADOS BRUTOS'!$A$3:$A$500,$C24,'DADOS BRUTOS'!CO$3:CO$500)))</f>
        <v>0</v>
      </c>
      <c r="FP24" s="133" t="n">
        <f aca="false">IF(OR(FP$4="",$B24=""),0,SUMIF('DADOS BRUTOS'!$A$3:$A$500,$B24,'DADOS BRUTOS'!CP$3:CP$500)+IF($C24="",0,SUMIF('DADOS BRUTOS'!$A$3:$A$500,$C24,'DADOS BRUTOS'!CP$3:CP$500)))</f>
        <v>0</v>
      </c>
      <c r="FQ24" s="133" t="n">
        <f aca="false">IF(OR(FQ$4="",$B24=""),0,SUMIF('DADOS BRUTOS'!$A$3:$A$500,$B24,'DADOS BRUTOS'!CQ$3:CQ$500)+IF($C24="",0,SUMIF('DADOS BRUTOS'!$A$3:$A$500,$C24,'DADOS BRUTOS'!CQ$3:CQ$500)))</f>
        <v>0</v>
      </c>
      <c r="FR24" s="133" t="n">
        <f aca="false">IF(OR(FR$4="",$B24=""),0,SUMIF('DADOS BRUTOS'!$A$3:$A$500,$B24,'DADOS BRUTOS'!CR$3:CR$500)+IF($C24="",0,SUMIF('DADOS BRUTOS'!$A$3:$A$500,$C24,'DADOS BRUTOS'!CR$3:CR$500)))</f>
        <v>0</v>
      </c>
      <c r="FS24" s="133" t="n">
        <f aca="false">IF(OR(FS$4="",$B24=""),0,SUMIF('DADOS BRUTOS'!$A$3:$A$500,$B24,'DADOS BRUTOS'!CS$3:CS$500)+IF($C24="",0,SUMIF('DADOS BRUTOS'!$A$3:$A$500,$C24,'DADOS BRUTOS'!CS$3:CS$500)))</f>
        <v>0</v>
      </c>
      <c r="FT24" s="133" t="n">
        <f aca="false">IF(OR(FT$4="",$B24=""),0,SUMIF('DADOS BRUTOS'!$A$3:$A$500,$B24,'DADOS BRUTOS'!CT$3:CT$500)+IF($C24="",0,SUMIF('DADOS BRUTOS'!$A$3:$A$500,$C24,'DADOS BRUTOS'!CT$3:CT$500)))</f>
        <v>0</v>
      </c>
      <c r="FU24" s="133" t="n">
        <f aca="false">IF(OR(FU$4="",$B24=""),0,SUMIF('DADOS BRUTOS'!$A$3:$A$500,$B24,'DADOS BRUTOS'!CU$3:CU$500)+IF($C24="",0,SUMIF('DADOS BRUTOS'!$A$3:$A$500,$C24,'DADOS BRUTOS'!CU$3:CU$500)))</f>
        <v>0</v>
      </c>
      <c r="FV24" s="133" t="n">
        <f aca="false">IF(OR(FV$4="",$B24=""),0,SUMIF('DADOS BRUTOS'!$A$3:$A$500,$B24,'DADOS BRUTOS'!CV$3:CV$500)+IF($C24="",0,SUMIF('DADOS BRUTOS'!$A$3:$A$500,$C24,'DADOS BRUTOS'!CV$3:CV$500)))</f>
        <v>0</v>
      </c>
      <c r="FW24" s="133" t="n">
        <f aca="false">IF(OR(FW$4="",$B24=""),0,SUMIF('DADOS BRUTOS'!$A$3:$A$500,$B24,'DADOS BRUTOS'!CW$3:CW$500)+IF($C24="",0,SUMIF('DADOS BRUTOS'!$A$3:$A$500,$C24,'DADOS BRUTOS'!CW$3:CW$500)))</f>
        <v>0</v>
      </c>
      <c r="FX24" s="133" t="n">
        <f aca="false">IF(OR(FX$4="",$B24=""),0,SUMIF('DADOS BRUTOS'!$A$3:$A$500,$B24,'DADOS BRUTOS'!CX$3:CX$500)+IF($C24="",0,SUMIF('DADOS BRUTOS'!$A$3:$A$500,$C24,'DADOS BRUTOS'!CX$3:CX$500)))</f>
        <v>0</v>
      </c>
      <c r="FY24" s="133" t="n">
        <f aca="false">IF(OR(FY$4="",$B24=""),0,SUMIF('DADOS BRUTOS'!$A$3:$A$500,$B24,'DADOS BRUTOS'!CY$3:CY$500)+IF($C24="",0,SUMIF('DADOS BRUTOS'!$A$3:$A$500,$C24,'DADOS BRUTOS'!CY$3:CY$500)))</f>
        <v>0</v>
      </c>
      <c r="FZ24" s="133" t="n">
        <f aca="false">IF(OR(FZ$4="",$B24=""),0,SUMIF('DADOS BRUTOS'!$A$3:$A$500,$B24,'DADOS BRUTOS'!CZ$3:CZ$500)+IF($C24="",0,SUMIF('DADOS BRUTOS'!$A$3:$A$500,$C24,'DADOS BRUTOS'!CZ$3:CZ$500)))</f>
        <v>0</v>
      </c>
      <c r="GA24" s="133" t="n">
        <f aca="false">IF(OR(GA$4="",$B24=""),0,SUMIF('DADOS BRUTOS'!$A$3:$A$500,$B24,'DADOS BRUTOS'!DA$3:DA$500)+IF($C24="",0,SUMIF('DADOS BRUTOS'!$A$3:$A$500,$C24,'DADOS BRUTOS'!DA$3:DA$500)))</f>
        <v>0</v>
      </c>
      <c r="GB24" s="133" t="n">
        <f aca="false">IF(OR(GB$4="",$B24=""),0,SUMIF('DADOS BRUTOS'!$A$3:$A$500,$B24,'DADOS BRUTOS'!DB$3:DB$500)+IF($C24="",0,SUMIF('DADOS BRUTOS'!$A$3:$A$500,$C24,'DADOS BRUTOS'!DB$3:DB$500)))</f>
        <v>0</v>
      </c>
      <c r="GC24" s="133" t="n">
        <f aca="false">IF(OR(GC$4="",$B24=""),0,SUMIF('DADOS BRUTOS'!$A$3:$A$500,$B24,'DADOS BRUTOS'!DC$3:DC$500)+IF($C24="",0,SUMIF('DADOS BRUTOS'!$A$3:$A$500,$C24,'DADOS BRUTOS'!DC$3:DC$500)))</f>
        <v>0</v>
      </c>
      <c r="GD24" s="133" t="n">
        <f aca="false">IF(OR(GD$4="",$B24=""),0,SUMIF('DADOS BRUTOS'!$A$3:$A$500,$B24,'DADOS BRUTOS'!DD$3:DD$500)+IF($C24="",0,SUMIF('DADOS BRUTOS'!$A$3:$A$500,$C24,'DADOS BRUTOS'!DD$3:DD$500)))</f>
        <v>0</v>
      </c>
      <c r="GE24" s="133" t="n">
        <f aca="false">IF(OR(GE$4="",$B24=""),0,SUMIF('DADOS BRUTOS'!$A$3:$A$500,$B24,'DADOS BRUTOS'!DE$3:DE$500)+IF($C24="",0,SUMIF('DADOS BRUTOS'!$A$3:$A$500,$C24,'DADOS BRUTOS'!DE$3:DE$500)))</f>
        <v>0</v>
      </c>
      <c r="GF24" s="133" t="n">
        <f aca="false">IF(OR(GF$4="",$B24=""),0,SUMIF('DADOS BRUTOS'!$A$3:$A$500,$B24,'DADOS BRUTOS'!DF$3:DF$500)+IF($C24="",0,SUMIF('DADOS BRUTOS'!$A$3:$A$500,$C24,'DADOS BRUTOS'!DF$3:DF$500)))</f>
        <v>0</v>
      </c>
      <c r="GG24" s="133" t="n">
        <f aca="false">IF(OR(GG$4="",$B24=""),0,SUMIF('DADOS BRUTOS'!$A$3:$A$500,$B24,'DADOS BRUTOS'!DG$3:DG$500)+IF($C24="",0,SUMIF('DADOS BRUTOS'!$A$3:$A$500,$C24,'DADOS BRUTOS'!DG$3:DG$500)))</f>
        <v>0</v>
      </c>
      <c r="GH24" s="133" t="n">
        <f aca="false">IF(OR(GH$4="",$B24=""),0,SUMIF('DADOS BRUTOS'!$A$3:$A$500,$B24,'DADOS BRUTOS'!DH$3:DH$500)+IF($C24="",0,SUMIF('DADOS BRUTOS'!$A$3:$A$500,$C24,'DADOS BRUTOS'!DH$3:DH$500)))</f>
        <v>0</v>
      </c>
      <c r="GI24" s="133" t="n">
        <f aca="false">IF(OR(GI$4="",$B24=""),0,SUMIF('DADOS BRUTOS'!$A$3:$A$500,$B24,'DADOS BRUTOS'!DI$3:DI$500)+IF($C24="",0,SUMIF('DADOS BRUTOS'!$A$3:$A$500,$C24,'DADOS BRUTOS'!DI$3:DI$500)))</f>
        <v>0</v>
      </c>
      <c r="GJ24" s="133" t="n">
        <f aca="false">IF(OR(GJ$4="",$B24=""),0,SUMIF('DADOS BRUTOS'!$A$3:$A$500,$B24,'DADOS BRUTOS'!DJ$3:DJ$500)+IF($C24="",0,SUMIF('DADOS BRUTOS'!$A$3:$A$500,$C24,'DADOS BRUTOS'!DJ$3:DJ$500)))</f>
        <v>0</v>
      </c>
      <c r="GK24" s="133" t="n">
        <f aca="false">IF(OR(GK$4="",$B24=""),0,SUMIF('DADOS BRUTOS'!$A$3:$A$500,$B24,'DADOS BRUTOS'!DK$3:DK$500)+IF($C24="",0,SUMIF('DADOS BRUTOS'!$A$3:$A$500,$C24,'DADOS BRUTOS'!DK$3:DK$500)))</f>
        <v>0</v>
      </c>
      <c r="GL24" s="133" t="n">
        <f aca="false">IF(OR(GL$4="",$B24=""),0,SUMIF('DADOS BRUTOS'!$A$3:$A$500,$B24,'DADOS BRUTOS'!DL$3:DL$500)+IF($C24="",0,SUMIF('DADOS BRUTOS'!$A$3:$A$500,$C24,'DADOS BRUTOS'!DL$3:DL$500)))</f>
        <v>0</v>
      </c>
      <c r="GM24" s="133" t="n">
        <f aca="false">IF(OR(GM$4="",$B24=""),0,SUMIF('DADOS BRUTOS'!$A$3:$A$500,$B24,'DADOS BRUTOS'!DM$3:DM$500)+IF($C24="",0,SUMIF('DADOS BRUTOS'!$A$3:$A$500,$C24,'DADOS BRUTOS'!DM$3:DM$500)))</f>
        <v>0</v>
      </c>
      <c r="GN24" s="133" t="n">
        <f aca="false">IF(OR(GN$4="",$B24=""),0,SUMIF('DADOS BRUTOS'!$A$3:$A$500,$B24,'DADOS BRUTOS'!DN$3:DN$500)+IF($C24="",0,SUMIF('DADOS BRUTOS'!$A$3:$A$500,$C24,'DADOS BRUTOS'!DN$3:DN$500)))</f>
        <v>0</v>
      </c>
      <c r="GO24" s="133" t="n">
        <f aca="false">IF(OR(GO$4="",$B24=""),0,SUMIF('DADOS BRUTOS'!$A$3:$A$500,$B24,'DADOS BRUTOS'!DO$3:DO$500)+IF($C24="",0,SUMIF('DADOS BRUTOS'!$A$3:$A$500,$C24,'DADOS BRUTOS'!DO$3:DO$500)))</f>
        <v>0</v>
      </c>
      <c r="GP24" s="133" t="n">
        <f aca="false">IF(OR(GP$4="",$B24=""),0,SUMIF('DADOS BRUTOS'!$A$3:$A$500,$B24,'DADOS BRUTOS'!DP$3:DP$500)+IF($C24="",0,SUMIF('DADOS BRUTOS'!$A$3:$A$500,$C24,'DADOS BRUTOS'!DP$3:DP$500)))</f>
        <v>0</v>
      </c>
      <c r="GQ24" s="133" t="n">
        <f aca="false">IF(OR(GQ$4="",$B24=""),0,SUMIF('DADOS BRUTOS'!$A$3:$A$500,$B24,'DADOS BRUTOS'!DQ$3:DQ$500)+IF($C24="",0,SUMIF('DADOS BRUTOS'!$A$3:$A$500,$C24,'DADOS BRUTOS'!DQ$3:DQ$500)))</f>
        <v>0</v>
      </c>
      <c r="GR24" s="133" t="n">
        <f aca="false">IF(OR(GR$4="",$B24=""),0,SUMIF('DADOS BRUTOS'!$A$3:$A$500,$B24,'DADOS BRUTOS'!DR$3:DR$500)+IF($C24="",0,SUMIF('DADOS BRUTOS'!$A$3:$A$500,$C24,'DADOS BRUTOS'!DR$3:DR$500)))</f>
        <v>0</v>
      </c>
      <c r="GS24" s="133" t="n">
        <f aca="false">IF(OR(GS$4="",$B24=""),0,SUMIF('DADOS BRUTOS'!$A$3:$A$500,$B24,'DADOS BRUTOS'!DS$3:DS$500)+IF($C24="",0,SUMIF('DADOS BRUTOS'!$A$3:$A$500,$C24,'DADOS BRUTOS'!DS$3:DS$500)))</f>
        <v>0</v>
      </c>
      <c r="GT24" s="133" t="n">
        <f aca="false">IF(OR(GT$4="",$B24=""),0,SUMIF('DADOS BRUTOS'!$A$3:$A$500,$B24,'DADOS BRUTOS'!DT$3:DT$500)+IF($C24="",0,SUMIF('DADOS BRUTOS'!$A$3:$A$500,$C24,'DADOS BRUTOS'!DT$3:DT$500)))</f>
        <v>0</v>
      </c>
      <c r="GU24" s="133" t="n">
        <f aca="false">IF(OR(GU$4="",$B24=""),0,SUMIF('DADOS BRUTOS'!$A$3:$A$500,$B24,'DADOS BRUTOS'!DU$3:DU$500)+IF($C24="",0,SUMIF('DADOS BRUTOS'!$A$3:$A$500,$C24,'DADOS BRUTOS'!DU$3:DU$500)))</f>
        <v>0</v>
      </c>
      <c r="GV24" s="133" t="n">
        <f aca="false">IF(OR(GV$4="",$B24=""),0,SUMIF('DADOS BRUTOS'!$A$3:$A$500,$B24,'DADOS BRUTOS'!DV$3:DV$500)+IF($C24="",0,SUMIF('DADOS BRUTOS'!$A$3:$A$500,$C24,'DADOS BRUTOS'!DV$3:DV$500)))</f>
        <v>0</v>
      </c>
      <c r="GW24" s="133" t="n">
        <f aca="false">IF(OR(GW$4="",$B24=""),0,SUMIF('DADOS BRUTOS'!$A$3:$A$500,$B24,'DADOS BRUTOS'!DW$3:DW$500)+IF($C24="",0,SUMIF('DADOS BRUTOS'!$A$3:$A$500,$C24,'DADOS BRUTOS'!DW$3:DW$500)))</f>
        <v>0</v>
      </c>
      <c r="GX24" s="133" t="n">
        <f aca="false">IF(OR(GX$4="",$B24=""),0,SUMIF('DADOS BRUTOS'!$A$3:$A$500,$B24,'DADOS BRUTOS'!DX$3:DX$500)+IF($C24="",0,SUMIF('DADOS BRUTOS'!$A$3:$A$500,$C24,'DADOS BRUTOS'!DX$3:DX$500)))</f>
        <v>0</v>
      </c>
      <c r="GY24" s="133" t="n">
        <f aca="false">IF(OR(GY$4="",$B24=""),0,SUMIF('DADOS BRUTOS'!$A$3:$A$500,$B24,'DADOS BRUTOS'!DY$3:DY$500)+IF($C24="",0,SUMIF('DADOS BRUTOS'!$A$3:$A$500,$C24,'DADOS BRUTOS'!DY$3:DY$500)))</f>
        <v>0</v>
      </c>
      <c r="GZ24" s="133" t="n">
        <f aca="false">IF(OR(GZ$4="",$B24=""),0,SUMIF('DADOS BRUTOS'!$A$3:$A$500,$B24,'DADOS BRUTOS'!DZ$3:DZ$500)+IF($C24="",0,SUMIF('DADOS BRUTOS'!$A$3:$A$500,$C24,'DADOS BRUTOS'!DZ$3:DZ$500)))</f>
        <v>0</v>
      </c>
      <c r="HA24" s="133" t="n">
        <f aca="false">IF(OR(HA$4="",$B24=""),0,SUMIF('DADOS BRUTOS'!$A$3:$A$500,$B24,'DADOS BRUTOS'!EA$3:EA$500)+IF($C24="",0,SUMIF('DADOS BRUTOS'!$A$3:$A$500,$C24,'DADOS BRUTOS'!EA$3:EA$500)))</f>
        <v>0</v>
      </c>
      <c r="HB24" s="133" t="n">
        <f aca="false">IF(OR(HB$4="",$B24=""),0,SUMIF('DADOS BRUTOS'!$A$3:$A$500,$B24,'DADOS BRUTOS'!EB$3:EB$500)+IF($C24="",0,SUMIF('DADOS BRUTOS'!$A$3:$A$500,$C24,'DADOS BRUTOS'!EB$3:EB$500)))</f>
        <v>0</v>
      </c>
      <c r="HC24" s="133" t="n">
        <f aca="false">IF(OR(HC$4="",$B24=""),0,SUMIF('DADOS BRUTOS'!$A$3:$A$500,$B24,'DADOS BRUTOS'!EC$3:EC$500)+IF($C24="",0,SUMIF('DADOS BRUTOS'!$A$3:$A$500,$C24,'DADOS BRUTOS'!EC$3:EC$500)))</f>
        <v>0</v>
      </c>
      <c r="HD24" s="133" t="n">
        <f aca="false">IF(OR(HD$4="",$B24=""),0,SUMIF('DADOS BRUTOS'!$A$3:$A$500,$B24,'DADOS BRUTOS'!ED$3:ED$500)+IF($C24="",0,SUMIF('DADOS BRUTOS'!$A$3:$A$500,$C24,'DADOS BRUTOS'!ED$3:ED$500)))</f>
        <v>0</v>
      </c>
      <c r="HE24" s="133" t="n">
        <f aca="false">IF(OR(HE$4="",$B24=""),0,SUMIF('DADOS BRUTOS'!$A$3:$A$500,$B24,'DADOS BRUTOS'!EE$3:EE$500)+IF($C24="",0,SUMIF('DADOS BRUTOS'!$A$3:$A$500,$C24,'DADOS BRUTOS'!EE$3:EE$500)))</f>
        <v>0</v>
      </c>
      <c r="HF24" s="133" t="n">
        <f aca="false">IF(OR(HF$4="",$B24=""),0,SUMIF('DADOS BRUTOS'!$A$3:$A$500,$B24,'DADOS BRUTOS'!EF$3:EF$500)+IF($C24="",0,SUMIF('DADOS BRUTOS'!$A$3:$A$500,$C24,'DADOS BRUTOS'!EF$3:EF$500)))</f>
        <v>0</v>
      </c>
      <c r="HG24" s="133" t="n">
        <f aca="false">IF(OR(HG$4="",$B24=""),0,SUMIF('DADOS BRUTOS'!$A$3:$A$500,$B24,'DADOS BRUTOS'!EG$3:EG$500)+IF($C24="",0,SUMIF('DADOS BRUTOS'!$A$3:$A$500,$C24,'DADOS BRUTOS'!EG$3:EG$500)))</f>
        <v>0</v>
      </c>
      <c r="HH24" s="133" t="n">
        <f aca="false">IF(OR(HH$4="",$B24=""),0,SUMIF('DADOS BRUTOS'!$A$3:$A$500,$B24,'DADOS BRUTOS'!EH$3:EH$500)+IF($C24="",0,SUMIF('DADOS BRUTOS'!$A$3:$A$500,$C24,'DADOS BRUTOS'!EH$3:EH$500)))</f>
        <v>0</v>
      </c>
      <c r="HI24" s="133" t="n">
        <f aca="false">IF(OR(HI$4="",$B24=""),0,SUMIF('DADOS BRUTOS'!$A$3:$A$500,$B24,'DADOS BRUTOS'!EI$3:EI$500)+IF($C24="",0,SUMIF('DADOS BRUTOS'!$A$3:$A$500,$C24,'DADOS BRUTOS'!EI$3:EI$500)))</f>
        <v>0</v>
      </c>
      <c r="HJ24" s="133" t="n">
        <f aca="false">IF(OR(HJ$4="",$B24=""),0,SUMIF('DADOS BRUTOS'!$A$3:$A$500,$B24,'DADOS BRUTOS'!EJ$3:EJ$500)+IF($C24="",0,SUMIF('DADOS BRUTOS'!$A$3:$A$500,$C24,'DADOS BRUTOS'!EJ$3:EJ$500)))</f>
        <v>0</v>
      </c>
      <c r="HK24" s="133" t="n">
        <f aca="false">IF(OR(HK$4="",$B24=""),0,SUMIF('DADOS BRUTOS'!$A$3:$A$500,$B24,'DADOS BRUTOS'!EK$3:EK$500)+IF($C24="",0,SUMIF('DADOS BRUTOS'!$A$3:$A$500,$C24,'DADOS BRUTOS'!EK$3:EK$500)))</f>
        <v>0</v>
      </c>
      <c r="HL24" s="133" t="n">
        <f aca="false">IF(OR(HL$4="",$B24=""),0,SUMIF('DADOS BRUTOS'!$A$3:$A$500,$B24,'DADOS BRUTOS'!EL$3:EL$500)+IF($C24="",0,SUMIF('DADOS BRUTOS'!$A$3:$A$500,$C24,'DADOS BRUTOS'!EL$3:EL$500)))</f>
        <v>0</v>
      </c>
      <c r="HM24" s="133" t="n">
        <f aca="false">IF(OR(HM$4="",$B24=""),0,SUMIF('DADOS BRUTOS'!$A$3:$A$500,$B24,'DADOS BRUTOS'!EM$3:EM$500)+IF($C24="",0,SUMIF('DADOS BRUTOS'!$A$3:$A$500,$C24,'DADOS BRUTOS'!EM$3:EM$500)))</f>
        <v>0</v>
      </c>
      <c r="HN24" s="133" t="n">
        <f aca="false">IF(OR(HN$4="",$B24=""),0,SUMIF('DADOS BRUTOS'!$A$3:$A$500,$B24,'DADOS BRUTOS'!EN$3:EN$500)+IF($C24="",0,SUMIF('DADOS BRUTOS'!$A$3:$A$500,$C24,'DADOS BRUTOS'!EN$3:EN$500)))</f>
        <v>0</v>
      </c>
      <c r="HO24" s="133" t="n">
        <f aca="false">IF(OR(HO$4="",$B24=""),0,SUMIF('DADOS BRUTOS'!$A$3:$A$500,$B24,'DADOS BRUTOS'!EO$3:EO$500)+IF($C24="",0,SUMIF('DADOS BRUTOS'!$A$3:$A$500,$C24,'DADOS BRUTOS'!EO$3:EO$500)))</f>
        <v>0</v>
      </c>
      <c r="HP24" s="133" t="n">
        <f aca="false">IF(OR(HP$4="",$B24=""),0,SUMIF('DADOS BRUTOS'!$A$3:$A$500,$B24,'DADOS BRUTOS'!EP$3:EP$500)+IF($C24="",0,SUMIF('DADOS BRUTOS'!$A$3:$A$500,$C24,'DADOS BRUTOS'!EP$3:EP$500)))</f>
        <v>0</v>
      </c>
      <c r="HQ24" s="133" t="n">
        <f aca="false">IF(OR(HQ$4="",$B24=""),0,SUMIF('DADOS BRUTOS'!$A$3:$A$500,$B24,'DADOS BRUTOS'!EQ$3:EQ$500)+IF($C24="",0,SUMIF('DADOS BRUTOS'!$A$3:$A$500,$C24,'DADOS BRUTOS'!EQ$3:EQ$500)))</f>
        <v>0</v>
      </c>
      <c r="HR24" s="133" t="n">
        <f aca="false">IF(OR(HR$4="",$B24=""),0,SUMIF('DADOS BRUTOS'!$A$3:$A$500,$B24,'DADOS BRUTOS'!ER$3:ER$500)+IF($C24="",0,SUMIF('DADOS BRUTOS'!$A$3:$A$500,$C24,'DADOS BRUTOS'!ER$3:ER$500)))</f>
        <v>0</v>
      </c>
      <c r="HS24" s="133" t="n">
        <f aca="false">IF(OR(HS$4="",$B24=""),0,SUMIF('DADOS BRUTOS'!$A$3:$A$500,$B24,'DADOS BRUTOS'!ES$3:ES$500)+IF($C24="",0,SUMIF('DADOS BRUTOS'!$A$3:$A$500,$C24,'DADOS BRUTOS'!ES$3:ES$500)))</f>
        <v>0</v>
      </c>
      <c r="HT24" s="133" t="n">
        <f aca="false">IF(OR(HT$4="",$B24=""),0,SUMIF('DADOS BRUTOS'!$A$3:$A$500,$B24,'DADOS BRUTOS'!ET$3:ET$500)+IF($C24="",0,SUMIF('DADOS BRUTOS'!$A$3:$A$500,$C24,'DADOS BRUTOS'!ET$3:ET$500)))</f>
        <v>0</v>
      </c>
      <c r="HU24" s="133" t="n">
        <f aca="false">IF(OR(HU$4="",$B24=""),0,SUMIF('DADOS BRUTOS'!$A$3:$A$500,$B24,'DADOS BRUTOS'!EU$3:EU$500)+IF($C24="",0,SUMIF('DADOS BRUTOS'!$A$3:$A$500,$C24,'DADOS BRUTOS'!EU$3:EU$500)))</f>
        <v>0</v>
      </c>
      <c r="HV24" s="133" t="n">
        <f aca="false">IF(OR(HV$4="",$B24=""),0,SUMIF('DADOS BRUTOS'!$A$3:$A$500,$B24,'DADOS BRUTOS'!EV$3:EV$500)+IF($C24="",0,SUMIF('DADOS BRUTOS'!$A$3:$A$500,$C24,'DADOS BRUTOS'!EV$3:EV$500)))</f>
        <v>0</v>
      </c>
      <c r="HW24" s="133" t="n">
        <f aca="false">IF(OR(HW$4="",$B24=""),0,SUMIF('DADOS BRUTOS'!$A$3:$A$500,$B24,'DADOS BRUTOS'!EW$3:EW$500)+IF($C24="",0,SUMIF('DADOS BRUTOS'!$A$3:$A$500,$C24,'DADOS BRUTOS'!EW$3:EW$500)))</f>
        <v>0</v>
      </c>
      <c r="HX24" s="133" t="n">
        <f aca="false">IF(OR(HX$4="",$B24=""),0,SUMIF('DADOS BRUTOS'!$A$3:$A$500,$B24,'DADOS BRUTOS'!EX$3:EX$500)+IF($C24="",0,SUMIF('DADOS BRUTOS'!$A$3:$A$500,$C24,'DADOS BRUTOS'!EX$3:EX$500)))</f>
        <v>0</v>
      </c>
      <c r="HY24" s="133" t="n">
        <f aca="false">IF(OR(HY$4="",$B24=""),0,SUMIF('DADOS BRUTOS'!$A$3:$A$500,$B24,'DADOS BRUTOS'!EY$3:EY$500)+IF($C24="",0,SUMIF('DADOS BRUTOS'!$A$3:$A$500,$C24,'DADOS BRUTOS'!EY$3:EY$500)))</f>
        <v>0</v>
      </c>
      <c r="HZ24" s="133" t="n">
        <f aca="false">IF(OR(HZ$4="",$B24=""),0,SUMIF('DADOS BRUTOS'!$A$3:$A$500,$B24,'DADOS BRUTOS'!EZ$3:EZ$500)+IF($C24="",0,SUMIF('DADOS BRUTOS'!$A$3:$A$500,$C24,'DADOS BRUTOS'!EZ$3:EZ$500)))</f>
        <v>0</v>
      </c>
      <c r="IA24" s="133" t="n">
        <f aca="false">IF(OR(IA$4="",$B24=""),0,SUMIF('DADOS BRUTOS'!$A$3:$A$500,$B24,'DADOS BRUTOS'!FA$3:FA$500)+IF($C24="",0,SUMIF('DADOS BRUTOS'!$A$3:$A$500,$C24,'DADOS BRUTOS'!FA$3:FA$500)))</f>
        <v>0</v>
      </c>
      <c r="IB24" s="133" t="n">
        <f aca="false">IF(OR(IB$4="",$B24=""),0,SUMIF('DADOS BRUTOS'!$A$3:$A$500,$B24,'DADOS BRUTOS'!FB$3:FB$500)+IF($C24="",0,SUMIF('DADOS BRUTOS'!$A$3:$A$500,$C24,'DADOS BRUTOS'!FB$3:FB$500)))</f>
        <v>0</v>
      </c>
      <c r="IC24" s="133" t="n">
        <f aca="false">IF(OR(IC$4="",$B24=""),0,SUMIF('DADOS BRUTOS'!$A$3:$A$500,$B24,'DADOS BRUTOS'!FC$3:FC$500)+IF($C24="",0,SUMIF('DADOS BRUTOS'!$A$3:$A$500,$C24,'DADOS BRUTOS'!FC$3:FC$500)))</f>
        <v>0</v>
      </c>
      <c r="ID24" s="133" t="n">
        <f aca="false">IF(OR(ID$4="",$B24=""),0,SUMIF('DADOS BRUTOS'!$A$3:$A$500,$B24,'DADOS BRUTOS'!FD$3:FD$500)+IF($C24="",0,SUMIF('DADOS BRUTOS'!$A$3:$A$500,$C24,'DADOS BRUTOS'!FD$3:FD$500)))</f>
        <v>0</v>
      </c>
      <c r="IE24" s="133" t="n">
        <f aca="false">IF(OR(IE$4="",$B24=""),0,SUMIF('DADOS BRUTOS'!$A$3:$A$500,$B24,'DADOS BRUTOS'!FE$3:FE$500)+IF($C24="",0,SUMIF('DADOS BRUTOS'!$A$3:$A$500,$C24,'DADOS BRUTOS'!FE$3:FE$500)))</f>
        <v>0</v>
      </c>
      <c r="IF24" s="133" t="n">
        <f aca="false">IF(OR(IF$4="",$B24=""),0,SUMIF('DADOS BRUTOS'!$A$3:$A$500,$B24,'DADOS BRUTOS'!FF$3:FF$500)+IF($C24="",0,SUMIF('DADOS BRUTOS'!$A$3:$A$500,$C24,'DADOS BRUTOS'!FF$3:FF$500)))</f>
        <v>0</v>
      </c>
      <c r="IG24" s="133" t="n">
        <f aca="false">IF(OR(IG$4="",$B24=""),0,SUMIF('DADOS BRUTOS'!$A$3:$A$500,$B24,'DADOS BRUTOS'!FG$3:FG$500)+IF($C24="",0,SUMIF('DADOS BRUTOS'!$A$3:$A$500,$C24,'DADOS BRUTOS'!FG$3:FG$500)))</f>
        <v>0</v>
      </c>
      <c r="IH24" s="133" t="n">
        <f aca="false">IF(OR(IH$4="",$B24=""),0,SUMIF('DADOS BRUTOS'!$A$3:$A$500,$B24,'DADOS BRUTOS'!FH$3:FH$500)+IF($C24="",0,SUMIF('DADOS BRUTOS'!$A$3:$A$500,$C24,'DADOS BRUTOS'!FH$3:FH$500)))</f>
        <v>0</v>
      </c>
      <c r="II24" s="133" t="n">
        <f aca="false">IF(OR(II$4="",$B24=""),0,SUMIF('DADOS BRUTOS'!$A$3:$A$500,$B24,'DADOS BRUTOS'!FI$3:FI$500)+IF($C24="",0,SUMIF('DADOS BRUTOS'!$A$3:$A$500,$C24,'DADOS BRUTOS'!FI$3:FI$500)))</f>
        <v>0</v>
      </c>
      <c r="IJ24" s="133" t="n">
        <f aca="false">IF(OR(IJ$4="",$B24=""),0,SUMIF('DADOS BRUTOS'!$A$3:$A$500,$B24,'DADOS BRUTOS'!FJ$3:FJ$500)+IF($C24="",0,SUMIF('DADOS BRUTOS'!$A$3:$A$500,$C24,'DADOS BRUTOS'!FJ$3:FJ$500)))</f>
        <v>0</v>
      </c>
      <c r="IK24" s="133" t="n">
        <f aca="false">IF(OR(IK$4="",$B24=""),0,SUMIF('DADOS BRUTOS'!$A$3:$A$500,$B24,'DADOS BRUTOS'!FK$3:FK$500)+IF($C24="",0,SUMIF('DADOS BRUTOS'!$A$3:$A$500,$C24,'DADOS BRUTOS'!FK$3:FK$500)))</f>
        <v>0</v>
      </c>
      <c r="IL24" s="133" t="n">
        <f aca="false">IF(OR(IL$4="",$B24=""),0,SUMIF('DADOS BRUTOS'!$A$3:$A$500,$B24,'DADOS BRUTOS'!FL$3:FL$500)+IF($C24="",0,SUMIF('DADOS BRUTOS'!$A$3:$A$500,$C24,'DADOS BRUTOS'!FL$3:FL$500)))</f>
        <v>0</v>
      </c>
      <c r="IM24" s="133" t="n">
        <f aca="false">IF(OR(IM$4="",$B24=""),0,SUMIF('DADOS BRUTOS'!$A$3:$A$500,$B24,'DADOS BRUTOS'!FM$3:FM$500)+IF($C24="",0,SUMIF('DADOS BRUTOS'!$A$3:$A$500,$C24,'DADOS BRUTOS'!FM$3:FM$500)))</f>
        <v>0</v>
      </c>
      <c r="IN24" s="133" t="n">
        <f aca="false">IF(OR(IN$4="",$B24=""),0,SUMIF('DADOS BRUTOS'!$A$3:$A$500,$B24,'DADOS BRUTOS'!FN$3:FN$500)+IF($C24="",0,SUMIF('DADOS BRUTOS'!$A$3:$A$500,$C24,'DADOS BRUTOS'!FN$3:FN$500)))</f>
        <v>0</v>
      </c>
      <c r="IO24" s="133" t="n">
        <f aca="false">IF(OR(IO$4="",$B24=""),0,SUMIF('DADOS BRUTOS'!$A$3:$A$500,$B24,'DADOS BRUTOS'!FO$3:FO$500)+IF($C24="",0,SUMIF('DADOS BRUTOS'!$A$3:$A$500,$C24,'DADOS BRUTOS'!FO$3:FO$500)))</f>
        <v>0</v>
      </c>
      <c r="IP24" s="133" t="n">
        <f aca="false">IF(OR(IP$4="",$B24=""),0,SUMIF('DADOS BRUTOS'!$A$3:$A$500,$B24,'DADOS BRUTOS'!FP$3:FP$500)+IF($C24="",0,SUMIF('DADOS BRUTOS'!$A$3:$A$500,$C24,'DADOS BRUTOS'!FP$3:FP$500)))</f>
        <v>0</v>
      </c>
      <c r="IQ24" s="133" t="n">
        <f aca="false">IF(OR(IQ$4="",$B24=""),0,SUMIF('DADOS BRUTOS'!$A$3:$A$500,$B24,'DADOS BRUTOS'!FQ$3:FQ$500)+IF($C24="",0,SUMIF('DADOS BRUTOS'!$A$3:$A$500,$C24,'DADOS BRUTOS'!FQ$3:FQ$500)))</f>
        <v>0</v>
      </c>
      <c r="IR24" s="133" t="n">
        <f aca="false">IF(OR(IR$4="",$B24=""),0,SUMIF('DADOS BRUTOS'!$A$3:$A$500,$B24,'DADOS BRUTOS'!FR$3:FR$500)+IF($C24="",0,SUMIF('DADOS BRUTOS'!$A$3:$A$500,$C24,'DADOS BRUTOS'!FR$3:FR$500)))</f>
        <v>0</v>
      </c>
      <c r="IS24" s="133" t="n">
        <f aca="false">IF(OR(IS$4="",$B24=""),0,SUMIF('DADOS BRUTOS'!$A$3:$A$500,$B24,'DADOS BRUTOS'!FS$3:FS$500)+IF($C24="",0,SUMIF('DADOS BRUTOS'!$A$3:$A$500,$C24,'DADOS BRUTOS'!FS$3:FS$500)))</f>
        <v>0</v>
      </c>
      <c r="IT24" s="133" t="n">
        <f aca="false">IF(OR(IT$4="",$B24=""),0,SUMIF('DADOS BRUTOS'!$A$3:$A$500,$B24,'DADOS BRUTOS'!FT$3:FT$500)+IF($C24="",0,SUMIF('DADOS BRUTOS'!$A$3:$A$500,$C24,'DADOS BRUTOS'!FT$3:FT$500)))</f>
        <v>0</v>
      </c>
      <c r="IU24" s="133" t="n">
        <f aca="false">IF(OR(IU$4="",$B24=""),0,SUMIF('DADOS BRUTOS'!$A$3:$A$500,$B24,'DADOS BRUTOS'!FU$3:FU$500)+IF($C24="",0,SUMIF('DADOS BRUTOS'!$A$3:$A$500,$C24,'DADOS BRUTOS'!FU$3:FU$500)))</f>
        <v>0</v>
      </c>
      <c r="IV24" s="133" t="n">
        <f aca="false">IF(OR(IV$4="",$B24=""),0,SUMIF('DADOS BRUTOS'!$A$3:$A$500,$B24,'DADOS BRUTOS'!FV$3:FV$500)+IF($C24="",0,SUMIF('DADOS BRUTOS'!$A$3:$A$500,$C24,'DADOS BRUTOS'!FV$3:FV$500)))</f>
        <v>0</v>
      </c>
      <c r="IW24" s="133" t="n">
        <f aca="false">IF(OR(IW$4="",$B24=""),0,SUMIF('DADOS BRUTOS'!$A$3:$A$500,$B24,'DADOS BRUTOS'!FW$3:FW$500)+IF($C24="",0,SUMIF('DADOS BRUTOS'!$A$3:$A$500,$C24,'DADOS BRUTOS'!FW$3:FW$500)))</f>
        <v>0</v>
      </c>
      <c r="IX24" s="133" t="n">
        <f aca="false">IF(OR(IX$4="",$B24=""),0,SUMIF('DADOS BRUTOS'!$A$3:$A$500,$B24,'DADOS BRUTOS'!FX$3:FX$500)+IF($C24="",0,SUMIF('DADOS BRUTOS'!$A$3:$A$500,$C24,'DADOS BRUTOS'!FX$3:FX$500)))</f>
        <v>0</v>
      </c>
      <c r="IY24" s="133" t="n">
        <f aca="false">IF(OR(IY$4="",$B24=""),0,SUMIF('DADOS BRUTOS'!$A$3:$A$500,$B24,'DADOS BRUTOS'!FY$3:FY$500)+IF($C24="",0,SUMIF('DADOS BRUTOS'!$A$3:$A$500,$C24,'DADOS BRUTOS'!FY$3:FY$500)))</f>
        <v>0</v>
      </c>
      <c r="IZ24" s="133" t="n">
        <f aca="false">IF(OR(IZ$4="",$B24=""),0,SUMIF('DADOS BRUTOS'!$A$3:$A$500,$B24,'DADOS BRUTOS'!FZ$3:FZ$500)+IF($C24="",0,SUMIF('DADOS BRUTOS'!$A$3:$A$500,$C24,'DADOS BRUTOS'!FZ$3:FZ$500)))</f>
        <v>0</v>
      </c>
      <c r="JA24" s="133" t="n">
        <f aca="false">IF(OR(JA$4="",$B24=""),0,SUMIF('DADOS BRUTOS'!$A$3:$A$500,$B24,'DADOS BRUTOS'!GA$3:GA$500)+IF($C24="",0,SUMIF('DADOS BRUTOS'!$A$3:$A$500,$C24,'DADOS BRUTOS'!GA$3:GA$500)))</f>
        <v>0</v>
      </c>
      <c r="JB24" s="133" t="n">
        <f aca="false">IF(OR(JB$4="",$B24=""),0,SUMIF('DADOS BRUTOS'!$A$3:$A$500,$B24,'DADOS BRUTOS'!GB$3:GB$500)+IF($C24="",0,SUMIF('DADOS BRUTOS'!$A$3:$A$500,$C24,'DADOS BRUTOS'!GB$3:GB$500)))</f>
        <v>0</v>
      </c>
      <c r="JC24" s="133" t="n">
        <f aca="false">IF(OR(JC$4="",$B24=""),0,SUMIF('DADOS BRUTOS'!$A$3:$A$500,$B24,'DADOS BRUTOS'!GC$3:GC$500)+IF($C24="",0,SUMIF('DADOS BRUTOS'!$A$3:$A$500,$C24,'DADOS BRUTOS'!GC$3:GC$500)))</f>
        <v>0</v>
      </c>
      <c r="JD24" s="133" t="n">
        <f aca="false">IF(OR(JD$4="",$B24=""),0,SUMIF('DADOS BRUTOS'!$A$3:$A$500,$B24,'DADOS BRUTOS'!GD$3:GD$500)+IF($C24="",0,SUMIF('DADOS BRUTOS'!$A$3:$A$500,$C24,'DADOS BRUTOS'!GD$3:GD$500)))</f>
        <v>0</v>
      </c>
      <c r="JE24" s="133" t="n">
        <f aca="false">IF(OR(JE$4="",$B24=""),0,SUMIF('DADOS BRUTOS'!$A$3:$A$500,$B24,'DADOS BRUTOS'!GE$3:GE$500)+IF($C24="",0,SUMIF('DADOS BRUTOS'!$A$3:$A$500,$C24,'DADOS BRUTOS'!GE$3:GE$500)))</f>
        <v>0</v>
      </c>
      <c r="JF24" s="133" t="n">
        <f aca="false">IF(OR(JF$4="",$B24=""),0,SUMIF('DADOS BRUTOS'!$A$3:$A$500,$B24,'DADOS BRUTOS'!GF$3:GF$500)+IF($C24="",0,SUMIF('DADOS BRUTOS'!$A$3:$A$500,$C24,'DADOS BRUTOS'!GF$3:GF$500)))</f>
        <v>0</v>
      </c>
      <c r="JG24" s="133" t="n">
        <f aca="false">IF(OR(JG$4="",$B24=""),0,SUMIF('DADOS BRUTOS'!$A$3:$A$500,$B24,'DADOS BRUTOS'!GG$3:GG$500)+IF($C24="",0,SUMIF('DADOS BRUTOS'!$A$3:$A$500,$C24,'DADOS BRUTOS'!GG$3:GG$500)))</f>
        <v>0</v>
      </c>
      <c r="JH24" s="133" t="n">
        <f aca="false">IF(OR(JH$4="",$B24=""),0,SUMIF('DADOS BRUTOS'!$A$3:$A$500,$B24,'DADOS BRUTOS'!GH$3:GH$500)+IF($C24="",0,SUMIF('DADOS BRUTOS'!$A$3:$A$500,$C24,'DADOS BRUTOS'!GH$3:GH$500)))</f>
        <v>0</v>
      </c>
      <c r="JI24" s="133" t="n">
        <f aca="false">IF(OR(JI$4="",$B24=""),0,SUMIF('DADOS BRUTOS'!$A$3:$A$500,$B24,'DADOS BRUTOS'!GI$3:GI$500)+IF($C24="",0,SUMIF('DADOS BRUTOS'!$A$3:$A$500,$C24,'DADOS BRUTOS'!GI$3:GI$500)))</f>
        <v>0</v>
      </c>
      <c r="JJ24" s="133" t="n">
        <f aca="false">IF(OR(JJ$4="",$B24=""),0,SUMIF('DADOS BRUTOS'!$A$3:$A$500,$B24,'DADOS BRUTOS'!GJ$3:GJ$500)+IF($C24="",0,SUMIF('DADOS BRUTOS'!$A$3:$A$500,$C24,'DADOS BRUTOS'!GJ$3:GJ$500)))</f>
        <v>0</v>
      </c>
      <c r="JK24" s="133" t="n">
        <f aca="false">IF(OR(JK$4="",$B24=""),0,SUMIF('DADOS BRUTOS'!$A$3:$A$500,$B24,'DADOS BRUTOS'!GK$3:GK$500)+IF($C24="",0,SUMIF('DADOS BRUTOS'!$A$3:$A$500,$C24,'DADOS BRUTOS'!GK$3:GK$500)))</f>
        <v>0</v>
      </c>
      <c r="JL24" s="133" t="n">
        <f aca="false">IF(OR(JL$4="",$B24=""),0,SUMIF('DADOS BRUTOS'!$A$3:$A$500,$B24,'DADOS BRUTOS'!GL$3:GL$500)+IF($C24="",0,SUMIF('DADOS BRUTOS'!$A$3:$A$500,$C24,'DADOS BRUTOS'!GL$3:GL$500)))</f>
        <v>0</v>
      </c>
      <c r="JM24" s="133" t="n">
        <f aca="false">IF(OR(JM$4="",$B24=""),0,SUMIF('DADOS BRUTOS'!$A$3:$A$500,$B24,'DADOS BRUTOS'!GM$3:GM$500)+IF($C24="",0,SUMIF('DADOS BRUTOS'!$A$3:$A$500,$C24,'DADOS BRUTOS'!GM$3:GM$500)))</f>
        <v>0</v>
      </c>
      <c r="JN24" s="133" t="n">
        <f aca="false">IF(OR(JN$4="",$B24=""),0,SUMIF('DADOS BRUTOS'!$A$3:$A$500,$B24,'DADOS BRUTOS'!GN$3:GN$500)+IF($C24="",0,SUMIF('DADOS BRUTOS'!$A$3:$A$500,$C24,'DADOS BRUTOS'!GN$3:GN$500)))</f>
        <v>0</v>
      </c>
      <c r="JO24" s="133" t="n">
        <f aca="false">IF(OR(JO$4="",$B24=""),0,SUMIF('DADOS BRUTOS'!$A$3:$A$500,$B24,'DADOS BRUTOS'!GO$3:GO$500)+IF($C24="",0,SUMIF('DADOS BRUTOS'!$A$3:$A$500,$C24,'DADOS BRUTOS'!GO$3:GO$500)))</f>
        <v>0</v>
      </c>
      <c r="JP24" s="133" t="n">
        <f aca="false">IF(OR(JP$4="",$B24=""),0,SUMIF('DADOS BRUTOS'!$A$3:$A$500,$B24,'DADOS BRUTOS'!GP$3:GP$500)+IF($C24="",0,SUMIF('DADOS BRUTOS'!$A$3:$A$500,$C24,'DADOS BRUTOS'!GP$3:GP$500)))</f>
        <v>0</v>
      </c>
      <c r="JQ24" s="133" t="n">
        <f aca="false">IF(OR(JQ$4="",$B24=""),0,SUMIF('DADOS BRUTOS'!$A$3:$A$500,$B24,'DADOS BRUTOS'!GQ$3:GQ$500)+IF($C24="",0,SUMIF('DADOS BRUTOS'!$A$3:$A$500,$C24,'DADOS BRUTOS'!GQ$3:GQ$500)))</f>
        <v>0</v>
      </c>
      <c r="JR24" s="133" t="n">
        <f aca="false">IF(OR(JR$4="",$B24=""),0,SUMIF('DADOS BRUTOS'!$A$3:$A$500,$B24,'DADOS BRUTOS'!GR$3:GR$500)+IF($C24="",0,SUMIF('DADOS BRUTOS'!$A$3:$A$500,$C24,'DADOS BRUTOS'!GR$3:GR$500)))</f>
        <v>0</v>
      </c>
      <c r="JS24" s="133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0</v>
      </c>
      <c r="E25" s="50" t="n">
        <f aca="false">SUMIF($CB$4:$JS$4,E$4,$CB25:$JS25)</f>
        <v>0</v>
      </c>
      <c r="F25" s="50" t="n">
        <f aca="false">SUMIF($CB$4:$JS$4,F$4,$CB25:$JS25)</f>
        <v>0</v>
      </c>
      <c r="G25" s="50" t="n">
        <f aca="false">SUMIF($CB$4:$JS$4,G$4,$CB25:$JS25)</f>
        <v>0</v>
      </c>
      <c r="H25" s="50" t="n">
        <f aca="false">SUMIF($CB$4:$JS$4,H$4,$CB25:$JS25)</f>
        <v>0</v>
      </c>
      <c r="I25" s="50" t="n">
        <f aca="false">SUMIF($CB$4:$JS$4,I$4,$CB25:$JS25)</f>
        <v>0</v>
      </c>
      <c r="J25" s="50" t="n">
        <f aca="false">SUMIF($CB$4:$JS$4,J$4,$CB25:$JS25)</f>
        <v>0</v>
      </c>
      <c r="K25" s="50" t="n">
        <f aca="false">SUMIF($CB$4:$JS$4,K$4,$CB25:$JS25)</f>
        <v>0</v>
      </c>
      <c r="L25" s="50" t="n">
        <f aca="false">SUMIF($CB$4:$JS$4,L$4,$CB25:$JS25)</f>
        <v>0</v>
      </c>
      <c r="M25" s="50" t="n">
        <f aca="false">SUMIF($CB$4:$JS$4,M$4,$CB25:$JS25)</f>
        <v>0</v>
      </c>
      <c r="N25" s="50" t="n">
        <f aca="false">SUMIF($CB$4:$JS$4,N$4,$CB25:$JS25)</f>
        <v>0</v>
      </c>
      <c r="O25" s="50" t="n">
        <f aca="false">SUMIF($CB$4:$JS$4,O$4,$CB25:$JS25)</f>
        <v>0</v>
      </c>
      <c r="P25" s="50" t="n">
        <f aca="false">SUMIF($CB$4:$JS$4,P$4,$CB25:$JS25)</f>
        <v>0</v>
      </c>
      <c r="Q25" s="50" t="n">
        <f aca="false">SUMIF($CB$4:$JS$4,Q$4,$CB25:$JS25)</f>
        <v>0</v>
      </c>
      <c r="R25" s="50" t="n">
        <f aca="false">SUMIF($CB$4:$JS$4,R$4,$CB25:$JS25)</f>
        <v>0</v>
      </c>
      <c r="S25" s="50" t="n">
        <f aca="false">SUMIF($CB$4:$JS$4,S$4,$CB25:$JS25)</f>
        <v>0</v>
      </c>
      <c r="T25" s="50" t="n">
        <f aca="false">SUMIF($CB$4:$JS$4,T$4,$CB25:$JS25)</f>
        <v>0</v>
      </c>
      <c r="U25" s="50" t="n">
        <f aca="false">SUMIF($CB$4:$JS$4,U$4,$CB25:$JS25)</f>
        <v>0</v>
      </c>
      <c r="V25" s="50" t="n">
        <f aca="false">SUMIF($CB$4:$JS$4,V$4,$CB25:$JS25)</f>
        <v>0</v>
      </c>
      <c r="W25" s="50" t="n">
        <f aca="false">SUMIF($CB$4:$JS$4,W$4,$CB25:$JS25)</f>
        <v>0</v>
      </c>
      <c r="X25" s="50" t="n">
        <f aca="false">SUMIF($CB$4:$JS$4,X$4,$CB25:$JS25)</f>
        <v>0</v>
      </c>
      <c r="Y25" s="50" t="n">
        <f aca="false">SUMIF($CB$4:$JS$4,Y$4,$CB25:$JS25)</f>
        <v>0</v>
      </c>
      <c r="Z25" s="50" t="n">
        <f aca="false">SUMIF($CB$4:$JS$4,Z$4,$CB25:$JS25)</f>
        <v>0</v>
      </c>
      <c r="AA25" s="50" t="n">
        <f aca="false">SUMIF($CB$4:$JS$4,AA$4,$CB25:$JS25)</f>
        <v>0</v>
      </c>
      <c r="AB25" s="50" t="n">
        <f aca="false">SUMIF($CB$4:$JS$4,AB$4,$CB25:$JS25)</f>
        <v>0</v>
      </c>
      <c r="AC25" s="50" t="n">
        <f aca="false">SUMIF($CB$4:$JS$4,AC$4,$CB25:$JS25)</f>
        <v>0</v>
      </c>
      <c r="AD25" s="50" t="n">
        <f aca="false">SUMIF($CB$4:$JS$4,AD$4,$CB25:$JS25)</f>
        <v>0</v>
      </c>
      <c r="AE25" s="50" t="n">
        <f aca="false">SUMIF($CB$4:$JS$4,AE$4,$CB25:$JS25)</f>
        <v>0</v>
      </c>
      <c r="AF25" s="50" t="n">
        <f aca="false">SUMIF($CB$4:$JS$4,AF$4,$CB25:$JS25)</f>
        <v>0</v>
      </c>
      <c r="AG25" s="50" t="n">
        <f aca="false">SUMIF($CB$4:$JS$4,AG$4,$CB25:$JS25)</f>
        <v>0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0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0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0</v>
      </c>
      <c r="BZ25" s="45" t="n">
        <f aca="false">SUMPRODUCT(($CB$4:$JS$4&lt;&gt;"")*($CB$4:$JS$4&lt;=$D$4),$CB25:$JS25,$CB$1:$JS$1)</f>
        <v>0</v>
      </c>
      <c r="CB25" s="133" t="n">
        <f aca="false">IF(OR(CB$4="",$B25=""),0,SUMIF('DADOS BRUTOS'!$A$3:$A$500,$B25,'DADOS BRUTOS'!B$3:B$500)+IF($C25="",0,SUMIF('DADOS BRUTOS'!$A$3:$A$500,$C25,'DADOS BRUTOS'!B$3:B$500)))</f>
        <v>0</v>
      </c>
      <c r="CC25" s="133" t="n">
        <f aca="false">IF(OR(CC$4="",$B25=""),0,SUMIF('DADOS BRUTOS'!$A$3:$A$500,$B25,'DADOS BRUTOS'!C$3:C$500)+IF($C25="",0,SUMIF('DADOS BRUTOS'!$A$3:$A$500,$C25,'DADOS BRUTOS'!C$3:C$500)))</f>
        <v>0</v>
      </c>
      <c r="CD25" s="133" t="n">
        <f aca="false">IF(OR(CD$4="",$B25=""),0,SUMIF('DADOS BRUTOS'!$A$3:$A$500,$B25,'DADOS BRUTOS'!D$3:D$500)+IF($C25="",0,SUMIF('DADOS BRUTOS'!$A$3:$A$500,$C25,'DADOS BRUTOS'!D$3:D$500)))</f>
        <v>0</v>
      </c>
      <c r="CE25" s="133" t="n">
        <f aca="false">IF(OR(CE$4="",$B25=""),0,SUMIF('DADOS BRUTOS'!$A$3:$A$500,$B25,'DADOS BRUTOS'!E$3:E$500)+IF($C25="",0,SUMIF('DADOS BRUTOS'!$A$3:$A$500,$C25,'DADOS BRUTOS'!E$3:E$500)))</f>
        <v>0</v>
      </c>
      <c r="CF25" s="133" t="n">
        <f aca="false">IF(OR(CF$4="",$B25=""),0,SUMIF('DADOS BRUTOS'!$A$3:$A$500,$B25,'DADOS BRUTOS'!F$3:F$500)+IF($C25="",0,SUMIF('DADOS BRUTOS'!$A$3:$A$500,$C25,'DADOS BRUTOS'!F$3:F$500)))</f>
        <v>0</v>
      </c>
      <c r="CG25" s="133" t="n">
        <f aca="false">IF(OR(CG$4="",$B25=""),0,SUMIF('DADOS BRUTOS'!$A$3:$A$500,$B25,'DADOS BRUTOS'!G$3:G$500)+IF($C25="",0,SUMIF('DADOS BRUTOS'!$A$3:$A$500,$C25,'DADOS BRUTOS'!G$3:G$500)))</f>
        <v>0</v>
      </c>
      <c r="CH25" s="133" t="n">
        <f aca="false">IF(OR(CH$4="",$B25=""),0,SUMIF('DADOS BRUTOS'!$A$3:$A$500,$B25,'DADOS BRUTOS'!H$3:H$500)+IF($C25="",0,SUMIF('DADOS BRUTOS'!$A$3:$A$500,$C25,'DADOS BRUTOS'!H$3:H$500)))</f>
        <v>0</v>
      </c>
      <c r="CI25" s="133" t="n">
        <f aca="false">IF(OR(CI$4="",$B25=""),0,SUMIF('DADOS BRUTOS'!$A$3:$A$500,$B25,'DADOS BRUTOS'!I$3:I$500)+IF($C25="",0,SUMIF('DADOS BRUTOS'!$A$3:$A$500,$C25,'DADOS BRUTOS'!I$3:I$500)))</f>
        <v>0</v>
      </c>
      <c r="CJ25" s="133" t="n">
        <f aca="false">IF(OR(CJ$4="",$B25=""),0,SUMIF('DADOS BRUTOS'!$A$3:$A$500,$B25,'DADOS BRUTOS'!J$3:J$500)+IF($C25="",0,SUMIF('DADOS BRUTOS'!$A$3:$A$500,$C25,'DADOS BRUTOS'!J$3:J$500)))</f>
        <v>0</v>
      </c>
      <c r="CK25" s="133" t="n">
        <f aca="false">IF(OR(CK$4="",$B25=""),0,SUMIF('DADOS BRUTOS'!$A$3:$A$500,$B25,'DADOS BRUTOS'!K$3:K$500)+IF($C25="",0,SUMIF('DADOS BRUTOS'!$A$3:$A$500,$C25,'DADOS BRUTOS'!K$3:K$500)))</f>
        <v>0</v>
      </c>
      <c r="CL25" s="133" t="n">
        <f aca="false">IF(OR(CL$4="",$B25=""),0,SUMIF('DADOS BRUTOS'!$A$3:$A$500,$B25,'DADOS BRUTOS'!L$3:L$500)+IF($C25="",0,SUMIF('DADOS BRUTOS'!$A$3:$A$500,$C25,'DADOS BRUTOS'!L$3:L$500)))</f>
        <v>0</v>
      </c>
      <c r="CM25" s="133" t="n">
        <f aca="false">IF(OR(CM$4="",$B25=""),0,SUMIF('DADOS BRUTOS'!$A$3:$A$500,$B25,'DADOS BRUTOS'!M$3:M$500)+IF($C25="",0,SUMIF('DADOS BRUTOS'!$A$3:$A$500,$C25,'DADOS BRUTOS'!M$3:M$500)))</f>
        <v>0</v>
      </c>
      <c r="CN25" s="133" t="n">
        <f aca="false">IF(OR(CN$4="",$B25=""),0,SUMIF('DADOS BRUTOS'!$A$3:$A$500,$B25,'DADOS BRUTOS'!N$3:N$500)+IF($C25="",0,SUMIF('DADOS BRUTOS'!$A$3:$A$500,$C25,'DADOS BRUTOS'!N$3:N$500)))</f>
        <v>0</v>
      </c>
      <c r="CO25" s="133" t="n">
        <f aca="false">IF(OR(CO$4="",$B25=""),0,SUMIF('DADOS BRUTOS'!$A$3:$A$500,$B25,'DADOS BRUTOS'!O$3:O$500)+IF($C25="",0,SUMIF('DADOS BRUTOS'!$A$3:$A$500,$C25,'DADOS BRUTOS'!O$3:O$500)))</f>
        <v>0</v>
      </c>
      <c r="CP25" s="133" t="n">
        <f aca="false">IF(OR(CP$4="",$B25=""),0,SUMIF('DADOS BRUTOS'!$A$3:$A$500,$B25,'DADOS BRUTOS'!P$3:P$500)+IF($C25="",0,SUMIF('DADOS BRUTOS'!$A$3:$A$500,$C25,'DADOS BRUTOS'!P$3:P$500)))</f>
        <v>0</v>
      </c>
      <c r="CQ25" s="133" t="n">
        <f aca="false">IF(OR(CQ$4="",$B25=""),0,SUMIF('DADOS BRUTOS'!$A$3:$A$500,$B25,'DADOS BRUTOS'!Q$3:Q$500)+IF($C25="",0,SUMIF('DADOS BRUTOS'!$A$3:$A$500,$C25,'DADOS BRUTOS'!Q$3:Q$500)))</f>
        <v>0</v>
      </c>
      <c r="CR25" s="133" t="n">
        <f aca="false">IF(OR(CR$4="",$B25=""),0,SUMIF('DADOS BRUTOS'!$A$3:$A$500,$B25,'DADOS BRUTOS'!R$3:R$500)+IF($C25="",0,SUMIF('DADOS BRUTOS'!$A$3:$A$500,$C25,'DADOS BRUTOS'!R$3:R$500)))</f>
        <v>0</v>
      </c>
      <c r="CS25" s="133" t="n">
        <f aca="false">IF(OR(CS$4="",$B25=""),0,SUMIF('DADOS BRUTOS'!$A$3:$A$500,$B25,'DADOS BRUTOS'!S$3:S$500)+IF($C25="",0,SUMIF('DADOS BRUTOS'!$A$3:$A$500,$C25,'DADOS BRUTOS'!S$3:S$500)))</f>
        <v>0</v>
      </c>
      <c r="CT25" s="133" t="n">
        <f aca="false">IF(OR(CT$4="",$B25=""),0,SUMIF('DADOS BRUTOS'!$A$3:$A$500,$B25,'DADOS BRUTOS'!T$3:T$500)+IF($C25="",0,SUMIF('DADOS BRUTOS'!$A$3:$A$500,$C25,'DADOS BRUTOS'!T$3:T$500)))</f>
        <v>0</v>
      </c>
      <c r="CU25" s="133" t="n">
        <f aca="false">IF(OR(CU$4="",$B25=""),0,SUMIF('DADOS BRUTOS'!$A$3:$A$500,$B25,'DADOS BRUTOS'!U$3:U$500)+IF($C25="",0,SUMIF('DADOS BRUTOS'!$A$3:$A$500,$C25,'DADOS BRUTOS'!U$3:U$500)))</f>
        <v>0</v>
      </c>
      <c r="CV25" s="133" t="n">
        <f aca="false">IF(OR(CV$4="",$B25=""),0,SUMIF('DADOS BRUTOS'!$A$3:$A$500,$B25,'DADOS BRUTOS'!V$3:V$500)+IF($C25="",0,SUMIF('DADOS BRUTOS'!$A$3:$A$500,$C25,'DADOS BRUTOS'!V$3:V$500)))</f>
        <v>0</v>
      </c>
      <c r="CW25" s="133" t="n">
        <f aca="false">IF(OR(CW$4="",$B25=""),0,SUMIF('DADOS BRUTOS'!$A$3:$A$500,$B25,'DADOS BRUTOS'!W$3:W$500)+IF($C25="",0,SUMIF('DADOS BRUTOS'!$A$3:$A$500,$C25,'DADOS BRUTOS'!W$3:W$500)))</f>
        <v>0</v>
      </c>
      <c r="CX25" s="133" t="n">
        <f aca="false">IF(OR(CX$4="",$B25=""),0,SUMIF('DADOS BRUTOS'!$A$3:$A$500,$B25,'DADOS BRUTOS'!X$3:X$500)+IF($C25="",0,SUMIF('DADOS BRUTOS'!$A$3:$A$500,$C25,'DADOS BRUTOS'!X$3:X$500)))</f>
        <v>0</v>
      </c>
      <c r="CY25" s="133" t="n">
        <f aca="false">IF(OR(CY$4="",$B25=""),0,SUMIF('DADOS BRUTOS'!$A$3:$A$500,$B25,'DADOS BRUTOS'!Y$3:Y$500)+IF($C25="",0,SUMIF('DADOS BRUTOS'!$A$3:$A$500,$C25,'DADOS BRUTOS'!Y$3:Y$500)))</f>
        <v>0</v>
      </c>
      <c r="CZ25" s="133" t="n">
        <f aca="false">IF(OR(CZ$4="",$B25=""),0,SUMIF('DADOS BRUTOS'!$A$3:$A$500,$B25,'DADOS BRUTOS'!Z$3:Z$500)+IF($C25="",0,SUMIF('DADOS BRUTOS'!$A$3:$A$500,$C25,'DADOS BRUTOS'!Z$3:Z$500)))</f>
        <v>0</v>
      </c>
      <c r="DA25" s="133" t="n">
        <f aca="false">IF(OR(DA$4="",$B25=""),0,SUMIF('DADOS BRUTOS'!$A$3:$A$500,$B25,'DADOS BRUTOS'!AA$3:AA$500)+IF($C25="",0,SUMIF('DADOS BRUTOS'!$A$3:$A$500,$C25,'DADOS BRUTOS'!AA$3:AA$500)))</f>
        <v>0</v>
      </c>
      <c r="DB25" s="133" t="n">
        <f aca="false">IF(OR(DB$4="",$B25=""),0,SUMIF('DADOS BRUTOS'!$A$3:$A$500,$B25,'DADOS BRUTOS'!AB$3:AB$500)+IF($C25="",0,SUMIF('DADOS BRUTOS'!$A$3:$A$500,$C25,'DADOS BRUTOS'!AB$3:AB$500)))</f>
        <v>0</v>
      </c>
      <c r="DC25" s="133" t="n">
        <f aca="false">IF(OR(DC$4="",$B25=""),0,SUMIF('DADOS BRUTOS'!$A$3:$A$500,$B25,'DADOS BRUTOS'!AC$3:AC$500)+IF($C25="",0,SUMIF('DADOS BRUTOS'!$A$3:$A$500,$C25,'DADOS BRUTOS'!AC$3:AC$500)))</f>
        <v>0</v>
      </c>
      <c r="DD25" s="133" t="n">
        <f aca="false">IF(OR(DD$4="",$B25=""),0,SUMIF('DADOS BRUTOS'!$A$3:$A$500,$B25,'DADOS BRUTOS'!AD$3:AD$500)+IF($C25="",0,SUMIF('DADOS BRUTOS'!$A$3:$A$500,$C25,'DADOS BRUTOS'!AD$3:AD$500)))</f>
        <v>0</v>
      </c>
      <c r="DE25" s="133" t="n">
        <f aca="false">IF(OR(DE$4="",$B25=""),0,SUMIF('DADOS BRUTOS'!$A$3:$A$500,$B25,'DADOS BRUTOS'!AE$3:AE$500)+IF($C25="",0,SUMIF('DADOS BRUTOS'!$A$3:$A$500,$C25,'DADOS BRUTOS'!AE$3:AE$500)))</f>
        <v>0</v>
      </c>
      <c r="DF25" s="133" t="n">
        <f aca="false">IF(OR(DF$4="",$B25=""),0,SUMIF('DADOS BRUTOS'!$A$3:$A$500,$B25,'DADOS BRUTOS'!AF$3:AF$500)+IF($C25="",0,SUMIF('DADOS BRUTOS'!$A$3:$A$500,$C25,'DADOS BRUTOS'!AF$3:AF$500)))</f>
        <v>0</v>
      </c>
      <c r="DG25" s="133" t="n">
        <f aca="false">IF(OR(DG$4="",$B25=""),0,SUMIF('DADOS BRUTOS'!$A$3:$A$500,$B25,'DADOS BRUTOS'!AG$3:AG$500)+IF($C25="",0,SUMIF('DADOS BRUTOS'!$A$3:$A$500,$C25,'DADOS BRUTOS'!AG$3:AG$500)))</f>
        <v>0</v>
      </c>
      <c r="DH25" s="133" t="n">
        <f aca="false">IF(OR(DH$4="",$B25=""),0,SUMIF('DADOS BRUTOS'!$A$3:$A$500,$B25,'DADOS BRUTOS'!AH$3:AH$500)+IF($C25="",0,SUMIF('DADOS BRUTOS'!$A$3:$A$500,$C25,'DADOS BRUTOS'!AH$3:AH$500)))</f>
        <v>0</v>
      </c>
      <c r="DI25" s="133" t="n">
        <f aca="false">IF(OR(DI$4="",$B25=""),0,SUMIF('DADOS BRUTOS'!$A$3:$A$500,$B25,'DADOS BRUTOS'!AI$3:AI$500)+IF($C25="",0,SUMIF('DADOS BRUTOS'!$A$3:$A$500,$C25,'DADOS BRUTOS'!AI$3:AI$500)))</f>
        <v>0</v>
      </c>
      <c r="DJ25" s="133" t="n">
        <f aca="false">IF(OR(DJ$4="",$B25=""),0,SUMIF('DADOS BRUTOS'!$A$3:$A$500,$B25,'DADOS BRUTOS'!AJ$3:AJ$500)+IF($C25="",0,SUMIF('DADOS BRUTOS'!$A$3:$A$500,$C25,'DADOS BRUTOS'!AJ$3:AJ$500)))</f>
        <v>0</v>
      </c>
      <c r="DK25" s="133" t="n">
        <f aca="false">IF(OR(DK$4="",$B25=""),0,SUMIF('DADOS BRUTOS'!$A$3:$A$500,$B25,'DADOS BRUTOS'!AK$3:AK$500)+IF($C25="",0,SUMIF('DADOS BRUTOS'!$A$3:$A$500,$C25,'DADOS BRUTOS'!AK$3:AK$500)))</f>
        <v>0</v>
      </c>
      <c r="DL25" s="133" t="n">
        <f aca="false">IF(OR(DL$4="",$B25=""),0,SUMIF('DADOS BRUTOS'!$A$3:$A$500,$B25,'DADOS BRUTOS'!AL$3:AL$500)+IF($C25="",0,SUMIF('DADOS BRUTOS'!$A$3:$A$500,$C25,'DADOS BRUTOS'!AL$3:AL$500)))</f>
        <v>0</v>
      </c>
      <c r="DM25" s="133" t="n">
        <f aca="false">IF(OR(DM$4="",$B25=""),0,SUMIF('DADOS BRUTOS'!$A$3:$A$500,$B25,'DADOS BRUTOS'!AM$3:AM$500)+IF($C25="",0,SUMIF('DADOS BRUTOS'!$A$3:$A$500,$C25,'DADOS BRUTOS'!AM$3:AM$500)))</f>
        <v>0</v>
      </c>
      <c r="DN25" s="133" t="n">
        <f aca="false">IF(OR(DN$4="",$B25=""),0,SUMIF('DADOS BRUTOS'!$A$3:$A$500,$B25,'DADOS BRUTOS'!AN$3:AN$500)+IF($C25="",0,SUMIF('DADOS BRUTOS'!$A$3:$A$500,$C25,'DADOS BRUTOS'!AN$3:AN$500)))</f>
        <v>0</v>
      </c>
      <c r="DO25" s="133" t="n">
        <f aca="false">IF(OR(DO$4="",$B25=""),0,SUMIF('DADOS BRUTOS'!$A$3:$A$500,$B25,'DADOS BRUTOS'!AO$3:AO$500)+IF($C25="",0,SUMIF('DADOS BRUTOS'!$A$3:$A$500,$C25,'DADOS BRUTOS'!AO$3:AO$500)))</f>
        <v>0</v>
      </c>
      <c r="DP25" s="133" t="n">
        <f aca="false">IF(OR(DP$4="",$B25=""),0,SUMIF('DADOS BRUTOS'!$A$3:$A$500,$B25,'DADOS BRUTOS'!AP$3:AP$500)+IF($C25="",0,SUMIF('DADOS BRUTOS'!$A$3:$A$500,$C25,'DADOS BRUTOS'!AP$3:AP$500)))</f>
        <v>0</v>
      </c>
      <c r="DQ25" s="133" t="n">
        <f aca="false">IF(OR(DQ$4="",$B25=""),0,SUMIF('DADOS BRUTOS'!$A$3:$A$500,$B25,'DADOS BRUTOS'!AQ$3:AQ$500)+IF($C25="",0,SUMIF('DADOS BRUTOS'!$A$3:$A$500,$C25,'DADOS BRUTOS'!AQ$3:AQ$500)))</f>
        <v>0</v>
      </c>
      <c r="DR25" s="133" t="n">
        <f aca="false">IF(OR(DR$4="",$B25=""),0,SUMIF('DADOS BRUTOS'!$A$3:$A$500,$B25,'DADOS BRUTOS'!AR$3:AR$500)+IF($C25="",0,SUMIF('DADOS BRUTOS'!$A$3:$A$500,$C25,'DADOS BRUTOS'!AR$3:AR$500)))</f>
        <v>0</v>
      </c>
      <c r="DS25" s="133" t="n">
        <f aca="false">IF(OR(DS$4="",$B25=""),0,SUMIF('DADOS BRUTOS'!$A$3:$A$500,$B25,'DADOS BRUTOS'!AS$3:AS$500)+IF($C25="",0,SUMIF('DADOS BRUTOS'!$A$3:$A$500,$C25,'DADOS BRUTOS'!AS$3:AS$500)))</f>
        <v>0</v>
      </c>
      <c r="DT25" s="133" t="n">
        <f aca="false">IF(OR(DT$4="",$B25=""),0,SUMIF('DADOS BRUTOS'!$A$3:$A$500,$B25,'DADOS BRUTOS'!AT$3:AT$500)+IF($C25="",0,SUMIF('DADOS BRUTOS'!$A$3:$A$500,$C25,'DADOS BRUTOS'!AT$3:AT$500)))</f>
        <v>0</v>
      </c>
      <c r="DU25" s="133" t="n">
        <f aca="false">IF(OR(DU$4="",$B25=""),0,SUMIF('DADOS BRUTOS'!$A$3:$A$500,$B25,'DADOS BRUTOS'!AU$3:AU$500)+IF($C25="",0,SUMIF('DADOS BRUTOS'!$A$3:$A$500,$C25,'DADOS BRUTOS'!AU$3:AU$500)))</f>
        <v>0</v>
      </c>
      <c r="DV25" s="133" t="n">
        <f aca="false">IF(OR(DV$4="",$B25=""),0,SUMIF('DADOS BRUTOS'!$A$3:$A$500,$B25,'DADOS BRUTOS'!AV$3:AV$500)+IF($C25="",0,SUMIF('DADOS BRUTOS'!$A$3:$A$500,$C25,'DADOS BRUTOS'!AV$3:AV$500)))</f>
        <v>0</v>
      </c>
      <c r="DW25" s="133" t="n">
        <f aca="false">IF(OR(DW$4="",$B25=""),0,SUMIF('DADOS BRUTOS'!$A$3:$A$500,$B25,'DADOS BRUTOS'!AW$3:AW$500)+IF($C25="",0,SUMIF('DADOS BRUTOS'!$A$3:$A$500,$C25,'DADOS BRUTOS'!AW$3:AW$500)))</f>
        <v>0</v>
      </c>
      <c r="DX25" s="133" t="n">
        <f aca="false">IF(OR(DX$4="",$B25=""),0,SUMIF('DADOS BRUTOS'!$A$3:$A$500,$B25,'DADOS BRUTOS'!AX$3:AX$500)+IF($C25="",0,SUMIF('DADOS BRUTOS'!$A$3:$A$500,$C25,'DADOS BRUTOS'!AX$3:AX$500)))</f>
        <v>0</v>
      </c>
      <c r="DY25" s="133" t="n">
        <f aca="false">IF(OR(DY$4="",$B25=""),0,SUMIF('DADOS BRUTOS'!$A$3:$A$500,$B25,'DADOS BRUTOS'!AY$3:AY$500)+IF($C25="",0,SUMIF('DADOS BRUTOS'!$A$3:$A$500,$C25,'DADOS BRUTOS'!AY$3:AY$500)))</f>
        <v>0</v>
      </c>
      <c r="DZ25" s="133" t="n">
        <f aca="false">IF(OR(DZ$4="",$B25=""),0,SUMIF('DADOS BRUTOS'!$A$3:$A$500,$B25,'DADOS BRUTOS'!AZ$3:AZ$500)+IF($C25="",0,SUMIF('DADOS BRUTOS'!$A$3:$A$500,$C25,'DADOS BRUTOS'!AZ$3:AZ$500)))</f>
        <v>0</v>
      </c>
      <c r="EA25" s="133" t="n">
        <f aca="false">IF(OR(EA$4="",$B25=""),0,SUMIF('DADOS BRUTOS'!$A$3:$A$500,$B25,'DADOS BRUTOS'!BA$3:BA$500)+IF($C25="",0,SUMIF('DADOS BRUTOS'!$A$3:$A$500,$C25,'DADOS BRUTOS'!BA$3:BA$500)))</f>
        <v>0</v>
      </c>
      <c r="EB25" s="133" t="n">
        <f aca="false">IF(OR(EB$4="",$B25=""),0,SUMIF('DADOS BRUTOS'!$A$3:$A$500,$B25,'DADOS BRUTOS'!BB$3:BB$500)+IF($C25="",0,SUMIF('DADOS BRUTOS'!$A$3:$A$500,$C25,'DADOS BRUTOS'!BB$3:BB$500)))</f>
        <v>0</v>
      </c>
      <c r="EC25" s="133" t="n">
        <f aca="false">IF(OR(EC$4="",$B25=""),0,SUMIF('DADOS BRUTOS'!$A$3:$A$500,$B25,'DADOS BRUTOS'!BC$3:BC$500)+IF($C25="",0,SUMIF('DADOS BRUTOS'!$A$3:$A$500,$C25,'DADOS BRUTOS'!BC$3:BC$500)))</f>
        <v>0</v>
      </c>
      <c r="ED25" s="133" t="n">
        <f aca="false">IF(OR(ED$4="",$B25=""),0,SUMIF('DADOS BRUTOS'!$A$3:$A$500,$B25,'DADOS BRUTOS'!BD$3:BD$500)+IF($C25="",0,SUMIF('DADOS BRUTOS'!$A$3:$A$500,$C25,'DADOS BRUTOS'!BD$3:BD$500)))</f>
        <v>0</v>
      </c>
      <c r="EE25" s="133" t="n">
        <f aca="false">IF(OR(EE$4="",$B25=""),0,SUMIF('DADOS BRUTOS'!$A$3:$A$500,$B25,'DADOS BRUTOS'!BE$3:BE$500)+IF($C25="",0,SUMIF('DADOS BRUTOS'!$A$3:$A$500,$C25,'DADOS BRUTOS'!BE$3:BE$500)))</f>
        <v>0</v>
      </c>
      <c r="EF25" s="133" t="n">
        <f aca="false">IF(OR(EF$4="",$B25=""),0,SUMIF('DADOS BRUTOS'!$A$3:$A$500,$B25,'DADOS BRUTOS'!BF$3:BF$500)+IF($C25="",0,SUMIF('DADOS BRUTOS'!$A$3:$A$500,$C25,'DADOS BRUTOS'!BF$3:BF$500)))</f>
        <v>0</v>
      </c>
      <c r="EG25" s="133" t="n">
        <f aca="false">IF(OR(EG$4="",$B25=""),0,SUMIF('DADOS BRUTOS'!$A$3:$A$500,$B25,'DADOS BRUTOS'!BG$3:BG$500)+IF($C25="",0,SUMIF('DADOS BRUTOS'!$A$3:$A$500,$C25,'DADOS BRUTOS'!BG$3:BG$500)))</f>
        <v>0</v>
      </c>
      <c r="EH25" s="133" t="n">
        <f aca="false">IF(OR(EH$4="",$B25=""),0,SUMIF('DADOS BRUTOS'!$A$3:$A$500,$B25,'DADOS BRUTOS'!BH$3:BH$500)+IF($C25="",0,SUMIF('DADOS BRUTOS'!$A$3:$A$500,$C25,'DADOS BRUTOS'!BH$3:BH$500)))</f>
        <v>0</v>
      </c>
      <c r="EI25" s="133" t="n">
        <f aca="false">IF(OR(EI$4="",$B25=""),0,SUMIF('DADOS BRUTOS'!$A$3:$A$500,$B25,'DADOS BRUTOS'!BI$3:BI$500)+IF($C25="",0,SUMIF('DADOS BRUTOS'!$A$3:$A$500,$C25,'DADOS BRUTOS'!BI$3:BI$500)))</f>
        <v>0</v>
      </c>
      <c r="EJ25" s="133" t="n">
        <f aca="false">IF(OR(EJ$4="",$B25=""),0,SUMIF('DADOS BRUTOS'!$A$3:$A$500,$B25,'DADOS BRUTOS'!BJ$3:BJ$500)+IF($C25="",0,SUMIF('DADOS BRUTOS'!$A$3:$A$500,$C25,'DADOS BRUTOS'!BJ$3:BJ$500)))</f>
        <v>0</v>
      </c>
      <c r="EK25" s="133" t="n">
        <f aca="false">IF(OR(EK$4="",$B25=""),0,SUMIF('DADOS BRUTOS'!$A$3:$A$500,$B25,'DADOS BRUTOS'!BK$3:BK$500)+IF($C25="",0,SUMIF('DADOS BRUTOS'!$A$3:$A$500,$C25,'DADOS BRUTOS'!BK$3:BK$500)))</f>
        <v>0</v>
      </c>
      <c r="EL25" s="133" t="n">
        <f aca="false">IF(OR(EL$4="",$B25=""),0,SUMIF('DADOS BRUTOS'!$A$3:$A$500,$B25,'DADOS BRUTOS'!BL$3:BL$500)+IF($C25="",0,SUMIF('DADOS BRUTOS'!$A$3:$A$500,$C25,'DADOS BRUTOS'!BL$3:BL$500)))</f>
        <v>0</v>
      </c>
      <c r="EM25" s="133" t="n">
        <f aca="false">IF(OR(EM$4="",$B25=""),0,SUMIF('DADOS BRUTOS'!$A$3:$A$500,$B25,'DADOS BRUTOS'!BM$3:BM$500)+IF($C25="",0,SUMIF('DADOS BRUTOS'!$A$3:$A$500,$C25,'DADOS BRUTOS'!BM$3:BM$500)))</f>
        <v>0</v>
      </c>
      <c r="EN25" s="133" t="n">
        <f aca="false">IF(OR(EN$4="",$B25=""),0,SUMIF('DADOS BRUTOS'!$A$3:$A$500,$B25,'DADOS BRUTOS'!BN$3:BN$500)+IF($C25="",0,SUMIF('DADOS BRUTOS'!$A$3:$A$500,$C25,'DADOS BRUTOS'!BN$3:BN$500)))</f>
        <v>0</v>
      </c>
      <c r="EO25" s="133" t="n">
        <f aca="false">IF(OR(EO$4="",$B25=""),0,SUMIF('DADOS BRUTOS'!$A$3:$A$500,$B25,'DADOS BRUTOS'!BO$3:BO$500)+IF($C25="",0,SUMIF('DADOS BRUTOS'!$A$3:$A$500,$C25,'DADOS BRUTOS'!BO$3:BO$500)))</f>
        <v>0</v>
      </c>
      <c r="EP25" s="133" t="n">
        <f aca="false">IF(OR(EP$4="",$B25=""),0,SUMIF('DADOS BRUTOS'!$A$3:$A$500,$B25,'DADOS BRUTOS'!BP$3:BP$500)+IF($C25="",0,SUMIF('DADOS BRUTOS'!$A$3:$A$500,$C25,'DADOS BRUTOS'!BP$3:BP$500)))</f>
        <v>0</v>
      </c>
      <c r="EQ25" s="133" t="n">
        <f aca="false">IF(OR(EQ$4="",$B25=""),0,SUMIF('DADOS BRUTOS'!$A$3:$A$500,$B25,'DADOS BRUTOS'!BQ$3:BQ$500)+IF($C25="",0,SUMIF('DADOS BRUTOS'!$A$3:$A$500,$C25,'DADOS BRUTOS'!BQ$3:BQ$500)))</f>
        <v>0</v>
      </c>
      <c r="ER25" s="133" t="n">
        <f aca="false">IF(OR(ER$4="",$B25=""),0,SUMIF('DADOS BRUTOS'!$A$3:$A$500,$B25,'DADOS BRUTOS'!BR$3:BR$500)+IF($C25="",0,SUMIF('DADOS BRUTOS'!$A$3:$A$500,$C25,'DADOS BRUTOS'!BR$3:BR$500)))</f>
        <v>0</v>
      </c>
      <c r="ES25" s="133" t="n">
        <f aca="false">IF(OR(ES$4="",$B25=""),0,SUMIF('DADOS BRUTOS'!$A$3:$A$500,$B25,'DADOS BRUTOS'!BS$3:BS$500)+IF($C25="",0,SUMIF('DADOS BRUTOS'!$A$3:$A$500,$C25,'DADOS BRUTOS'!BS$3:BS$500)))</f>
        <v>0</v>
      </c>
      <c r="ET25" s="133" t="n">
        <f aca="false">IF(OR(ET$4="",$B25=""),0,SUMIF('DADOS BRUTOS'!$A$3:$A$500,$B25,'DADOS BRUTOS'!BT$3:BT$500)+IF($C25="",0,SUMIF('DADOS BRUTOS'!$A$3:$A$500,$C25,'DADOS BRUTOS'!BT$3:BT$500)))</f>
        <v>0</v>
      </c>
      <c r="EU25" s="133" t="n">
        <f aca="false">IF(OR(EU$4="",$B25=""),0,SUMIF('DADOS BRUTOS'!$A$3:$A$500,$B25,'DADOS BRUTOS'!BU$3:BU$500)+IF($C25="",0,SUMIF('DADOS BRUTOS'!$A$3:$A$500,$C25,'DADOS BRUTOS'!BU$3:BU$500)))</f>
        <v>0</v>
      </c>
      <c r="EV25" s="133" t="n">
        <f aca="false">IF(OR(EV$4="",$B25=""),0,SUMIF('DADOS BRUTOS'!$A$3:$A$500,$B25,'DADOS BRUTOS'!BV$3:BV$500)+IF($C25="",0,SUMIF('DADOS BRUTOS'!$A$3:$A$500,$C25,'DADOS BRUTOS'!BV$3:BV$500)))</f>
        <v>0</v>
      </c>
      <c r="EW25" s="133" t="n">
        <f aca="false">IF(OR(EW$4="",$B25=""),0,SUMIF('DADOS BRUTOS'!$A$3:$A$500,$B25,'DADOS BRUTOS'!BW$3:BW$500)+IF($C25="",0,SUMIF('DADOS BRUTOS'!$A$3:$A$500,$C25,'DADOS BRUTOS'!BW$3:BW$500)))</f>
        <v>0</v>
      </c>
      <c r="EX25" s="133" t="n">
        <f aca="false">IF(OR(EX$4="",$B25=""),0,SUMIF('DADOS BRUTOS'!$A$3:$A$500,$B25,'DADOS BRUTOS'!BX$3:BX$500)+IF($C25="",0,SUMIF('DADOS BRUTOS'!$A$3:$A$500,$C25,'DADOS BRUTOS'!BX$3:BX$500)))</f>
        <v>0</v>
      </c>
      <c r="EY25" s="133" t="n">
        <f aca="false">IF(OR(EY$4="",$B25=""),0,SUMIF('DADOS BRUTOS'!$A$3:$A$500,$B25,'DADOS BRUTOS'!BY$3:BY$500)+IF($C25="",0,SUMIF('DADOS BRUTOS'!$A$3:$A$500,$C25,'DADOS BRUTOS'!BY$3:BY$500)))</f>
        <v>0</v>
      </c>
      <c r="EZ25" s="133" t="n">
        <f aca="false">IF(OR(EZ$4="",$B25=""),0,SUMIF('DADOS BRUTOS'!$A$3:$A$500,$B25,'DADOS BRUTOS'!BZ$3:BZ$500)+IF($C25="",0,SUMIF('DADOS BRUTOS'!$A$3:$A$500,$C25,'DADOS BRUTOS'!BZ$3:BZ$500)))</f>
        <v>0</v>
      </c>
      <c r="FA25" s="133" t="n">
        <f aca="false">IF(OR(FA$4="",$B25=""),0,SUMIF('DADOS BRUTOS'!$A$3:$A$500,$B25,'DADOS BRUTOS'!CA$3:CA$500)+IF($C25="",0,SUMIF('DADOS BRUTOS'!$A$3:$A$500,$C25,'DADOS BRUTOS'!CA$3:CA$500)))</f>
        <v>0</v>
      </c>
      <c r="FB25" s="133" t="n">
        <f aca="false">IF(OR(FB$4="",$B25=""),0,SUMIF('DADOS BRUTOS'!$A$3:$A$500,$B25,'DADOS BRUTOS'!CB$3:CB$500)+IF($C25="",0,SUMIF('DADOS BRUTOS'!$A$3:$A$500,$C25,'DADOS BRUTOS'!CB$3:CB$500)))</f>
        <v>0</v>
      </c>
      <c r="FC25" s="133" t="n">
        <f aca="false">IF(OR(FC$4="",$B25=""),0,SUMIF('DADOS BRUTOS'!$A$3:$A$500,$B25,'DADOS BRUTOS'!CC$3:CC$500)+IF($C25="",0,SUMIF('DADOS BRUTOS'!$A$3:$A$500,$C25,'DADOS BRUTOS'!CC$3:CC$500)))</f>
        <v>0</v>
      </c>
      <c r="FD25" s="133" t="n">
        <f aca="false">IF(OR(FD$4="",$B25=""),0,SUMIF('DADOS BRUTOS'!$A$3:$A$500,$B25,'DADOS BRUTOS'!CD$3:CD$500)+IF($C25="",0,SUMIF('DADOS BRUTOS'!$A$3:$A$500,$C25,'DADOS BRUTOS'!CD$3:CD$500)))</f>
        <v>0</v>
      </c>
      <c r="FE25" s="133" t="n">
        <f aca="false">IF(OR(FE$4="",$B25=""),0,SUMIF('DADOS BRUTOS'!$A$3:$A$500,$B25,'DADOS BRUTOS'!CE$3:CE$500)+IF($C25="",0,SUMIF('DADOS BRUTOS'!$A$3:$A$500,$C25,'DADOS BRUTOS'!CE$3:CE$500)))</f>
        <v>0</v>
      </c>
      <c r="FF25" s="133" t="n">
        <f aca="false">IF(OR(FF$4="",$B25=""),0,SUMIF('DADOS BRUTOS'!$A$3:$A$500,$B25,'DADOS BRUTOS'!CF$3:CF$500)+IF($C25="",0,SUMIF('DADOS BRUTOS'!$A$3:$A$500,$C25,'DADOS BRUTOS'!CF$3:CF$500)))</f>
        <v>0</v>
      </c>
      <c r="FG25" s="133" t="n">
        <f aca="false">IF(OR(FG$4="",$B25=""),0,SUMIF('DADOS BRUTOS'!$A$3:$A$500,$B25,'DADOS BRUTOS'!CG$3:CG$500)+IF($C25="",0,SUMIF('DADOS BRUTOS'!$A$3:$A$500,$C25,'DADOS BRUTOS'!CG$3:CG$500)))</f>
        <v>0</v>
      </c>
      <c r="FH25" s="133" t="n">
        <f aca="false">IF(OR(FH$4="",$B25=""),0,SUMIF('DADOS BRUTOS'!$A$3:$A$500,$B25,'DADOS BRUTOS'!CH$3:CH$500)+IF($C25="",0,SUMIF('DADOS BRUTOS'!$A$3:$A$500,$C25,'DADOS BRUTOS'!CH$3:CH$500)))</f>
        <v>0</v>
      </c>
      <c r="FI25" s="133" t="n">
        <f aca="false">IF(OR(FI$4="",$B25=""),0,SUMIF('DADOS BRUTOS'!$A$3:$A$500,$B25,'DADOS BRUTOS'!CI$3:CI$500)+IF($C25="",0,SUMIF('DADOS BRUTOS'!$A$3:$A$500,$C25,'DADOS BRUTOS'!CI$3:CI$500)))</f>
        <v>0</v>
      </c>
      <c r="FJ25" s="133" t="n">
        <f aca="false">IF(OR(FJ$4="",$B25=""),0,SUMIF('DADOS BRUTOS'!$A$3:$A$500,$B25,'DADOS BRUTOS'!CJ$3:CJ$500)+IF($C25="",0,SUMIF('DADOS BRUTOS'!$A$3:$A$500,$C25,'DADOS BRUTOS'!CJ$3:CJ$500)))</f>
        <v>0</v>
      </c>
      <c r="FK25" s="133" t="n">
        <f aca="false">IF(OR(FK$4="",$B25=""),0,SUMIF('DADOS BRUTOS'!$A$3:$A$500,$B25,'DADOS BRUTOS'!CK$3:CK$500)+IF($C25="",0,SUMIF('DADOS BRUTOS'!$A$3:$A$500,$C25,'DADOS BRUTOS'!CK$3:CK$500)))</f>
        <v>0</v>
      </c>
      <c r="FL25" s="133" t="n">
        <f aca="false">IF(OR(FL$4="",$B25=""),0,SUMIF('DADOS BRUTOS'!$A$3:$A$500,$B25,'DADOS BRUTOS'!CL$3:CL$500)+IF($C25="",0,SUMIF('DADOS BRUTOS'!$A$3:$A$500,$C25,'DADOS BRUTOS'!CL$3:CL$500)))</f>
        <v>0</v>
      </c>
      <c r="FM25" s="133" t="n">
        <f aca="false">IF(OR(FM$4="",$B25=""),0,SUMIF('DADOS BRUTOS'!$A$3:$A$500,$B25,'DADOS BRUTOS'!CM$3:CM$500)+IF($C25="",0,SUMIF('DADOS BRUTOS'!$A$3:$A$500,$C25,'DADOS BRUTOS'!CM$3:CM$500)))</f>
        <v>0</v>
      </c>
      <c r="FN25" s="133" t="n">
        <f aca="false">IF(OR(FN$4="",$B25=""),0,SUMIF('DADOS BRUTOS'!$A$3:$A$500,$B25,'DADOS BRUTOS'!CN$3:CN$500)+IF($C25="",0,SUMIF('DADOS BRUTOS'!$A$3:$A$500,$C25,'DADOS BRUTOS'!CN$3:CN$500)))</f>
        <v>0</v>
      </c>
      <c r="FO25" s="133" t="n">
        <f aca="false">IF(OR(FO$4="",$B25=""),0,SUMIF('DADOS BRUTOS'!$A$3:$A$500,$B25,'DADOS BRUTOS'!CO$3:CO$500)+IF($C25="",0,SUMIF('DADOS BRUTOS'!$A$3:$A$500,$C25,'DADOS BRUTOS'!CO$3:CO$500)))</f>
        <v>0</v>
      </c>
      <c r="FP25" s="133" t="n">
        <f aca="false">IF(OR(FP$4="",$B25=""),0,SUMIF('DADOS BRUTOS'!$A$3:$A$500,$B25,'DADOS BRUTOS'!CP$3:CP$500)+IF($C25="",0,SUMIF('DADOS BRUTOS'!$A$3:$A$500,$C25,'DADOS BRUTOS'!CP$3:CP$500)))</f>
        <v>0</v>
      </c>
      <c r="FQ25" s="133" t="n">
        <f aca="false">IF(OR(FQ$4="",$B25=""),0,SUMIF('DADOS BRUTOS'!$A$3:$A$500,$B25,'DADOS BRUTOS'!CQ$3:CQ$500)+IF($C25="",0,SUMIF('DADOS BRUTOS'!$A$3:$A$500,$C25,'DADOS BRUTOS'!CQ$3:CQ$500)))</f>
        <v>0</v>
      </c>
      <c r="FR25" s="133" t="n">
        <f aca="false">IF(OR(FR$4="",$B25=""),0,SUMIF('DADOS BRUTOS'!$A$3:$A$500,$B25,'DADOS BRUTOS'!CR$3:CR$500)+IF($C25="",0,SUMIF('DADOS BRUTOS'!$A$3:$A$500,$C25,'DADOS BRUTOS'!CR$3:CR$500)))</f>
        <v>0</v>
      </c>
      <c r="FS25" s="133" t="n">
        <f aca="false">IF(OR(FS$4="",$B25=""),0,SUMIF('DADOS BRUTOS'!$A$3:$A$500,$B25,'DADOS BRUTOS'!CS$3:CS$500)+IF($C25="",0,SUMIF('DADOS BRUTOS'!$A$3:$A$500,$C25,'DADOS BRUTOS'!CS$3:CS$500)))</f>
        <v>0</v>
      </c>
      <c r="FT25" s="133" t="n">
        <f aca="false">IF(OR(FT$4="",$B25=""),0,SUMIF('DADOS BRUTOS'!$A$3:$A$500,$B25,'DADOS BRUTOS'!CT$3:CT$500)+IF($C25="",0,SUMIF('DADOS BRUTOS'!$A$3:$A$500,$C25,'DADOS BRUTOS'!CT$3:CT$500)))</f>
        <v>0</v>
      </c>
      <c r="FU25" s="133" t="n">
        <f aca="false">IF(OR(FU$4="",$B25=""),0,SUMIF('DADOS BRUTOS'!$A$3:$A$500,$B25,'DADOS BRUTOS'!CU$3:CU$500)+IF($C25="",0,SUMIF('DADOS BRUTOS'!$A$3:$A$500,$C25,'DADOS BRUTOS'!CU$3:CU$500)))</f>
        <v>0</v>
      </c>
      <c r="FV25" s="133" t="n">
        <f aca="false">IF(OR(FV$4="",$B25=""),0,SUMIF('DADOS BRUTOS'!$A$3:$A$500,$B25,'DADOS BRUTOS'!CV$3:CV$500)+IF($C25="",0,SUMIF('DADOS BRUTOS'!$A$3:$A$500,$C25,'DADOS BRUTOS'!CV$3:CV$500)))</f>
        <v>0</v>
      </c>
      <c r="FW25" s="133" t="n">
        <f aca="false">IF(OR(FW$4="",$B25=""),0,SUMIF('DADOS BRUTOS'!$A$3:$A$500,$B25,'DADOS BRUTOS'!CW$3:CW$500)+IF($C25="",0,SUMIF('DADOS BRUTOS'!$A$3:$A$500,$C25,'DADOS BRUTOS'!CW$3:CW$500)))</f>
        <v>0</v>
      </c>
      <c r="FX25" s="133" t="n">
        <f aca="false">IF(OR(FX$4="",$B25=""),0,SUMIF('DADOS BRUTOS'!$A$3:$A$500,$B25,'DADOS BRUTOS'!CX$3:CX$500)+IF($C25="",0,SUMIF('DADOS BRUTOS'!$A$3:$A$500,$C25,'DADOS BRUTOS'!CX$3:CX$500)))</f>
        <v>0</v>
      </c>
      <c r="FY25" s="133" t="n">
        <f aca="false">IF(OR(FY$4="",$B25=""),0,SUMIF('DADOS BRUTOS'!$A$3:$A$500,$B25,'DADOS BRUTOS'!CY$3:CY$500)+IF($C25="",0,SUMIF('DADOS BRUTOS'!$A$3:$A$500,$C25,'DADOS BRUTOS'!CY$3:CY$500)))</f>
        <v>0</v>
      </c>
      <c r="FZ25" s="133" t="n">
        <f aca="false">IF(OR(FZ$4="",$B25=""),0,SUMIF('DADOS BRUTOS'!$A$3:$A$500,$B25,'DADOS BRUTOS'!CZ$3:CZ$500)+IF($C25="",0,SUMIF('DADOS BRUTOS'!$A$3:$A$500,$C25,'DADOS BRUTOS'!CZ$3:CZ$500)))</f>
        <v>0</v>
      </c>
      <c r="GA25" s="133" t="n">
        <f aca="false">IF(OR(GA$4="",$B25=""),0,SUMIF('DADOS BRUTOS'!$A$3:$A$500,$B25,'DADOS BRUTOS'!DA$3:DA$500)+IF($C25="",0,SUMIF('DADOS BRUTOS'!$A$3:$A$500,$C25,'DADOS BRUTOS'!DA$3:DA$500)))</f>
        <v>0</v>
      </c>
      <c r="GB25" s="133" t="n">
        <f aca="false">IF(OR(GB$4="",$B25=""),0,SUMIF('DADOS BRUTOS'!$A$3:$A$500,$B25,'DADOS BRUTOS'!DB$3:DB$500)+IF($C25="",0,SUMIF('DADOS BRUTOS'!$A$3:$A$500,$C25,'DADOS BRUTOS'!DB$3:DB$500)))</f>
        <v>0</v>
      </c>
      <c r="GC25" s="133" t="n">
        <f aca="false">IF(OR(GC$4="",$B25=""),0,SUMIF('DADOS BRUTOS'!$A$3:$A$500,$B25,'DADOS BRUTOS'!DC$3:DC$500)+IF($C25="",0,SUMIF('DADOS BRUTOS'!$A$3:$A$500,$C25,'DADOS BRUTOS'!DC$3:DC$500)))</f>
        <v>0</v>
      </c>
      <c r="GD25" s="133" t="n">
        <f aca="false">IF(OR(GD$4="",$B25=""),0,SUMIF('DADOS BRUTOS'!$A$3:$A$500,$B25,'DADOS BRUTOS'!DD$3:DD$500)+IF($C25="",0,SUMIF('DADOS BRUTOS'!$A$3:$A$500,$C25,'DADOS BRUTOS'!DD$3:DD$500)))</f>
        <v>0</v>
      </c>
      <c r="GE25" s="133" t="n">
        <f aca="false">IF(OR(GE$4="",$B25=""),0,SUMIF('DADOS BRUTOS'!$A$3:$A$500,$B25,'DADOS BRUTOS'!DE$3:DE$500)+IF($C25="",0,SUMIF('DADOS BRUTOS'!$A$3:$A$500,$C25,'DADOS BRUTOS'!DE$3:DE$500)))</f>
        <v>0</v>
      </c>
      <c r="GF25" s="133" t="n">
        <f aca="false">IF(OR(GF$4="",$B25=""),0,SUMIF('DADOS BRUTOS'!$A$3:$A$500,$B25,'DADOS BRUTOS'!DF$3:DF$500)+IF($C25="",0,SUMIF('DADOS BRUTOS'!$A$3:$A$500,$C25,'DADOS BRUTOS'!DF$3:DF$500)))</f>
        <v>0</v>
      </c>
      <c r="GG25" s="133" t="n">
        <f aca="false">IF(OR(GG$4="",$B25=""),0,SUMIF('DADOS BRUTOS'!$A$3:$A$500,$B25,'DADOS BRUTOS'!DG$3:DG$500)+IF($C25="",0,SUMIF('DADOS BRUTOS'!$A$3:$A$500,$C25,'DADOS BRUTOS'!DG$3:DG$500)))</f>
        <v>0</v>
      </c>
      <c r="GH25" s="133" t="n">
        <f aca="false">IF(OR(GH$4="",$B25=""),0,SUMIF('DADOS BRUTOS'!$A$3:$A$500,$B25,'DADOS BRUTOS'!DH$3:DH$500)+IF($C25="",0,SUMIF('DADOS BRUTOS'!$A$3:$A$500,$C25,'DADOS BRUTOS'!DH$3:DH$500)))</f>
        <v>0</v>
      </c>
      <c r="GI25" s="133" t="n">
        <f aca="false">IF(OR(GI$4="",$B25=""),0,SUMIF('DADOS BRUTOS'!$A$3:$A$500,$B25,'DADOS BRUTOS'!DI$3:DI$500)+IF($C25="",0,SUMIF('DADOS BRUTOS'!$A$3:$A$500,$C25,'DADOS BRUTOS'!DI$3:DI$500)))</f>
        <v>0</v>
      </c>
      <c r="GJ25" s="133" t="n">
        <f aca="false">IF(OR(GJ$4="",$B25=""),0,SUMIF('DADOS BRUTOS'!$A$3:$A$500,$B25,'DADOS BRUTOS'!DJ$3:DJ$500)+IF($C25="",0,SUMIF('DADOS BRUTOS'!$A$3:$A$500,$C25,'DADOS BRUTOS'!DJ$3:DJ$500)))</f>
        <v>0</v>
      </c>
      <c r="GK25" s="133" t="n">
        <f aca="false">IF(OR(GK$4="",$B25=""),0,SUMIF('DADOS BRUTOS'!$A$3:$A$500,$B25,'DADOS BRUTOS'!DK$3:DK$500)+IF($C25="",0,SUMIF('DADOS BRUTOS'!$A$3:$A$500,$C25,'DADOS BRUTOS'!DK$3:DK$500)))</f>
        <v>0</v>
      </c>
      <c r="GL25" s="133" t="n">
        <f aca="false">IF(OR(GL$4="",$B25=""),0,SUMIF('DADOS BRUTOS'!$A$3:$A$500,$B25,'DADOS BRUTOS'!DL$3:DL$500)+IF($C25="",0,SUMIF('DADOS BRUTOS'!$A$3:$A$500,$C25,'DADOS BRUTOS'!DL$3:DL$500)))</f>
        <v>0</v>
      </c>
      <c r="GM25" s="133" t="n">
        <f aca="false">IF(OR(GM$4="",$B25=""),0,SUMIF('DADOS BRUTOS'!$A$3:$A$500,$B25,'DADOS BRUTOS'!DM$3:DM$500)+IF($C25="",0,SUMIF('DADOS BRUTOS'!$A$3:$A$500,$C25,'DADOS BRUTOS'!DM$3:DM$500)))</f>
        <v>0</v>
      </c>
      <c r="GN25" s="133" t="n">
        <f aca="false">IF(OR(GN$4="",$B25=""),0,SUMIF('DADOS BRUTOS'!$A$3:$A$500,$B25,'DADOS BRUTOS'!DN$3:DN$500)+IF($C25="",0,SUMIF('DADOS BRUTOS'!$A$3:$A$500,$C25,'DADOS BRUTOS'!DN$3:DN$500)))</f>
        <v>0</v>
      </c>
      <c r="GO25" s="133" t="n">
        <f aca="false">IF(OR(GO$4="",$B25=""),0,SUMIF('DADOS BRUTOS'!$A$3:$A$500,$B25,'DADOS BRUTOS'!DO$3:DO$500)+IF($C25="",0,SUMIF('DADOS BRUTOS'!$A$3:$A$500,$C25,'DADOS BRUTOS'!DO$3:DO$500)))</f>
        <v>0</v>
      </c>
      <c r="GP25" s="133" t="n">
        <f aca="false">IF(OR(GP$4="",$B25=""),0,SUMIF('DADOS BRUTOS'!$A$3:$A$500,$B25,'DADOS BRUTOS'!DP$3:DP$500)+IF($C25="",0,SUMIF('DADOS BRUTOS'!$A$3:$A$500,$C25,'DADOS BRUTOS'!DP$3:DP$500)))</f>
        <v>0</v>
      </c>
      <c r="GQ25" s="133" t="n">
        <f aca="false">IF(OR(GQ$4="",$B25=""),0,SUMIF('DADOS BRUTOS'!$A$3:$A$500,$B25,'DADOS BRUTOS'!DQ$3:DQ$500)+IF($C25="",0,SUMIF('DADOS BRUTOS'!$A$3:$A$500,$C25,'DADOS BRUTOS'!DQ$3:DQ$500)))</f>
        <v>0</v>
      </c>
      <c r="GR25" s="133" t="n">
        <f aca="false">IF(OR(GR$4="",$B25=""),0,SUMIF('DADOS BRUTOS'!$A$3:$A$500,$B25,'DADOS BRUTOS'!DR$3:DR$500)+IF($C25="",0,SUMIF('DADOS BRUTOS'!$A$3:$A$500,$C25,'DADOS BRUTOS'!DR$3:DR$500)))</f>
        <v>0</v>
      </c>
      <c r="GS25" s="133" t="n">
        <f aca="false">IF(OR(GS$4="",$B25=""),0,SUMIF('DADOS BRUTOS'!$A$3:$A$500,$B25,'DADOS BRUTOS'!DS$3:DS$500)+IF($C25="",0,SUMIF('DADOS BRUTOS'!$A$3:$A$500,$C25,'DADOS BRUTOS'!DS$3:DS$500)))</f>
        <v>0</v>
      </c>
      <c r="GT25" s="133" t="n">
        <f aca="false">IF(OR(GT$4="",$B25=""),0,SUMIF('DADOS BRUTOS'!$A$3:$A$500,$B25,'DADOS BRUTOS'!DT$3:DT$500)+IF($C25="",0,SUMIF('DADOS BRUTOS'!$A$3:$A$500,$C25,'DADOS BRUTOS'!DT$3:DT$500)))</f>
        <v>0</v>
      </c>
      <c r="GU25" s="133" t="n">
        <f aca="false">IF(OR(GU$4="",$B25=""),0,SUMIF('DADOS BRUTOS'!$A$3:$A$500,$B25,'DADOS BRUTOS'!DU$3:DU$500)+IF($C25="",0,SUMIF('DADOS BRUTOS'!$A$3:$A$500,$C25,'DADOS BRUTOS'!DU$3:DU$500)))</f>
        <v>0</v>
      </c>
      <c r="GV25" s="133" t="n">
        <f aca="false">IF(OR(GV$4="",$B25=""),0,SUMIF('DADOS BRUTOS'!$A$3:$A$500,$B25,'DADOS BRUTOS'!DV$3:DV$500)+IF($C25="",0,SUMIF('DADOS BRUTOS'!$A$3:$A$500,$C25,'DADOS BRUTOS'!DV$3:DV$500)))</f>
        <v>0</v>
      </c>
      <c r="GW25" s="133" t="n">
        <f aca="false">IF(OR(GW$4="",$B25=""),0,SUMIF('DADOS BRUTOS'!$A$3:$A$500,$B25,'DADOS BRUTOS'!DW$3:DW$500)+IF($C25="",0,SUMIF('DADOS BRUTOS'!$A$3:$A$500,$C25,'DADOS BRUTOS'!DW$3:DW$500)))</f>
        <v>0</v>
      </c>
      <c r="GX25" s="133" t="n">
        <f aca="false">IF(OR(GX$4="",$B25=""),0,SUMIF('DADOS BRUTOS'!$A$3:$A$500,$B25,'DADOS BRUTOS'!DX$3:DX$500)+IF($C25="",0,SUMIF('DADOS BRUTOS'!$A$3:$A$500,$C25,'DADOS BRUTOS'!DX$3:DX$500)))</f>
        <v>0</v>
      </c>
      <c r="GY25" s="133" t="n">
        <f aca="false">IF(OR(GY$4="",$B25=""),0,SUMIF('DADOS BRUTOS'!$A$3:$A$500,$B25,'DADOS BRUTOS'!DY$3:DY$500)+IF($C25="",0,SUMIF('DADOS BRUTOS'!$A$3:$A$500,$C25,'DADOS BRUTOS'!DY$3:DY$500)))</f>
        <v>0</v>
      </c>
      <c r="GZ25" s="133" t="n">
        <f aca="false">IF(OR(GZ$4="",$B25=""),0,SUMIF('DADOS BRUTOS'!$A$3:$A$500,$B25,'DADOS BRUTOS'!DZ$3:DZ$500)+IF($C25="",0,SUMIF('DADOS BRUTOS'!$A$3:$A$500,$C25,'DADOS BRUTOS'!DZ$3:DZ$500)))</f>
        <v>0</v>
      </c>
      <c r="HA25" s="133" t="n">
        <f aca="false">IF(OR(HA$4="",$B25=""),0,SUMIF('DADOS BRUTOS'!$A$3:$A$500,$B25,'DADOS BRUTOS'!EA$3:EA$500)+IF($C25="",0,SUMIF('DADOS BRUTOS'!$A$3:$A$500,$C25,'DADOS BRUTOS'!EA$3:EA$500)))</f>
        <v>0</v>
      </c>
      <c r="HB25" s="133" t="n">
        <f aca="false">IF(OR(HB$4="",$B25=""),0,SUMIF('DADOS BRUTOS'!$A$3:$A$500,$B25,'DADOS BRUTOS'!EB$3:EB$500)+IF($C25="",0,SUMIF('DADOS BRUTOS'!$A$3:$A$500,$C25,'DADOS BRUTOS'!EB$3:EB$500)))</f>
        <v>0</v>
      </c>
      <c r="HC25" s="133" t="n">
        <f aca="false">IF(OR(HC$4="",$B25=""),0,SUMIF('DADOS BRUTOS'!$A$3:$A$500,$B25,'DADOS BRUTOS'!EC$3:EC$500)+IF($C25="",0,SUMIF('DADOS BRUTOS'!$A$3:$A$500,$C25,'DADOS BRUTOS'!EC$3:EC$500)))</f>
        <v>0</v>
      </c>
      <c r="HD25" s="133" t="n">
        <f aca="false">IF(OR(HD$4="",$B25=""),0,SUMIF('DADOS BRUTOS'!$A$3:$A$500,$B25,'DADOS BRUTOS'!ED$3:ED$500)+IF($C25="",0,SUMIF('DADOS BRUTOS'!$A$3:$A$500,$C25,'DADOS BRUTOS'!ED$3:ED$500)))</f>
        <v>0</v>
      </c>
      <c r="HE25" s="133" t="n">
        <f aca="false">IF(OR(HE$4="",$B25=""),0,SUMIF('DADOS BRUTOS'!$A$3:$A$500,$B25,'DADOS BRUTOS'!EE$3:EE$500)+IF($C25="",0,SUMIF('DADOS BRUTOS'!$A$3:$A$500,$C25,'DADOS BRUTOS'!EE$3:EE$500)))</f>
        <v>0</v>
      </c>
      <c r="HF25" s="133" t="n">
        <f aca="false">IF(OR(HF$4="",$B25=""),0,SUMIF('DADOS BRUTOS'!$A$3:$A$500,$B25,'DADOS BRUTOS'!EF$3:EF$500)+IF($C25="",0,SUMIF('DADOS BRUTOS'!$A$3:$A$500,$C25,'DADOS BRUTOS'!EF$3:EF$500)))</f>
        <v>0</v>
      </c>
      <c r="HG25" s="133" t="n">
        <f aca="false">IF(OR(HG$4="",$B25=""),0,SUMIF('DADOS BRUTOS'!$A$3:$A$500,$B25,'DADOS BRUTOS'!EG$3:EG$500)+IF($C25="",0,SUMIF('DADOS BRUTOS'!$A$3:$A$500,$C25,'DADOS BRUTOS'!EG$3:EG$500)))</f>
        <v>0</v>
      </c>
      <c r="HH25" s="133" t="n">
        <f aca="false">IF(OR(HH$4="",$B25=""),0,SUMIF('DADOS BRUTOS'!$A$3:$A$500,$B25,'DADOS BRUTOS'!EH$3:EH$500)+IF($C25="",0,SUMIF('DADOS BRUTOS'!$A$3:$A$500,$C25,'DADOS BRUTOS'!EH$3:EH$500)))</f>
        <v>0</v>
      </c>
      <c r="HI25" s="133" t="n">
        <f aca="false">IF(OR(HI$4="",$B25=""),0,SUMIF('DADOS BRUTOS'!$A$3:$A$500,$B25,'DADOS BRUTOS'!EI$3:EI$500)+IF($C25="",0,SUMIF('DADOS BRUTOS'!$A$3:$A$500,$C25,'DADOS BRUTOS'!EI$3:EI$500)))</f>
        <v>0</v>
      </c>
      <c r="HJ25" s="133" t="n">
        <f aca="false">IF(OR(HJ$4="",$B25=""),0,SUMIF('DADOS BRUTOS'!$A$3:$A$500,$B25,'DADOS BRUTOS'!EJ$3:EJ$500)+IF($C25="",0,SUMIF('DADOS BRUTOS'!$A$3:$A$500,$C25,'DADOS BRUTOS'!EJ$3:EJ$500)))</f>
        <v>0</v>
      </c>
      <c r="HK25" s="133" t="n">
        <f aca="false">IF(OR(HK$4="",$B25=""),0,SUMIF('DADOS BRUTOS'!$A$3:$A$500,$B25,'DADOS BRUTOS'!EK$3:EK$500)+IF($C25="",0,SUMIF('DADOS BRUTOS'!$A$3:$A$500,$C25,'DADOS BRUTOS'!EK$3:EK$500)))</f>
        <v>0</v>
      </c>
      <c r="HL25" s="133" t="n">
        <f aca="false">IF(OR(HL$4="",$B25=""),0,SUMIF('DADOS BRUTOS'!$A$3:$A$500,$B25,'DADOS BRUTOS'!EL$3:EL$500)+IF($C25="",0,SUMIF('DADOS BRUTOS'!$A$3:$A$500,$C25,'DADOS BRUTOS'!EL$3:EL$500)))</f>
        <v>0</v>
      </c>
      <c r="HM25" s="133" t="n">
        <f aca="false">IF(OR(HM$4="",$B25=""),0,SUMIF('DADOS BRUTOS'!$A$3:$A$500,$B25,'DADOS BRUTOS'!EM$3:EM$500)+IF($C25="",0,SUMIF('DADOS BRUTOS'!$A$3:$A$500,$C25,'DADOS BRUTOS'!EM$3:EM$500)))</f>
        <v>0</v>
      </c>
      <c r="HN25" s="133" t="n">
        <f aca="false">IF(OR(HN$4="",$B25=""),0,SUMIF('DADOS BRUTOS'!$A$3:$A$500,$B25,'DADOS BRUTOS'!EN$3:EN$500)+IF($C25="",0,SUMIF('DADOS BRUTOS'!$A$3:$A$500,$C25,'DADOS BRUTOS'!EN$3:EN$500)))</f>
        <v>0</v>
      </c>
      <c r="HO25" s="133" t="n">
        <f aca="false">IF(OR(HO$4="",$B25=""),0,SUMIF('DADOS BRUTOS'!$A$3:$A$500,$B25,'DADOS BRUTOS'!EO$3:EO$500)+IF($C25="",0,SUMIF('DADOS BRUTOS'!$A$3:$A$500,$C25,'DADOS BRUTOS'!EO$3:EO$500)))</f>
        <v>0</v>
      </c>
      <c r="HP25" s="133" t="n">
        <f aca="false">IF(OR(HP$4="",$B25=""),0,SUMIF('DADOS BRUTOS'!$A$3:$A$500,$B25,'DADOS BRUTOS'!EP$3:EP$500)+IF($C25="",0,SUMIF('DADOS BRUTOS'!$A$3:$A$500,$C25,'DADOS BRUTOS'!EP$3:EP$500)))</f>
        <v>0</v>
      </c>
      <c r="HQ25" s="133" t="n">
        <f aca="false">IF(OR(HQ$4="",$B25=""),0,SUMIF('DADOS BRUTOS'!$A$3:$A$500,$B25,'DADOS BRUTOS'!EQ$3:EQ$500)+IF($C25="",0,SUMIF('DADOS BRUTOS'!$A$3:$A$500,$C25,'DADOS BRUTOS'!EQ$3:EQ$500)))</f>
        <v>0</v>
      </c>
      <c r="HR25" s="133" t="n">
        <f aca="false">IF(OR(HR$4="",$B25=""),0,SUMIF('DADOS BRUTOS'!$A$3:$A$500,$B25,'DADOS BRUTOS'!ER$3:ER$500)+IF($C25="",0,SUMIF('DADOS BRUTOS'!$A$3:$A$500,$C25,'DADOS BRUTOS'!ER$3:ER$500)))</f>
        <v>0</v>
      </c>
      <c r="HS25" s="133" t="n">
        <f aca="false">IF(OR(HS$4="",$B25=""),0,SUMIF('DADOS BRUTOS'!$A$3:$A$500,$B25,'DADOS BRUTOS'!ES$3:ES$500)+IF($C25="",0,SUMIF('DADOS BRUTOS'!$A$3:$A$500,$C25,'DADOS BRUTOS'!ES$3:ES$500)))</f>
        <v>0</v>
      </c>
      <c r="HT25" s="133" t="n">
        <f aca="false">IF(OR(HT$4="",$B25=""),0,SUMIF('DADOS BRUTOS'!$A$3:$A$500,$B25,'DADOS BRUTOS'!ET$3:ET$500)+IF($C25="",0,SUMIF('DADOS BRUTOS'!$A$3:$A$500,$C25,'DADOS BRUTOS'!ET$3:ET$500)))</f>
        <v>0</v>
      </c>
      <c r="HU25" s="133" t="n">
        <f aca="false">IF(OR(HU$4="",$B25=""),0,SUMIF('DADOS BRUTOS'!$A$3:$A$500,$B25,'DADOS BRUTOS'!EU$3:EU$500)+IF($C25="",0,SUMIF('DADOS BRUTOS'!$A$3:$A$500,$C25,'DADOS BRUTOS'!EU$3:EU$500)))</f>
        <v>0</v>
      </c>
      <c r="HV25" s="133" t="n">
        <f aca="false">IF(OR(HV$4="",$B25=""),0,SUMIF('DADOS BRUTOS'!$A$3:$A$500,$B25,'DADOS BRUTOS'!EV$3:EV$500)+IF($C25="",0,SUMIF('DADOS BRUTOS'!$A$3:$A$500,$C25,'DADOS BRUTOS'!EV$3:EV$500)))</f>
        <v>0</v>
      </c>
      <c r="HW25" s="133" t="n">
        <f aca="false">IF(OR(HW$4="",$B25=""),0,SUMIF('DADOS BRUTOS'!$A$3:$A$500,$B25,'DADOS BRUTOS'!EW$3:EW$500)+IF($C25="",0,SUMIF('DADOS BRUTOS'!$A$3:$A$500,$C25,'DADOS BRUTOS'!EW$3:EW$500)))</f>
        <v>0</v>
      </c>
      <c r="HX25" s="133" t="n">
        <f aca="false">IF(OR(HX$4="",$B25=""),0,SUMIF('DADOS BRUTOS'!$A$3:$A$500,$B25,'DADOS BRUTOS'!EX$3:EX$500)+IF($C25="",0,SUMIF('DADOS BRUTOS'!$A$3:$A$500,$C25,'DADOS BRUTOS'!EX$3:EX$500)))</f>
        <v>0</v>
      </c>
      <c r="HY25" s="133" t="n">
        <f aca="false">IF(OR(HY$4="",$B25=""),0,SUMIF('DADOS BRUTOS'!$A$3:$A$500,$B25,'DADOS BRUTOS'!EY$3:EY$500)+IF($C25="",0,SUMIF('DADOS BRUTOS'!$A$3:$A$500,$C25,'DADOS BRUTOS'!EY$3:EY$500)))</f>
        <v>0</v>
      </c>
      <c r="HZ25" s="133" t="n">
        <f aca="false">IF(OR(HZ$4="",$B25=""),0,SUMIF('DADOS BRUTOS'!$A$3:$A$500,$B25,'DADOS BRUTOS'!EZ$3:EZ$500)+IF($C25="",0,SUMIF('DADOS BRUTOS'!$A$3:$A$500,$C25,'DADOS BRUTOS'!EZ$3:EZ$500)))</f>
        <v>0</v>
      </c>
      <c r="IA25" s="133" t="n">
        <f aca="false">IF(OR(IA$4="",$B25=""),0,SUMIF('DADOS BRUTOS'!$A$3:$A$500,$B25,'DADOS BRUTOS'!FA$3:FA$500)+IF($C25="",0,SUMIF('DADOS BRUTOS'!$A$3:$A$500,$C25,'DADOS BRUTOS'!FA$3:FA$500)))</f>
        <v>0</v>
      </c>
      <c r="IB25" s="133" t="n">
        <f aca="false">IF(OR(IB$4="",$B25=""),0,SUMIF('DADOS BRUTOS'!$A$3:$A$500,$B25,'DADOS BRUTOS'!FB$3:FB$500)+IF($C25="",0,SUMIF('DADOS BRUTOS'!$A$3:$A$500,$C25,'DADOS BRUTOS'!FB$3:FB$500)))</f>
        <v>0</v>
      </c>
      <c r="IC25" s="133" t="n">
        <f aca="false">IF(OR(IC$4="",$B25=""),0,SUMIF('DADOS BRUTOS'!$A$3:$A$500,$B25,'DADOS BRUTOS'!FC$3:FC$500)+IF($C25="",0,SUMIF('DADOS BRUTOS'!$A$3:$A$500,$C25,'DADOS BRUTOS'!FC$3:FC$500)))</f>
        <v>0</v>
      </c>
      <c r="ID25" s="133" t="n">
        <f aca="false">IF(OR(ID$4="",$B25=""),0,SUMIF('DADOS BRUTOS'!$A$3:$A$500,$B25,'DADOS BRUTOS'!FD$3:FD$500)+IF($C25="",0,SUMIF('DADOS BRUTOS'!$A$3:$A$500,$C25,'DADOS BRUTOS'!FD$3:FD$500)))</f>
        <v>0</v>
      </c>
      <c r="IE25" s="133" t="n">
        <f aca="false">IF(OR(IE$4="",$B25=""),0,SUMIF('DADOS BRUTOS'!$A$3:$A$500,$B25,'DADOS BRUTOS'!FE$3:FE$500)+IF($C25="",0,SUMIF('DADOS BRUTOS'!$A$3:$A$500,$C25,'DADOS BRUTOS'!FE$3:FE$500)))</f>
        <v>0</v>
      </c>
      <c r="IF25" s="133" t="n">
        <f aca="false">IF(OR(IF$4="",$B25=""),0,SUMIF('DADOS BRUTOS'!$A$3:$A$500,$B25,'DADOS BRUTOS'!FF$3:FF$500)+IF($C25="",0,SUMIF('DADOS BRUTOS'!$A$3:$A$500,$C25,'DADOS BRUTOS'!FF$3:FF$500)))</f>
        <v>0</v>
      </c>
      <c r="IG25" s="133" t="n">
        <f aca="false">IF(OR(IG$4="",$B25=""),0,SUMIF('DADOS BRUTOS'!$A$3:$A$500,$B25,'DADOS BRUTOS'!FG$3:FG$500)+IF($C25="",0,SUMIF('DADOS BRUTOS'!$A$3:$A$500,$C25,'DADOS BRUTOS'!FG$3:FG$500)))</f>
        <v>0</v>
      </c>
      <c r="IH25" s="133" t="n">
        <f aca="false">IF(OR(IH$4="",$B25=""),0,SUMIF('DADOS BRUTOS'!$A$3:$A$500,$B25,'DADOS BRUTOS'!FH$3:FH$500)+IF($C25="",0,SUMIF('DADOS BRUTOS'!$A$3:$A$500,$C25,'DADOS BRUTOS'!FH$3:FH$500)))</f>
        <v>0</v>
      </c>
      <c r="II25" s="133" t="n">
        <f aca="false">IF(OR(II$4="",$B25=""),0,SUMIF('DADOS BRUTOS'!$A$3:$A$500,$B25,'DADOS BRUTOS'!FI$3:FI$500)+IF($C25="",0,SUMIF('DADOS BRUTOS'!$A$3:$A$500,$C25,'DADOS BRUTOS'!FI$3:FI$500)))</f>
        <v>0</v>
      </c>
      <c r="IJ25" s="133" t="n">
        <f aca="false">IF(OR(IJ$4="",$B25=""),0,SUMIF('DADOS BRUTOS'!$A$3:$A$500,$B25,'DADOS BRUTOS'!FJ$3:FJ$500)+IF($C25="",0,SUMIF('DADOS BRUTOS'!$A$3:$A$500,$C25,'DADOS BRUTOS'!FJ$3:FJ$500)))</f>
        <v>0</v>
      </c>
      <c r="IK25" s="133" t="n">
        <f aca="false">IF(OR(IK$4="",$B25=""),0,SUMIF('DADOS BRUTOS'!$A$3:$A$500,$B25,'DADOS BRUTOS'!FK$3:FK$500)+IF($C25="",0,SUMIF('DADOS BRUTOS'!$A$3:$A$500,$C25,'DADOS BRUTOS'!FK$3:FK$500)))</f>
        <v>0</v>
      </c>
      <c r="IL25" s="133" t="n">
        <f aca="false">IF(OR(IL$4="",$B25=""),0,SUMIF('DADOS BRUTOS'!$A$3:$A$500,$B25,'DADOS BRUTOS'!FL$3:FL$500)+IF($C25="",0,SUMIF('DADOS BRUTOS'!$A$3:$A$500,$C25,'DADOS BRUTOS'!FL$3:FL$500)))</f>
        <v>0</v>
      </c>
      <c r="IM25" s="133" t="n">
        <f aca="false">IF(OR(IM$4="",$B25=""),0,SUMIF('DADOS BRUTOS'!$A$3:$A$500,$B25,'DADOS BRUTOS'!FM$3:FM$500)+IF($C25="",0,SUMIF('DADOS BRUTOS'!$A$3:$A$500,$C25,'DADOS BRUTOS'!FM$3:FM$500)))</f>
        <v>0</v>
      </c>
      <c r="IN25" s="133" t="n">
        <f aca="false">IF(OR(IN$4="",$B25=""),0,SUMIF('DADOS BRUTOS'!$A$3:$A$500,$B25,'DADOS BRUTOS'!FN$3:FN$500)+IF($C25="",0,SUMIF('DADOS BRUTOS'!$A$3:$A$500,$C25,'DADOS BRUTOS'!FN$3:FN$500)))</f>
        <v>0</v>
      </c>
      <c r="IO25" s="133" t="n">
        <f aca="false">IF(OR(IO$4="",$B25=""),0,SUMIF('DADOS BRUTOS'!$A$3:$A$500,$B25,'DADOS BRUTOS'!FO$3:FO$500)+IF($C25="",0,SUMIF('DADOS BRUTOS'!$A$3:$A$500,$C25,'DADOS BRUTOS'!FO$3:FO$500)))</f>
        <v>0</v>
      </c>
      <c r="IP25" s="133" t="n">
        <f aca="false">IF(OR(IP$4="",$B25=""),0,SUMIF('DADOS BRUTOS'!$A$3:$A$500,$B25,'DADOS BRUTOS'!FP$3:FP$500)+IF($C25="",0,SUMIF('DADOS BRUTOS'!$A$3:$A$500,$C25,'DADOS BRUTOS'!FP$3:FP$500)))</f>
        <v>0</v>
      </c>
      <c r="IQ25" s="133" t="n">
        <f aca="false">IF(OR(IQ$4="",$B25=""),0,SUMIF('DADOS BRUTOS'!$A$3:$A$500,$B25,'DADOS BRUTOS'!FQ$3:FQ$500)+IF($C25="",0,SUMIF('DADOS BRUTOS'!$A$3:$A$500,$C25,'DADOS BRUTOS'!FQ$3:FQ$500)))</f>
        <v>0</v>
      </c>
      <c r="IR25" s="133" t="n">
        <f aca="false">IF(OR(IR$4="",$B25=""),0,SUMIF('DADOS BRUTOS'!$A$3:$A$500,$B25,'DADOS BRUTOS'!FR$3:FR$500)+IF($C25="",0,SUMIF('DADOS BRUTOS'!$A$3:$A$500,$C25,'DADOS BRUTOS'!FR$3:FR$500)))</f>
        <v>0</v>
      </c>
      <c r="IS25" s="133" t="n">
        <f aca="false">IF(OR(IS$4="",$B25=""),0,SUMIF('DADOS BRUTOS'!$A$3:$A$500,$B25,'DADOS BRUTOS'!FS$3:FS$500)+IF($C25="",0,SUMIF('DADOS BRUTOS'!$A$3:$A$500,$C25,'DADOS BRUTOS'!FS$3:FS$500)))</f>
        <v>0</v>
      </c>
      <c r="IT25" s="133" t="n">
        <f aca="false">IF(OR(IT$4="",$B25=""),0,SUMIF('DADOS BRUTOS'!$A$3:$A$500,$B25,'DADOS BRUTOS'!FT$3:FT$500)+IF($C25="",0,SUMIF('DADOS BRUTOS'!$A$3:$A$500,$C25,'DADOS BRUTOS'!FT$3:FT$500)))</f>
        <v>0</v>
      </c>
      <c r="IU25" s="133" t="n">
        <f aca="false">IF(OR(IU$4="",$B25=""),0,SUMIF('DADOS BRUTOS'!$A$3:$A$500,$B25,'DADOS BRUTOS'!FU$3:FU$500)+IF($C25="",0,SUMIF('DADOS BRUTOS'!$A$3:$A$500,$C25,'DADOS BRUTOS'!FU$3:FU$500)))</f>
        <v>0</v>
      </c>
      <c r="IV25" s="133" t="n">
        <f aca="false">IF(OR(IV$4="",$B25=""),0,SUMIF('DADOS BRUTOS'!$A$3:$A$500,$B25,'DADOS BRUTOS'!FV$3:FV$500)+IF($C25="",0,SUMIF('DADOS BRUTOS'!$A$3:$A$500,$C25,'DADOS BRUTOS'!FV$3:FV$500)))</f>
        <v>0</v>
      </c>
      <c r="IW25" s="133" t="n">
        <f aca="false">IF(OR(IW$4="",$B25=""),0,SUMIF('DADOS BRUTOS'!$A$3:$A$500,$B25,'DADOS BRUTOS'!FW$3:FW$500)+IF($C25="",0,SUMIF('DADOS BRUTOS'!$A$3:$A$500,$C25,'DADOS BRUTOS'!FW$3:FW$500)))</f>
        <v>0</v>
      </c>
      <c r="IX25" s="133" t="n">
        <f aca="false">IF(OR(IX$4="",$B25=""),0,SUMIF('DADOS BRUTOS'!$A$3:$A$500,$B25,'DADOS BRUTOS'!FX$3:FX$500)+IF($C25="",0,SUMIF('DADOS BRUTOS'!$A$3:$A$500,$C25,'DADOS BRUTOS'!FX$3:FX$500)))</f>
        <v>0</v>
      </c>
      <c r="IY25" s="133" t="n">
        <f aca="false">IF(OR(IY$4="",$B25=""),0,SUMIF('DADOS BRUTOS'!$A$3:$A$500,$B25,'DADOS BRUTOS'!FY$3:FY$500)+IF($C25="",0,SUMIF('DADOS BRUTOS'!$A$3:$A$500,$C25,'DADOS BRUTOS'!FY$3:FY$500)))</f>
        <v>0</v>
      </c>
      <c r="IZ25" s="133" t="n">
        <f aca="false">IF(OR(IZ$4="",$B25=""),0,SUMIF('DADOS BRUTOS'!$A$3:$A$500,$B25,'DADOS BRUTOS'!FZ$3:FZ$500)+IF($C25="",0,SUMIF('DADOS BRUTOS'!$A$3:$A$500,$C25,'DADOS BRUTOS'!FZ$3:FZ$500)))</f>
        <v>0</v>
      </c>
      <c r="JA25" s="133" t="n">
        <f aca="false">IF(OR(JA$4="",$B25=""),0,SUMIF('DADOS BRUTOS'!$A$3:$A$500,$B25,'DADOS BRUTOS'!GA$3:GA$500)+IF($C25="",0,SUMIF('DADOS BRUTOS'!$A$3:$A$500,$C25,'DADOS BRUTOS'!GA$3:GA$500)))</f>
        <v>0</v>
      </c>
      <c r="JB25" s="133" t="n">
        <f aca="false">IF(OR(JB$4="",$B25=""),0,SUMIF('DADOS BRUTOS'!$A$3:$A$500,$B25,'DADOS BRUTOS'!GB$3:GB$500)+IF($C25="",0,SUMIF('DADOS BRUTOS'!$A$3:$A$500,$C25,'DADOS BRUTOS'!GB$3:GB$500)))</f>
        <v>0</v>
      </c>
      <c r="JC25" s="133" t="n">
        <f aca="false">IF(OR(JC$4="",$B25=""),0,SUMIF('DADOS BRUTOS'!$A$3:$A$500,$B25,'DADOS BRUTOS'!GC$3:GC$500)+IF($C25="",0,SUMIF('DADOS BRUTOS'!$A$3:$A$500,$C25,'DADOS BRUTOS'!GC$3:GC$500)))</f>
        <v>0</v>
      </c>
      <c r="JD25" s="133" t="n">
        <f aca="false">IF(OR(JD$4="",$B25=""),0,SUMIF('DADOS BRUTOS'!$A$3:$A$500,$B25,'DADOS BRUTOS'!GD$3:GD$500)+IF($C25="",0,SUMIF('DADOS BRUTOS'!$A$3:$A$500,$C25,'DADOS BRUTOS'!GD$3:GD$500)))</f>
        <v>0</v>
      </c>
      <c r="JE25" s="133" t="n">
        <f aca="false">IF(OR(JE$4="",$B25=""),0,SUMIF('DADOS BRUTOS'!$A$3:$A$500,$B25,'DADOS BRUTOS'!GE$3:GE$500)+IF($C25="",0,SUMIF('DADOS BRUTOS'!$A$3:$A$500,$C25,'DADOS BRUTOS'!GE$3:GE$500)))</f>
        <v>0</v>
      </c>
      <c r="JF25" s="133" t="n">
        <f aca="false">IF(OR(JF$4="",$B25=""),0,SUMIF('DADOS BRUTOS'!$A$3:$A$500,$B25,'DADOS BRUTOS'!GF$3:GF$500)+IF($C25="",0,SUMIF('DADOS BRUTOS'!$A$3:$A$500,$C25,'DADOS BRUTOS'!GF$3:GF$500)))</f>
        <v>0</v>
      </c>
      <c r="JG25" s="133" t="n">
        <f aca="false">IF(OR(JG$4="",$B25=""),0,SUMIF('DADOS BRUTOS'!$A$3:$A$500,$B25,'DADOS BRUTOS'!GG$3:GG$500)+IF($C25="",0,SUMIF('DADOS BRUTOS'!$A$3:$A$500,$C25,'DADOS BRUTOS'!GG$3:GG$500)))</f>
        <v>0</v>
      </c>
      <c r="JH25" s="133" t="n">
        <f aca="false">IF(OR(JH$4="",$B25=""),0,SUMIF('DADOS BRUTOS'!$A$3:$A$500,$B25,'DADOS BRUTOS'!GH$3:GH$500)+IF($C25="",0,SUMIF('DADOS BRUTOS'!$A$3:$A$500,$C25,'DADOS BRUTOS'!GH$3:GH$500)))</f>
        <v>0</v>
      </c>
      <c r="JI25" s="133" t="n">
        <f aca="false">IF(OR(JI$4="",$B25=""),0,SUMIF('DADOS BRUTOS'!$A$3:$A$500,$B25,'DADOS BRUTOS'!GI$3:GI$500)+IF($C25="",0,SUMIF('DADOS BRUTOS'!$A$3:$A$500,$C25,'DADOS BRUTOS'!GI$3:GI$500)))</f>
        <v>0</v>
      </c>
      <c r="JJ25" s="133" t="n">
        <f aca="false">IF(OR(JJ$4="",$B25=""),0,SUMIF('DADOS BRUTOS'!$A$3:$A$500,$B25,'DADOS BRUTOS'!GJ$3:GJ$500)+IF($C25="",0,SUMIF('DADOS BRUTOS'!$A$3:$A$500,$C25,'DADOS BRUTOS'!GJ$3:GJ$500)))</f>
        <v>0</v>
      </c>
      <c r="JK25" s="133" t="n">
        <f aca="false">IF(OR(JK$4="",$B25=""),0,SUMIF('DADOS BRUTOS'!$A$3:$A$500,$B25,'DADOS BRUTOS'!GK$3:GK$500)+IF($C25="",0,SUMIF('DADOS BRUTOS'!$A$3:$A$500,$C25,'DADOS BRUTOS'!GK$3:GK$500)))</f>
        <v>0</v>
      </c>
      <c r="JL25" s="133" t="n">
        <f aca="false">IF(OR(JL$4="",$B25=""),0,SUMIF('DADOS BRUTOS'!$A$3:$A$500,$B25,'DADOS BRUTOS'!GL$3:GL$500)+IF($C25="",0,SUMIF('DADOS BRUTOS'!$A$3:$A$500,$C25,'DADOS BRUTOS'!GL$3:GL$500)))</f>
        <v>0</v>
      </c>
      <c r="JM25" s="133" t="n">
        <f aca="false">IF(OR(JM$4="",$B25=""),0,SUMIF('DADOS BRUTOS'!$A$3:$A$500,$B25,'DADOS BRUTOS'!GM$3:GM$500)+IF($C25="",0,SUMIF('DADOS BRUTOS'!$A$3:$A$500,$C25,'DADOS BRUTOS'!GM$3:GM$500)))</f>
        <v>0</v>
      </c>
      <c r="JN25" s="133" t="n">
        <f aca="false">IF(OR(JN$4="",$B25=""),0,SUMIF('DADOS BRUTOS'!$A$3:$A$500,$B25,'DADOS BRUTOS'!GN$3:GN$500)+IF($C25="",0,SUMIF('DADOS BRUTOS'!$A$3:$A$500,$C25,'DADOS BRUTOS'!GN$3:GN$500)))</f>
        <v>0</v>
      </c>
      <c r="JO25" s="133" t="n">
        <f aca="false">IF(OR(JO$4="",$B25=""),0,SUMIF('DADOS BRUTOS'!$A$3:$A$500,$B25,'DADOS BRUTOS'!GO$3:GO$500)+IF($C25="",0,SUMIF('DADOS BRUTOS'!$A$3:$A$500,$C25,'DADOS BRUTOS'!GO$3:GO$500)))</f>
        <v>0</v>
      </c>
      <c r="JP25" s="133" t="n">
        <f aca="false">IF(OR(JP$4="",$B25=""),0,SUMIF('DADOS BRUTOS'!$A$3:$A$500,$B25,'DADOS BRUTOS'!GP$3:GP$500)+IF($C25="",0,SUMIF('DADOS BRUTOS'!$A$3:$A$500,$C25,'DADOS BRUTOS'!GP$3:GP$500)))</f>
        <v>0</v>
      </c>
      <c r="JQ25" s="133" t="n">
        <f aca="false">IF(OR(JQ$4="",$B25=""),0,SUMIF('DADOS BRUTOS'!$A$3:$A$500,$B25,'DADOS BRUTOS'!GQ$3:GQ$500)+IF($C25="",0,SUMIF('DADOS BRUTOS'!$A$3:$A$500,$C25,'DADOS BRUTOS'!GQ$3:GQ$500)))</f>
        <v>0</v>
      </c>
      <c r="JR25" s="133" t="n">
        <f aca="false">IF(OR(JR$4="",$B25=""),0,SUMIF('DADOS BRUTOS'!$A$3:$A$500,$B25,'DADOS BRUTOS'!GR$3:GR$500)+IF($C25="",0,SUMIF('DADOS BRUTOS'!$A$3:$A$500,$C25,'DADOS BRUTOS'!GR$3:GR$500)))</f>
        <v>0</v>
      </c>
      <c r="JS25" s="133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180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0</v>
      </c>
      <c r="AA26" s="50" t="n">
        <f aca="false">SUMIF($CB$4:$JS$4,AA$4,$CB26:$JS26)</f>
        <v>0</v>
      </c>
      <c r="AB26" s="50" t="n">
        <f aca="false">SUMIF($CB$4:$JS$4,AB$4,$CB26:$JS26)</f>
        <v>0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0</v>
      </c>
      <c r="BZ26" s="45" t="n">
        <f aca="false">SUMPRODUCT(($CB$4:$JS$4&lt;&gt;"")*($CB$4:$JS$4&lt;=$D$4),$CB26:$JS26,$CB$1:$JS$1)</f>
        <v>0</v>
      </c>
      <c r="CB26" s="133" t="n">
        <f aca="false">IF(OR(CB$4="",$B26=""),0,SUMIF('DADOS BRUTOS'!$A$3:$A$500,$B26,'DADOS BRUTOS'!B$3:B$500)+IF($C26="",0,SUMIF('DADOS BRUTOS'!$A$3:$A$500,$C26,'DADOS BRUTOS'!B$3:B$500)))</f>
        <v>0</v>
      </c>
      <c r="CC26" s="133" t="n">
        <f aca="false">IF(OR(CC$4="",$B26=""),0,SUMIF('DADOS BRUTOS'!$A$3:$A$500,$B26,'DADOS BRUTOS'!C$3:C$500)+IF($C26="",0,SUMIF('DADOS BRUTOS'!$A$3:$A$500,$C26,'DADOS BRUTOS'!C$3:C$500)))</f>
        <v>0</v>
      </c>
      <c r="CD26" s="133" t="n">
        <f aca="false">IF(OR(CD$4="",$B26=""),0,SUMIF('DADOS BRUTOS'!$A$3:$A$500,$B26,'DADOS BRUTOS'!D$3:D$500)+IF($C26="",0,SUMIF('DADOS BRUTOS'!$A$3:$A$500,$C26,'DADOS BRUTOS'!D$3:D$500)))</f>
        <v>0</v>
      </c>
      <c r="CE26" s="133" t="n">
        <f aca="false">IF(OR(CE$4="",$B26=""),0,SUMIF('DADOS BRUTOS'!$A$3:$A$500,$B26,'DADOS BRUTOS'!E$3:E$500)+IF($C26="",0,SUMIF('DADOS BRUTOS'!$A$3:$A$500,$C26,'DADOS BRUTOS'!E$3:E$500)))</f>
        <v>0</v>
      </c>
      <c r="CF26" s="133" t="n">
        <f aca="false">IF(OR(CF$4="",$B26=""),0,SUMIF('DADOS BRUTOS'!$A$3:$A$500,$B26,'DADOS BRUTOS'!F$3:F$500)+IF($C26="",0,SUMIF('DADOS BRUTOS'!$A$3:$A$500,$C26,'DADOS BRUTOS'!F$3:F$500)))</f>
        <v>0</v>
      </c>
      <c r="CG26" s="133" t="n">
        <f aca="false">IF(OR(CG$4="",$B26=""),0,SUMIF('DADOS BRUTOS'!$A$3:$A$500,$B26,'DADOS BRUTOS'!G$3:G$500)+IF($C26="",0,SUMIF('DADOS BRUTOS'!$A$3:$A$500,$C26,'DADOS BRUTOS'!G$3:G$500)))</f>
        <v>0</v>
      </c>
      <c r="CH26" s="133" t="n">
        <f aca="false">IF(OR(CH$4="",$B26=""),0,SUMIF('DADOS BRUTOS'!$A$3:$A$500,$B26,'DADOS BRUTOS'!H$3:H$500)+IF($C26="",0,SUMIF('DADOS BRUTOS'!$A$3:$A$500,$C26,'DADOS BRUTOS'!H$3:H$500)))</f>
        <v>0</v>
      </c>
      <c r="CI26" s="133" t="n">
        <f aca="false">IF(OR(CI$4="",$B26=""),0,SUMIF('DADOS BRUTOS'!$A$3:$A$500,$B26,'DADOS BRUTOS'!I$3:I$500)+IF($C26="",0,SUMIF('DADOS BRUTOS'!$A$3:$A$500,$C26,'DADOS BRUTOS'!I$3:I$500)))</f>
        <v>0</v>
      </c>
      <c r="CJ26" s="133" t="n">
        <f aca="false">IF(OR(CJ$4="",$B26=""),0,SUMIF('DADOS BRUTOS'!$A$3:$A$500,$B26,'DADOS BRUTOS'!J$3:J$500)+IF($C26="",0,SUMIF('DADOS BRUTOS'!$A$3:$A$500,$C26,'DADOS BRUTOS'!J$3:J$500)))</f>
        <v>0</v>
      </c>
      <c r="CK26" s="133" t="n">
        <f aca="false">IF(OR(CK$4="",$B26=""),0,SUMIF('DADOS BRUTOS'!$A$3:$A$500,$B26,'DADOS BRUTOS'!K$3:K$500)+IF($C26="",0,SUMIF('DADOS BRUTOS'!$A$3:$A$500,$C26,'DADOS BRUTOS'!K$3:K$500)))</f>
        <v>0</v>
      </c>
      <c r="CL26" s="133" t="n">
        <f aca="false">IF(OR(CL$4="",$B26=""),0,SUMIF('DADOS BRUTOS'!$A$3:$A$500,$B26,'DADOS BRUTOS'!L$3:L$500)+IF($C26="",0,SUMIF('DADOS BRUTOS'!$A$3:$A$500,$C26,'DADOS BRUTOS'!L$3:L$500)))</f>
        <v>0</v>
      </c>
      <c r="CM26" s="133" t="n">
        <f aca="false">IF(OR(CM$4="",$B26=""),0,SUMIF('DADOS BRUTOS'!$A$3:$A$500,$B26,'DADOS BRUTOS'!M$3:M$500)+IF($C26="",0,SUMIF('DADOS BRUTOS'!$A$3:$A$500,$C26,'DADOS BRUTOS'!M$3:M$500)))</f>
        <v>0</v>
      </c>
      <c r="CN26" s="133" t="n">
        <f aca="false">IF(OR(CN$4="",$B26=""),0,SUMIF('DADOS BRUTOS'!$A$3:$A$500,$B26,'DADOS BRUTOS'!N$3:N$500)+IF($C26="",0,SUMIF('DADOS BRUTOS'!$A$3:$A$500,$C26,'DADOS BRUTOS'!N$3:N$500)))</f>
        <v>0</v>
      </c>
      <c r="CO26" s="133" t="n">
        <f aca="false">IF(OR(CO$4="",$B26=""),0,SUMIF('DADOS BRUTOS'!$A$3:$A$500,$B26,'DADOS BRUTOS'!O$3:O$500)+IF($C26="",0,SUMIF('DADOS BRUTOS'!$A$3:$A$500,$C26,'DADOS BRUTOS'!O$3:O$500)))</f>
        <v>0</v>
      </c>
      <c r="CP26" s="133" t="n">
        <f aca="false">IF(OR(CP$4="",$B26=""),0,SUMIF('DADOS BRUTOS'!$A$3:$A$500,$B26,'DADOS BRUTOS'!P$3:P$500)+IF($C26="",0,SUMIF('DADOS BRUTOS'!$A$3:$A$500,$C26,'DADOS BRUTOS'!P$3:P$500)))</f>
        <v>0</v>
      </c>
      <c r="CQ26" s="133" t="n">
        <f aca="false">IF(OR(CQ$4="",$B26=""),0,SUMIF('DADOS BRUTOS'!$A$3:$A$500,$B26,'DADOS BRUTOS'!Q$3:Q$500)+IF($C26="",0,SUMIF('DADOS BRUTOS'!$A$3:$A$500,$C26,'DADOS BRUTOS'!Q$3:Q$500)))</f>
        <v>0</v>
      </c>
      <c r="CR26" s="133" t="n">
        <f aca="false">IF(OR(CR$4="",$B26=""),0,SUMIF('DADOS BRUTOS'!$A$3:$A$500,$B26,'DADOS BRUTOS'!R$3:R$500)+IF($C26="",0,SUMIF('DADOS BRUTOS'!$A$3:$A$500,$C26,'DADOS BRUTOS'!R$3:R$500)))</f>
        <v>0</v>
      </c>
      <c r="CS26" s="133" t="n">
        <f aca="false">IF(OR(CS$4="",$B26=""),0,SUMIF('DADOS BRUTOS'!$A$3:$A$500,$B26,'DADOS BRUTOS'!S$3:S$500)+IF($C26="",0,SUMIF('DADOS BRUTOS'!$A$3:$A$500,$C26,'DADOS BRUTOS'!S$3:S$500)))</f>
        <v>0</v>
      </c>
      <c r="CT26" s="133" t="n">
        <f aca="false">IF(OR(CT$4="",$B26=""),0,SUMIF('DADOS BRUTOS'!$A$3:$A$500,$B26,'DADOS BRUTOS'!T$3:T$500)+IF($C26="",0,SUMIF('DADOS BRUTOS'!$A$3:$A$500,$C26,'DADOS BRUTOS'!T$3:T$500)))</f>
        <v>0</v>
      </c>
      <c r="CU26" s="133" t="n">
        <f aca="false">IF(OR(CU$4="",$B26=""),0,SUMIF('DADOS BRUTOS'!$A$3:$A$500,$B26,'DADOS BRUTOS'!U$3:U$500)+IF($C26="",0,SUMIF('DADOS BRUTOS'!$A$3:$A$500,$C26,'DADOS BRUTOS'!U$3:U$500)))</f>
        <v>0</v>
      </c>
      <c r="CV26" s="133" t="n">
        <f aca="false">IF(OR(CV$4="",$B26=""),0,SUMIF('DADOS BRUTOS'!$A$3:$A$500,$B26,'DADOS BRUTOS'!V$3:V$500)+IF($C26="",0,SUMIF('DADOS BRUTOS'!$A$3:$A$500,$C26,'DADOS BRUTOS'!V$3:V$500)))</f>
        <v>0</v>
      </c>
      <c r="CW26" s="133" t="n">
        <f aca="false">IF(OR(CW$4="",$B26=""),0,SUMIF('DADOS BRUTOS'!$A$3:$A$500,$B26,'DADOS BRUTOS'!W$3:W$500)+IF($C26="",0,SUMIF('DADOS BRUTOS'!$A$3:$A$500,$C26,'DADOS BRUTOS'!W$3:W$500)))</f>
        <v>0</v>
      </c>
      <c r="CX26" s="133" t="n">
        <f aca="false">IF(OR(CX$4="",$B26=""),0,SUMIF('DADOS BRUTOS'!$A$3:$A$500,$B26,'DADOS BRUTOS'!X$3:X$500)+IF($C26="",0,SUMIF('DADOS BRUTOS'!$A$3:$A$500,$C26,'DADOS BRUTOS'!X$3:X$500)))</f>
        <v>0</v>
      </c>
      <c r="CY26" s="133" t="n">
        <f aca="false">IF(OR(CY$4="",$B26=""),0,SUMIF('DADOS BRUTOS'!$A$3:$A$500,$B26,'DADOS BRUTOS'!Y$3:Y$500)+IF($C26="",0,SUMIF('DADOS BRUTOS'!$A$3:$A$500,$C26,'DADOS BRUTOS'!Y$3:Y$500)))</f>
        <v>0</v>
      </c>
      <c r="CZ26" s="133" t="n">
        <f aca="false">IF(OR(CZ$4="",$B26=""),0,SUMIF('DADOS BRUTOS'!$A$3:$A$500,$B26,'DADOS BRUTOS'!Z$3:Z$500)+IF($C26="",0,SUMIF('DADOS BRUTOS'!$A$3:$A$500,$C26,'DADOS BRUTOS'!Z$3:Z$500)))</f>
        <v>0</v>
      </c>
      <c r="DA26" s="133" t="n">
        <f aca="false">IF(OR(DA$4="",$B26=""),0,SUMIF('DADOS BRUTOS'!$A$3:$A$500,$B26,'DADOS BRUTOS'!AA$3:AA$500)+IF($C26="",0,SUMIF('DADOS BRUTOS'!$A$3:$A$500,$C26,'DADOS BRUTOS'!AA$3:AA$500)))</f>
        <v>0</v>
      </c>
      <c r="DB26" s="133" t="n">
        <f aca="false">IF(OR(DB$4="",$B26=""),0,SUMIF('DADOS BRUTOS'!$A$3:$A$500,$B26,'DADOS BRUTOS'!AB$3:AB$500)+IF($C26="",0,SUMIF('DADOS BRUTOS'!$A$3:$A$500,$C26,'DADOS BRUTOS'!AB$3:AB$500)))</f>
        <v>0</v>
      </c>
      <c r="DC26" s="133" t="n">
        <f aca="false">IF(OR(DC$4="",$B26=""),0,SUMIF('DADOS BRUTOS'!$A$3:$A$500,$B26,'DADOS BRUTOS'!AC$3:AC$500)+IF($C26="",0,SUMIF('DADOS BRUTOS'!$A$3:$A$500,$C26,'DADOS BRUTOS'!AC$3:AC$500)))</f>
        <v>0</v>
      </c>
      <c r="DD26" s="133" t="n">
        <f aca="false">IF(OR(DD$4="",$B26=""),0,SUMIF('DADOS BRUTOS'!$A$3:$A$500,$B26,'DADOS BRUTOS'!AD$3:AD$500)+IF($C26="",0,SUMIF('DADOS BRUTOS'!$A$3:$A$500,$C26,'DADOS BRUTOS'!AD$3:AD$500)))</f>
        <v>0</v>
      </c>
      <c r="DE26" s="133" t="n">
        <f aca="false">IF(OR(DE$4="",$B26=""),0,SUMIF('DADOS BRUTOS'!$A$3:$A$500,$B26,'DADOS BRUTOS'!AE$3:AE$500)+IF($C26="",0,SUMIF('DADOS BRUTOS'!$A$3:$A$500,$C26,'DADOS BRUTOS'!AE$3:AE$500)))</f>
        <v>0</v>
      </c>
      <c r="DF26" s="133" t="n">
        <f aca="false">IF(OR(DF$4="",$B26=""),0,SUMIF('DADOS BRUTOS'!$A$3:$A$500,$B26,'DADOS BRUTOS'!AF$3:AF$500)+IF($C26="",0,SUMIF('DADOS BRUTOS'!$A$3:$A$500,$C26,'DADOS BRUTOS'!AF$3:AF$500)))</f>
        <v>0</v>
      </c>
      <c r="DG26" s="133" t="n">
        <f aca="false">IF(OR(DG$4="",$B26=""),0,SUMIF('DADOS BRUTOS'!$A$3:$A$500,$B26,'DADOS BRUTOS'!AG$3:AG$500)+IF($C26="",0,SUMIF('DADOS BRUTOS'!$A$3:$A$500,$C26,'DADOS BRUTOS'!AG$3:AG$500)))</f>
        <v>0</v>
      </c>
      <c r="DH26" s="133" t="n">
        <f aca="false">IF(OR(DH$4="",$B26=""),0,SUMIF('DADOS BRUTOS'!$A$3:$A$500,$B26,'DADOS BRUTOS'!AH$3:AH$500)+IF($C26="",0,SUMIF('DADOS BRUTOS'!$A$3:$A$500,$C26,'DADOS BRUTOS'!AH$3:AH$500)))</f>
        <v>0</v>
      </c>
      <c r="DI26" s="133" t="n">
        <f aca="false">IF(OR(DI$4="",$B26=""),0,SUMIF('DADOS BRUTOS'!$A$3:$A$500,$B26,'DADOS BRUTOS'!AI$3:AI$500)+IF($C26="",0,SUMIF('DADOS BRUTOS'!$A$3:$A$500,$C26,'DADOS BRUTOS'!AI$3:AI$500)))</f>
        <v>0</v>
      </c>
      <c r="DJ26" s="133" t="n">
        <f aca="false">IF(OR(DJ$4="",$B26=""),0,SUMIF('DADOS BRUTOS'!$A$3:$A$500,$B26,'DADOS BRUTOS'!AJ$3:AJ$500)+IF($C26="",0,SUMIF('DADOS BRUTOS'!$A$3:$A$500,$C26,'DADOS BRUTOS'!AJ$3:AJ$500)))</f>
        <v>0</v>
      </c>
      <c r="DK26" s="133" t="n">
        <f aca="false">IF(OR(DK$4="",$B26=""),0,SUMIF('DADOS BRUTOS'!$A$3:$A$500,$B26,'DADOS BRUTOS'!AK$3:AK$500)+IF($C26="",0,SUMIF('DADOS BRUTOS'!$A$3:$A$500,$C26,'DADOS BRUTOS'!AK$3:AK$500)))</f>
        <v>0</v>
      </c>
      <c r="DL26" s="133" t="n">
        <f aca="false">IF(OR(DL$4="",$B26=""),0,SUMIF('DADOS BRUTOS'!$A$3:$A$500,$B26,'DADOS BRUTOS'!AL$3:AL$500)+IF($C26="",0,SUMIF('DADOS BRUTOS'!$A$3:$A$500,$C26,'DADOS BRUTOS'!AL$3:AL$500)))</f>
        <v>0</v>
      </c>
      <c r="DM26" s="133" t="n">
        <f aca="false">IF(OR(DM$4="",$B26=""),0,SUMIF('DADOS BRUTOS'!$A$3:$A$500,$B26,'DADOS BRUTOS'!AM$3:AM$500)+IF($C26="",0,SUMIF('DADOS BRUTOS'!$A$3:$A$500,$C26,'DADOS BRUTOS'!AM$3:AM$500)))</f>
        <v>0</v>
      </c>
      <c r="DN26" s="133" t="n">
        <f aca="false">IF(OR(DN$4="",$B26=""),0,SUMIF('DADOS BRUTOS'!$A$3:$A$500,$B26,'DADOS BRUTOS'!AN$3:AN$500)+IF($C26="",0,SUMIF('DADOS BRUTOS'!$A$3:$A$500,$C26,'DADOS BRUTOS'!AN$3:AN$500)))</f>
        <v>0</v>
      </c>
      <c r="DO26" s="133" t="n">
        <f aca="false">IF(OR(DO$4="",$B26=""),0,SUMIF('DADOS BRUTOS'!$A$3:$A$500,$B26,'DADOS BRUTOS'!AO$3:AO$500)+IF($C26="",0,SUMIF('DADOS BRUTOS'!$A$3:$A$500,$C26,'DADOS BRUTOS'!AO$3:AO$500)))</f>
        <v>0</v>
      </c>
      <c r="DP26" s="133" t="n">
        <f aca="false">IF(OR(DP$4="",$B26=""),0,SUMIF('DADOS BRUTOS'!$A$3:$A$500,$B26,'DADOS BRUTOS'!AP$3:AP$500)+IF($C26="",0,SUMIF('DADOS BRUTOS'!$A$3:$A$500,$C26,'DADOS BRUTOS'!AP$3:AP$500)))</f>
        <v>0</v>
      </c>
      <c r="DQ26" s="133" t="n">
        <f aca="false">IF(OR(DQ$4="",$B26=""),0,SUMIF('DADOS BRUTOS'!$A$3:$A$500,$B26,'DADOS BRUTOS'!AQ$3:AQ$500)+IF($C26="",0,SUMIF('DADOS BRUTOS'!$A$3:$A$500,$C26,'DADOS BRUTOS'!AQ$3:AQ$500)))</f>
        <v>0</v>
      </c>
      <c r="DR26" s="133" t="n">
        <f aca="false">IF(OR(DR$4="",$B26=""),0,SUMIF('DADOS BRUTOS'!$A$3:$A$500,$B26,'DADOS BRUTOS'!AR$3:AR$500)+IF($C26="",0,SUMIF('DADOS BRUTOS'!$A$3:$A$500,$C26,'DADOS BRUTOS'!AR$3:AR$500)))</f>
        <v>0</v>
      </c>
      <c r="DS26" s="133" t="n">
        <f aca="false">IF(OR(DS$4="",$B26=""),0,SUMIF('DADOS BRUTOS'!$A$3:$A$500,$B26,'DADOS BRUTOS'!AS$3:AS$500)+IF($C26="",0,SUMIF('DADOS BRUTOS'!$A$3:$A$500,$C26,'DADOS BRUTOS'!AS$3:AS$500)))</f>
        <v>0</v>
      </c>
      <c r="DT26" s="133" t="n">
        <f aca="false">IF(OR(DT$4="",$B26=""),0,SUMIF('DADOS BRUTOS'!$A$3:$A$500,$B26,'DADOS BRUTOS'!AT$3:AT$500)+IF($C26="",0,SUMIF('DADOS BRUTOS'!$A$3:$A$500,$C26,'DADOS BRUTOS'!AT$3:AT$500)))</f>
        <v>0</v>
      </c>
      <c r="DU26" s="133" t="n">
        <f aca="false">IF(OR(DU$4="",$B26=""),0,SUMIF('DADOS BRUTOS'!$A$3:$A$500,$B26,'DADOS BRUTOS'!AU$3:AU$500)+IF($C26="",0,SUMIF('DADOS BRUTOS'!$A$3:$A$500,$C26,'DADOS BRUTOS'!AU$3:AU$500)))</f>
        <v>0</v>
      </c>
      <c r="DV26" s="133" t="n">
        <f aca="false">IF(OR(DV$4="",$B26=""),0,SUMIF('DADOS BRUTOS'!$A$3:$A$500,$B26,'DADOS BRUTOS'!AV$3:AV$500)+IF($C26="",0,SUMIF('DADOS BRUTOS'!$A$3:$A$500,$C26,'DADOS BRUTOS'!AV$3:AV$500)))</f>
        <v>0</v>
      </c>
      <c r="DW26" s="133" t="n">
        <f aca="false">IF(OR(DW$4="",$B26=""),0,SUMIF('DADOS BRUTOS'!$A$3:$A$500,$B26,'DADOS BRUTOS'!AW$3:AW$500)+IF($C26="",0,SUMIF('DADOS BRUTOS'!$A$3:$A$500,$C26,'DADOS BRUTOS'!AW$3:AW$500)))</f>
        <v>0</v>
      </c>
      <c r="DX26" s="133" t="n">
        <f aca="false">IF(OR(DX$4="",$B26=""),0,SUMIF('DADOS BRUTOS'!$A$3:$A$500,$B26,'DADOS BRUTOS'!AX$3:AX$500)+IF($C26="",0,SUMIF('DADOS BRUTOS'!$A$3:$A$500,$C26,'DADOS BRUTOS'!AX$3:AX$500)))</f>
        <v>0</v>
      </c>
      <c r="DY26" s="133" t="n">
        <f aca="false">IF(OR(DY$4="",$B26=""),0,SUMIF('DADOS BRUTOS'!$A$3:$A$500,$B26,'DADOS BRUTOS'!AY$3:AY$500)+IF($C26="",0,SUMIF('DADOS BRUTOS'!$A$3:$A$500,$C26,'DADOS BRUTOS'!AY$3:AY$500)))</f>
        <v>0</v>
      </c>
      <c r="DZ26" s="133" t="n">
        <f aca="false">IF(OR(DZ$4="",$B26=""),0,SUMIF('DADOS BRUTOS'!$A$3:$A$500,$B26,'DADOS BRUTOS'!AZ$3:AZ$500)+IF($C26="",0,SUMIF('DADOS BRUTOS'!$A$3:$A$500,$C26,'DADOS BRUTOS'!AZ$3:AZ$500)))</f>
        <v>0</v>
      </c>
      <c r="EA26" s="133" t="n">
        <f aca="false">IF(OR(EA$4="",$B26=""),0,SUMIF('DADOS BRUTOS'!$A$3:$A$500,$B26,'DADOS BRUTOS'!BA$3:BA$500)+IF($C26="",0,SUMIF('DADOS BRUTOS'!$A$3:$A$500,$C26,'DADOS BRUTOS'!BA$3:BA$500)))</f>
        <v>0</v>
      </c>
      <c r="EB26" s="133" t="n">
        <f aca="false">IF(OR(EB$4="",$B26=""),0,SUMIF('DADOS BRUTOS'!$A$3:$A$500,$B26,'DADOS BRUTOS'!BB$3:BB$500)+IF($C26="",0,SUMIF('DADOS BRUTOS'!$A$3:$A$500,$C26,'DADOS BRUTOS'!BB$3:BB$500)))</f>
        <v>0</v>
      </c>
      <c r="EC26" s="133" t="n">
        <f aca="false">IF(OR(EC$4="",$B26=""),0,SUMIF('DADOS BRUTOS'!$A$3:$A$500,$B26,'DADOS BRUTOS'!BC$3:BC$500)+IF($C26="",0,SUMIF('DADOS BRUTOS'!$A$3:$A$500,$C26,'DADOS BRUTOS'!BC$3:BC$500)))</f>
        <v>0</v>
      </c>
      <c r="ED26" s="133" t="n">
        <f aca="false">IF(OR(ED$4="",$B26=""),0,SUMIF('DADOS BRUTOS'!$A$3:$A$500,$B26,'DADOS BRUTOS'!BD$3:BD$500)+IF($C26="",0,SUMIF('DADOS BRUTOS'!$A$3:$A$500,$C26,'DADOS BRUTOS'!BD$3:BD$500)))</f>
        <v>0</v>
      </c>
      <c r="EE26" s="133" t="n">
        <f aca="false">IF(OR(EE$4="",$B26=""),0,SUMIF('DADOS BRUTOS'!$A$3:$A$500,$B26,'DADOS BRUTOS'!BE$3:BE$500)+IF($C26="",0,SUMIF('DADOS BRUTOS'!$A$3:$A$500,$C26,'DADOS BRUTOS'!BE$3:BE$500)))</f>
        <v>0</v>
      </c>
      <c r="EF26" s="133" t="n">
        <f aca="false">IF(OR(EF$4="",$B26=""),0,SUMIF('DADOS BRUTOS'!$A$3:$A$500,$B26,'DADOS BRUTOS'!BF$3:BF$500)+IF($C26="",0,SUMIF('DADOS BRUTOS'!$A$3:$A$500,$C26,'DADOS BRUTOS'!BF$3:BF$500)))</f>
        <v>0</v>
      </c>
      <c r="EG26" s="133" t="n">
        <f aca="false">IF(OR(EG$4="",$B26=""),0,SUMIF('DADOS BRUTOS'!$A$3:$A$500,$B26,'DADOS BRUTOS'!BG$3:BG$500)+IF($C26="",0,SUMIF('DADOS BRUTOS'!$A$3:$A$500,$C26,'DADOS BRUTOS'!BG$3:BG$500)))</f>
        <v>0</v>
      </c>
      <c r="EH26" s="133" t="n">
        <f aca="false">IF(OR(EH$4="",$B26=""),0,SUMIF('DADOS BRUTOS'!$A$3:$A$500,$B26,'DADOS BRUTOS'!BH$3:BH$500)+IF($C26="",0,SUMIF('DADOS BRUTOS'!$A$3:$A$500,$C26,'DADOS BRUTOS'!BH$3:BH$500)))</f>
        <v>0</v>
      </c>
      <c r="EI26" s="133" t="n">
        <f aca="false">IF(OR(EI$4="",$B26=""),0,SUMIF('DADOS BRUTOS'!$A$3:$A$500,$B26,'DADOS BRUTOS'!BI$3:BI$500)+IF($C26="",0,SUMIF('DADOS BRUTOS'!$A$3:$A$500,$C26,'DADOS BRUTOS'!BI$3:BI$500)))</f>
        <v>0</v>
      </c>
      <c r="EJ26" s="133" t="n">
        <f aca="false">IF(OR(EJ$4="",$B26=""),0,SUMIF('DADOS BRUTOS'!$A$3:$A$500,$B26,'DADOS BRUTOS'!BJ$3:BJ$500)+IF($C26="",0,SUMIF('DADOS BRUTOS'!$A$3:$A$500,$C26,'DADOS BRUTOS'!BJ$3:BJ$500)))</f>
        <v>0</v>
      </c>
      <c r="EK26" s="133" t="n">
        <f aca="false">IF(OR(EK$4="",$B26=""),0,SUMIF('DADOS BRUTOS'!$A$3:$A$500,$B26,'DADOS BRUTOS'!BK$3:BK$500)+IF($C26="",0,SUMIF('DADOS BRUTOS'!$A$3:$A$500,$C26,'DADOS BRUTOS'!BK$3:BK$500)))</f>
        <v>0</v>
      </c>
      <c r="EL26" s="133" t="n">
        <f aca="false">IF(OR(EL$4="",$B26=""),0,SUMIF('DADOS BRUTOS'!$A$3:$A$500,$B26,'DADOS BRUTOS'!BL$3:BL$500)+IF($C26="",0,SUMIF('DADOS BRUTOS'!$A$3:$A$500,$C26,'DADOS BRUTOS'!BL$3:BL$500)))</f>
        <v>0</v>
      </c>
      <c r="EM26" s="133" t="n">
        <f aca="false">IF(OR(EM$4="",$B26=""),0,SUMIF('DADOS BRUTOS'!$A$3:$A$500,$B26,'DADOS BRUTOS'!BM$3:BM$500)+IF($C26="",0,SUMIF('DADOS BRUTOS'!$A$3:$A$500,$C26,'DADOS BRUTOS'!BM$3:BM$500)))</f>
        <v>0</v>
      </c>
      <c r="EN26" s="133" t="n">
        <f aca="false">IF(OR(EN$4="",$B26=""),0,SUMIF('DADOS BRUTOS'!$A$3:$A$500,$B26,'DADOS BRUTOS'!BN$3:BN$500)+IF($C26="",0,SUMIF('DADOS BRUTOS'!$A$3:$A$500,$C26,'DADOS BRUTOS'!BN$3:BN$500)))</f>
        <v>0</v>
      </c>
      <c r="EO26" s="133" t="n">
        <f aca="false">IF(OR(EO$4="",$B26=""),0,SUMIF('DADOS BRUTOS'!$A$3:$A$500,$B26,'DADOS BRUTOS'!BO$3:BO$500)+IF($C26="",0,SUMIF('DADOS BRUTOS'!$A$3:$A$500,$C26,'DADOS BRUTOS'!BO$3:BO$500)))</f>
        <v>0</v>
      </c>
      <c r="EP26" s="133" t="n">
        <f aca="false">IF(OR(EP$4="",$B26=""),0,SUMIF('DADOS BRUTOS'!$A$3:$A$500,$B26,'DADOS BRUTOS'!BP$3:BP$500)+IF($C26="",0,SUMIF('DADOS BRUTOS'!$A$3:$A$500,$C26,'DADOS BRUTOS'!BP$3:BP$500)))</f>
        <v>0</v>
      </c>
      <c r="EQ26" s="133" t="n">
        <f aca="false">IF(OR(EQ$4="",$B26=""),0,SUMIF('DADOS BRUTOS'!$A$3:$A$500,$B26,'DADOS BRUTOS'!BQ$3:BQ$500)+IF($C26="",0,SUMIF('DADOS BRUTOS'!$A$3:$A$500,$C26,'DADOS BRUTOS'!BQ$3:BQ$500)))</f>
        <v>0</v>
      </c>
      <c r="ER26" s="133" t="n">
        <f aca="false">IF(OR(ER$4="",$B26=""),0,SUMIF('DADOS BRUTOS'!$A$3:$A$500,$B26,'DADOS BRUTOS'!BR$3:BR$500)+IF($C26="",0,SUMIF('DADOS BRUTOS'!$A$3:$A$500,$C26,'DADOS BRUTOS'!BR$3:BR$500)))</f>
        <v>0</v>
      </c>
      <c r="ES26" s="133" t="n">
        <f aca="false">IF(OR(ES$4="",$B26=""),0,SUMIF('DADOS BRUTOS'!$A$3:$A$500,$B26,'DADOS BRUTOS'!BS$3:BS$500)+IF($C26="",0,SUMIF('DADOS BRUTOS'!$A$3:$A$500,$C26,'DADOS BRUTOS'!BS$3:BS$500)))</f>
        <v>0</v>
      </c>
      <c r="ET26" s="133" t="n">
        <f aca="false">IF(OR(ET$4="",$B26=""),0,SUMIF('DADOS BRUTOS'!$A$3:$A$500,$B26,'DADOS BRUTOS'!BT$3:BT$500)+IF($C26="",0,SUMIF('DADOS BRUTOS'!$A$3:$A$500,$C26,'DADOS BRUTOS'!BT$3:BT$500)))</f>
        <v>0</v>
      </c>
      <c r="EU26" s="133" t="n">
        <f aca="false">IF(OR(EU$4="",$B26=""),0,SUMIF('DADOS BRUTOS'!$A$3:$A$500,$B26,'DADOS BRUTOS'!BU$3:BU$500)+IF($C26="",0,SUMIF('DADOS BRUTOS'!$A$3:$A$500,$C26,'DADOS BRUTOS'!BU$3:BU$500)))</f>
        <v>0</v>
      </c>
      <c r="EV26" s="133" t="n">
        <f aca="false">IF(OR(EV$4="",$B26=""),0,SUMIF('DADOS BRUTOS'!$A$3:$A$500,$B26,'DADOS BRUTOS'!BV$3:BV$500)+IF($C26="",0,SUMIF('DADOS BRUTOS'!$A$3:$A$500,$C26,'DADOS BRUTOS'!BV$3:BV$500)))</f>
        <v>0</v>
      </c>
      <c r="EW26" s="133" t="n">
        <f aca="false">IF(OR(EW$4="",$B26=""),0,SUMIF('DADOS BRUTOS'!$A$3:$A$500,$B26,'DADOS BRUTOS'!BW$3:BW$500)+IF($C26="",0,SUMIF('DADOS BRUTOS'!$A$3:$A$500,$C26,'DADOS BRUTOS'!BW$3:BW$500)))</f>
        <v>0</v>
      </c>
      <c r="EX26" s="133" t="n">
        <f aca="false">IF(OR(EX$4="",$B26=""),0,SUMIF('DADOS BRUTOS'!$A$3:$A$500,$B26,'DADOS BRUTOS'!BX$3:BX$500)+IF($C26="",0,SUMIF('DADOS BRUTOS'!$A$3:$A$500,$C26,'DADOS BRUTOS'!BX$3:BX$500)))</f>
        <v>0</v>
      </c>
      <c r="EY26" s="133" t="n">
        <f aca="false">IF(OR(EY$4="",$B26=""),0,SUMIF('DADOS BRUTOS'!$A$3:$A$500,$B26,'DADOS BRUTOS'!BY$3:BY$500)+IF($C26="",0,SUMIF('DADOS BRUTOS'!$A$3:$A$500,$C26,'DADOS BRUTOS'!BY$3:BY$500)))</f>
        <v>0</v>
      </c>
      <c r="EZ26" s="133" t="n">
        <f aca="false">IF(OR(EZ$4="",$B26=""),0,SUMIF('DADOS BRUTOS'!$A$3:$A$500,$B26,'DADOS BRUTOS'!BZ$3:BZ$500)+IF($C26="",0,SUMIF('DADOS BRUTOS'!$A$3:$A$500,$C26,'DADOS BRUTOS'!BZ$3:BZ$500)))</f>
        <v>0</v>
      </c>
      <c r="FA26" s="133" t="n">
        <f aca="false">IF(OR(FA$4="",$B26=""),0,SUMIF('DADOS BRUTOS'!$A$3:$A$500,$B26,'DADOS BRUTOS'!CA$3:CA$500)+IF($C26="",0,SUMIF('DADOS BRUTOS'!$A$3:$A$500,$C26,'DADOS BRUTOS'!CA$3:CA$500)))</f>
        <v>0</v>
      </c>
      <c r="FB26" s="133" t="n">
        <f aca="false">IF(OR(FB$4="",$B26=""),0,SUMIF('DADOS BRUTOS'!$A$3:$A$500,$B26,'DADOS BRUTOS'!CB$3:CB$500)+IF($C26="",0,SUMIF('DADOS BRUTOS'!$A$3:$A$500,$C26,'DADOS BRUTOS'!CB$3:CB$500)))</f>
        <v>0</v>
      </c>
      <c r="FC26" s="133" t="n">
        <f aca="false">IF(OR(FC$4="",$B26=""),0,SUMIF('DADOS BRUTOS'!$A$3:$A$500,$B26,'DADOS BRUTOS'!CC$3:CC$500)+IF($C26="",0,SUMIF('DADOS BRUTOS'!$A$3:$A$500,$C26,'DADOS BRUTOS'!CC$3:CC$500)))</f>
        <v>0</v>
      </c>
      <c r="FD26" s="133" t="n">
        <f aca="false">IF(OR(FD$4="",$B26=""),0,SUMIF('DADOS BRUTOS'!$A$3:$A$500,$B26,'DADOS BRUTOS'!CD$3:CD$500)+IF($C26="",0,SUMIF('DADOS BRUTOS'!$A$3:$A$500,$C26,'DADOS BRUTOS'!CD$3:CD$500)))</f>
        <v>0</v>
      </c>
      <c r="FE26" s="133" t="n">
        <f aca="false">IF(OR(FE$4="",$B26=""),0,SUMIF('DADOS BRUTOS'!$A$3:$A$500,$B26,'DADOS BRUTOS'!CE$3:CE$500)+IF($C26="",0,SUMIF('DADOS BRUTOS'!$A$3:$A$500,$C26,'DADOS BRUTOS'!CE$3:CE$500)))</f>
        <v>0</v>
      </c>
      <c r="FF26" s="133" t="n">
        <f aca="false">IF(OR(FF$4="",$B26=""),0,SUMIF('DADOS BRUTOS'!$A$3:$A$500,$B26,'DADOS BRUTOS'!CF$3:CF$500)+IF($C26="",0,SUMIF('DADOS BRUTOS'!$A$3:$A$500,$C26,'DADOS BRUTOS'!CF$3:CF$500)))</f>
        <v>0</v>
      </c>
      <c r="FG26" s="133" t="n">
        <f aca="false">IF(OR(FG$4="",$B26=""),0,SUMIF('DADOS BRUTOS'!$A$3:$A$500,$B26,'DADOS BRUTOS'!CG$3:CG$500)+IF($C26="",0,SUMIF('DADOS BRUTOS'!$A$3:$A$500,$C26,'DADOS BRUTOS'!CG$3:CG$500)))</f>
        <v>0</v>
      </c>
      <c r="FH26" s="133" t="n">
        <f aca="false">IF(OR(FH$4="",$B26=""),0,SUMIF('DADOS BRUTOS'!$A$3:$A$500,$B26,'DADOS BRUTOS'!CH$3:CH$500)+IF($C26="",0,SUMIF('DADOS BRUTOS'!$A$3:$A$500,$C26,'DADOS BRUTOS'!CH$3:CH$500)))</f>
        <v>0</v>
      </c>
      <c r="FI26" s="133" t="n">
        <f aca="false">IF(OR(FI$4="",$B26=""),0,SUMIF('DADOS BRUTOS'!$A$3:$A$500,$B26,'DADOS BRUTOS'!CI$3:CI$500)+IF($C26="",0,SUMIF('DADOS BRUTOS'!$A$3:$A$500,$C26,'DADOS BRUTOS'!CI$3:CI$500)))</f>
        <v>0</v>
      </c>
      <c r="FJ26" s="133" t="n">
        <f aca="false">IF(OR(FJ$4="",$B26=""),0,SUMIF('DADOS BRUTOS'!$A$3:$A$500,$B26,'DADOS BRUTOS'!CJ$3:CJ$500)+IF($C26="",0,SUMIF('DADOS BRUTOS'!$A$3:$A$500,$C26,'DADOS BRUTOS'!CJ$3:CJ$500)))</f>
        <v>0</v>
      </c>
      <c r="FK26" s="133" t="n">
        <f aca="false">IF(OR(FK$4="",$B26=""),0,SUMIF('DADOS BRUTOS'!$A$3:$A$500,$B26,'DADOS BRUTOS'!CK$3:CK$500)+IF($C26="",0,SUMIF('DADOS BRUTOS'!$A$3:$A$500,$C26,'DADOS BRUTOS'!CK$3:CK$500)))</f>
        <v>0</v>
      </c>
      <c r="FL26" s="133" t="n">
        <f aca="false">IF(OR(FL$4="",$B26=""),0,SUMIF('DADOS BRUTOS'!$A$3:$A$500,$B26,'DADOS BRUTOS'!CL$3:CL$500)+IF($C26="",0,SUMIF('DADOS BRUTOS'!$A$3:$A$500,$C26,'DADOS BRUTOS'!CL$3:CL$500)))</f>
        <v>0</v>
      </c>
      <c r="FM26" s="133" t="n">
        <f aca="false">IF(OR(FM$4="",$B26=""),0,SUMIF('DADOS BRUTOS'!$A$3:$A$500,$B26,'DADOS BRUTOS'!CM$3:CM$500)+IF($C26="",0,SUMIF('DADOS BRUTOS'!$A$3:$A$500,$C26,'DADOS BRUTOS'!CM$3:CM$500)))</f>
        <v>0</v>
      </c>
      <c r="FN26" s="133" t="n">
        <f aca="false">IF(OR(FN$4="",$B26=""),0,SUMIF('DADOS BRUTOS'!$A$3:$A$500,$B26,'DADOS BRUTOS'!CN$3:CN$500)+IF($C26="",0,SUMIF('DADOS BRUTOS'!$A$3:$A$500,$C26,'DADOS BRUTOS'!CN$3:CN$500)))</f>
        <v>0</v>
      </c>
      <c r="FO26" s="133" t="n">
        <f aca="false">IF(OR(FO$4="",$B26=""),0,SUMIF('DADOS BRUTOS'!$A$3:$A$500,$B26,'DADOS BRUTOS'!CO$3:CO$500)+IF($C26="",0,SUMIF('DADOS BRUTOS'!$A$3:$A$500,$C26,'DADOS BRUTOS'!CO$3:CO$500)))</f>
        <v>0</v>
      </c>
      <c r="FP26" s="133" t="n">
        <f aca="false">IF(OR(FP$4="",$B26=""),0,SUMIF('DADOS BRUTOS'!$A$3:$A$500,$B26,'DADOS BRUTOS'!CP$3:CP$500)+IF($C26="",0,SUMIF('DADOS BRUTOS'!$A$3:$A$500,$C26,'DADOS BRUTOS'!CP$3:CP$500)))</f>
        <v>0</v>
      </c>
      <c r="FQ26" s="133" t="n">
        <f aca="false">IF(OR(FQ$4="",$B26=""),0,SUMIF('DADOS BRUTOS'!$A$3:$A$500,$B26,'DADOS BRUTOS'!CQ$3:CQ$500)+IF($C26="",0,SUMIF('DADOS BRUTOS'!$A$3:$A$500,$C26,'DADOS BRUTOS'!CQ$3:CQ$500)))</f>
        <v>0</v>
      </c>
      <c r="FR26" s="133" t="n">
        <f aca="false">IF(OR(FR$4="",$B26=""),0,SUMIF('DADOS BRUTOS'!$A$3:$A$500,$B26,'DADOS BRUTOS'!CR$3:CR$500)+IF($C26="",0,SUMIF('DADOS BRUTOS'!$A$3:$A$500,$C26,'DADOS BRUTOS'!CR$3:CR$500)))</f>
        <v>0</v>
      </c>
      <c r="FS26" s="133" t="n">
        <f aca="false">IF(OR(FS$4="",$B26=""),0,SUMIF('DADOS BRUTOS'!$A$3:$A$500,$B26,'DADOS BRUTOS'!CS$3:CS$500)+IF($C26="",0,SUMIF('DADOS BRUTOS'!$A$3:$A$500,$C26,'DADOS BRUTOS'!CS$3:CS$500)))</f>
        <v>0</v>
      </c>
      <c r="FT26" s="133" t="n">
        <f aca="false">IF(OR(FT$4="",$B26=""),0,SUMIF('DADOS BRUTOS'!$A$3:$A$500,$B26,'DADOS BRUTOS'!CT$3:CT$500)+IF($C26="",0,SUMIF('DADOS BRUTOS'!$A$3:$A$500,$C26,'DADOS BRUTOS'!CT$3:CT$500)))</f>
        <v>0</v>
      </c>
      <c r="FU26" s="133" t="n">
        <f aca="false">IF(OR(FU$4="",$B26=""),0,SUMIF('DADOS BRUTOS'!$A$3:$A$500,$B26,'DADOS BRUTOS'!CU$3:CU$500)+IF($C26="",0,SUMIF('DADOS BRUTOS'!$A$3:$A$500,$C26,'DADOS BRUTOS'!CU$3:CU$500)))</f>
        <v>0</v>
      </c>
      <c r="FV26" s="133" t="n">
        <f aca="false">IF(OR(FV$4="",$B26=""),0,SUMIF('DADOS BRUTOS'!$A$3:$A$500,$B26,'DADOS BRUTOS'!CV$3:CV$500)+IF($C26="",0,SUMIF('DADOS BRUTOS'!$A$3:$A$500,$C26,'DADOS BRUTOS'!CV$3:CV$500)))</f>
        <v>0</v>
      </c>
      <c r="FW26" s="133" t="n">
        <f aca="false">IF(OR(FW$4="",$B26=""),0,SUMIF('DADOS BRUTOS'!$A$3:$A$500,$B26,'DADOS BRUTOS'!CW$3:CW$500)+IF($C26="",0,SUMIF('DADOS BRUTOS'!$A$3:$A$500,$C26,'DADOS BRUTOS'!CW$3:CW$500)))</f>
        <v>0</v>
      </c>
      <c r="FX26" s="133" t="n">
        <f aca="false">IF(OR(FX$4="",$B26=""),0,SUMIF('DADOS BRUTOS'!$A$3:$A$500,$B26,'DADOS BRUTOS'!CX$3:CX$500)+IF($C26="",0,SUMIF('DADOS BRUTOS'!$A$3:$A$500,$C26,'DADOS BRUTOS'!CX$3:CX$500)))</f>
        <v>0</v>
      </c>
      <c r="FY26" s="133" t="n">
        <f aca="false">IF(OR(FY$4="",$B26=""),0,SUMIF('DADOS BRUTOS'!$A$3:$A$500,$B26,'DADOS BRUTOS'!CY$3:CY$500)+IF($C26="",0,SUMIF('DADOS BRUTOS'!$A$3:$A$500,$C26,'DADOS BRUTOS'!CY$3:CY$500)))</f>
        <v>0</v>
      </c>
      <c r="FZ26" s="133" t="n">
        <f aca="false">IF(OR(FZ$4="",$B26=""),0,SUMIF('DADOS BRUTOS'!$A$3:$A$500,$B26,'DADOS BRUTOS'!CZ$3:CZ$500)+IF($C26="",0,SUMIF('DADOS BRUTOS'!$A$3:$A$500,$C26,'DADOS BRUTOS'!CZ$3:CZ$500)))</f>
        <v>0</v>
      </c>
      <c r="GA26" s="133" t="n">
        <f aca="false">IF(OR(GA$4="",$B26=""),0,SUMIF('DADOS BRUTOS'!$A$3:$A$500,$B26,'DADOS BRUTOS'!DA$3:DA$500)+IF($C26="",0,SUMIF('DADOS BRUTOS'!$A$3:$A$500,$C26,'DADOS BRUTOS'!DA$3:DA$500)))</f>
        <v>0</v>
      </c>
      <c r="GB26" s="133" t="n">
        <f aca="false">IF(OR(GB$4="",$B26=""),0,SUMIF('DADOS BRUTOS'!$A$3:$A$500,$B26,'DADOS BRUTOS'!DB$3:DB$500)+IF($C26="",0,SUMIF('DADOS BRUTOS'!$A$3:$A$500,$C26,'DADOS BRUTOS'!DB$3:DB$500)))</f>
        <v>0</v>
      </c>
      <c r="GC26" s="133" t="n">
        <f aca="false">IF(OR(GC$4="",$B26=""),0,SUMIF('DADOS BRUTOS'!$A$3:$A$500,$B26,'DADOS BRUTOS'!DC$3:DC$500)+IF($C26="",0,SUMIF('DADOS BRUTOS'!$A$3:$A$500,$C26,'DADOS BRUTOS'!DC$3:DC$500)))</f>
        <v>0</v>
      </c>
      <c r="GD26" s="133" t="n">
        <f aca="false">IF(OR(GD$4="",$B26=""),0,SUMIF('DADOS BRUTOS'!$A$3:$A$500,$B26,'DADOS BRUTOS'!DD$3:DD$500)+IF($C26="",0,SUMIF('DADOS BRUTOS'!$A$3:$A$500,$C26,'DADOS BRUTOS'!DD$3:DD$500)))</f>
        <v>0</v>
      </c>
      <c r="GE26" s="133" t="n">
        <f aca="false">IF(OR(GE$4="",$B26=""),0,SUMIF('DADOS BRUTOS'!$A$3:$A$500,$B26,'DADOS BRUTOS'!DE$3:DE$500)+IF($C26="",0,SUMIF('DADOS BRUTOS'!$A$3:$A$500,$C26,'DADOS BRUTOS'!DE$3:DE$500)))</f>
        <v>0</v>
      </c>
      <c r="GF26" s="133" t="n">
        <f aca="false">IF(OR(GF$4="",$B26=""),0,SUMIF('DADOS BRUTOS'!$A$3:$A$500,$B26,'DADOS BRUTOS'!DF$3:DF$500)+IF($C26="",0,SUMIF('DADOS BRUTOS'!$A$3:$A$500,$C26,'DADOS BRUTOS'!DF$3:DF$500)))</f>
        <v>0</v>
      </c>
      <c r="GG26" s="133" t="n">
        <f aca="false">IF(OR(GG$4="",$B26=""),0,SUMIF('DADOS BRUTOS'!$A$3:$A$500,$B26,'DADOS BRUTOS'!DG$3:DG$500)+IF($C26="",0,SUMIF('DADOS BRUTOS'!$A$3:$A$500,$C26,'DADOS BRUTOS'!DG$3:DG$500)))</f>
        <v>0</v>
      </c>
      <c r="GH26" s="133" t="n">
        <f aca="false">IF(OR(GH$4="",$B26=""),0,SUMIF('DADOS BRUTOS'!$A$3:$A$500,$B26,'DADOS BRUTOS'!DH$3:DH$500)+IF($C26="",0,SUMIF('DADOS BRUTOS'!$A$3:$A$500,$C26,'DADOS BRUTOS'!DH$3:DH$500)))</f>
        <v>0</v>
      </c>
      <c r="GI26" s="133" t="n">
        <f aca="false">IF(OR(GI$4="",$B26=""),0,SUMIF('DADOS BRUTOS'!$A$3:$A$500,$B26,'DADOS BRUTOS'!DI$3:DI$500)+IF($C26="",0,SUMIF('DADOS BRUTOS'!$A$3:$A$500,$C26,'DADOS BRUTOS'!DI$3:DI$500)))</f>
        <v>0</v>
      </c>
      <c r="GJ26" s="133" t="n">
        <f aca="false">IF(OR(GJ$4="",$B26=""),0,SUMIF('DADOS BRUTOS'!$A$3:$A$500,$B26,'DADOS BRUTOS'!DJ$3:DJ$500)+IF($C26="",0,SUMIF('DADOS BRUTOS'!$A$3:$A$500,$C26,'DADOS BRUTOS'!DJ$3:DJ$500)))</f>
        <v>0</v>
      </c>
      <c r="GK26" s="133" t="n">
        <f aca="false">IF(OR(GK$4="",$B26=""),0,SUMIF('DADOS BRUTOS'!$A$3:$A$500,$B26,'DADOS BRUTOS'!DK$3:DK$500)+IF($C26="",0,SUMIF('DADOS BRUTOS'!$A$3:$A$500,$C26,'DADOS BRUTOS'!DK$3:DK$500)))</f>
        <v>0</v>
      </c>
      <c r="GL26" s="133" t="n">
        <f aca="false">IF(OR(GL$4="",$B26=""),0,SUMIF('DADOS BRUTOS'!$A$3:$A$500,$B26,'DADOS BRUTOS'!DL$3:DL$500)+IF($C26="",0,SUMIF('DADOS BRUTOS'!$A$3:$A$500,$C26,'DADOS BRUTOS'!DL$3:DL$500)))</f>
        <v>0</v>
      </c>
      <c r="GM26" s="133" t="n">
        <f aca="false">IF(OR(GM$4="",$B26=""),0,SUMIF('DADOS BRUTOS'!$A$3:$A$500,$B26,'DADOS BRUTOS'!DM$3:DM$500)+IF($C26="",0,SUMIF('DADOS BRUTOS'!$A$3:$A$500,$C26,'DADOS BRUTOS'!DM$3:DM$500)))</f>
        <v>0</v>
      </c>
      <c r="GN26" s="133" t="n">
        <f aca="false">IF(OR(GN$4="",$B26=""),0,SUMIF('DADOS BRUTOS'!$A$3:$A$500,$B26,'DADOS BRUTOS'!DN$3:DN$500)+IF($C26="",0,SUMIF('DADOS BRUTOS'!$A$3:$A$500,$C26,'DADOS BRUTOS'!DN$3:DN$500)))</f>
        <v>0</v>
      </c>
      <c r="GO26" s="133" t="n">
        <f aca="false">IF(OR(GO$4="",$B26=""),0,SUMIF('DADOS BRUTOS'!$A$3:$A$500,$B26,'DADOS BRUTOS'!DO$3:DO$500)+IF($C26="",0,SUMIF('DADOS BRUTOS'!$A$3:$A$500,$C26,'DADOS BRUTOS'!DO$3:DO$500)))</f>
        <v>0</v>
      </c>
      <c r="GP26" s="133" t="n">
        <f aca="false">IF(OR(GP$4="",$B26=""),0,SUMIF('DADOS BRUTOS'!$A$3:$A$500,$B26,'DADOS BRUTOS'!DP$3:DP$500)+IF($C26="",0,SUMIF('DADOS BRUTOS'!$A$3:$A$500,$C26,'DADOS BRUTOS'!DP$3:DP$500)))</f>
        <v>0</v>
      </c>
      <c r="GQ26" s="133" t="n">
        <f aca="false">IF(OR(GQ$4="",$B26=""),0,SUMIF('DADOS BRUTOS'!$A$3:$A$500,$B26,'DADOS BRUTOS'!DQ$3:DQ$500)+IF($C26="",0,SUMIF('DADOS BRUTOS'!$A$3:$A$500,$C26,'DADOS BRUTOS'!DQ$3:DQ$500)))</f>
        <v>0</v>
      </c>
      <c r="GR26" s="133" t="n">
        <f aca="false">IF(OR(GR$4="",$B26=""),0,SUMIF('DADOS BRUTOS'!$A$3:$A$500,$B26,'DADOS BRUTOS'!DR$3:DR$500)+IF($C26="",0,SUMIF('DADOS BRUTOS'!$A$3:$A$500,$C26,'DADOS BRUTOS'!DR$3:DR$500)))</f>
        <v>0</v>
      </c>
      <c r="GS26" s="133" t="n">
        <f aca="false">IF(OR(GS$4="",$B26=""),0,SUMIF('DADOS BRUTOS'!$A$3:$A$500,$B26,'DADOS BRUTOS'!DS$3:DS$500)+IF($C26="",0,SUMIF('DADOS BRUTOS'!$A$3:$A$500,$C26,'DADOS BRUTOS'!DS$3:DS$500)))</f>
        <v>0</v>
      </c>
      <c r="GT26" s="133" t="n">
        <f aca="false">IF(OR(GT$4="",$B26=""),0,SUMIF('DADOS BRUTOS'!$A$3:$A$500,$B26,'DADOS BRUTOS'!DT$3:DT$500)+IF($C26="",0,SUMIF('DADOS BRUTOS'!$A$3:$A$500,$C26,'DADOS BRUTOS'!DT$3:DT$500)))</f>
        <v>0</v>
      </c>
      <c r="GU26" s="133" t="n">
        <f aca="false">IF(OR(GU$4="",$B26=""),0,SUMIF('DADOS BRUTOS'!$A$3:$A$500,$B26,'DADOS BRUTOS'!DU$3:DU$500)+IF($C26="",0,SUMIF('DADOS BRUTOS'!$A$3:$A$500,$C26,'DADOS BRUTOS'!DU$3:DU$500)))</f>
        <v>0</v>
      </c>
      <c r="GV26" s="133" t="n">
        <f aca="false">IF(OR(GV$4="",$B26=""),0,SUMIF('DADOS BRUTOS'!$A$3:$A$500,$B26,'DADOS BRUTOS'!DV$3:DV$500)+IF($C26="",0,SUMIF('DADOS BRUTOS'!$A$3:$A$500,$C26,'DADOS BRUTOS'!DV$3:DV$500)))</f>
        <v>0</v>
      </c>
      <c r="GW26" s="133" t="n">
        <f aca="false">IF(OR(GW$4="",$B26=""),0,SUMIF('DADOS BRUTOS'!$A$3:$A$500,$B26,'DADOS BRUTOS'!DW$3:DW$500)+IF($C26="",0,SUMIF('DADOS BRUTOS'!$A$3:$A$500,$C26,'DADOS BRUTOS'!DW$3:DW$500)))</f>
        <v>0</v>
      </c>
      <c r="GX26" s="133" t="n">
        <f aca="false">IF(OR(GX$4="",$B26=""),0,SUMIF('DADOS BRUTOS'!$A$3:$A$500,$B26,'DADOS BRUTOS'!DX$3:DX$500)+IF($C26="",0,SUMIF('DADOS BRUTOS'!$A$3:$A$500,$C26,'DADOS BRUTOS'!DX$3:DX$500)))</f>
        <v>0</v>
      </c>
      <c r="GY26" s="133" t="n">
        <f aca="false">IF(OR(GY$4="",$B26=""),0,SUMIF('DADOS BRUTOS'!$A$3:$A$500,$B26,'DADOS BRUTOS'!DY$3:DY$500)+IF($C26="",0,SUMIF('DADOS BRUTOS'!$A$3:$A$500,$C26,'DADOS BRUTOS'!DY$3:DY$500)))</f>
        <v>0</v>
      </c>
      <c r="GZ26" s="133" t="n">
        <f aca="false">IF(OR(GZ$4="",$B26=""),0,SUMIF('DADOS BRUTOS'!$A$3:$A$500,$B26,'DADOS BRUTOS'!DZ$3:DZ$500)+IF($C26="",0,SUMIF('DADOS BRUTOS'!$A$3:$A$500,$C26,'DADOS BRUTOS'!DZ$3:DZ$500)))</f>
        <v>0</v>
      </c>
      <c r="HA26" s="133" t="n">
        <f aca="false">IF(OR(HA$4="",$B26=""),0,SUMIF('DADOS BRUTOS'!$A$3:$A$500,$B26,'DADOS BRUTOS'!EA$3:EA$500)+IF($C26="",0,SUMIF('DADOS BRUTOS'!$A$3:$A$500,$C26,'DADOS BRUTOS'!EA$3:EA$500)))</f>
        <v>0</v>
      </c>
      <c r="HB26" s="133" t="n">
        <f aca="false">IF(OR(HB$4="",$B26=""),0,SUMIF('DADOS BRUTOS'!$A$3:$A$500,$B26,'DADOS BRUTOS'!EB$3:EB$500)+IF($C26="",0,SUMIF('DADOS BRUTOS'!$A$3:$A$500,$C26,'DADOS BRUTOS'!EB$3:EB$500)))</f>
        <v>0</v>
      </c>
      <c r="HC26" s="133" t="n">
        <f aca="false">IF(OR(HC$4="",$B26=""),0,SUMIF('DADOS BRUTOS'!$A$3:$A$500,$B26,'DADOS BRUTOS'!EC$3:EC$500)+IF($C26="",0,SUMIF('DADOS BRUTOS'!$A$3:$A$500,$C26,'DADOS BRUTOS'!EC$3:EC$500)))</f>
        <v>0</v>
      </c>
      <c r="HD26" s="133" t="n">
        <f aca="false">IF(OR(HD$4="",$B26=""),0,SUMIF('DADOS BRUTOS'!$A$3:$A$500,$B26,'DADOS BRUTOS'!ED$3:ED$500)+IF($C26="",0,SUMIF('DADOS BRUTOS'!$A$3:$A$500,$C26,'DADOS BRUTOS'!ED$3:ED$500)))</f>
        <v>0</v>
      </c>
      <c r="HE26" s="133" t="n">
        <f aca="false">IF(OR(HE$4="",$B26=""),0,SUMIF('DADOS BRUTOS'!$A$3:$A$500,$B26,'DADOS BRUTOS'!EE$3:EE$500)+IF($C26="",0,SUMIF('DADOS BRUTOS'!$A$3:$A$500,$C26,'DADOS BRUTOS'!EE$3:EE$500)))</f>
        <v>0</v>
      </c>
      <c r="HF26" s="133" t="n">
        <f aca="false">IF(OR(HF$4="",$B26=""),0,SUMIF('DADOS BRUTOS'!$A$3:$A$500,$B26,'DADOS BRUTOS'!EF$3:EF$500)+IF($C26="",0,SUMIF('DADOS BRUTOS'!$A$3:$A$500,$C26,'DADOS BRUTOS'!EF$3:EF$500)))</f>
        <v>0</v>
      </c>
      <c r="HG26" s="133" t="n">
        <f aca="false">IF(OR(HG$4="",$B26=""),0,SUMIF('DADOS BRUTOS'!$A$3:$A$500,$B26,'DADOS BRUTOS'!EG$3:EG$500)+IF($C26="",0,SUMIF('DADOS BRUTOS'!$A$3:$A$500,$C26,'DADOS BRUTOS'!EG$3:EG$500)))</f>
        <v>0</v>
      </c>
      <c r="HH26" s="133" t="n">
        <f aca="false">IF(OR(HH$4="",$B26=""),0,SUMIF('DADOS BRUTOS'!$A$3:$A$500,$B26,'DADOS BRUTOS'!EH$3:EH$500)+IF($C26="",0,SUMIF('DADOS BRUTOS'!$A$3:$A$500,$C26,'DADOS BRUTOS'!EH$3:EH$500)))</f>
        <v>0</v>
      </c>
      <c r="HI26" s="133" t="n">
        <f aca="false">IF(OR(HI$4="",$B26=""),0,SUMIF('DADOS BRUTOS'!$A$3:$A$500,$B26,'DADOS BRUTOS'!EI$3:EI$500)+IF($C26="",0,SUMIF('DADOS BRUTOS'!$A$3:$A$500,$C26,'DADOS BRUTOS'!EI$3:EI$500)))</f>
        <v>0</v>
      </c>
      <c r="HJ26" s="133" t="n">
        <f aca="false">IF(OR(HJ$4="",$B26=""),0,SUMIF('DADOS BRUTOS'!$A$3:$A$500,$B26,'DADOS BRUTOS'!EJ$3:EJ$500)+IF($C26="",0,SUMIF('DADOS BRUTOS'!$A$3:$A$500,$C26,'DADOS BRUTOS'!EJ$3:EJ$500)))</f>
        <v>0</v>
      </c>
      <c r="HK26" s="133" t="n">
        <f aca="false">IF(OR(HK$4="",$B26=""),0,SUMIF('DADOS BRUTOS'!$A$3:$A$500,$B26,'DADOS BRUTOS'!EK$3:EK$500)+IF($C26="",0,SUMIF('DADOS BRUTOS'!$A$3:$A$500,$C26,'DADOS BRUTOS'!EK$3:EK$500)))</f>
        <v>0</v>
      </c>
      <c r="HL26" s="133" t="n">
        <f aca="false">IF(OR(HL$4="",$B26=""),0,SUMIF('DADOS BRUTOS'!$A$3:$A$500,$B26,'DADOS BRUTOS'!EL$3:EL$500)+IF($C26="",0,SUMIF('DADOS BRUTOS'!$A$3:$A$500,$C26,'DADOS BRUTOS'!EL$3:EL$500)))</f>
        <v>0</v>
      </c>
      <c r="HM26" s="133" t="n">
        <f aca="false">IF(OR(HM$4="",$B26=""),0,SUMIF('DADOS BRUTOS'!$A$3:$A$500,$B26,'DADOS BRUTOS'!EM$3:EM$500)+IF($C26="",0,SUMIF('DADOS BRUTOS'!$A$3:$A$500,$C26,'DADOS BRUTOS'!EM$3:EM$500)))</f>
        <v>0</v>
      </c>
      <c r="HN26" s="133" t="n">
        <f aca="false">IF(OR(HN$4="",$B26=""),0,SUMIF('DADOS BRUTOS'!$A$3:$A$500,$B26,'DADOS BRUTOS'!EN$3:EN$500)+IF($C26="",0,SUMIF('DADOS BRUTOS'!$A$3:$A$500,$C26,'DADOS BRUTOS'!EN$3:EN$500)))</f>
        <v>0</v>
      </c>
      <c r="HO26" s="133" t="n">
        <f aca="false">IF(OR(HO$4="",$B26=""),0,SUMIF('DADOS BRUTOS'!$A$3:$A$500,$B26,'DADOS BRUTOS'!EO$3:EO$500)+IF($C26="",0,SUMIF('DADOS BRUTOS'!$A$3:$A$500,$C26,'DADOS BRUTOS'!EO$3:EO$500)))</f>
        <v>0</v>
      </c>
      <c r="HP26" s="133" t="n">
        <f aca="false">IF(OR(HP$4="",$B26=""),0,SUMIF('DADOS BRUTOS'!$A$3:$A$500,$B26,'DADOS BRUTOS'!EP$3:EP$500)+IF($C26="",0,SUMIF('DADOS BRUTOS'!$A$3:$A$500,$C26,'DADOS BRUTOS'!EP$3:EP$500)))</f>
        <v>0</v>
      </c>
      <c r="HQ26" s="133" t="n">
        <f aca="false">IF(OR(HQ$4="",$B26=""),0,SUMIF('DADOS BRUTOS'!$A$3:$A$500,$B26,'DADOS BRUTOS'!EQ$3:EQ$500)+IF($C26="",0,SUMIF('DADOS BRUTOS'!$A$3:$A$500,$C26,'DADOS BRUTOS'!EQ$3:EQ$500)))</f>
        <v>0</v>
      </c>
      <c r="HR26" s="133" t="n">
        <f aca="false">IF(OR(HR$4="",$B26=""),0,SUMIF('DADOS BRUTOS'!$A$3:$A$500,$B26,'DADOS BRUTOS'!ER$3:ER$500)+IF($C26="",0,SUMIF('DADOS BRUTOS'!$A$3:$A$500,$C26,'DADOS BRUTOS'!ER$3:ER$500)))</f>
        <v>0</v>
      </c>
      <c r="HS26" s="133" t="n">
        <f aca="false">IF(OR(HS$4="",$B26=""),0,SUMIF('DADOS BRUTOS'!$A$3:$A$500,$B26,'DADOS BRUTOS'!ES$3:ES$500)+IF($C26="",0,SUMIF('DADOS BRUTOS'!$A$3:$A$500,$C26,'DADOS BRUTOS'!ES$3:ES$500)))</f>
        <v>0</v>
      </c>
      <c r="HT26" s="133" t="n">
        <f aca="false">IF(OR(HT$4="",$B26=""),0,SUMIF('DADOS BRUTOS'!$A$3:$A$500,$B26,'DADOS BRUTOS'!ET$3:ET$500)+IF($C26="",0,SUMIF('DADOS BRUTOS'!$A$3:$A$500,$C26,'DADOS BRUTOS'!ET$3:ET$500)))</f>
        <v>0</v>
      </c>
      <c r="HU26" s="133" t="n">
        <f aca="false">IF(OR(HU$4="",$B26=""),0,SUMIF('DADOS BRUTOS'!$A$3:$A$500,$B26,'DADOS BRUTOS'!EU$3:EU$500)+IF($C26="",0,SUMIF('DADOS BRUTOS'!$A$3:$A$500,$C26,'DADOS BRUTOS'!EU$3:EU$500)))</f>
        <v>0</v>
      </c>
      <c r="HV26" s="133" t="n">
        <f aca="false">IF(OR(HV$4="",$B26=""),0,SUMIF('DADOS BRUTOS'!$A$3:$A$500,$B26,'DADOS BRUTOS'!EV$3:EV$500)+IF($C26="",0,SUMIF('DADOS BRUTOS'!$A$3:$A$500,$C26,'DADOS BRUTOS'!EV$3:EV$500)))</f>
        <v>0</v>
      </c>
      <c r="HW26" s="133" t="n">
        <f aca="false">IF(OR(HW$4="",$B26=""),0,SUMIF('DADOS BRUTOS'!$A$3:$A$500,$B26,'DADOS BRUTOS'!EW$3:EW$500)+IF($C26="",0,SUMIF('DADOS BRUTOS'!$A$3:$A$500,$C26,'DADOS BRUTOS'!EW$3:EW$500)))</f>
        <v>0</v>
      </c>
      <c r="HX26" s="133" t="n">
        <f aca="false">IF(OR(HX$4="",$B26=""),0,SUMIF('DADOS BRUTOS'!$A$3:$A$500,$B26,'DADOS BRUTOS'!EX$3:EX$500)+IF($C26="",0,SUMIF('DADOS BRUTOS'!$A$3:$A$500,$C26,'DADOS BRUTOS'!EX$3:EX$500)))</f>
        <v>0</v>
      </c>
      <c r="HY26" s="133" t="n">
        <f aca="false">IF(OR(HY$4="",$B26=""),0,SUMIF('DADOS BRUTOS'!$A$3:$A$500,$B26,'DADOS BRUTOS'!EY$3:EY$500)+IF($C26="",0,SUMIF('DADOS BRUTOS'!$A$3:$A$500,$C26,'DADOS BRUTOS'!EY$3:EY$500)))</f>
        <v>0</v>
      </c>
      <c r="HZ26" s="133" t="n">
        <f aca="false">IF(OR(HZ$4="",$B26=""),0,SUMIF('DADOS BRUTOS'!$A$3:$A$500,$B26,'DADOS BRUTOS'!EZ$3:EZ$500)+IF($C26="",0,SUMIF('DADOS BRUTOS'!$A$3:$A$500,$C26,'DADOS BRUTOS'!EZ$3:EZ$500)))</f>
        <v>0</v>
      </c>
      <c r="IA26" s="133" t="n">
        <f aca="false">IF(OR(IA$4="",$B26=""),0,SUMIF('DADOS BRUTOS'!$A$3:$A$500,$B26,'DADOS BRUTOS'!FA$3:FA$500)+IF($C26="",0,SUMIF('DADOS BRUTOS'!$A$3:$A$500,$C26,'DADOS BRUTOS'!FA$3:FA$500)))</f>
        <v>0</v>
      </c>
      <c r="IB26" s="133" t="n">
        <f aca="false">IF(OR(IB$4="",$B26=""),0,SUMIF('DADOS BRUTOS'!$A$3:$A$500,$B26,'DADOS BRUTOS'!FB$3:FB$500)+IF($C26="",0,SUMIF('DADOS BRUTOS'!$A$3:$A$500,$C26,'DADOS BRUTOS'!FB$3:FB$500)))</f>
        <v>0</v>
      </c>
      <c r="IC26" s="133" t="n">
        <f aca="false">IF(OR(IC$4="",$B26=""),0,SUMIF('DADOS BRUTOS'!$A$3:$A$500,$B26,'DADOS BRUTOS'!FC$3:FC$500)+IF($C26="",0,SUMIF('DADOS BRUTOS'!$A$3:$A$500,$C26,'DADOS BRUTOS'!FC$3:FC$500)))</f>
        <v>0</v>
      </c>
      <c r="ID26" s="133" t="n">
        <f aca="false">IF(OR(ID$4="",$B26=""),0,SUMIF('DADOS BRUTOS'!$A$3:$A$500,$B26,'DADOS BRUTOS'!FD$3:FD$500)+IF($C26="",0,SUMIF('DADOS BRUTOS'!$A$3:$A$500,$C26,'DADOS BRUTOS'!FD$3:FD$500)))</f>
        <v>0</v>
      </c>
      <c r="IE26" s="133" t="n">
        <f aca="false">IF(OR(IE$4="",$B26=""),0,SUMIF('DADOS BRUTOS'!$A$3:$A$500,$B26,'DADOS BRUTOS'!FE$3:FE$500)+IF($C26="",0,SUMIF('DADOS BRUTOS'!$A$3:$A$500,$C26,'DADOS BRUTOS'!FE$3:FE$500)))</f>
        <v>0</v>
      </c>
      <c r="IF26" s="133" t="n">
        <f aca="false">IF(OR(IF$4="",$B26=""),0,SUMIF('DADOS BRUTOS'!$A$3:$A$500,$B26,'DADOS BRUTOS'!FF$3:FF$500)+IF($C26="",0,SUMIF('DADOS BRUTOS'!$A$3:$A$500,$C26,'DADOS BRUTOS'!FF$3:FF$500)))</f>
        <v>0</v>
      </c>
      <c r="IG26" s="133" t="n">
        <f aca="false">IF(OR(IG$4="",$B26=""),0,SUMIF('DADOS BRUTOS'!$A$3:$A$500,$B26,'DADOS BRUTOS'!FG$3:FG$500)+IF($C26="",0,SUMIF('DADOS BRUTOS'!$A$3:$A$500,$C26,'DADOS BRUTOS'!FG$3:FG$500)))</f>
        <v>0</v>
      </c>
      <c r="IH26" s="133" t="n">
        <f aca="false">IF(OR(IH$4="",$B26=""),0,SUMIF('DADOS BRUTOS'!$A$3:$A$500,$B26,'DADOS BRUTOS'!FH$3:FH$500)+IF($C26="",0,SUMIF('DADOS BRUTOS'!$A$3:$A$500,$C26,'DADOS BRUTOS'!FH$3:FH$500)))</f>
        <v>0</v>
      </c>
      <c r="II26" s="133" t="n">
        <f aca="false">IF(OR(II$4="",$B26=""),0,SUMIF('DADOS BRUTOS'!$A$3:$A$500,$B26,'DADOS BRUTOS'!FI$3:FI$500)+IF($C26="",0,SUMIF('DADOS BRUTOS'!$A$3:$A$500,$C26,'DADOS BRUTOS'!FI$3:FI$500)))</f>
        <v>0</v>
      </c>
      <c r="IJ26" s="133" t="n">
        <f aca="false">IF(OR(IJ$4="",$B26=""),0,SUMIF('DADOS BRUTOS'!$A$3:$A$500,$B26,'DADOS BRUTOS'!FJ$3:FJ$500)+IF($C26="",0,SUMIF('DADOS BRUTOS'!$A$3:$A$500,$C26,'DADOS BRUTOS'!FJ$3:FJ$500)))</f>
        <v>0</v>
      </c>
      <c r="IK26" s="133" t="n">
        <f aca="false">IF(OR(IK$4="",$B26=""),0,SUMIF('DADOS BRUTOS'!$A$3:$A$500,$B26,'DADOS BRUTOS'!FK$3:FK$500)+IF($C26="",0,SUMIF('DADOS BRUTOS'!$A$3:$A$500,$C26,'DADOS BRUTOS'!FK$3:FK$500)))</f>
        <v>0</v>
      </c>
      <c r="IL26" s="133" t="n">
        <f aca="false">IF(OR(IL$4="",$B26=""),0,SUMIF('DADOS BRUTOS'!$A$3:$A$500,$B26,'DADOS BRUTOS'!FL$3:FL$500)+IF($C26="",0,SUMIF('DADOS BRUTOS'!$A$3:$A$500,$C26,'DADOS BRUTOS'!FL$3:FL$500)))</f>
        <v>0</v>
      </c>
      <c r="IM26" s="133" t="n">
        <f aca="false">IF(OR(IM$4="",$B26=""),0,SUMIF('DADOS BRUTOS'!$A$3:$A$500,$B26,'DADOS BRUTOS'!FM$3:FM$500)+IF($C26="",0,SUMIF('DADOS BRUTOS'!$A$3:$A$500,$C26,'DADOS BRUTOS'!FM$3:FM$500)))</f>
        <v>0</v>
      </c>
      <c r="IN26" s="133" t="n">
        <f aca="false">IF(OR(IN$4="",$B26=""),0,SUMIF('DADOS BRUTOS'!$A$3:$A$500,$B26,'DADOS BRUTOS'!FN$3:FN$500)+IF($C26="",0,SUMIF('DADOS BRUTOS'!$A$3:$A$500,$C26,'DADOS BRUTOS'!FN$3:FN$500)))</f>
        <v>0</v>
      </c>
      <c r="IO26" s="133" t="n">
        <f aca="false">IF(OR(IO$4="",$B26=""),0,SUMIF('DADOS BRUTOS'!$A$3:$A$500,$B26,'DADOS BRUTOS'!FO$3:FO$500)+IF($C26="",0,SUMIF('DADOS BRUTOS'!$A$3:$A$500,$C26,'DADOS BRUTOS'!FO$3:FO$500)))</f>
        <v>0</v>
      </c>
      <c r="IP26" s="133" t="n">
        <f aca="false">IF(OR(IP$4="",$B26=""),0,SUMIF('DADOS BRUTOS'!$A$3:$A$500,$B26,'DADOS BRUTOS'!FP$3:FP$500)+IF($C26="",0,SUMIF('DADOS BRUTOS'!$A$3:$A$500,$C26,'DADOS BRUTOS'!FP$3:FP$500)))</f>
        <v>0</v>
      </c>
      <c r="IQ26" s="133" t="n">
        <f aca="false">IF(OR(IQ$4="",$B26=""),0,SUMIF('DADOS BRUTOS'!$A$3:$A$500,$B26,'DADOS BRUTOS'!FQ$3:FQ$500)+IF($C26="",0,SUMIF('DADOS BRUTOS'!$A$3:$A$500,$C26,'DADOS BRUTOS'!FQ$3:FQ$500)))</f>
        <v>0</v>
      </c>
      <c r="IR26" s="133" t="n">
        <f aca="false">IF(OR(IR$4="",$B26=""),0,SUMIF('DADOS BRUTOS'!$A$3:$A$500,$B26,'DADOS BRUTOS'!FR$3:FR$500)+IF($C26="",0,SUMIF('DADOS BRUTOS'!$A$3:$A$500,$C26,'DADOS BRUTOS'!FR$3:FR$500)))</f>
        <v>0</v>
      </c>
      <c r="IS26" s="133" t="n">
        <f aca="false">IF(OR(IS$4="",$B26=""),0,SUMIF('DADOS BRUTOS'!$A$3:$A$500,$B26,'DADOS BRUTOS'!FS$3:FS$500)+IF($C26="",0,SUMIF('DADOS BRUTOS'!$A$3:$A$500,$C26,'DADOS BRUTOS'!FS$3:FS$500)))</f>
        <v>0</v>
      </c>
      <c r="IT26" s="133" t="n">
        <f aca="false">IF(OR(IT$4="",$B26=""),0,SUMIF('DADOS BRUTOS'!$A$3:$A$500,$B26,'DADOS BRUTOS'!FT$3:FT$500)+IF($C26="",0,SUMIF('DADOS BRUTOS'!$A$3:$A$500,$C26,'DADOS BRUTOS'!FT$3:FT$500)))</f>
        <v>0</v>
      </c>
      <c r="IU26" s="133" t="n">
        <f aca="false">IF(OR(IU$4="",$B26=""),0,SUMIF('DADOS BRUTOS'!$A$3:$A$500,$B26,'DADOS BRUTOS'!FU$3:FU$500)+IF($C26="",0,SUMIF('DADOS BRUTOS'!$A$3:$A$500,$C26,'DADOS BRUTOS'!FU$3:FU$500)))</f>
        <v>0</v>
      </c>
      <c r="IV26" s="133" t="n">
        <f aca="false">IF(OR(IV$4="",$B26=""),0,SUMIF('DADOS BRUTOS'!$A$3:$A$500,$B26,'DADOS BRUTOS'!FV$3:FV$500)+IF($C26="",0,SUMIF('DADOS BRUTOS'!$A$3:$A$500,$C26,'DADOS BRUTOS'!FV$3:FV$500)))</f>
        <v>0</v>
      </c>
      <c r="IW26" s="133" t="n">
        <f aca="false">IF(OR(IW$4="",$B26=""),0,SUMIF('DADOS BRUTOS'!$A$3:$A$500,$B26,'DADOS BRUTOS'!FW$3:FW$500)+IF($C26="",0,SUMIF('DADOS BRUTOS'!$A$3:$A$500,$C26,'DADOS BRUTOS'!FW$3:FW$500)))</f>
        <v>0</v>
      </c>
      <c r="IX26" s="133" t="n">
        <f aca="false">IF(OR(IX$4="",$B26=""),0,SUMIF('DADOS BRUTOS'!$A$3:$A$500,$B26,'DADOS BRUTOS'!FX$3:FX$500)+IF($C26="",0,SUMIF('DADOS BRUTOS'!$A$3:$A$500,$C26,'DADOS BRUTOS'!FX$3:FX$500)))</f>
        <v>0</v>
      </c>
      <c r="IY26" s="133" t="n">
        <f aca="false">IF(OR(IY$4="",$B26=""),0,SUMIF('DADOS BRUTOS'!$A$3:$A$500,$B26,'DADOS BRUTOS'!FY$3:FY$500)+IF($C26="",0,SUMIF('DADOS BRUTOS'!$A$3:$A$500,$C26,'DADOS BRUTOS'!FY$3:FY$500)))</f>
        <v>0</v>
      </c>
      <c r="IZ26" s="133" t="n">
        <f aca="false">IF(OR(IZ$4="",$B26=""),0,SUMIF('DADOS BRUTOS'!$A$3:$A$500,$B26,'DADOS BRUTOS'!FZ$3:FZ$500)+IF($C26="",0,SUMIF('DADOS BRUTOS'!$A$3:$A$500,$C26,'DADOS BRUTOS'!FZ$3:FZ$500)))</f>
        <v>0</v>
      </c>
      <c r="JA26" s="133" t="n">
        <f aca="false">IF(OR(JA$4="",$B26=""),0,SUMIF('DADOS BRUTOS'!$A$3:$A$500,$B26,'DADOS BRUTOS'!GA$3:GA$500)+IF($C26="",0,SUMIF('DADOS BRUTOS'!$A$3:$A$500,$C26,'DADOS BRUTOS'!GA$3:GA$500)))</f>
        <v>0</v>
      </c>
      <c r="JB26" s="133" t="n">
        <f aca="false">IF(OR(JB$4="",$B26=""),0,SUMIF('DADOS BRUTOS'!$A$3:$A$500,$B26,'DADOS BRUTOS'!GB$3:GB$500)+IF($C26="",0,SUMIF('DADOS BRUTOS'!$A$3:$A$500,$C26,'DADOS BRUTOS'!GB$3:GB$500)))</f>
        <v>0</v>
      </c>
      <c r="JC26" s="133" t="n">
        <f aca="false">IF(OR(JC$4="",$B26=""),0,SUMIF('DADOS BRUTOS'!$A$3:$A$500,$B26,'DADOS BRUTOS'!GC$3:GC$500)+IF($C26="",0,SUMIF('DADOS BRUTOS'!$A$3:$A$500,$C26,'DADOS BRUTOS'!GC$3:GC$500)))</f>
        <v>0</v>
      </c>
      <c r="JD26" s="133" t="n">
        <f aca="false">IF(OR(JD$4="",$B26=""),0,SUMIF('DADOS BRUTOS'!$A$3:$A$500,$B26,'DADOS BRUTOS'!GD$3:GD$500)+IF($C26="",0,SUMIF('DADOS BRUTOS'!$A$3:$A$500,$C26,'DADOS BRUTOS'!GD$3:GD$500)))</f>
        <v>0</v>
      </c>
      <c r="JE26" s="133" t="n">
        <f aca="false">IF(OR(JE$4="",$B26=""),0,SUMIF('DADOS BRUTOS'!$A$3:$A$500,$B26,'DADOS BRUTOS'!GE$3:GE$500)+IF($C26="",0,SUMIF('DADOS BRUTOS'!$A$3:$A$500,$C26,'DADOS BRUTOS'!GE$3:GE$500)))</f>
        <v>0</v>
      </c>
      <c r="JF26" s="133" t="n">
        <f aca="false">IF(OR(JF$4="",$B26=""),0,SUMIF('DADOS BRUTOS'!$A$3:$A$500,$B26,'DADOS BRUTOS'!GF$3:GF$500)+IF($C26="",0,SUMIF('DADOS BRUTOS'!$A$3:$A$500,$C26,'DADOS BRUTOS'!GF$3:GF$500)))</f>
        <v>0</v>
      </c>
      <c r="JG26" s="133" t="n">
        <f aca="false">IF(OR(JG$4="",$B26=""),0,SUMIF('DADOS BRUTOS'!$A$3:$A$500,$B26,'DADOS BRUTOS'!GG$3:GG$500)+IF($C26="",0,SUMIF('DADOS BRUTOS'!$A$3:$A$500,$C26,'DADOS BRUTOS'!GG$3:GG$500)))</f>
        <v>0</v>
      </c>
      <c r="JH26" s="133" t="n">
        <f aca="false">IF(OR(JH$4="",$B26=""),0,SUMIF('DADOS BRUTOS'!$A$3:$A$500,$B26,'DADOS BRUTOS'!GH$3:GH$500)+IF($C26="",0,SUMIF('DADOS BRUTOS'!$A$3:$A$500,$C26,'DADOS BRUTOS'!GH$3:GH$500)))</f>
        <v>0</v>
      </c>
      <c r="JI26" s="133" t="n">
        <f aca="false">IF(OR(JI$4="",$B26=""),0,SUMIF('DADOS BRUTOS'!$A$3:$A$500,$B26,'DADOS BRUTOS'!GI$3:GI$500)+IF($C26="",0,SUMIF('DADOS BRUTOS'!$A$3:$A$500,$C26,'DADOS BRUTOS'!GI$3:GI$500)))</f>
        <v>0</v>
      </c>
      <c r="JJ26" s="133" t="n">
        <f aca="false">IF(OR(JJ$4="",$B26=""),0,SUMIF('DADOS BRUTOS'!$A$3:$A$500,$B26,'DADOS BRUTOS'!GJ$3:GJ$500)+IF($C26="",0,SUMIF('DADOS BRUTOS'!$A$3:$A$500,$C26,'DADOS BRUTOS'!GJ$3:GJ$500)))</f>
        <v>0</v>
      </c>
      <c r="JK26" s="133" t="n">
        <f aca="false">IF(OR(JK$4="",$B26=""),0,SUMIF('DADOS BRUTOS'!$A$3:$A$500,$B26,'DADOS BRUTOS'!GK$3:GK$500)+IF($C26="",0,SUMIF('DADOS BRUTOS'!$A$3:$A$500,$C26,'DADOS BRUTOS'!GK$3:GK$500)))</f>
        <v>0</v>
      </c>
      <c r="JL26" s="133" t="n">
        <f aca="false">IF(OR(JL$4="",$B26=""),0,SUMIF('DADOS BRUTOS'!$A$3:$A$500,$B26,'DADOS BRUTOS'!GL$3:GL$500)+IF($C26="",0,SUMIF('DADOS BRUTOS'!$A$3:$A$500,$C26,'DADOS BRUTOS'!GL$3:GL$500)))</f>
        <v>0</v>
      </c>
      <c r="JM26" s="133" t="n">
        <f aca="false">IF(OR(JM$4="",$B26=""),0,SUMIF('DADOS BRUTOS'!$A$3:$A$500,$B26,'DADOS BRUTOS'!GM$3:GM$500)+IF($C26="",0,SUMIF('DADOS BRUTOS'!$A$3:$A$500,$C26,'DADOS BRUTOS'!GM$3:GM$500)))</f>
        <v>0</v>
      </c>
      <c r="JN26" s="133" t="n">
        <f aca="false">IF(OR(JN$4="",$B26=""),0,SUMIF('DADOS BRUTOS'!$A$3:$A$500,$B26,'DADOS BRUTOS'!GN$3:GN$500)+IF($C26="",0,SUMIF('DADOS BRUTOS'!$A$3:$A$500,$C26,'DADOS BRUTOS'!GN$3:GN$500)))</f>
        <v>0</v>
      </c>
      <c r="JO26" s="133" t="n">
        <f aca="false">IF(OR(JO$4="",$B26=""),0,SUMIF('DADOS BRUTOS'!$A$3:$A$500,$B26,'DADOS BRUTOS'!GO$3:GO$500)+IF($C26="",0,SUMIF('DADOS BRUTOS'!$A$3:$A$500,$C26,'DADOS BRUTOS'!GO$3:GO$500)))</f>
        <v>0</v>
      </c>
      <c r="JP26" s="133" t="n">
        <f aca="false">IF(OR(JP$4="",$B26=""),0,SUMIF('DADOS BRUTOS'!$A$3:$A$500,$B26,'DADOS BRUTOS'!GP$3:GP$500)+IF($C26="",0,SUMIF('DADOS BRUTOS'!$A$3:$A$500,$C26,'DADOS BRUTOS'!GP$3:GP$500)))</f>
        <v>0</v>
      </c>
      <c r="JQ26" s="133" t="n">
        <f aca="false">IF(OR(JQ$4="",$B26=""),0,SUMIF('DADOS BRUTOS'!$A$3:$A$500,$B26,'DADOS BRUTOS'!GQ$3:GQ$500)+IF($C26="",0,SUMIF('DADOS BRUTOS'!$A$3:$A$500,$C26,'DADOS BRUTOS'!GQ$3:GQ$500)))</f>
        <v>0</v>
      </c>
      <c r="JR26" s="133" t="n">
        <f aca="false">IF(OR(JR$4="",$B26=""),0,SUMIF('DADOS BRUTOS'!$A$3:$A$500,$B26,'DADOS BRUTOS'!GR$3:GR$500)+IF($C26="",0,SUMIF('DADOS BRUTOS'!$A$3:$A$500,$C26,'DADOS BRUTOS'!GR$3:GR$500)))</f>
        <v>0</v>
      </c>
      <c r="JS26" s="133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183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3" t="n">
        <f aca="false">IF(OR(CB$4="",$B27=""),0,SUMIF('DADOS BRUTOS'!$A$3:$A$500,$B27,'DADOS BRUTOS'!B$3:B$500)+IF($C27="",0,SUMIF('DADOS BRUTOS'!$A$3:$A$500,$C27,'DADOS BRUTOS'!B$3:B$500)))</f>
        <v>0</v>
      </c>
      <c r="CC27" s="133" t="n">
        <f aca="false">IF(OR(CC$4="",$B27=""),0,SUMIF('DADOS BRUTOS'!$A$3:$A$500,$B27,'DADOS BRUTOS'!C$3:C$500)+IF($C27="",0,SUMIF('DADOS BRUTOS'!$A$3:$A$500,$C27,'DADOS BRUTOS'!C$3:C$500)))</f>
        <v>0</v>
      </c>
      <c r="CD27" s="133" t="n">
        <f aca="false">IF(OR(CD$4="",$B27=""),0,SUMIF('DADOS BRUTOS'!$A$3:$A$500,$B27,'DADOS BRUTOS'!D$3:D$500)+IF($C27="",0,SUMIF('DADOS BRUTOS'!$A$3:$A$500,$C27,'DADOS BRUTOS'!D$3:D$500)))</f>
        <v>0</v>
      </c>
      <c r="CE27" s="133" t="n">
        <f aca="false">IF(OR(CE$4="",$B27=""),0,SUMIF('DADOS BRUTOS'!$A$3:$A$500,$B27,'DADOS BRUTOS'!E$3:E$500)+IF($C27="",0,SUMIF('DADOS BRUTOS'!$A$3:$A$500,$C27,'DADOS BRUTOS'!E$3:E$500)))</f>
        <v>0</v>
      </c>
      <c r="CF27" s="133" t="n">
        <f aca="false">IF(OR(CF$4="",$B27=""),0,SUMIF('DADOS BRUTOS'!$A$3:$A$500,$B27,'DADOS BRUTOS'!F$3:F$500)+IF($C27="",0,SUMIF('DADOS BRUTOS'!$A$3:$A$500,$C27,'DADOS BRUTOS'!F$3:F$500)))</f>
        <v>0</v>
      </c>
      <c r="CG27" s="133" t="n">
        <f aca="false">IF(OR(CG$4="",$B27=""),0,SUMIF('DADOS BRUTOS'!$A$3:$A$500,$B27,'DADOS BRUTOS'!G$3:G$500)+IF($C27="",0,SUMIF('DADOS BRUTOS'!$A$3:$A$500,$C27,'DADOS BRUTOS'!G$3:G$500)))</f>
        <v>0</v>
      </c>
      <c r="CH27" s="133" t="n">
        <f aca="false">IF(OR(CH$4="",$B27=""),0,SUMIF('DADOS BRUTOS'!$A$3:$A$500,$B27,'DADOS BRUTOS'!H$3:H$500)+IF($C27="",0,SUMIF('DADOS BRUTOS'!$A$3:$A$500,$C27,'DADOS BRUTOS'!H$3:H$500)))</f>
        <v>0</v>
      </c>
      <c r="CI27" s="133" t="n">
        <f aca="false">IF(OR(CI$4="",$B27=""),0,SUMIF('DADOS BRUTOS'!$A$3:$A$500,$B27,'DADOS BRUTOS'!I$3:I$500)+IF($C27="",0,SUMIF('DADOS BRUTOS'!$A$3:$A$500,$C27,'DADOS BRUTOS'!I$3:I$500)))</f>
        <v>0</v>
      </c>
      <c r="CJ27" s="133" t="n">
        <f aca="false">IF(OR(CJ$4="",$B27=""),0,SUMIF('DADOS BRUTOS'!$A$3:$A$500,$B27,'DADOS BRUTOS'!J$3:J$500)+IF($C27="",0,SUMIF('DADOS BRUTOS'!$A$3:$A$500,$C27,'DADOS BRUTOS'!J$3:J$500)))</f>
        <v>0</v>
      </c>
      <c r="CK27" s="133" t="n">
        <f aca="false">IF(OR(CK$4="",$B27=""),0,SUMIF('DADOS BRUTOS'!$A$3:$A$500,$B27,'DADOS BRUTOS'!K$3:K$500)+IF($C27="",0,SUMIF('DADOS BRUTOS'!$A$3:$A$500,$C27,'DADOS BRUTOS'!K$3:K$500)))</f>
        <v>0</v>
      </c>
      <c r="CL27" s="133" t="n">
        <f aca="false">IF(OR(CL$4="",$B27=""),0,SUMIF('DADOS BRUTOS'!$A$3:$A$500,$B27,'DADOS BRUTOS'!L$3:L$500)+IF($C27="",0,SUMIF('DADOS BRUTOS'!$A$3:$A$500,$C27,'DADOS BRUTOS'!L$3:L$500)))</f>
        <v>0</v>
      </c>
      <c r="CM27" s="133" t="n">
        <f aca="false">IF(OR(CM$4="",$B27=""),0,SUMIF('DADOS BRUTOS'!$A$3:$A$500,$B27,'DADOS BRUTOS'!M$3:M$500)+IF($C27="",0,SUMIF('DADOS BRUTOS'!$A$3:$A$500,$C27,'DADOS BRUTOS'!M$3:M$500)))</f>
        <v>0</v>
      </c>
      <c r="CN27" s="133" t="n">
        <f aca="false">IF(OR(CN$4="",$B27=""),0,SUMIF('DADOS BRUTOS'!$A$3:$A$500,$B27,'DADOS BRUTOS'!N$3:N$500)+IF($C27="",0,SUMIF('DADOS BRUTOS'!$A$3:$A$500,$C27,'DADOS BRUTOS'!N$3:N$500)))</f>
        <v>0</v>
      </c>
      <c r="CO27" s="133" t="n">
        <f aca="false">IF(OR(CO$4="",$B27=""),0,SUMIF('DADOS BRUTOS'!$A$3:$A$500,$B27,'DADOS BRUTOS'!O$3:O$500)+IF($C27="",0,SUMIF('DADOS BRUTOS'!$A$3:$A$500,$C27,'DADOS BRUTOS'!O$3:O$500)))</f>
        <v>0</v>
      </c>
      <c r="CP27" s="133" t="n">
        <f aca="false">IF(OR(CP$4="",$B27=""),0,SUMIF('DADOS BRUTOS'!$A$3:$A$500,$B27,'DADOS BRUTOS'!P$3:P$500)+IF($C27="",0,SUMIF('DADOS BRUTOS'!$A$3:$A$500,$C27,'DADOS BRUTOS'!P$3:P$500)))</f>
        <v>0</v>
      </c>
      <c r="CQ27" s="133" t="n">
        <f aca="false">IF(OR(CQ$4="",$B27=""),0,SUMIF('DADOS BRUTOS'!$A$3:$A$500,$B27,'DADOS BRUTOS'!Q$3:Q$500)+IF($C27="",0,SUMIF('DADOS BRUTOS'!$A$3:$A$500,$C27,'DADOS BRUTOS'!Q$3:Q$500)))</f>
        <v>0</v>
      </c>
      <c r="CR27" s="133" t="n">
        <f aca="false">IF(OR(CR$4="",$B27=""),0,SUMIF('DADOS BRUTOS'!$A$3:$A$500,$B27,'DADOS BRUTOS'!R$3:R$500)+IF($C27="",0,SUMIF('DADOS BRUTOS'!$A$3:$A$500,$C27,'DADOS BRUTOS'!R$3:R$500)))</f>
        <v>0</v>
      </c>
      <c r="CS27" s="133" t="n">
        <f aca="false">IF(OR(CS$4="",$B27=""),0,SUMIF('DADOS BRUTOS'!$A$3:$A$500,$B27,'DADOS BRUTOS'!S$3:S$500)+IF($C27="",0,SUMIF('DADOS BRUTOS'!$A$3:$A$500,$C27,'DADOS BRUTOS'!S$3:S$500)))</f>
        <v>0</v>
      </c>
      <c r="CT27" s="133" t="n">
        <f aca="false">IF(OR(CT$4="",$B27=""),0,SUMIF('DADOS BRUTOS'!$A$3:$A$500,$B27,'DADOS BRUTOS'!T$3:T$500)+IF($C27="",0,SUMIF('DADOS BRUTOS'!$A$3:$A$500,$C27,'DADOS BRUTOS'!T$3:T$500)))</f>
        <v>0</v>
      </c>
      <c r="CU27" s="133" t="n">
        <f aca="false">IF(OR(CU$4="",$B27=""),0,SUMIF('DADOS BRUTOS'!$A$3:$A$500,$B27,'DADOS BRUTOS'!U$3:U$500)+IF($C27="",0,SUMIF('DADOS BRUTOS'!$A$3:$A$500,$C27,'DADOS BRUTOS'!U$3:U$500)))</f>
        <v>0</v>
      </c>
      <c r="CV27" s="133" t="n">
        <f aca="false">IF(OR(CV$4="",$B27=""),0,SUMIF('DADOS BRUTOS'!$A$3:$A$500,$B27,'DADOS BRUTOS'!V$3:V$500)+IF($C27="",0,SUMIF('DADOS BRUTOS'!$A$3:$A$500,$C27,'DADOS BRUTOS'!V$3:V$500)))</f>
        <v>0</v>
      </c>
      <c r="CW27" s="133" t="n">
        <f aca="false">IF(OR(CW$4="",$B27=""),0,SUMIF('DADOS BRUTOS'!$A$3:$A$500,$B27,'DADOS BRUTOS'!W$3:W$500)+IF($C27="",0,SUMIF('DADOS BRUTOS'!$A$3:$A$500,$C27,'DADOS BRUTOS'!W$3:W$500)))</f>
        <v>0</v>
      </c>
      <c r="CX27" s="133" t="n">
        <f aca="false">IF(OR(CX$4="",$B27=""),0,SUMIF('DADOS BRUTOS'!$A$3:$A$500,$B27,'DADOS BRUTOS'!X$3:X$500)+IF($C27="",0,SUMIF('DADOS BRUTOS'!$A$3:$A$500,$C27,'DADOS BRUTOS'!X$3:X$500)))</f>
        <v>0</v>
      </c>
      <c r="CY27" s="133" t="n">
        <f aca="false">IF(OR(CY$4="",$B27=""),0,SUMIF('DADOS BRUTOS'!$A$3:$A$500,$B27,'DADOS BRUTOS'!Y$3:Y$500)+IF($C27="",0,SUMIF('DADOS BRUTOS'!$A$3:$A$500,$C27,'DADOS BRUTOS'!Y$3:Y$500)))</f>
        <v>0</v>
      </c>
      <c r="CZ27" s="133" t="n">
        <f aca="false">IF(OR(CZ$4="",$B27=""),0,SUMIF('DADOS BRUTOS'!$A$3:$A$500,$B27,'DADOS BRUTOS'!Z$3:Z$500)+IF($C27="",0,SUMIF('DADOS BRUTOS'!$A$3:$A$500,$C27,'DADOS BRUTOS'!Z$3:Z$500)))</f>
        <v>0</v>
      </c>
      <c r="DA27" s="133" t="n">
        <f aca="false">IF(OR(DA$4="",$B27=""),0,SUMIF('DADOS BRUTOS'!$A$3:$A$500,$B27,'DADOS BRUTOS'!AA$3:AA$500)+IF($C27="",0,SUMIF('DADOS BRUTOS'!$A$3:$A$500,$C27,'DADOS BRUTOS'!AA$3:AA$500)))</f>
        <v>0</v>
      </c>
      <c r="DB27" s="133" t="n">
        <f aca="false">IF(OR(DB$4="",$B27=""),0,SUMIF('DADOS BRUTOS'!$A$3:$A$500,$B27,'DADOS BRUTOS'!AB$3:AB$500)+IF($C27="",0,SUMIF('DADOS BRUTOS'!$A$3:$A$500,$C27,'DADOS BRUTOS'!AB$3:AB$500)))</f>
        <v>0</v>
      </c>
      <c r="DC27" s="133" t="n">
        <f aca="false">IF(OR(DC$4="",$B27=""),0,SUMIF('DADOS BRUTOS'!$A$3:$A$500,$B27,'DADOS BRUTOS'!AC$3:AC$500)+IF($C27="",0,SUMIF('DADOS BRUTOS'!$A$3:$A$500,$C27,'DADOS BRUTOS'!AC$3:AC$500)))</f>
        <v>0</v>
      </c>
      <c r="DD27" s="133" t="n">
        <f aca="false">IF(OR(DD$4="",$B27=""),0,SUMIF('DADOS BRUTOS'!$A$3:$A$500,$B27,'DADOS BRUTOS'!AD$3:AD$500)+IF($C27="",0,SUMIF('DADOS BRUTOS'!$A$3:$A$500,$C27,'DADOS BRUTOS'!AD$3:AD$500)))</f>
        <v>0</v>
      </c>
      <c r="DE27" s="133" t="n">
        <f aca="false">IF(OR(DE$4="",$B27=""),0,SUMIF('DADOS BRUTOS'!$A$3:$A$500,$B27,'DADOS BRUTOS'!AE$3:AE$500)+IF($C27="",0,SUMIF('DADOS BRUTOS'!$A$3:$A$500,$C27,'DADOS BRUTOS'!AE$3:AE$500)))</f>
        <v>0</v>
      </c>
      <c r="DF27" s="133" t="n">
        <f aca="false">IF(OR(DF$4="",$B27=""),0,SUMIF('DADOS BRUTOS'!$A$3:$A$500,$B27,'DADOS BRUTOS'!AF$3:AF$500)+IF($C27="",0,SUMIF('DADOS BRUTOS'!$A$3:$A$500,$C27,'DADOS BRUTOS'!AF$3:AF$500)))</f>
        <v>0</v>
      </c>
      <c r="DG27" s="133" t="n">
        <f aca="false">IF(OR(DG$4="",$B27=""),0,SUMIF('DADOS BRUTOS'!$A$3:$A$500,$B27,'DADOS BRUTOS'!AG$3:AG$500)+IF($C27="",0,SUMIF('DADOS BRUTOS'!$A$3:$A$500,$C27,'DADOS BRUTOS'!AG$3:AG$500)))</f>
        <v>0</v>
      </c>
      <c r="DH27" s="133" t="n">
        <f aca="false">IF(OR(DH$4="",$B27=""),0,SUMIF('DADOS BRUTOS'!$A$3:$A$500,$B27,'DADOS BRUTOS'!AH$3:AH$500)+IF($C27="",0,SUMIF('DADOS BRUTOS'!$A$3:$A$500,$C27,'DADOS BRUTOS'!AH$3:AH$500)))</f>
        <v>0</v>
      </c>
      <c r="DI27" s="133" t="n">
        <f aca="false">IF(OR(DI$4="",$B27=""),0,SUMIF('DADOS BRUTOS'!$A$3:$A$500,$B27,'DADOS BRUTOS'!AI$3:AI$500)+IF($C27="",0,SUMIF('DADOS BRUTOS'!$A$3:$A$500,$C27,'DADOS BRUTOS'!AI$3:AI$500)))</f>
        <v>0</v>
      </c>
      <c r="DJ27" s="133" t="n">
        <f aca="false">IF(OR(DJ$4="",$B27=""),0,SUMIF('DADOS BRUTOS'!$A$3:$A$500,$B27,'DADOS BRUTOS'!AJ$3:AJ$500)+IF($C27="",0,SUMIF('DADOS BRUTOS'!$A$3:$A$500,$C27,'DADOS BRUTOS'!AJ$3:AJ$500)))</f>
        <v>0</v>
      </c>
      <c r="DK27" s="133" t="n">
        <f aca="false">IF(OR(DK$4="",$B27=""),0,SUMIF('DADOS BRUTOS'!$A$3:$A$500,$B27,'DADOS BRUTOS'!AK$3:AK$500)+IF($C27="",0,SUMIF('DADOS BRUTOS'!$A$3:$A$500,$C27,'DADOS BRUTOS'!AK$3:AK$500)))</f>
        <v>0</v>
      </c>
      <c r="DL27" s="133" t="n">
        <f aca="false">IF(OR(DL$4="",$B27=""),0,SUMIF('DADOS BRUTOS'!$A$3:$A$500,$B27,'DADOS BRUTOS'!AL$3:AL$500)+IF($C27="",0,SUMIF('DADOS BRUTOS'!$A$3:$A$500,$C27,'DADOS BRUTOS'!AL$3:AL$500)))</f>
        <v>0</v>
      </c>
      <c r="DM27" s="133" t="n">
        <f aca="false">IF(OR(DM$4="",$B27=""),0,SUMIF('DADOS BRUTOS'!$A$3:$A$500,$B27,'DADOS BRUTOS'!AM$3:AM$500)+IF($C27="",0,SUMIF('DADOS BRUTOS'!$A$3:$A$500,$C27,'DADOS BRUTOS'!AM$3:AM$500)))</f>
        <v>0</v>
      </c>
      <c r="DN27" s="133" t="n">
        <f aca="false">IF(OR(DN$4="",$B27=""),0,SUMIF('DADOS BRUTOS'!$A$3:$A$500,$B27,'DADOS BRUTOS'!AN$3:AN$500)+IF($C27="",0,SUMIF('DADOS BRUTOS'!$A$3:$A$500,$C27,'DADOS BRUTOS'!AN$3:AN$500)))</f>
        <v>0</v>
      </c>
      <c r="DO27" s="133" t="n">
        <f aca="false">IF(OR(DO$4="",$B27=""),0,SUMIF('DADOS BRUTOS'!$A$3:$A$500,$B27,'DADOS BRUTOS'!AO$3:AO$500)+IF($C27="",0,SUMIF('DADOS BRUTOS'!$A$3:$A$500,$C27,'DADOS BRUTOS'!AO$3:AO$500)))</f>
        <v>0</v>
      </c>
      <c r="DP27" s="133" t="n">
        <f aca="false">IF(OR(DP$4="",$B27=""),0,SUMIF('DADOS BRUTOS'!$A$3:$A$500,$B27,'DADOS BRUTOS'!AP$3:AP$500)+IF($C27="",0,SUMIF('DADOS BRUTOS'!$A$3:$A$500,$C27,'DADOS BRUTOS'!AP$3:AP$500)))</f>
        <v>0</v>
      </c>
      <c r="DQ27" s="133" t="n">
        <f aca="false">IF(OR(DQ$4="",$B27=""),0,SUMIF('DADOS BRUTOS'!$A$3:$A$500,$B27,'DADOS BRUTOS'!AQ$3:AQ$500)+IF($C27="",0,SUMIF('DADOS BRUTOS'!$A$3:$A$500,$C27,'DADOS BRUTOS'!AQ$3:AQ$500)))</f>
        <v>0</v>
      </c>
      <c r="DR27" s="133" t="n">
        <f aca="false">IF(OR(DR$4="",$B27=""),0,SUMIF('DADOS BRUTOS'!$A$3:$A$500,$B27,'DADOS BRUTOS'!AR$3:AR$500)+IF($C27="",0,SUMIF('DADOS BRUTOS'!$A$3:$A$500,$C27,'DADOS BRUTOS'!AR$3:AR$500)))</f>
        <v>0</v>
      </c>
      <c r="DS27" s="133" t="n">
        <f aca="false">IF(OR(DS$4="",$B27=""),0,SUMIF('DADOS BRUTOS'!$A$3:$A$500,$B27,'DADOS BRUTOS'!AS$3:AS$500)+IF($C27="",0,SUMIF('DADOS BRUTOS'!$A$3:$A$500,$C27,'DADOS BRUTOS'!AS$3:AS$500)))</f>
        <v>0</v>
      </c>
      <c r="DT27" s="133" t="n">
        <f aca="false">IF(OR(DT$4="",$B27=""),0,SUMIF('DADOS BRUTOS'!$A$3:$A$500,$B27,'DADOS BRUTOS'!AT$3:AT$500)+IF($C27="",0,SUMIF('DADOS BRUTOS'!$A$3:$A$500,$C27,'DADOS BRUTOS'!AT$3:AT$500)))</f>
        <v>0</v>
      </c>
      <c r="DU27" s="133" t="n">
        <f aca="false">IF(OR(DU$4="",$B27=""),0,SUMIF('DADOS BRUTOS'!$A$3:$A$500,$B27,'DADOS BRUTOS'!AU$3:AU$500)+IF($C27="",0,SUMIF('DADOS BRUTOS'!$A$3:$A$500,$C27,'DADOS BRUTOS'!AU$3:AU$500)))</f>
        <v>0</v>
      </c>
      <c r="DV27" s="133" t="n">
        <f aca="false">IF(OR(DV$4="",$B27=""),0,SUMIF('DADOS BRUTOS'!$A$3:$A$500,$B27,'DADOS BRUTOS'!AV$3:AV$500)+IF($C27="",0,SUMIF('DADOS BRUTOS'!$A$3:$A$500,$C27,'DADOS BRUTOS'!AV$3:AV$500)))</f>
        <v>0</v>
      </c>
      <c r="DW27" s="133" t="n">
        <f aca="false">IF(OR(DW$4="",$B27=""),0,SUMIF('DADOS BRUTOS'!$A$3:$A$500,$B27,'DADOS BRUTOS'!AW$3:AW$500)+IF($C27="",0,SUMIF('DADOS BRUTOS'!$A$3:$A$500,$C27,'DADOS BRUTOS'!AW$3:AW$500)))</f>
        <v>0</v>
      </c>
      <c r="DX27" s="133" t="n">
        <f aca="false">IF(OR(DX$4="",$B27=""),0,SUMIF('DADOS BRUTOS'!$A$3:$A$500,$B27,'DADOS BRUTOS'!AX$3:AX$500)+IF($C27="",0,SUMIF('DADOS BRUTOS'!$A$3:$A$500,$C27,'DADOS BRUTOS'!AX$3:AX$500)))</f>
        <v>0</v>
      </c>
      <c r="DY27" s="133" t="n">
        <f aca="false">IF(OR(DY$4="",$B27=""),0,SUMIF('DADOS BRUTOS'!$A$3:$A$500,$B27,'DADOS BRUTOS'!AY$3:AY$500)+IF($C27="",0,SUMIF('DADOS BRUTOS'!$A$3:$A$500,$C27,'DADOS BRUTOS'!AY$3:AY$500)))</f>
        <v>0</v>
      </c>
      <c r="DZ27" s="133" t="n">
        <f aca="false">IF(OR(DZ$4="",$B27=""),0,SUMIF('DADOS BRUTOS'!$A$3:$A$500,$B27,'DADOS BRUTOS'!AZ$3:AZ$500)+IF($C27="",0,SUMIF('DADOS BRUTOS'!$A$3:$A$500,$C27,'DADOS BRUTOS'!AZ$3:AZ$500)))</f>
        <v>0</v>
      </c>
      <c r="EA27" s="133" t="n">
        <f aca="false">IF(OR(EA$4="",$B27=""),0,SUMIF('DADOS BRUTOS'!$A$3:$A$500,$B27,'DADOS BRUTOS'!BA$3:BA$500)+IF($C27="",0,SUMIF('DADOS BRUTOS'!$A$3:$A$500,$C27,'DADOS BRUTOS'!BA$3:BA$500)))</f>
        <v>0</v>
      </c>
      <c r="EB27" s="133" t="n">
        <f aca="false">IF(OR(EB$4="",$B27=""),0,SUMIF('DADOS BRUTOS'!$A$3:$A$500,$B27,'DADOS BRUTOS'!BB$3:BB$500)+IF($C27="",0,SUMIF('DADOS BRUTOS'!$A$3:$A$500,$C27,'DADOS BRUTOS'!BB$3:BB$500)))</f>
        <v>0</v>
      </c>
      <c r="EC27" s="133" t="n">
        <f aca="false">IF(OR(EC$4="",$B27=""),0,SUMIF('DADOS BRUTOS'!$A$3:$A$500,$B27,'DADOS BRUTOS'!BC$3:BC$500)+IF($C27="",0,SUMIF('DADOS BRUTOS'!$A$3:$A$500,$C27,'DADOS BRUTOS'!BC$3:BC$500)))</f>
        <v>0</v>
      </c>
      <c r="ED27" s="133" t="n">
        <f aca="false">IF(OR(ED$4="",$B27=""),0,SUMIF('DADOS BRUTOS'!$A$3:$A$500,$B27,'DADOS BRUTOS'!BD$3:BD$500)+IF($C27="",0,SUMIF('DADOS BRUTOS'!$A$3:$A$500,$C27,'DADOS BRUTOS'!BD$3:BD$500)))</f>
        <v>0</v>
      </c>
      <c r="EE27" s="133" t="n">
        <f aca="false">IF(OR(EE$4="",$B27=""),0,SUMIF('DADOS BRUTOS'!$A$3:$A$500,$B27,'DADOS BRUTOS'!BE$3:BE$500)+IF($C27="",0,SUMIF('DADOS BRUTOS'!$A$3:$A$500,$C27,'DADOS BRUTOS'!BE$3:BE$500)))</f>
        <v>0</v>
      </c>
      <c r="EF27" s="133" t="n">
        <f aca="false">IF(OR(EF$4="",$B27=""),0,SUMIF('DADOS BRUTOS'!$A$3:$A$500,$B27,'DADOS BRUTOS'!BF$3:BF$500)+IF($C27="",0,SUMIF('DADOS BRUTOS'!$A$3:$A$500,$C27,'DADOS BRUTOS'!BF$3:BF$500)))</f>
        <v>0</v>
      </c>
      <c r="EG27" s="133" t="n">
        <f aca="false">IF(OR(EG$4="",$B27=""),0,SUMIF('DADOS BRUTOS'!$A$3:$A$500,$B27,'DADOS BRUTOS'!BG$3:BG$500)+IF($C27="",0,SUMIF('DADOS BRUTOS'!$A$3:$A$500,$C27,'DADOS BRUTOS'!BG$3:BG$500)))</f>
        <v>0</v>
      </c>
      <c r="EH27" s="133" t="n">
        <f aca="false">IF(OR(EH$4="",$B27=""),0,SUMIF('DADOS BRUTOS'!$A$3:$A$500,$B27,'DADOS BRUTOS'!BH$3:BH$500)+IF($C27="",0,SUMIF('DADOS BRUTOS'!$A$3:$A$500,$C27,'DADOS BRUTOS'!BH$3:BH$500)))</f>
        <v>0</v>
      </c>
      <c r="EI27" s="133" t="n">
        <f aca="false">IF(OR(EI$4="",$B27=""),0,SUMIF('DADOS BRUTOS'!$A$3:$A$500,$B27,'DADOS BRUTOS'!BI$3:BI$500)+IF($C27="",0,SUMIF('DADOS BRUTOS'!$A$3:$A$500,$C27,'DADOS BRUTOS'!BI$3:BI$500)))</f>
        <v>0</v>
      </c>
      <c r="EJ27" s="133" t="n">
        <f aca="false">IF(OR(EJ$4="",$B27=""),0,SUMIF('DADOS BRUTOS'!$A$3:$A$500,$B27,'DADOS BRUTOS'!BJ$3:BJ$500)+IF($C27="",0,SUMIF('DADOS BRUTOS'!$A$3:$A$500,$C27,'DADOS BRUTOS'!BJ$3:BJ$500)))</f>
        <v>0</v>
      </c>
      <c r="EK27" s="133" t="n">
        <f aca="false">IF(OR(EK$4="",$B27=""),0,SUMIF('DADOS BRUTOS'!$A$3:$A$500,$B27,'DADOS BRUTOS'!BK$3:BK$500)+IF($C27="",0,SUMIF('DADOS BRUTOS'!$A$3:$A$500,$C27,'DADOS BRUTOS'!BK$3:BK$500)))</f>
        <v>0</v>
      </c>
      <c r="EL27" s="133" t="n">
        <f aca="false">IF(OR(EL$4="",$B27=""),0,SUMIF('DADOS BRUTOS'!$A$3:$A$500,$B27,'DADOS BRUTOS'!BL$3:BL$500)+IF($C27="",0,SUMIF('DADOS BRUTOS'!$A$3:$A$500,$C27,'DADOS BRUTOS'!BL$3:BL$500)))</f>
        <v>0</v>
      </c>
      <c r="EM27" s="133" t="n">
        <f aca="false">IF(OR(EM$4="",$B27=""),0,SUMIF('DADOS BRUTOS'!$A$3:$A$500,$B27,'DADOS BRUTOS'!BM$3:BM$500)+IF($C27="",0,SUMIF('DADOS BRUTOS'!$A$3:$A$500,$C27,'DADOS BRUTOS'!BM$3:BM$500)))</f>
        <v>0</v>
      </c>
      <c r="EN27" s="133" t="n">
        <f aca="false">IF(OR(EN$4="",$B27=""),0,SUMIF('DADOS BRUTOS'!$A$3:$A$500,$B27,'DADOS BRUTOS'!BN$3:BN$500)+IF($C27="",0,SUMIF('DADOS BRUTOS'!$A$3:$A$500,$C27,'DADOS BRUTOS'!BN$3:BN$500)))</f>
        <v>0</v>
      </c>
      <c r="EO27" s="133" t="n">
        <f aca="false">IF(OR(EO$4="",$B27=""),0,SUMIF('DADOS BRUTOS'!$A$3:$A$500,$B27,'DADOS BRUTOS'!BO$3:BO$500)+IF($C27="",0,SUMIF('DADOS BRUTOS'!$A$3:$A$500,$C27,'DADOS BRUTOS'!BO$3:BO$500)))</f>
        <v>0</v>
      </c>
      <c r="EP27" s="133" t="n">
        <f aca="false">IF(OR(EP$4="",$B27=""),0,SUMIF('DADOS BRUTOS'!$A$3:$A$500,$B27,'DADOS BRUTOS'!BP$3:BP$500)+IF($C27="",0,SUMIF('DADOS BRUTOS'!$A$3:$A$500,$C27,'DADOS BRUTOS'!BP$3:BP$500)))</f>
        <v>0</v>
      </c>
      <c r="EQ27" s="133" t="n">
        <f aca="false">IF(OR(EQ$4="",$B27=""),0,SUMIF('DADOS BRUTOS'!$A$3:$A$500,$B27,'DADOS BRUTOS'!BQ$3:BQ$500)+IF($C27="",0,SUMIF('DADOS BRUTOS'!$A$3:$A$500,$C27,'DADOS BRUTOS'!BQ$3:BQ$500)))</f>
        <v>0</v>
      </c>
      <c r="ER27" s="133" t="n">
        <f aca="false">IF(OR(ER$4="",$B27=""),0,SUMIF('DADOS BRUTOS'!$A$3:$A$500,$B27,'DADOS BRUTOS'!BR$3:BR$500)+IF($C27="",0,SUMIF('DADOS BRUTOS'!$A$3:$A$500,$C27,'DADOS BRUTOS'!BR$3:BR$500)))</f>
        <v>0</v>
      </c>
      <c r="ES27" s="133" t="n">
        <f aca="false">IF(OR(ES$4="",$B27=""),0,SUMIF('DADOS BRUTOS'!$A$3:$A$500,$B27,'DADOS BRUTOS'!BS$3:BS$500)+IF($C27="",0,SUMIF('DADOS BRUTOS'!$A$3:$A$500,$C27,'DADOS BRUTOS'!BS$3:BS$500)))</f>
        <v>0</v>
      </c>
      <c r="ET27" s="133" t="n">
        <f aca="false">IF(OR(ET$4="",$B27=""),0,SUMIF('DADOS BRUTOS'!$A$3:$A$500,$B27,'DADOS BRUTOS'!BT$3:BT$500)+IF($C27="",0,SUMIF('DADOS BRUTOS'!$A$3:$A$500,$C27,'DADOS BRUTOS'!BT$3:BT$500)))</f>
        <v>0</v>
      </c>
      <c r="EU27" s="133" t="n">
        <f aca="false">IF(OR(EU$4="",$B27=""),0,SUMIF('DADOS BRUTOS'!$A$3:$A$500,$B27,'DADOS BRUTOS'!BU$3:BU$500)+IF($C27="",0,SUMIF('DADOS BRUTOS'!$A$3:$A$500,$C27,'DADOS BRUTOS'!BU$3:BU$500)))</f>
        <v>0</v>
      </c>
      <c r="EV27" s="133" t="n">
        <f aca="false">IF(OR(EV$4="",$B27=""),0,SUMIF('DADOS BRUTOS'!$A$3:$A$500,$B27,'DADOS BRUTOS'!BV$3:BV$500)+IF($C27="",0,SUMIF('DADOS BRUTOS'!$A$3:$A$500,$C27,'DADOS BRUTOS'!BV$3:BV$500)))</f>
        <v>0</v>
      </c>
      <c r="EW27" s="133" t="n">
        <f aca="false">IF(OR(EW$4="",$B27=""),0,SUMIF('DADOS BRUTOS'!$A$3:$A$500,$B27,'DADOS BRUTOS'!BW$3:BW$500)+IF($C27="",0,SUMIF('DADOS BRUTOS'!$A$3:$A$500,$C27,'DADOS BRUTOS'!BW$3:BW$500)))</f>
        <v>0</v>
      </c>
      <c r="EX27" s="133" t="n">
        <f aca="false">IF(OR(EX$4="",$B27=""),0,SUMIF('DADOS BRUTOS'!$A$3:$A$500,$B27,'DADOS BRUTOS'!BX$3:BX$500)+IF($C27="",0,SUMIF('DADOS BRUTOS'!$A$3:$A$500,$C27,'DADOS BRUTOS'!BX$3:BX$500)))</f>
        <v>0</v>
      </c>
      <c r="EY27" s="133" t="n">
        <f aca="false">IF(OR(EY$4="",$B27=""),0,SUMIF('DADOS BRUTOS'!$A$3:$A$500,$B27,'DADOS BRUTOS'!BY$3:BY$500)+IF($C27="",0,SUMIF('DADOS BRUTOS'!$A$3:$A$500,$C27,'DADOS BRUTOS'!BY$3:BY$500)))</f>
        <v>0</v>
      </c>
      <c r="EZ27" s="133" t="n">
        <f aca="false">IF(OR(EZ$4="",$B27=""),0,SUMIF('DADOS BRUTOS'!$A$3:$A$500,$B27,'DADOS BRUTOS'!BZ$3:BZ$500)+IF($C27="",0,SUMIF('DADOS BRUTOS'!$A$3:$A$500,$C27,'DADOS BRUTOS'!BZ$3:BZ$500)))</f>
        <v>0</v>
      </c>
      <c r="FA27" s="133" t="n">
        <f aca="false">IF(OR(FA$4="",$B27=""),0,SUMIF('DADOS BRUTOS'!$A$3:$A$500,$B27,'DADOS BRUTOS'!CA$3:CA$500)+IF($C27="",0,SUMIF('DADOS BRUTOS'!$A$3:$A$500,$C27,'DADOS BRUTOS'!CA$3:CA$500)))</f>
        <v>0</v>
      </c>
      <c r="FB27" s="133" t="n">
        <f aca="false">IF(OR(FB$4="",$B27=""),0,SUMIF('DADOS BRUTOS'!$A$3:$A$500,$B27,'DADOS BRUTOS'!CB$3:CB$500)+IF($C27="",0,SUMIF('DADOS BRUTOS'!$A$3:$A$500,$C27,'DADOS BRUTOS'!CB$3:CB$500)))</f>
        <v>0</v>
      </c>
      <c r="FC27" s="133" t="n">
        <f aca="false">IF(OR(FC$4="",$B27=""),0,SUMIF('DADOS BRUTOS'!$A$3:$A$500,$B27,'DADOS BRUTOS'!CC$3:CC$500)+IF($C27="",0,SUMIF('DADOS BRUTOS'!$A$3:$A$500,$C27,'DADOS BRUTOS'!CC$3:CC$500)))</f>
        <v>0</v>
      </c>
      <c r="FD27" s="133" t="n">
        <f aca="false">IF(OR(FD$4="",$B27=""),0,SUMIF('DADOS BRUTOS'!$A$3:$A$500,$B27,'DADOS BRUTOS'!CD$3:CD$500)+IF($C27="",0,SUMIF('DADOS BRUTOS'!$A$3:$A$500,$C27,'DADOS BRUTOS'!CD$3:CD$500)))</f>
        <v>0</v>
      </c>
      <c r="FE27" s="133" t="n">
        <f aca="false">IF(OR(FE$4="",$B27=""),0,SUMIF('DADOS BRUTOS'!$A$3:$A$500,$B27,'DADOS BRUTOS'!CE$3:CE$500)+IF($C27="",0,SUMIF('DADOS BRUTOS'!$A$3:$A$500,$C27,'DADOS BRUTOS'!CE$3:CE$500)))</f>
        <v>0</v>
      </c>
      <c r="FF27" s="133" t="n">
        <f aca="false">IF(OR(FF$4="",$B27=""),0,SUMIF('DADOS BRUTOS'!$A$3:$A$500,$B27,'DADOS BRUTOS'!CF$3:CF$500)+IF($C27="",0,SUMIF('DADOS BRUTOS'!$A$3:$A$500,$C27,'DADOS BRUTOS'!CF$3:CF$500)))</f>
        <v>0</v>
      </c>
      <c r="FG27" s="133" t="n">
        <f aca="false">IF(OR(FG$4="",$B27=""),0,SUMIF('DADOS BRUTOS'!$A$3:$A$500,$B27,'DADOS BRUTOS'!CG$3:CG$500)+IF($C27="",0,SUMIF('DADOS BRUTOS'!$A$3:$A$500,$C27,'DADOS BRUTOS'!CG$3:CG$500)))</f>
        <v>0</v>
      </c>
      <c r="FH27" s="133" t="n">
        <f aca="false">IF(OR(FH$4="",$B27=""),0,SUMIF('DADOS BRUTOS'!$A$3:$A$500,$B27,'DADOS BRUTOS'!CH$3:CH$500)+IF($C27="",0,SUMIF('DADOS BRUTOS'!$A$3:$A$500,$C27,'DADOS BRUTOS'!CH$3:CH$500)))</f>
        <v>0</v>
      </c>
      <c r="FI27" s="133" t="n">
        <f aca="false">IF(OR(FI$4="",$B27=""),0,SUMIF('DADOS BRUTOS'!$A$3:$A$500,$B27,'DADOS BRUTOS'!CI$3:CI$500)+IF($C27="",0,SUMIF('DADOS BRUTOS'!$A$3:$A$500,$C27,'DADOS BRUTOS'!CI$3:CI$500)))</f>
        <v>0</v>
      </c>
      <c r="FJ27" s="133" t="n">
        <f aca="false">IF(OR(FJ$4="",$B27=""),0,SUMIF('DADOS BRUTOS'!$A$3:$A$500,$B27,'DADOS BRUTOS'!CJ$3:CJ$500)+IF($C27="",0,SUMIF('DADOS BRUTOS'!$A$3:$A$500,$C27,'DADOS BRUTOS'!CJ$3:CJ$500)))</f>
        <v>0</v>
      </c>
      <c r="FK27" s="133" t="n">
        <f aca="false">IF(OR(FK$4="",$B27=""),0,SUMIF('DADOS BRUTOS'!$A$3:$A$500,$B27,'DADOS BRUTOS'!CK$3:CK$500)+IF($C27="",0,SUMIF('DADOS BRUTOS'!$A$3:$A$500,$C27,'DADOS BRUTOS'!CK$3:CK$500)))</f>
        <v>0</v>
      </c>
      <c r="FL27" s="133" t="n">
        <f aca="false">IF(OR(FL$4="",$B27=""),0,SUMIF('DADOS BRUTOS'!$A$3:$A$500,$B27,'DADOS BRUTOS'!CL$3:CL$500)+IF($C27="",0,SUMIF('DADOS BRUTOS'!$A$3:$A$500,$C27,'DADOS BRUTOS'!CL$3:CL$500)))</f>
        <v>0</v>
      </c>
      <c r="FM27" s="133" t="n">
        <f aca="false">IF(OR(FM$4="",$B27=""),0,SUMIF('DADOS BRUTOS'!$A$3:$A$500,$B27,'DADOS BRUTOS'!CM$3:CM$500)+IF($C27="",0,SUMIF('DADOS BRUTOS'!$A$3:$A$500,$C27,'DADOS BRUTOS'!CM$3:CM$500)))</f>
        <v>0</v>
      </c>
      <c r="FN27" s="133" t="n">
        <f aca="false">IF(OR(FN$4="",$B27=""),0,SUMIF('DADOS BRUTOS'!$A$3:$A$500,$B27,'DADOS BRUTOS'!CN$3:CN$500)+IF($C27="",0,SUMIF('DADOS BRUTOS'!$A$3:$A$500,$C27,'DADOS BRUTOS'!CN$3:CN$500)))</f>
        <v>0</v>
      </c>
      <c r="FO27" s="133" t="n">
        <f aca="false">IF(OR(FO$4="",$B27=""),0,SUMIF('DADOS BRUTOS'!$A$3:$A$500,$B27,'DADOS BRUTOS'!CO$3:CO$500)+IF($C27="",0,SUMIF('DADOS BRUTOS'!$A$3:$A$500,$C27,'DADOS BRUTOS'!CO$3:CO$500)))</f>
        <v>0</v>
      </c>
      <c r="FP27" s="133" t="n">
        <f aca="false">IF(OR(FP$4="",$B27=""),0,SUMIF('DADOS BRUTOS'!$A$3:$A$500,$B27,'DADOS BRUTOS'!CP$3:CP$500)+IF($C27="",0,SUMIF('DADOS BRUTOS'!$A$3:$A$500,$C27,'DADOS BRUTOS'!CP$3:CP$500)))</f>
        <v>0</v>
      </c>
      <c r="FQ27" s="133" t="n">
        <f aca="false">IF(OR(FQ$4="",$B27=""),0,SUMIF('DADOS BRUTOS'!$A$3:$A$500,$B27,'DADOS BRUTOS'!CQ$3:CQ$500)+IF($C27="",0,SUMIF('DADOS BRUTOS'!$A$3:$A$500,$C27,'DADOS BRUTOS'!CQ$3:CQ$500)))</f>
        <v>0</v>
      </c>
      <c r="FR27" s="133" t="n">
        <f aca="false">IF(OR(FR$4="",$B27=""),0,SUMIF('DADOS BRUTOS'!$A$3:$A$500,$B27,'DADOS BRUTOS'!CR$3:CR$500)+IF($C27="",0,SUMIF('DADOS BRUTOS'!$A$3:$A$500,$C27,'DADOS BRUTOS'!CR$3:CR$500)))</f>
        <v>0</v>
      </c>
      <c r="FS27" s="133" t="n">
        <f aca="false">IF(OR(FS$4="",$B27=""),0,SUMIF('DADOS BRUTOS'!$A$3:$A$500,$B27,'DADOS BRUTOS'!CS$3:CS$500)+IF($C27="",0,SUMIF('DADOS BRUTOS'!$A$3:$A$500,$C27,'DADOS BRUTOS'!CS$3:CS$500)))</f>
        <v>0</v>
      </c>
      <c r="FT27" s="133" t="n">
        <f aca="false">IF(OR(FT$4="",$B27=""),0,SUMIF('DADOS BRUTOS'!$A$3:$A$500,$B27,'DADOS BRUTOS'!CT$3:CT$500)+IF($C27="",0,SUMIF('DADOS BRUTOS'!$A$3:$A$500,$C27,'DADOS BRUTOS'!CT$3:CT$500)))</f>
        <v>0</v>
      </c>
      <c r="FU27" s="133" t="n">
        <f aca="false">IF(OR(FU$4="",$B27=""),0,SUMIF('DADOS BRUTOS'!$A$3:$A$500,$B27,'DADOS BRUTOS'!CU$3:CU$500)+IF($C27="",0,SUMIF('DADOS BRUTOS'!$A$3:$A$500,$C27,'DADOS BRUTOS'!CU$3:CU$500)))</f>
        <v>0</v>
      </c>
      <c r="FV27" s="133" t="n">
        <f aca="false">IF(OR(FV$4="",$B27=""),0,SUMIF('DADOS BRUTOS'!$A$3:$A$500,$B27,'DADOS BRUTOS'!CV$3:CV$500)+IF($C27="",0,SUMIF('DADOS BRUTOS'!$A$3:$A$500,$C27,'DADOS BRUTOS'!CV$3:CV$500)))</f>
        <v>0</v>
      </c>
      <c r="FW27" s="133" t="n">
        <f aca="false">IF(OR(FW$4="",$B27=""),0,SUMIF('DADOS BRUTOS'!$A$3:$A$500,$B27,'DADOS BRUTOS'!CW$3:CW$500)+IF($C27="",0,SUMIF('DADOS BRUTOS'!$A$3:$A$500,$C27,'DADOS BRUTOS'!CW$3:CW$500)))</f>
        <v>0</v>
      </c>
      <c r="FX27" s="133" t="n">
        <f aca="false">IF(OR(FX$4="",$B27=""),0,SUMIF('DADOS BRUTOS'!$A$3:$A$500,$B27,'DADOS BRUTOS'!CX$3:CX$500)+IF($C27="",0,SUMIF('DADOS BRUTOS'!$A$3:$A$500,$C27,'DADOS BRUTOS'!CX$3:CX$500)))</f>
        <v>0</v>
      </c>
      <c r="FY27" s="133" t="n">
        <f aca="false">IF(OR(FY$4="",$B27=""),0,SUMIF('DADOS BRUTOS'!$A$3:$A$500,$B27,'DADOS BRUTOS'!CY$3:CY$500)+IF($C27="",0,SUMIF('DADOS BRUTOS'!$A$3:$A$500,$C27,'DADOS BRUTOS'!CY$3:CY$500)))</f>
        <v>0</v>
      </c>
      <c r="FZ27" s="133" t="n">
        <f aca="false">IF(OR(FZ$4="",$B27=""),0,SUMIF('DADOS BRUTOS'!$A$3:$A$500,$B27,'DADOS BRUTOS'!CZ$3:CZ$500)+IF($C27="",0,SUMIF('DADOS BRUTOS'!$A$3:$A$500,$C27,'DADOS BRUTOS'!CZ$3:CZ$500)))</f>
        <v>0</v>
      </c>
      <c r="GA27" s="133" t="n">
        <f aca="false">IF(OR(GA$4="",$B27=""),0,SUMIF('DADOS BRUTOS'!$A$3:$A$500,$B27,'DADOS BRUTOS'!DA$3:DA$500)+IF($C27="",0,SUMIF('DADOS BRUTOS'!$A$3:$A$500,$C27,'DADOS BRUTOS'!DA$3:DA$500)))</f>
        <v>0</v>
      </c>
      <c r="GB27" s="133" t="n">
        <f aca="false">IF(OR(GB$4="",$B27=""),0,SUMIF('DADOS BRUTOS'!$A$3:$A$500,$B27,'DADOS BRUTOS'!DB$3:DB$500)+IF($C27="",0,SUMIF('DADOS BRUTOS'!$A$3:$A$500,$C27,'DADOS BRUTOS'!DB$3:DB$500)))</f>
        <v>0</v>
      </c>
      <c r="GC27" s="133" t="n">
        <f aca="false">IF(OR(GC$4="",$B27=""),0,SUMIF('DADOS BRUTOS'!$A$3:$A$500,$B27,'DADOS BRUTOS'!DC$3:DC$500)+IF($C27="",0,SUMIF('DADOS BRUTOS'!$A$3:$A$500,$C27,'DADOS BRUTOS'!DC$3:DC$500)))</f>
        <v>0</v>
      </c>
      <c r="GD27" s="133" t="n">
        <f aca="false">IF(OR(GD$4="",$B27=""),0,SUMIF('DADOS BRUTOS'!$A$3:$A$500,$B27,'DADOS BRUTOS'!DD$3:DD$500)+IF($C27="",0,SUMIF('DADOS BRUTOS'!$A$3:$A$500,$C27,'DADOS BRUTOS'!DD$3:DD$500)))</f>
        <v>0</v>
      </c>
      <c r="GE27" s="133" t="n">
        <f aca="false">IF(OR(GE$4="",$B27=""),0,SUMIF('DADOS BRUTOS'!$A$3:$A$500,$B27,'DADOS BRUTOS'!DE$3:DE$500)+IF($C27="",0,SUMIF('DADOS BRUTOS'!$A$3:$A$500,$C27,'DADOS BRUTOS'!DE$3:DE$500)))</f>
        <v>0</v>
      </c>
      <c r="GF27" s="133" t="n">
        <f aca="false">IF(OR(GF$4="",$B27=""),0,SUMIF('DADOS BRUTOS'!$A$3:$A$500,$B27,'DADOS BRUTOS'!DF$3:DF$500)+IF($C27="",0,SUMIF('DADOS BRUTOS'!$A$3:$A$500,$C27,'DADOS BRUTOS'!DF$3:DF$500)))</f>
        <v>0</v>
      </c>
      <c r="GG27" s="133" t="n">
        <f aca="false">IF(OR(GG$4="",$B27=""),0,SUMIF('DADOS BRUTOS'!$A$3:$A$500,$B27,'DADOS BRUTOS'!DG$3:DG$500)+IF($C27="",0,SUMIF('DADOS BRUTOS'!$A$3:$A$500,$C27,'DADOS BRUTOS'!DG$3:DG$500)))</f>
        <v>0</v>
      </c>
      <c r="GH27" s="133" t="n">
        <f aca="false">IF(OR(GH$4="",$B27=""),0,SUMIF('DADOS BRUTOS'!$A$3:$A$500,$B27,'DADOS BRUTOS'!DH$3:DH$500)+IF($C27="",0,SUMIF('DADOS BRUTOS'!$A$3:$A$500,$C27,'DADOS BRUTOS'!DH$3:DH$500)))</f>
        <v>0</v>
      </c>
      <c r="GI27" s="133" t="n">
        <f aca="false">IF(OR(GI$4="",$B27=""),0,SUMIF('DADOS BRUTOS'!$A$3:$A$500,$B27,'DADOS BRUTOS'!DI$3:DI$500)+IF($C27="",0,SUMIF('DADOS BRUTOS'!$A$3:$A$500,$C27,'DADOS BRUTOS'!DI$3:DI$500)))</f>
        <v>0</v>
      </c>
      <c r="GJ27" s="133" t="n">
        <f aca="false">IF(OR(GJ$4="",$B27=""),0,SUMIF('DADOS BRUTOS'!$A$3:$A$500,$B27,'DADOS BRUTOS'!DJ$3:DJ$500)+IF($C27="",0,SUMIF('DADOS BRUTOS'!$A$3:$A$500,$C27,'DADOS BRUTOS'!DJ$3:DJ$500)))</f>
        <v>0</v>
      </c>
      <c r="GK27" s="133" t="n">
        <f aca="false">IF(OR(GK$4="",$B27=""),0,SUMIF('DADOS BRUTOS'!$A$3:$A$500,$B27,'DADOS BRUTOS'!DK$3:DK$500)+IF($C27="",0,SUMIF('DADOS BRUTOS'!$A$3:$A$500,$C27,'DADOS BRUTOS'!DK$3:DK$500)))</f>
        <v>0</v>
      </c>
      <c r="GL27" s="133" t="n">
        <f aca="false">IF(OR(GL$4="",$B27=""),0,SUMIF('DADOS BRUTOS'!$A$3:$A$500,$B27,'DADOS BRUTOS'!DL$3:DL$500)+IF($C27="",0,SUMIF('DADOS BRUTOS'!$A$3:$A$500,$C27,'DADOS BRUTOS'!DL$3:DL$500)))</f>
        <v>0</v>
      </c>
      <c r="GM27" s="133" t="n">
        <f aca="false">IF(OR(GM$4="",$B27=""),0,SUMIF('DADOS BRUTOS'!$A$3:$A$500,$B27,'DADOS BRUTOS'!DM$3:DM$500)+IF($C27="",0,SUMIF('DADOS BRUTOS'!$A$3:$A$500,$C27,'DADOS BRUTOS'!DM$3:DM$500)))</f>
        <v>0</v>
      </c>
      <c r="GN27" s="133" t="n">
        <f aca="false">IF(OR(GN$4="",$B27=""),0,SUMIF('DADOS BRUTOS'!$A$3:$A$500,$B27,'DADOS BRUTOS'!DN$3:DN$500)+IF($C27="",0,SUMIF('DADOS BRUTOS'!$A$3:$A$500,$C27,'DADOS BRUTOS'!DN$3:DN$500)))</f>
        <v>0</v>
      </c>
      <c r="GO27" s="133" t="n">
        <f aca="false">IF(OR(GO$4="",$B27=""),0,SUMIF('DADOS BRUTOS'!$A$3:$A$500,$B27,'DADOS BRUTOS'!DO$3:DO$500)+IF($C27="",0,SUMIF('DADOS BRUTOS'!$A$3:$A$500,$C27,'DADOS BRUTOS'!DO$3:DO$500)))</f>
        <v>0</v>
      </c>
      <c r="GP27" s="133" t="n">
        <f aca="false">IF(OR(GP$4="",$B27=""),0,SUMIF('DADOS BRUTOS'!$A$3:$A$500,$B27,'DADOS BRUTOS'!DP$3:DP$500)+IF($C27="",0,SUMIF('DADOS BRUTOS'!$A$3:$A$500,$C27,'DADOS BRUTOS'!DP$3:DP$500)))</f>
        <v>0</v>
      </c>
      <c r="GQ27" s="133" t="n">
        <f aca="false">IF(OR(GQ$4="",$B27=""),0,SUMIF('DADOS BRUTOS'!$A$3:$A$500,$B27,'DADOS BRUTOS'!DQ$3:DQ$500)+IF($C27="",0,SUMIF('DADOS BRUTOS'!$A$3:$A$500,$C27,'DADOS BRUTOS'!DQ$3:DQ$500)))</f>
        <v>0</v>
      </c>
      <c r="GR27" s="133" t="n">
        <f aca="false">IF(OR(GR$4="",$B27=""),0,SUMIF('DADOS BRUTOS'!$A$3:$A$500,$B27,'DADOS BRUTOS'!DR$3:DR$500)+IF($C27="",0,SUMIF('DADOS BRUTOS'!$A$3:$A$500,$C27,'DADOS BRUTOS'!DR$3:DR$500)))</f>
        <v>0</v>
      </c>
      <c r="GS27" s="133" t="n">
        <f aca="false">IF(OR(GS$4="",$B27=""),0,SUMIF('DADOS BRUTOS'!$A$3:$A$500,$B27,'DADOS BRUTOS'!DS$3:DS$500)+IF($C27="",0,SUMIF('DADOS BRUTOS'!$A$3:$A$500,$C27,'DADOS BRUTOS'!DS$3:DS$500)))</f>
        <v>0</v>
      </c>
      <c r="GT27" s="133" t="n">
        <f aca="false">IF(OR(GT$4="",$B27=""),0,SUMIF('DADOS BRUTOS'!$A$3:$A$500,$B27,'DADOS BRUTOS'!DT$3:DT$500)+IF($C27="",0,SUMIF('DADOS BRUTOS'!$A$3:$A$500,$C27,'DADOS BRUTOS'!DT$3:DT$500)))</f>
        <v>0</v>
      </c>
      <c r="GU27" s="133" t="n">
        <f aca="false">IF(OR(GU$4="",$B27=""),0,SUMIF('DADOS BRUTOS'!$A$3:$A$500,$B27,'DADOS BRUTOS'!DU$3:DU$500)+IF($C27="",0,SUMIF('DADOS BRUTOS'!$A$3:$A$500,$C27,'DADOS BRUTOS'!DU$3:DU$500)))</f>
        <v>0</v>
      </c>
      <c r="GV27" s="133" t="n">
        <f aca="false">IF(OR(GV$4="",$B27=""),0,SUMIF('DADOS BRUTOS'!$A$3:$A$500,$B27,'DADOS BRUTOS'!DV$3:DV$500)+IF($C27="",0,SUMIF('DADOS BRUTOS'!$A$3:$A$500,$C27,'DADOS BRUTOS'!DV$3:DV$500)))</f>
        <v>0</v>
      </c>
      <c r="GW27" s="133" t="n">
        <f aca="false">IF(OR(GW$4="",$B27=""),0,SUMIF('DADOS BRUTOS'!$A$3:$A$500,$B27,'DADOS BRUTOS'!DW$3:DW$500)+IF($C27="",0,SUMIF('DADOS BRUTOS'!$A$3:$A$500,$C27,'DADOS BRUTOS'!DW$3:DW$500)))</f>
        <v>0</v>
      </c>
      <c r="GX27" s="133" t="n">
        <f aca="false">IF(OR(GX$4="",$B27=""),0,SUMIF('DADOS BRUTOS'!$A$3:$A$500,$B27,'DADOS BRUTOS'!DX$3:DX$500)+IF($C27="",0,SUMIF('DADOS BRUTOS'!$A$3:$A$500,$C27,'DADOS BRUTOS'!DX$3:DX$500)))</f>
        <v>0</v>
      </c>
      <c r="GY27" s="133" t="n">
        <f aca="false">IF(OR(GY$4="",$B27=""),0,SUMIF('DADOS BRUTOS'!$A$3:$A$500,$B27,'DADOS BRUTOS'!DY$3:DY$500)+IF($C27="",0,SUMIF('DADOS BRUTOS'!$A$3:$A$500,$C27,'DADOS BRUTOS'!DY$3:DY$500)))</f>
        <v>0</v>
      </c>
      <c r="GZ27" s="133" t="n">
        <f aca="false">IF(OR(GZ$4="",$B27=""),0,SUMIF('DADOS BRUTOS'!$A$3:$A$500,$B27,'DADOS BRUTOS'!DZ$3:DZ$500)+IF($C27="",0,SUMIF('DADOS BRUTOS'!$A$3:$A$500,$C27,'DADOS BRUTOS'!DZ$3:DZ$500)))</f>
        <v>0</v>
      </c>
      <c r="HA27" s="133" t="n">
        <f aca="false">IF(OR(HA$4="",$B27=""),0,SUMIF('DADOS BRUTOS'!$A$3:$A$500,$B27,'DADOS BRUTOS'!EA$3:EA$500)+IF($C27="",0,SUMIF('DADOS BRUTOS'!$A$3:$A$500,$C27,'DADOS BRUTOS'!EA$3:EA$500)))</f>
        <v>0</v>
      </c>
      <c r="HB27" s="133" t="n">
        <f aca="false">IF(OR(HB$4="",$B27=""),0,SUMIF('DADOS BRUTOS'!$A$3:$A$500,$B27,'DADOS BRUTOS'!EB$3:EB$500)+IF($C27="",0,SUMIF('DADOS BRUTOS'!$A$3:$A$500,$C27,'DADOS BRUTOS'!EB$3:EB$500)))</f>
        <v>0</v>
      </c>
      <c r="HC27" s="133" t="n">
        <f aca="false">IF(OR(HC$4="",$B27=""),0,SUMIF('DADOS BRUTOS'!$A$3:$A$500,$B27,'DADOS BRUTOS'!EC$3:EC$500)+IF($C27="",0,SUMIF('DADOS BRUTOS'!$A$3:$A$500,$C27,'DADOS BRUTOS'!EC$3:EC$500)))</f>
        <v>0</v>
      </c>
      <c r="HD27" s="133" t="n">
        <f aca="false">IF(OR(HD$4="",$B27=""),0,SUMIF('DADOS BRUTOS'!$A$3:$A$500,$B27,'DADOS BRUTOS'!ED$3:ED$500)+IF($C27="",0,SUMIF('DADOS BRUTOS'!$A$3:$A$500,$C27,'DADOS BRUTOS'!ED$3:ED$500)))</f>
        <v>0</v>
      </c>
      <c r="HE27" s="133" t="n">
        <f aca="false">IF(OR(HE$4="",$B27=""),0,SUMIF('DADOS BRUTOS'!$A$3:$A$500,$B27,'DADOS BRUTOS'!EE$3:EE$500)+IF($C27="",0,SUMIF('DADOS BRUTOS'!$A$3:$A$500,$C27,'DADOS BRUTOS'!EE$3:EE$500)))</f>
        <v>0</v>
      </c>
      <c r="HF27" s="133" t="n">
        <f aca="false">IF(OR(HF$4="",$B27=""),0,SUMIF('DADOS BRUTOS'!$A$3:$A$500,$B27,'DADOS BRUTOS'!EF$3:EF$500)+IF($C27="",0,SUMIF('DADOS BRUTOS'!$A$3:$A$500,$C27,'DADOS BRUTOS'!EF$3:EF$500)))</f>
        <v>0</v>
      </c>
      <c r="HG27" s="133" t="n">
        <f aca="false">IF(OR(HG$4="",$B27=""),0,SUMIF('DADOS BRUTOS'!$A$3:$A$500,$B27,'DADOS BRUTOS'!EG$3:EG$500)+IF($C27="",0,SUMIF('DADOS BRUTOS'!$A$3:$A$500,$C27,'DADOS BRUTOS'!EG$3:EG$500)))</f>
        <v>0</v>
      </c>
      <c r="HH27" s="133" t="n">
        <f aca="false">IF(OR(HH$4="",$B27=""),0,SUMIF('DADOS BRUTOS'!$A$3:$A$500,$B27,'DADOS BRUTOS'!EH$3:EH$500)+IF($C27="",0,SUMIF('DADOS BRUTOS'!$A$3:$A$500,$C27,'DADOS BRUTOS'!EH$3:EH$500)))</f>
        <v>0</v>
      </c>
      <c r="HI27" s="133" t="n">
        <f aca="false">IF(OR(HI$4="",$B27=""),0,SUMIF('DADOS BRUTOS'!$A$3:$A$500,$B27,'DADOS BRUTOS'!EI$3:EI$500)+IF($C27="",0,SUMIF('DADOS BRUTOS'!$A$3:$A$500,$C27,'DADOS BRUTOS'!EI$3:EI$500)))</f>
        <v>0</v>
      </c>
      <c r="HJ27" s="133" t="n">
        <f aca="false">IF(OR(HJ$4="",$B27=""),0,SUMIF('DADOS BRUTOS'!$A$3:$A$500,$B27,'DADOS BRUTOS'!EJ$3:EJ$500)+IF($C27="",0,SUMIF('DADOS BRUTOS'!$A$3:$A$500,$C27,'DADOS BRUTOS'!EJ$3:EJ$500)))</f>
        <v>0</v>
      </c>
      <c r="HK27" s="133" t="n">
        <f aca="false">IF(OR(HK$4="",$B27=""),0,SUMIF('DADOS BRUTOS'!$A$3:$A$500,$B27,'DADOS BRUTOS'!EK$3:EK$500)+IF($C27="",0,SUMIF('DADOS BRUTOS'!$A$3:$A$500,$C27,'DADOS BRUTOS'!EK$3:EK$500)))</f>
        <v>0</v>
      </c>
      <c r="HL27" s="133" t="n">
        <f aca="false">IF(OR(HL$4="",$B27=""),0,SUMIF('DADOS BRUTOS'!$A$3:$A$500,$B27,'DADOS BRUTOS'!EL$3:EL$500)+IF($C27="",0,SUMIF('DADOS BRUTOS'!$A$3:$A$500,$C27,'DADOS BRUTOS'!EL$3:EL$500)))</f>
        <v>0</v>
      </c>
      <c r="HM27" s="133" t="n">
        <f aca="false">IF(OR(HM$4="",$B27=""),0,SUMIF('DADOS BRUTOS'!$A$3:$A$500,$B27,'DADOS BRUTOS'!EM$3:EM$500)+IF($C27="",0,SUMIF('DADOS BRUTOS'!$A$3:$A$500,$C27,'DADOS BRUTOS'!EM$3:EM$500)))</f>
        <v>0</v>
      </c>
      <c r="HN27" s="133" t="n">
        <f aca="false">IF(OR(HN$4="",$B27=""),0,SUMIF('DADOS BRUTOS'!$A$3:$A$500,$B27,'DADOS BRUTOS'!EN$3:EN$500)+IF($C27="",0,SUMIF('DADOS BRUTOS'!$A$3:$A$500,$C27,'DADOS BRUTOS'!EN$3:EN$500)))</f>
        <v>0</v>
      </c>
      <c r="HO27" s="133" t="n">
        <f aca="false">IF(OR(HO$4="",$B27=""),0,SUMIF('DADOS BRUTOS'!$A$3:$A$500,$B27,'DADOS BRUTOS'!EO$3:EO$500)+IF($C27="",0,SUMIF('DADOS BRUTOS'!$A$3:$A$500,$C27,'DADOS BRUTOS'!EO$3:EO$500)))</f>
        <v>0</v>
      </c>
      <c r="HP27" s="133" t="n">
        <f aca="false">IF(OR(HP$4="",$B27=""),0,SUMIF('DADOS BRUTOS'!$A$3:$A$500,$B27,'DADOS BRUTOS'!EP$3:EP$500)+IF($C27="",0,SUMIF('DADOS BRUTOS'!$A$3:$A$500,$C27,'DADOS BRUTOS'!EP$3:EP$500)))</f>
        <v>0</v>
      </c>
      <c r="HQ27" s="133" t="n">
        <f aca="false">IF(OR(HQ$4="",$B27=""),0,SUMIF('DADOS BRUTOS'!$A$3:$A$500,$B27,'DADOS BRUTOS'!EQ$3:EQ$500)+IF($C27="",0,SUMIF('DADOS BRUTOS'!$A$3:$A$500,$C27,'DADOS BRUTOS'!EQ$3:EQ$500)))</f>
        <v>0</v>
      </c>
      <c r="HR27" s="133" t="n">
        <f aca="false">IF(OR(HR$4="",$B27=""),0,SUMIF('DADOS BRUTOS'!$A$3:$A$500,$B27,'DADOS BRUTOS'!ER$3:ER$500)+IF($C27="",0,SUMIF('DADOS BRUTOS'!$A$3:$A$500,$C27,'DADOS BRUTOS'!ER$3:ER$500)))</f>
        <v>0</v>
      </c>
      <c r="HS27" s="133" t="n">
        <f aca="false">IF(OR(HS$4="",$B27=""),0,SUMIF('DADOS BRUTOS'!$A$3:$A$500,$B27,'DADOS BRUTOS'!ES$3:ES$500)+IF($C27="",0,SUMIF('DADOS BRUTOS'!$A$3:$A$500,$C27,'DADOS BRUTOS'!ES$3:ES$500)))</f>
        <v>0</v>
      </c>
      <c r="HT27" s="133" t="n">
        <f aca="false">IF(OR(HT$4="",$B27=""),0,SUMIF('DADOS BRUTOS'!$A$3:$A$500,$B27,'DADOS BRUTOS'!ET$3:ET$500)+IF($C27="",0,SUMIF('DADOS BRUTOS'!$A$3:$A$500,$C27,'DADOS BRUTOS'!ET$3:ET$500)))</f>
        <v>0</v>
      </c>
      <c r="HU27" s="133" t="n">
        <f aca="false">IF(OR(HU$4="",$B27=""),0,SUMIF('DADOS BRUTOS'!$A$3:$A$500,$B27,'DADOS BRUTOS'!EU$3:EU$500)+IF($C27="",0,SUMIF('DADOS BRUTOS'!$A$3:$A$500,$C27,'DADOS BRUTOS'!EU$3:EU$500)))</f>
        <v>0</v>
      </c>
      <c r="HV27" s="133" t="n">
        <f aca="false">IF(OR(HV$4="",$B27=""),0,SUMIF('DADOS BRUTOS'!$A$3:$A$500,$B27,'DADOS BRUTOS'!EV$3:EV$500)+IF($C27="",0,SUMIF('DADOS BRUTOS'!$A$3:$A$500,$C27,'DADOS BRUTOS'!EV$3:EV$500)))</f>
        <v>0</v>
      </c>
      <c r="HW27" s="133" t="n">
        <f aca="false">IF(OR(HW$4="",$B27=""),0,SUMIF('DADOS BRUTOS'!$A$3:$A$500,$B27,'DADOS BRUTOS'!EW$3:EW$500)+IF($C27="",0,SUMIF('DADOS BRUTOS'!$A$3:$A$500,$C27,'DADOS BRUTOS'!EW$3:EW$500)))</f>
        <v>0</v>
      </c>
      <c r="HX27" s="133" t="n">
        <f aca="false">IF(OR(HX$4="",$B27=""),0,SUMIF('DADOS BRUTOS'!$A$3:$A$500,$B27,'DADOS BRUTOS'!EX$3:EX$500)+IF($C27="",0,SUMIF('DADOS BRUTOS'!$A$3:$A$500,$C27,'DADOS BRUTOS'!EX$3:EX$500)))</f>
        <v>0</v>
      </c>
      <c r="HY27" s="133" t="n">
        <f aca="false">IF(OR(HY$4="",$B27=""),0,SUMIF('DADOS BRUTOS'!$A$3:$A$500,$B27,'DADOS BRUTOS'!EY$3:EY$500)+IF($C27="",0,SUMIF('DADOS BRUTOS'!$A$3:$A$500,$C27,'DADOS BRUTOS'!EY$3:EY$500)))</f>
        <v>0</v>
      </c>
      <c r="HZ27" s="133" t="n">
        <f aca="false">IF(OR(HZ$4="",$B27=""),0,SUMIF('DADOS BRUTOS'!$A$3:$A$500,$B27,'DADOS BRUTOS'!EZ$3:EZ$500)+IF($C27="",0,SUMIF('DADOS BRUTOS'!$A$3:$A$500,$C27,'DADOS BRUTOS'!EZ$3:EZ$500)))</f>
        <v>0</v>
      </c>
      <c r="IA27" s="133" t="n">
        <f aca="false">IF(OR(IA$4="",$B27=""),0,SUMIF('DADOS BRUTOS'!$A$3:$A$500,$B27,'DADOS BRUTOS'!FA$3:FA$500)+IF($C27="",0,SUMIF('DADOS BRUTOS'!$A$3:$A$500,$C27,'DADOS BRUTOS'!FA$3:FA$500)))</f>
        <v>0</v>
      </c>
      <c r="IB27" s="133" t="n">
        <f aca="false">IF(OR(IB$4="",$B27=""),0,SUMIF('DADOS BRUTOS'!$A$3:$A$500,$B27,'DADOS BRUTOS'!FB$3:FB$500)+IF($C27="",0,SUMIF('DADOS BRUTOS'!$A$3:$A$500,$C27,'DADOS BRUTOS'!FB$3:FB$500)))</f>
        <v>0</v>
      </c>
      <c r="IC27" s="133" t="n">
        <f aca="false">IF(OR(IC$4="",$B27=""),0,SUMIF('DADOS BRUTOS'!$A$3:$A$500,$B27,'DADOS BRUTOS'!FC$3:FC$500)+IF($C27="",0,SUMIF('DADOS BRUTOS'!$A$3:$A$500,$C27,'DADOS BRUTOS'!FC$3:FC$500)))</f>
        <v>0</v>
      </c>
      <c r="ID27" s="133" t="n">
        <f aca="false">IF(OR(ID$4="",$B27=""),0,SUMIF('DADOS BRUTOS'!$A$3:$A$500,$B27,'DADOS BRUTOS'!FD$3:FD$500)+IF($C27="",0,SUMIF('DADOS BRUTOS'!$A$3:$A$500,$C27,'DADOS BRUTOS'!FD$3:FD$500)))</f>
        <v>0</v>
      </c>
      <c r="IE27" s="133" t="n">
        <f aca="false">IF(OR(IE$4="",$B27=""),0,SUMIF('DADOS BRUTOS'!$A$3:$A$500,$B27,'DADOS BRUTOS'!FE$3:FE$500)+IF($C27="",0,SUMIF('DADOS BRUTOS'!$A$3:$A$500,$C27,'DADOS BRUTOS'!FE$3:FE$500)))</f>
        <v>0</v>
      </c>
      <c r="IF27" s="133" t="n">
        <f aca="false">IF(OR(IF$4="",$B27=""),0,SUMIF('DADOS BRUTOS'!$A$3:$A$500,$B27,'DADOS BRUTOS'!FF$3:FF$500)+IF($C27="",0,SUMIF('DADOS BRUTOS'!$A$3:$A$500,$C27,'DADOS BRUTOS'!FF$3:FF$500)))</f>
        <v>0</v>
      </c>
      <c r="IG27" s="133" t="n">
        <f aca="false">IF(OR(IG$4="",$B27=""),0,SUMIF('DADOS BRUTOS'!$A$3:$A$500,$B27,'DADOS BRUTOS'!FG$3:FG$500)+IF($C27="",0,SUMIF('DADOS BRUTOS'!$A$3:$A$500,$C27,'DADOS BRUTOS'!FG$3:FG$500)))</f>
        <v>0</v>
      </c>
      <c r="IH27" s="133" t="n">
        <f aca="false">IF(OR(IH$4="",$B27=""),0,SUMIF('DADOS BRUTOS'!$A$3:$A$500,$B27,'DADOS BRUTOS'!FH$3:FH$500)+IF($C27="",0,SUMIF('DADOS BRUTOS'!$A$3:$A$500,$C27,'DADOS BRUTOS'!FH$3:FH$500)))</f>
        <v>0</v>
      </c>
      <c r="II27" s="133" t="n">
        <f aca="false">IF(OR(II$4="",$B27=""),0,SUMIF('DADOS BRUTOS'!$A$3:$A$500,$B27,'DADOS BRUTOS'!FI$3:FI$500)+IF($C27="",0,SUMIF('DADOS BRUTOS'!$A$3:$A$500,$C27,'DADOS BRUTOS'!FI$3:FI$500)))</f>
        <v>0</v>
      </c>
      <c r="IJ27" s="133" t="n">
        <f aca="false">IF(OR(IJ$4="",$B27=""),0,SUMIF('DADOS BRUTOS'!$A$3:$A$500,$B27,'DADOS BRUTOS'!FJ$3:FJ$500)+IF($C27="",0,SUMIF('DADOS BRUTOS'!$A$3:$A$500,$C27,'DADOS BRUTOS'!FJ$3:FJ$500)))</f>
        <v>0</v>
      </c>
      <c r="IK27" s="133" t="n">
        <f aca="false">IF(OR(IK$4="",$B27=""),0,SUMIF('DADOS BRUTOS'!$A$3:$A$500,$B27,'DADOS BRUTOS'!FK$3:FK$500)+IF($C27="",0,SUMIF('DADOS BRUTOS'!$A$3:$A$500,$C27,'DADOS BRUTOS'!FK$3:FK$500)))</f>
        <v>0</v>
      </c>
      <c r="IL27" s="133" t="n">
        <f aca="false">IF(OR(IL$4="",$B27=""),0,SUMIF('DADOS BRUTOS'!$A$3:$A$500,$B27,'DADOS BRUTOS'!FL$3:FL$500)+IF($C27="",0,SUMIF('DADOS BRUTOS'!$A$3:$A$500,$C27,'DADOS BRUTOS'!FL$3:FL$500)))</f>
        <v>0</v>
      </c>
      <c r="IM27" s="133" t="n">
        <f aca="false">IF(OR(IM$4="",$B27=""),0,SUMIF('DADOS BRUTOS'!$A$3:$A$500,$B27,'DADOS BRUTOS'!FM$3:FM$500)+IF($C27="",0,SUMIF('DADOS BRUTOS'!$A$3:$A$500,$C27,'DADOS BRUTOS'!FM$3:FM$500)))</f>
        <v>0</v>
      </c>
      <c r="IN27" s="133" t="n">
        <f aca="false">IF(OR(IN$4="",$B27=""),0,SUMIF('DADOS BRUTOS'!$A$3:$A$500,$B27,'DADOS BRUTOS'!FN$3:FN$500)+IF($C27="",0,SUMIF('DADOS BRUTOS'!$A$3:$A$500,$C27,'DADOS BRUTOS'!FN$3:FN$500)))</f>
        <v>0</v>
      </c>
      <c r="IO27" s="133" t="n">
        <f aca="false">IF(OR(IO$4="",$B27=""),0,SUMIF('DADOS BRUTOS'!$A$3:$A$500,$B27,'DADOS BRUTOS'!FO$3:FO$500)+IF($C27="",0,SUMIF('DADOS BRUTOS'!$A$3:$A$500,$C27,'DADOS BRUTOS'!FO$3:FO$500)))</f>
        <v>0</v>
      </c>
      <c r="IP27" s="133" t="n">
        <f aca="false">IF(OR(IP$4="",$B27=""),0,SUMIF('DADOS BRUTOS'!$A$3:$A$500,$B27,'DADOS BRUTOS'!FP$3:FP$500)+IF($C27="",0,SUMIF('DADOS BRUTOS'!$A$3:$A$500,$C27,'DADOS BRUTOS'!FP$3:FP$500)))</f>
        <v>0</v>
      </c>
      <c r="IQ27" s="133" t="n">
        <f aca="false">IF(OR(IQ$4="",$B27=""),0,SUMIF('DADOS BRUTOS'!$A$3:$A$500,$B27,'DADOS BRUTOS'!FQ$3:FQ$500)+IF($C27="",0,SUMIF('DADOS BRUTOS'!$A$3:$A$500,$C27,'DADOS BRUTOS'!FQ$3:FQ$500)))</f>
        <v>0</v>
      </c>
      <c r="IR27" s="133" t="n">
        <f aca="false">IF(OR(IR$4="",$B27=""),0,SUMIF('DADOS BRUTOS'!$A$3:$A$500,$B27,'DADOS BRUTOS'!FR$3:FR$500)+IF($C27="",0,SUMIF('DADOS BRUTOS'!$A$3:$A$500,$C27,'DADOS BRUTOS'!FR$3:FR$500)))</f>
        <v>0</v>
      </c>
      <c r="IS27" s="133" t="n">
        <f aca="false">IF(OR(IS$4="",$B27=""),0,SUMIF('DADOS BRUTOS'!$A$3:$A$500,$B27,'DADOS BRUTOS'!FS$3:FS$500)+IF($C27="",0,SUMIF('DADOS BRUTOS'!$A$3:$A$500,$C27,'DADOS BRUTOS'!FS$3:FS$500)))</f>
        <v>0</v>
      </c>
      <c r="IT27" s="133" t="n">
        <f aca="false">IF(OR(IT$4="",$B27=""),0,SUMIF('DADOS BRUTOS'!$A$3:$A$500,$B27,'DADOS BRUTOS'!FT$3:FT$500)+IF($C27="",0,SUMIF('DADOS BRUTOS'!$A$3:$A$500,$C27,'DADOS BRUTOS'!FT$3:FT$500)))</f>
        <v>0</v>
      </c>
      <c r="IU27" s="133" t="n">
        <f aca="false">IF(OR(IU$4="",$B27=""),0,SUMIF('DADOS BRUTOS'!$A$3:$A$500,$B27,'DADOS BRUTOS'!FU$3:FU$500)+IF($C27="",0,SUMIF('DADOS BRUTOS'!$A$3:$A$500,$C27,'DADOS BRUTOS'!FU$3:FU$500)))</f>
        <v>0</v>
      </c>
      <c r="IV27" s="133" t="n">
        <f aca="false">IF(OR(IV$4="",$B27=""),0,SUMIF('DADOS BRUTOS'!$A$3:$A$500,$B27,'DADOS BRUTOS'!FV$3:FV$500)+IF($C27="",0,SUMIF('DADOS BRUTOS'!$A$3:$A$500,$C27,'DADOS BRUTOS'!FV$3:FV$500)))</f>
        <v>0</v>
      </c>
      <c r="IW27" s="133" t="n">
        <f aca="false">IF(OR(IW$4="",$B27=""),0,SUMIF('DADOS BRUTOS'!$A$3:$A$500,$B27,'DADOS BRUTOS'!FW$3:FW$500)+IF($C27="",0,SUMIF('DADOS BRUTOS'!$A$3:$A$500,$C27,'DADOS BRUTOS'!FW$3:FW$500)))</f>
        <v>0</v>
      </c>
      <c r="IX27" s="133" t="n">
        <f aca="false">IF(OR(IX$4="",$B27=""),0,SUMIF('DADOS BRUTOS'!$A$3:$A$500,$B27,'DADOS BRUTOS'!FX$3:FX$500)+IF($C27="",0,SUMIF('DADOS BRUTOS'!$A$3:$A$500,$C27,'DADOS BRUTOS'!FX$3:FX$500)))</f>
        <v>0</v>
      </c>
      <c r="IY27" s="133" t="n">
        <f aca="false">IF(OR(IY$4="",$B27=""),0,SUMIF('DADOS BRUTOS'!$A$3:$A$500,$B27,'DADOS BRUTOS'!FY$3:FY$500)+IF($C27="",0,SUMIF('DADOS BRUTOS'!$A$3:$A$500,$C27,'DADOS BRUTOS'!FY$3:FY$500)))</f>
        <v>0</v>
      </c>
      <c r="IZ27" s="133" t="n">
        <f aca="false">IF(OR(IZ$4="",$B27=""),0,SUMIF('DADOS BRUTOS'!$A$3:$A$500,$B27,'DADOS BRUTOS'!FZ$3:FZ$500)+IF($C27="",0,SUMIF('DADOS BRUTOS'!$A$3:$A$500,$C27,'DADOS BRUTOS'!FZ$3:FZ$500)))</f>
        <v>0</v>
      </c>
      <c r="JA27" s="133" t="n">
        <f aca="false">IF(OR(JA$4="",$B27=""),0,SUMIF('DADOS BRUTOS'!$A$3:$A$500,$B27,'DADOS BRUTOS'!GA$3:GA$500)+IF($C27="",0,SUMIF('DADOS BRUTOS'!$A$3:$A$500,$C27,'DADOS BRUTOS'!GA$3:GA$500)))</f>
        <v>0</v>
      </c>
      <c r="JB27" s="133" t="n">
        <f aca="false">IF(OR(JB$4="",$B27=""),0,SUMIF('DADOS BRUTOS'!$A$3:$A$500,$B27,'DADOS BRUTOS'!GB$3:GB$500)+IF($C27="",0,SUMIF('DADOS BRUTOS'!$A$3:$A$500,$C27,'DADOS BRUTOS'!GB$3:GB$500)))</f>
        <v>0</v>
      </c>
      <c r="JC27" s="133" t="n">
        <f aca="false">IF(OR(JC$4="",$B27=""),0,SUMIF('DADOS BRUTOS'!$A$3:$A$500,$B27,'DADOS BRUTOS'!GC$3:GC$500)+IF($C27="",0,SUMIF('DADOS BRUTOS'!$A$3:$A$500,$C27,'DADOS BRUTOS'!GC$3:GC$500)))</f>
        <v>0</v>
      </c>
      <c r="JD27" s="133" t="n">
        <f aca="false">IF(OR(JD$4="",$B27=""),0,SUMIF('DADOS BRUTOS'!$A$3:$A$500,$B27,'DADOS BRUTOS'!GD$3:GD$500)+IF($C27="",0,SUMIF('DADOS BRUTOS'!$A$3:$A$500,$C27,'DADOS BRUTOS'!GD$3:GD$500)))</f>
        <v>0</v>
      </c>
      <c r="JE27" s="133" t="n">
        <f aca="false">IF(OR(JE$4="",$B27=""),0,SUMIF('DADOS BRUTOS'!$A$3:$A$500,$B27,'DADOS BRUTOS'!GE$3:GE$500)+IF($C27="",0,SUMIF('DADOS BRUTOS'!$A$3:$A$500,$C27,'DADOS BRUTOS'!GE$3:GE$500)))</f>
        <v>0</v>
      </c>
      <c r="JF27" s="133" t="n">
        <f aca="false">IF(OR(JF$4="",$B27=""),0,SUMIF('DADOS BRUTOS'!$A$3:$A$500,$B27,'DADOS BRUTOS'!GF$3:GF$500)+IF($C27="",0,SUMIF('DADOS BRUTOS'!$A$3:$A$500,$C27,'DADOS BRUTOS'!GF$3:GF$500)))</f>
        <v>0</v>
      </c>
      <c r="JG27" s="133" t="n">
        <f aca="false">IF(OR(JG$4="",$B27=""),0,SUMIF('DADOS BRUTOS'!$A$3:$A$500,$B27,'DADOS BRUTOS'!GG$3:GG$500)+IF($C27="",0,SUMIF('DADOS BRUTOS'!$A$3:$A$500,$C27,'DADOS BRUTOS'!GG$3:GG$500)))</f>
        <v>0</v>
      </c>
      <c r="JH27" s="133" t="n">
        <f aca="false">IF(OR(JH$4="",$B27=""),0,SUMIF('DADOS BRUTOS'!$A$3:$A$500,$B27,'DADOS BRUTOS'!GH$3:GH$500)+IF($C27="",0,SUMIF('DADOS BRUTOS'!$A$3:$A$500,$C27,'DADOS BRUTOS'!GH$3:GH$500)))</f>
        <v>0</v>
      </c>
      <c r="JI27" s="133" t="n">
        <f aca="false">IF(OR(JI$4="",$B27=""),0,SUMIF('DADOS BRUTOS'!$A$3:$A$500,$B27,'DADOS BRUTOS'!GI$3:GI$500)+IF($C27="",0,SUMIF('DADOS BRUTOS'!$A$3:$A$500,$C27,'DADOS BRUTOS'!GI$3:GI$500)))</f>
        <v>0</v>
      </c>
      <c r="JJ27" s="133" t="n">
        <f aca="false">IF(OR(JJ$4="",$B27=""),0,SUMIF('DADOS BRUTOS'!$A$3:$A$500,$B27,'DADOS BRUTOS'!GJ$3:GJ$500)+IF($C27="",0,SUMIF('DADOS BRUTOS'!$A$3:$A$500,$C27,'DADOS BRUTOS'!GJ$3:GJ$500)))</f>
        <v>0</v>
      </c>
      <c r="JK27" s="133" t="n">
        <f aca="false">IF(OR(JK$4="",$B27=""),0,SUMIF('DADOS BRUTOS'!$A$3:$A$500,$B27,'DADOS BRUTOS'!GK$3:GK$500)+IF($C27="",0,SUMIF('DADOS BRUTOS'!$A$3:$A$500,$C27,'DADOS BRUTOS'!GK$3:GK$500)))</f>
        <v>0</v>
      </c>
      <c r="JL27" s="133" t="n">
        <f aca="false">IF(OR(JL$4="",$B27=""),0,SUMIF('DADOS BRUTOS'!$A$3:$A$500,$B27,'DADOS BRUTOS'!GL$3:GL$500)+IF($C27="",0,SUMIF('DADOS BRUTOS'!$A$3:$A$500,$C27,'DADOS BRUTOS'!GL$3:GL$500)))</f>
        <v>0</v>
      </c>
      <c r="JM27" s="133" t="n">
        <f aca="false">IF(OR(JM$4="",$B27=""),0,SUMIF('DADOS BRUTOS'!$A$3:$A$500,$B27,'DADOS BRUTOS'!GM$3:GM$500)+IF($C27="",0,SUMIF('DADOS BRUTOS'!$A$3:$A$500,$C27,'DADOS BRUTOS'!GM$3:GM$500)))</f>
        <v>0</v>
      </c>
      <c r="JN27" s="133" t="n">
        <f aca="false">IF(OR(JN$4="",$B27=""),0,SUMIF('DADOS BRUTOS'!$A$3:$A$500,$B27,'DADOS BRUTOS'!GN$3:GN$500)+IF($C27="",0,SUMIF('DADOS BRUTOS'!$A$3:$A$500,$C27,'DADOS BRUTOS'!GN$3:GN$500)))</f>
        <v>0</v>
      </c>
      <c r="JO27" s="133" t="n">
        <f aca="false">IF(OR(JO$4="",$B27=""),0,SUMIF('DADOS BRUTOS'!$A$3:$A$500,$B27,'DADOS BRUTOS'!GO$3:GO$500)+IF($C27="",0,SUMIF('DADOS BRUTOS'!$A$3:$A$500,$C27,'DADOS BRUTOS'!GO$3:GO$500)))</f>
        <v>0</v>
      </c>
      <c r="JP27" s="133" t="n">
        <f aca="false">IF(OR(JP$4="",$B27=""),0,SUMIF('DADOS BRUTOS'!$A$3:$A$500,$B27,'DADOS BRUTOS'!GP$3:GP$500)+IF($C27="",0,SUMIF('DADOS BRUTOS'!$A$3:$A$500,$C27,'DADOS BRUTOS'!GP$3:GP$500)))</f>
        <v>0</v>
      </c>
      <c r="JQ27" s="133" t="n">
        <f aca="false">IF(OR(JQ$4="",$B27=""),0,SUMIF('DADOS BRUTOS'!$A$3:$A$500,$B27,'DADOS BRUTOS'!GQ$3:GQ$500)+IF($C27="",0,SUMIF('DADOS BRUTOS'!$A$3:$A$500,$C27,'DADOS BRUTOS'!GQ$3:GQ$500)))</f>
        <v>0</v>
      </c>
      <c r="JR27" s="133" t="n">
        <f aca="false">IF(OR(JR$4="",$B27=""),0,SUMIF('DADOS BRUTOS'!$A$3:$A$500,$B27,'DADOS BRUTOS'!GR$3:GR$500)+IF($C27="",0,SUMIF('DADOS BRUTOS'!$A$3:$A$500,$C27,'DADOS BRUTOS'!GR$3:GR$500)))</f>
        <v>0</v>
      </c>
      <c r="JS27" s="133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186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0</v>
      </c>
      <c r="W28" s="50" t="n">
        <f aca="false">SUMIF($CB$4:$JS$4,W$4,$CB28:$JS28)</f>
        <v>0</v>
      </c>
      <c r="X28" s="50" t="n">
        <f aca="false">SUMIF($CB$4:$JS$4,X$4,$CB28:$JS28)</f>
        <v>0</v>
      </c>
      <c r="Y28" s="50" t="n">
        <f aca="false">SUMIF($CB$4:$JS$4,Y$4,$CB28:$JS28)</f>
        <v>0</v>
      </c>
      <c r="Z28" s="50" t="n">
        <f aca="false">SUMIF($CB$4:$JS$4,Z$4,$CB28:$JS28)</f>
        <v>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0</v>
      </c>
      <c r="BZ28" s="45" t="n">
        <f aca="false">SUMPRODUCT(($CB$4:$JS$4&lt;&gt;"")*($CB$4:$JS$4&lt;=$D$4),$CB28:$JS28,$CB$1:$JS$1)</f>
        <v>0</v>
      </c>
      <c r="CB28" s="133" t="n">
        <f aca="false">IF(OR(CB$4="",$B28=""),0,SUMIF('DADOS BRUTOS'!$A$3:$A$500,$B28,'DADOS BRUTOS'!B$3:B$500)+IF($C28="",0,SUMIF('DADOS BRUTOS'!$A$3:$A$500,$C28,'DADOS BRUTOS'!B$3:B$500)))</f>
        <v>0</v>
      </c>
      <c r="CC28" s="133" t="n">
        <f aca="false">IF(OR(CC$4="",$B28=""),0,SUMIF('DADOS BRUTOS'!$A$3:$A$500,$B28,'DADOS BRUTOS'!C$3:C$500)+IF($C28="",0,SUMIF('DADOS BRUTOS'!$A$3:$A$500,$C28,'DADOS BRUTOS'!C$3:C$500)))</f>
        <v>0</v>
      </c>
      <c r="CD28" s="133" t="n">
        <f aca="false">IF(OR(CD$4="",$B28=""),0,SUMIF('DADOS BRUTOS'!$A$3:$A$500,$B28,'DADOS BRUTOS'!D$3:D$500)+IF($C28="",0,SUMIF('DADOS BRUTOS'!$A$3:$A$500,$C28,'DADOS BRUTOS'!D$3:D$500)))</f>
        <v>0</v>
      </c>
      <c r="CE28" s="133" t="n">
        <f aca="false">IF(OR(CE$4="",$B28=""),0,SUMIF('DADOS BRUTOS'!$A$3:$A$500,$B28,'DADOS BRUTOS'!E$3:E$500)+IF($C28="",0,SUMIF('DADOS BRUTOS'!$A$3:$A$500,$C28,'DADOS BRUTOS'!E$3:E$500)))</f>
        <v>0</v>
      </c>
      <c r="CF28" s="133" t="n">
        <f aca="false">IF(OR(CF$4="",$B28=""),0,SUMIF('DADOS BRUTOS'!$A$3:$A$500,$B28,'DADOS BRUTOS'!F$3:F$500)+IF($C28="",0,SUMIF('DADOS BRUTOS'!$A$3:$A$500,$C28,'DADOS BRUTOS'!F$3:F$500)))</f>
        <v>0</v>
      </c>
      <c r="CG28" s="133" t="n">
        <f aca="false">IF(OR(CG$4="",$B28=""),0,SUMIF('DADOS BRUTOS'!$A$3:$A$500,$B28,'DADOS BRUTOS'!G$3:G$500)+IF($C28="",0,SUMIF('DADOS BRUTOS'!$A$3:$A$500,$C28,'DADOS BRUTOS'!G$3:G$500)))</f>
        <v>0</v>
      </c>
      <c r="CH28" s="133" t="n">
        <f aca="false">IF(OR(CH$4="",$B28=""),0,SUMIF('DADOS BRUTOS'!$A$3:$A$500,$B28,'DADOS BRUTOS'!H$3:H$500)+IF($C28="",0,SUMIF('DADOS BRUTOS'!$A$3:$A$500,$C28,'DADOS BRUTOS'!H$3:H$500)))</f>
        <v>0</v>
      </c>
      <c r="CI28" s="133" t="n">
        <f aca="false">IF(OR(CI$4="",$B28=""),0,SUMIF('DADOS BRUTOS'!$A$3:$A$500,$B28,'DADOS BRUTOS'!I$3:I$500)+IF($C28="",0,SUMIF('DADOS BRUTOS'!$A$3:$A$500,$C28,'DADOS BRUTOS'!I$3:I$500)))</f>
        <v>0</v>
      </c>
      <c r="CJ28" s="133" t="n">
        <f aca="false">IF(OR(CJ$4="",$B28=""),0,SUMIF('DADOS BRUTOS'!$A$3:$A$500,$B28,'DADOS BRUTOS'!J$3:J$500)+IF($C28="",0,SUMIF('DADOS BRUTOS'!$A$3:$A$500,$C28,'DADOS BRUTOS'!J$3:J$500)))</f>
        <v>0</v>
      </c>
      <c r="CK28" s="133" t="n">
        <f aca="false">IF(OR(CK$4="",$B28=""),0,SUMIF('DADOS BRUTOS'!$A$3:$A$500,$B28,'DADOS BRUTOS'!K$3:K$500)+IF($C28="",0,SUMIF('DADOS BRUTOS'!$A$3:$A$500,$C28,'DADOS BRUTOS'!K$3:K$500)))</f>
        <v>0</v>
      </c>
      <c r="CL28" s="133" t="n">
        <f aca="false">IF(OR(CL$4="",$B28=""),0,SUMIF('DADOS BRUTOS'!$A$3:$A$500,$B28,'DADOS BRUTOS'!L$3:L$500)+IF($C28="",0,SUMIF('DADOS BRUTOS'!$A$3:$A$500,$C28,'DADOS BRUTOS'!L$3:L$500)))</f>
        <v>0</v>
      </c>
      <c r="CM28" s="133" t="n">
        <f aca="false">IF(OR(CM$4="",$B28=""),0,SUMIF('DADOS BRUTOS'!$A$3:$A$500,$B28,'DADOS BRUTOS'!M$3:M$500)+IF($C28="",0,SUMIF('DADOS BRUTOS'!$A$3:$A$500,$C28,'DADOS BRUTOS'!M$3:M$500)))</f>
        <v>0</v>
      </c>
      <c r="CN28" s="133" t="n">
        <f aca="false">IF(OR(CN$4="",$B28=""),0,SUMIF('DADOS BRUTOS'!$A$3:$A$500,$B28,'DADOS BRUTOS'!N$3:N$500)+IF($C28="",0,SUMIF('DADOS BRUTOS'!$A$3:$A$500,$C28,'DADOS BRUTOS'!N$3:N$500)))</f>
        <v>0</v>
      </c>
      <c r="CO28" s="133" t="n">
        <f aca="false">IF(OR(CO$4="",$B28=""),0,SUMIF('DADOS BRUTOS'!$A$3:$A$500,$B28,'DADOS BRUTOS'!O$3:O$500)+IF($C28="",0,SUMIF('DADOS BRUTOS'!$A$3:$A$500,$C28,'DADOS BRUTOS'!O$3:O$500)))</f>
        <v>0</v>
      </c>
      <c r="CP28" s="133" t="n">
        <f aca="false">IF(OR(CP$4="",$B28=""),0,SUMIF('DADOS BRUTOS'!$A$3:$A$500,$B28,'DADOS BRUTOS'!P$3:P$500)+IF($C28="",0,SUMIF('DADOS BRUTOS'!$A$3:$A$500,$C28,'DADOS BRUTOS'!P$3:P$500)))</f>
        <v>0</v>
      </c>
      <c r="CQ28" s="133" t="n">
        <f aca="false">IF(OR(CQ$4="",$B28=""),0,SUMIF('DADOS BRUTOS'!$A$3:$A$500,$B28,'DADOS BRUTOS'!Q$3:Q$500)+IF($C28="",0,SUMIF('DADOS BRUTOS'!$A$3:$A$500,$C28,'DADOS BRUTOS'!Q$3:Q$500)))</f>
        <v>0</v>
      </c>
      <c r="CR28" s="133" t="n">
        <f aca="false">IF(OR(CR$4="",$B28=""),0,SUMIF('DADOS BRUTOS'!$A$3:$A$500,$B28,'DADOS BRUTOS'!R$3:R$500)+IF($C28="",0,SUMIF('DADOS BRUTOS'!$A$3:$A$500,$C28,'DADOS BRUTOS'!R$3:R$500)))</f>
        <v>0</v>
      </c>
      <c r="CS28" s="133" t="n">
        <f aca="false">IF(OR(CS$4="",$B28=""),0,SUMIF('DADOS BRUTOS'!$A$3:$A$500,$B28,'DADOS BRUTOS'!S$3:S$500)+IF($C28="",0,SUMIF('DADOS BRUTOS'!$A$3:$A$500,$C28,'DADOS BRUTOS'!S$3:S$500)))</f>
        <v>0</v>
      </c>
      <c r="CT28" s="133" t="n">
        <f aca="false">IF(OR(CT$4="",$B28=""),0,SUMIF('DADOS BRUTOS'!$A$3:$A$500,$B28,'DADOS BRUTOS'!T$3:T$500)+IF($C28="",0,SUMIF('DADOS BRUTOS'!$A$3:$A$500,$C28,'DADOS BRUTOS'!T$3:T$500)))</f>
        <v>0</v>
      </c>
      <c r="CU28" s="133" t="n">
        <f aca="false">IF(OR(CU$4="",$B28=""),0,SUMIF('DADOS BRUTOS'!$A$3:$A$500,$B28,'DADOS BRUTOS'!U$3:U$500)+IF($C28="",0,SUMIF('DADOS BRUTOS'!$A$3:$A$500,$C28,'DADOS BRUTOS'!U$3:U$500)))</f>
        <v>0</v>
      </c>
      <c r="CV28" s="133" t="n">
        <f aca="false">IF(OR(CV$4="",$B28=""),0,SUMIF('DADOS BRUTOS'!$A$3:$A$500,$B28,'DADOS BRUTOS'!V$3:V$500)+IF($C28="",0,SUMIF('DADOS BRUTOS'!$A$3:$A$500,$C28,'DADOS BRUTOS'!V$3:V$500)))</f>
        <v>0</v>
      </c>
      <c r="CW28" s="133" t="n">
        <f aca="false">IF(OR(CW$4="",$B28=""),0,SUMIF('DADOS BRUTOS'!$A$3:$A$500,$B28,'DADOS BRUTOS'!W$3:W$500)+IF($C28="",0,SUMIF('DADOS BRUTOS'!$A$3:$A$500,$C28,'DADOS BRUTOS'!W$3:W$500)))</f>
        <v>0</v>
      </c>
      <c r="CX28" s="133" t="n">
        <f aca="false">IF(OR(CX$4="",$B28=""),0,SUMIF('DADOS BRUTOS'!$A$3:$A$500,$B28,'DADOS BRUTOS'!X$3:X$500)+IF($C28="",0,SUMIF('DADOS BRUTOS'!$A$3:$A$500,$C28,'DADOS BRUTOS'!X$3:X$500)))</f>
        <v>0</v>
      </c>
      <c r="CY28" s="133" t="n">
        <f aca="false">IF(OR(CY$4="",$B28=""),0,SUMIF('DADOS BRUTOS'!$A$3:$A$500,$B28,'DADOS BRUTOS'!Y$3:Y$500)+IF($C28="",0,SUMIF('DADOS BRUTOS'!$A$3:$A$500,$C28,'DADOS BRUTOS'!Y$3:Y$500)))</f>
        <v>0</v>
      </c>
      <c r="CZ28" s="133" t="n">
        <f aca="false">IF(OR(CZ$4="",$B28=""),0,SUMIF('DADOS BRUTOS'!$A$3:$A$500,$B28,'DADOS BRUTOS'!Z$3:Z$500)+IF($C28="",0,SUMIF('DADOS BRUTOS'!$A$3:$A$500,$C28,'DADOS BRUTOS'!Z$3:Z$500)))</f>
        <v>0</v>
      </c>
      <c r="DA28" s="133" t="n">
        <f aca="false">IF(OR(DA$4="",$B28=""),0,SUMIF('DADOS BRUTOS'!$A$3:$A$500,$B28,'DADOS BRUTOS'!AA$3:AA$500)+IF($C28="",0,SUMIF('DADOS BRUTOS'!$A$3:$A$500,$C28,'DADOS BRUTOS'!AA$3:AA$500)))</f>
        <v>0</v>
      </c>
      <c r="DB28" s="133" t="n">
        <f aca="false">IF(OR(DB$4="",$B28=""),0,SUMIF('DADOS BRUTOS'!$A$3:$A$500,$B28,'DADOS BRUTOS'!AB$3:AB$500)+IF($C28="",0,SUMIF('DADOS BRUTOS'!$A$3:$A$500,$C28,'DADOS BRUTOS'!AB$3:AB$500)))</f>
        <v>0</v>
      </c>
      <c r="DC28" s="133" t="n">
        <f aca="false">IF(OR(DC$4="",$B28=""),0,SUMIF('DADOS BRUTOS'!$A$3:$A$500,$B28,'DADOS BRUTOS'!AC$3:AC$500)+IF($C28="",0,SUMIF('DADOS BRUTOS'!$A$3:$A$500,$C28,'DADOS BRUTOS'!AC$3:AC$500)))</f>
        <v>0</v>
      </c>
      <c r="DD28" s="133" t="n">
        <f aca="false">IF(OR(DD$4="",$B28=""),0,SUMIF('DADOS BRUTOS'!$A$3:$A$500,$B28,'DADOS BRUTOS'!AD$3:AD$500)+IF($C28="",0,SUMIF('DADOS BRUTOS'!$A$3:$A$500,$C28,'DADOS BRUTOS'!AD$3:AD$500)))</f>
        <v>0</v>
      </c>
      <c r="DE28" s="133" t="n">
        <f aca="false">IF(OR(DE$4="",$B28=""),0,SUMIF('DADOS BRUTOS'!$A$3:$A$500,$B28,'DADOS BRUTOS'!AE$3:AE$500)+IF($C28="",0,SUMIF('DADOS BRUTOS'!$A$3:$A$500,$C28,'DADOS BRUTOS'!AE$3:AE$500)))</f>
        <v>0</v>
      </c>
      <c r="DF28" s="133" t="n">
        <f aca="false">IF(OR(DF$4="",$B28=""),0,SUMIF('DADOS BRUTOS'!$A$3:$A$500,$B28,'DADOS BRUTOS'!AF$3:AF$500)+IF($C28="",0,SUMIF('DADOS BRUTOS'!$A$3:$A$500,$C28,'DADOS BRUTOS'!AF$3:AF$500)))</f>
        <v>0</v>
      </c>
      <c r="DG28" s="133" t="n">
        <f aca="false">IF(OR(DG$4="",$B28=""),0,SUMIF('DADOS BRUTOS'!$A$3:$A$500,$B28,'DADOS BRUTOS'!AG$3:AG$500)+IF($C28="",0,SUMIF('DADOS BRUTOS'!$A$3:$A$500,$C28,'DADOS BRUTOS'!AG$3:AG$500)))</f>
        <v>0</v>
      </c>
      <c r="DH28" s="133" t="n">
        <f aca="false">IF(OR(DH$4="",$B28=""),0,SUMIF('DADOS BRUTOS'!$A$3:$A$500,$B28,'DADOS BRUTOS'!AH$3:AH$500)+IF($C28="",0,SUMIF('DADOS BRUTOS'!$A$3:$A$500,$C28,'DADOS BRUTOS'!AH$3:AH$500)))</f>
        <v>0</v>
      </c>
      <c r="DI28" s="133" t="n">
        <f aca="false">IF(OR(DI$4="",$B28=""),0,SUMIF('DADOS BRUTOS'!$A$3:$A$500,$B28,'DADOS BRUTOS'!AI$3:AI$500)+IF($C28="",0,SUMIF('DADOS BRUTOS'!$A$3:$A$500,$C28,'DADOS BRUTOS'!AI$3:AI$500)))</f>
        <v>0</v>
      </c>
      <c r="DJ28" s="133" t="n">
        <f aca="false">IF(OR(DJ$4="",$B28=""),0,SUMIF('DADOS BRUTOS'!$A$3:$A$500,$B28,'DADOS BRUTOS'!AJ$3:AJ$500)+IF($C28="",0,SUMIF('DADOS BRUTOS'!$A$3:$A$500,$C28,'DADOS BRUTOS'!AJ$3:AJ$500)))</f>
        <v>0</v>
      </c>
      <c r="DK28" s="133" t="n">
        <f aca="false">IF(OR(DK$4="",$B28=""),0,SUMIF('DADOS BRUTOS'!$A$3:$A$500,$B28,'DADOS BRUTOS'!AK$3:AK$500)+IF($C28="",0,SUMIF('DADOS BRUTOS'!$A$3:$A$500,$C28,'DADOS BRUTOS'!AK$3:AK$500)))</f>
        <v>0</v>
      </c>
      <c r="DL28" s="133" t="n">
        <f aca="false">IF(OR(DL$4="",$B28=""),0,SUMIF('DADOS BRUTOS'!$A$3:$A$500,$B28,'DADOS BRUTOS'!AL$3:AL$500)+IF($C28="",0,SUMIF('DADOS BRUTOS'!$A$3:$A$500,$C28,'DADOS BRUTOS'!AL$3:AL$500)))</f>
        <v>0</v>
      </c>
      <c r="DM28" s="133" t="n">
        <f aca="false">IF(OR(DM$4="",$B28=""),0,SUMIF('DADOS BRUTOS'!$A$3:$A$500,$B28,'DADOS BRUTOS'!AM$3:AM$500)+IF($C28="",0,SUMIF('DADOS BRUTOS'!$A$3:$A$500,$C28,'DADOS BRUTOS'!AM$3:AM$500)))</f>
        <v>0</v>
      </c>
      <c r="DN28" s="133" t="n">
        <f aca="false">IF(OR(DN$4="",$B28=""),0,SUMIF('DADOS BRUTOS'!$A$3:$A$500,$B28,'DADOS BRUTOS'!AN$3:AN$500)+IF($C28="",0,SUMIF('DADOS BRUTOS'!$A$3:$A$500,$C28,'DADOS BRUTOS'!AN$3:AN$500)))</f>
        <v>0</v>
      </c>
      <c r="DO28" s="133" t="n">
        <f aca="false">IF(OR(DO$4="",$B28=""),0,SUMIF('DADOS BRUTOS'!$A$3:$A$500,$B28,'DADOS BRUTOS'!AO$3:AO$500)+IF($C28="",0,SUMIF('DADOS BRUTOS'!$A$3:$A$500,$C28,'DADOS BRUTOS'!AO$3:AO$500)))</f>
        <v>0</v>
      </c>
      <c r="DP28" s="133" t="n">
        <f aca="false">IF(OR(DP$4="",$B28=""),0,SUMIF('DADOS BRUTOS'!$A$3:$A$500,$B28,'DADOS BRUTOS'!AP$3:AP$500)+IF($C28="",0,SUMIF('DADOS BRUTOS'!$A$3:$A$500,$C28,'DADOS BRUTOS'!AP$3:AP$500)))</f>
        <v>0</v>
      </c>
      <c r="DQ28" s="133" t="n">
        <f aca="false">IF(OR(DQ$4="",$B28=""),0,SUMIF('DADOS BRUTOS'!$A$3:$A$500,$B28,'DADOS BRUTOS'!AQ$3:AQ$500)+IF($C28="",0,SUMIF('DADOS BRUTOS'!$A$3:$A$500,$C28,'DADOS BRUTOS'!AQ$3:AQ$500)))</f>
        <v>0</v>
      </c>
      <c r="DR28" s="133" t="n">
        <f aca="false">IF(OR(DR$4="",$B28=""),0,SUMIF('DADOS BRUTOS'!$A$3:$A$500,$B28,'DADOS BRUTOS'!AR$3:AR$500)+IF($C28="",0,SUMIF('DADOS BRUTOS'!$A$3:$A$500,$C28,'DADOS BRUTOS'!AR$3:AR$500)))</f>
        <v>0</v>
      </c>
      <c r="DS28" s="133" t="n">
        <f aca="false">IF(OR(DS$4="",$B28=""),0,SUMIF('DADOS BRUTOS'!$A$3:$A$500,$B28,'DADOS BRUTOS'!AS$3:AS$500)+IF($C28="",0,SUMIF('DADOS BRUTOS'!$A$3:$A$500,$C28,'DADOS BRUTOS'!AS$3:AS$500)))</f>
        <v>0</v>
      </c>
      <c r="DT28" s="133" t="n">
        <f aca="false">IF(OR(DT$4="",$B28=""),0,SUMIF('DADOS BRUTOS'!$A$3:$A$500,$B28,'DADOS BRUTOS'!AT$3:AT$500)+IF($C28="",0,SUMIF('DADOS BRUTOS'!$A$3:$A$500,$C28,'DADOS BRUTOS'!AT$3:AT$500)))</f>
        <v>0</v>
      </c>
      <c r="DU28" s="133" t="n">
        <f aca="false">IF(OR(DU$4="",$B28=""),0,SUMIF('DADOS BRUTOS'!$A$3:$A$500,$B28,'DADOS BRUTOS'!AU$3:AU$500)+IF($C28="",0,SUMIF('DADOS BRUTOS'!$A$3:$A$500,$C28,'DADOS BRUTOS'!AU$3:AU$500)))</f>
        <v>0</v>
      </c>
      <c r="DV28" s="133" t="n">
        <f aca="false">IF(OR(DV$4="",$B28=""),0,SUMIF('DADOS BRUTOS'!$A$3:$A$500,$B28,'DADOS BRUTOS'!AV$3:AV$500)+IF($C28="",0,SUMIF('DADOS BRUTOS'!$A$3:$A$500,$C28,'DADOS BRUTOS'!AV$3:AV$500)))</f>
        <v>0</v>
      </c>
      <c r="DW28" s="133" t="n">
        <f aca="false">IF(OR(DW$4="",$B28=""),0,SUMIF('DADOS BRUTOS'!$A$3:$A$500,$B28,'DADOS BRUTOS'!AW$3:AW$500)+IF($C28="",0,SUMIF('DADOS BRUTOS'!$A$3:$A$500,$C28,'DADOS BRUTOS'!AW$3:AW$500)))</f>
        <v>0</v>
      </c>
      <c r="DX28" s="133" t="n">
        <f aca="false">IF(OR(DX$4="",$B28=""),0,SUMIF('DADOS BRUTOS'!$A$3:$A$500,$B28,'DADOS BRUTOS'!AX$3:AX$500)+IF($C28="",0,SUMIF('DADOS BRUTOS'!$A$3:$A$500,$C28,'DADOS BRUTOS'!AX$3:AX$500)))</f>
        <v>0</v>
      </c>
      <c r="DY28" s="133" t="n">
        <f aca="false">IF(OR(DY$4="",$B28=""),0,SUMIF('DADOS BRUTOS'!$A$3:$A$500,$B28,'DADOS BRUTOS'!AY$3:AY$500)+IF($C28="",0,SUMIF('DADOS BRUTOS'!$A$3:$A$500,$C28,'DADOS BRUTOS'!AY$3:AY$500)))</f>
        <v>0</v>
      </c>
      <c r="DZ28" s="133" t="n">
        <f aca="false">IF(OR(DZ$4="",$B28=""),0,SUMIF('DADOS BRUTOS'!$A$3:$A$500,$B28,'DADOS BRUTOS'!AZ$3:AZ$500)+IF($C28="",0,SUMIF('DADOS BRUTOS'!$A$3:$A$500,$C28,'DADOS BRUTOS'!AZ$3:AZ$500)))</f>
        <v>0</v>
      </c>
      <c r="EA28" s="133" t="n">
        <f aca="false">IF(OR(EA$4="",$B28=""),0,SUMIF('DADOS BRUTOS'!$A$3:$A$500,$B28,'DADOS BRUTOS'!BA$3:BA$500)+IF($C28="",0,SUMIF('DADOS BRUTOS'!$A$3:$A$500,$C28,'DADOS BRUTOS'!BA$3:BA$500)))</f>
        <v>0</v>
      </c>
      <c r="EB28" s="133" t="n">
        <f aca="false">IF(OR(EB$4="",$B28=""),0,SUMIF('DADOS BRUTOS'!$A$3:$A$500,$B28,'DADOS BRUTOS'!BB$3:BB$500)+IF($C28="",0,SUMIF('DADOS BRUTOS'!$A$3:$A$500,$C28,'DADOS BRUTOS'!BB$3:BB$500)))</f>
        <v>0</v>
      </c>
      <c r="EC28" s="133" t="n">
        <f aca="false">IF(OR(EC$4="",$B28=""),0,SUMIF('DADOS BRUTOS'!$A$3:$A$500,$B28,'DADOS BRUTOS'!BC$3:BC$500)+IF($C28="",0,SUMIF('DADOS BRUTOS'!$A$3:$A$500,$C28,'DADOS BRUTOS'!BC$3:BC$500)))</f>
        <v>0</v>
      </c>
      <c r="ED28" s="133" t="n">
        <f aca="false">IF(OR(ED$4="",$B28=""),0,SUMIF('DADOS BRUTOS'!$A$3:$A$500,$B28,'DADOS BRUTOS'!BD$3:BD$500)+IF($C28="",0,SUMIF('DADOS BRUTOS'!$A$3:$A$500,$C28,'DADOS BRUTOS'!BD$3:BD$500)))</f>
        <v>0</v>
      </c>
      <c r="EE28" s="133" t="n">
        <f aca="false">IF(OR(EE$4="",$B28=""),0,SUMIF('DADOS BRUTOS'!$A$3:$A$500,$B28,'DADOS BRUTOS'!BE$3:BE$500)+IF($C28="",0,SUMIF('DADOS BRUTOS'!$A$3:$A$500,$C28,'DADOS BRUTOS'!BE$3:BE$500)))</f>
        <v>0</v>
      </c>
      <c r="EF28" s="133" t="n">
        <f aca="false">IF(OR(EF$4="",$B28=""),0,SUMIF('DADOS BRUTOS'!$A$3:$A$500,$B28,'DADOS BRUTOS'!BF$3:BF$500)+IF($C28="",0,SUMIF('DADOS BRUTOS'!$A$3:$A$500,$C28,'DADOS BRUTOS'!BF$3:BF$500)))</f>
        <v>0</v>
      </c>
      <c r="EG28" s="133" t="n">
        <f aca="false">IF(OR(EG$4="",$B28=""),0,SUMIF('DADOS BRUTOS'!$A$3:$A$500,$B28,'DADOS BRUTOS'!BG$3:BG$500)+IF($C28="",0,SUMIF('DADOS BRUTOS'!$A$3:$A$500,$C28,'DADOS BRUTOS'!BG$3:BG$500)))</f>
        <v>0</v>
      </c>
      <c r="EH28" s="133" t="n">
        <f aca="false">IF(OR(EH$4="",$B28=""),0,SUMIF('DADOS BRUTOS'!$A$3:$A$500,$B28,'DADOS BRUTOS'!BH$3:BH$500)+IF($C28="",0,SUMIF('DADOS BRUTOS'!$A$3:$A$500,$C28,'DADOS BRUTOS'!BH$3:BH$500)))</f>
        <v>0</v>
      </c>
      <c r="EI28" s="133" t="n">
        <f aca="false">IF(OR(EI$4="",$B28=""),0,SUMIF('DADOS BRUTOS'!$A$3:$A$500,$B28,'DADOS BRUTOS'!BI$3:BI$500)+IF($C28="",0,SUMIF('DADOS BRUTOS'!$A$3:$A$500,$C28,'DADOS BRUTOS'!BI$3:BI$500)))</f>
        <v>0</v>
      </c>
      <c r="EJ28" s="133" t="n">
        <f aca="false">IF(OR(EJ$4="",$B28=""),0,SUMIF('DADOS BRUTOS'!$A$3:$A$500,$B28,'DADOS BRUTOS'!BJ$3:BJ$500)+IF($C28="",0,SUMIF('DADOS BRUTOS'!$A$3:$A$500,$C28,'DADOS BRUTOS'!BJ$3:BJ$500)))</f>
        <v>0</v>
      </c>
      <c r="EK28" s="133" t="n">
        <f aca="false">IF(OR(EK$4="",$B28=""),0,SUMIF('DADOS BRUTOS'!$A$3:$A$500,$B28,'DADOS BRUTOS'!BK$3:BK$500)+IF($C28="",0,SUMIF('DADOS BRUTOS'!$A$3:$A$500,$C28,'DADOS BRUTOS'!BK$3:BK$500)))</f>
        <v>0</v>
      </c>
      <c r="EL28" s="133" t="n">
        <f aca="false">IF(OR(EL$4="",$B28=""),0,SUMIF('DADOS BRUTOS'!$A$3:$A$500,$B28,'DADOS BRUTOS'!BL$3:BL$500)+IF($C28="",0,SUMIF('DADOS BRUTOS'!$A$3:$A$500,$C28,'DADOS BRUTOS'!BL$3:BL$500)))</f>
        <v>0</v>
      </c>
      <c r="EM28" s="133" t="n">
        <f aca="false">IF(OR(EM$4="",$B28=""),0,SUMIF('DADOS BRUTOS'!$A$3:$A$500,$B28,'DADOS BRUTOS'!BM$3:BM$500)+IF($C28="",0,SUMIF('DADOS BRUTOS'!$A$3:$A$500,$C28,'DADOS BRUTOS'!BM$3:BM$500)))</f>
        <v>0</v>
      </c>
      <c r="EN28" s="133" t="n">
        <f aca="false">IF(OR(EN$4="",$B28=""),0,SUMIF('DADOS BRUTOS'!$A$3:$A$500,$B28,'DADOS BRUTOS'!BN$3:BN$500)+IF($C28="",0,SUMIF('DADOS BRUTOS'!$A$3:$A$500,$C28,'DADOS BRUTOS'!BN$3:BN$500)))</f>
        <v>0</v>
      </c>
      <c r="EO28" s="133" t="n">
        <f aca="false">IF(OR(EO$4="",$B28=""),0,SUMIF('DADOS BRUTOS'!$A$3:$A$500,$B28,'DADOS BRUTOS'!BO$3:BO$500)+IF($C28="",0,SUMIF('DADOS BRUTOS'!$A$3:$A$500,$C28,'DADOS BRUTOS'!BO$3:BO$500)))</f>
        <v>0</v>
      </c>
      <c r="EP28" s="133" t="n">
        <f aca="false">IF(OR(EP$4="",$B28=""),0,SUMIF('DADOS BRUTOS'!$A$3:$A$500,$B28,'DADOS BRUTOS'!BP$3:BP$500)+IF($C28="",0,SUMIF('DADOS BRUTOS'!$A$3:$A$500,$C28,'DADOS BRUTOS'!BP$3:BP$500)))</f>
        <v>0</v>
      </c>
      <c r="EQ28" s="133" t="n">
        <f aca="false">IF(OR(EQ$4="",$B28=""),0,SUMIF('DADOS BRUTOS'!$A$3:$A$500,$B28,'DADOS BRUTOS'!BQ$3:BQ$500)+IF($C28="",0,SUMIF('DADOS BRUTOS'!$A$3:$A$500,$C28,'DADOS BRUTOS'!BQ$3:BQ$500)))</f>
        <v>0</v>
      </c>
      <c r="ER28" s="133" t="n">
        <f aca="false">IF(OR(ER$4="",$B28=""),0,SUMIF('DADOS BRUTOS'!$A$3:$A$500,$B28,'DADOS BRUTOS'!BR$3:BR$500)+IF($C28="",0,SUMIF('DADOS BRUTOS'!$A$3:$A$500,$C28,'DADOS BRUTOS'!BR$3:BR$500)))</f>
        <v>0</v>
      </c>
      <c r="ES28" s="133" t="n">
        <f aca="false">IF(OR(ES$4="",$B28=""),0,SUMIF('DADOS BRUTOS'!$A$3:$A$500,$B28,'DADOS BRUTOS'!BS$3:BS$500)+IF($C28="",0,SUMIF('DADOS BRUTOS'!$A$3:$A$500,$C28,'DADOS BRUTOS'!BS$3:BS$500)))</f>
        <v>0</v>
      </c>
      <c r="ET28" s="133" t="n">
        <f aca="false">IF(OR(ET$4="",$B28=""),0,SUMIF('DADOS BRUTOS'!$A$3:$A$500,$B28,'DADOS BRUTOS'!BT$3:BT$500)+IF($C28="",0,SUMIF('DADOS BRUTOS'!$A$3:$A$500,$C28,'DADOS BRUTOS'!BT$3:BT$500)))</f>
        <v>0</v>
      </c>
      <c r="EU28" s="133" t="n">
        <f aca="false">IF(OR(EU$4="",$B28=""),0,SUMIF('DADOS BRUTOS'!$A$3:$A$500,$B28,'DADOS BRUTOS'!BU$3:BU$500)+IF($C28="",0,SUMIF('DADOS BRUTOS'!$A$3:$A$500,$C28,'DADOS BRUTOS'!BU$3:BU$500)))</f>
        <v>0</v>
      </c>
      <c r="EV28" s="133" t="n">
        <f aca="false">IF(OR(EV$4="",$B28=""),0,SUMIF('DADOS BRUTOS'!$A$3:$A$500,$B28,'DADOS BRUTOS'!BV$3:BV$500)+IF($C28="",0,SUMIF('DADOS BRUTOS'!$A$3:$A$500,$C28,'DADOS BRUTOS'!BV$3:BV$500)))</f>
        <v>0</v>
      </c>
      <c r="EW28" s="133" t="n">
        <f aca="false">IF(OR(EW$4="",$B28=""),0,SUMIF('DADOS BRUTOS'!$A$3:$A$500,$B28,'DADOS BRUTOS'!BW$3:BW$500)+IF($C28="",0,SUMIF('DADOS BRUTOS'!$A$3:$A$500,$C28,'DADOS BRUTOS'!BW$3:BW$500)))</f>
        <v>0</v>
      </c>
      <c r="EX28" s="133" t="n">
        <f aca="false">IF(OR(EX$4="",$B28=""),0,SUMIF('DADOS BRUTOS'!$A$3:$A$500,$B28,'DADOS BRUTOS'!BX$3:BX$500)+IF($C28="",0,SUMIF('DADOS BRUTOS'!$A$3:$A$500,$C28,'DADOS BRUTOS'!BX$3:BX$500)))</f>
        <v>0</v>
      </c>
      <c r="EY28" s="133" t="n">
        <f aca="false">IF(OR(EY$4="",$B28=""),0,SUMIF('DADOS BRUTOS'!$A$3:$A$500,$B28,'DADOS BRUTOS'!BY$3:BY$500)+IF($C28="",0,SUMIF('DADOS BRUTOS'!$A$3:$A$500,$C28,'DADOS BRUTOS'!BY$3:BY$500)))</f>
        <v>0</v>
      </c>
      <c r="EZ28" s="133" t="n">
        <f aca="false">IF(OR(EZ$4="",$B28=""),0,SUMIF('DADOS BRUTOS'!$A$3:$A$500,$B28,'DADOS BRUTOS'!BZ$3:BZ$500)+IF($C28="",0,SUMIF('DADOS BRUTOS'!$A$3:$A$500,$C28,'DADOS BRUTOS'!BZ$3:BZ$500)))</f>
        <v>0</v>
      </c>
      <c r="FA28" s="133" t="n">
        <f aca="false">IF(OR(FA$4="",$B28=""),0,SUMIF('DADOS BRUTOS'!$A$3:$A$500,$B28,'DADOS BRUTOS'!CA$3:CA$500)+IF($C28="",0,SUMIF('DADOS BRUTOS'!$A$3:$A$500,$C28,'DADOS BRUTOS'!CA$3:CA$500)))</f>
        <v>0</v>
      </c>
      <c r="FB28" s="133" t="n">
        <f aca="false">IF(OR(FB$4="",$B28=""),0,SUMIF('DADOS BRUTOS'!$A$3:$A$500,$B28,'DADOS BRUTOS'!CB$3:CB$500)+IF($C28="",0,SUMIF('DADOS BRUTOS'!$A$3:$A$500,$C28,'DADOS BRUTOS'!CB$3:CB$500)))</f>
        <v>0</v>
      </c>
      <c r="FC28" s="133" t="n">
        <f aca="false">IF(OR(FC$4="",$B28=""),0,SUMIF('DADOS BRUTOS'!$A$3:$A$500,$B28,'DADOS BRUTOS'!CC$3:CC$500)+IF($C28="",0,SUMIF('DADOS BRUTOS'!$A$3:$A$500,$C28,'DADOS BRUTOS'!CC$3:CC$500)))</f>
        <v>0</v>
      </c>
      <c r="FD28" s="133" t="n">
        <f aca="false">IF(OR(FD$4="",$B28=""),0,SUMIF('DADOS BRUTOS'!$A$3:$A$500,$B28,'DADOS BRUTOS'!CD$3:CD$500)+IF($C28="",0,SUMIF('DADOS BRUTOS'!$A$3:$A$500,$C28,'DADOS BRUTOS'!CD$3:CD$500)))</f>
        <v>0</v>
      </c>
      <c r="FE28" s="133" t="n">
        <f aca="false">IF(OR(FE$4="",$B28=""),0,SUMIF('DADOS BRUTOS'!$A$3:$A$500,$B28,'DADOS BRUTOS'!CE$3:CE$500)+IF($C28="",0,SUMIF('DADOS BRUTOS'!$A$3:$A$500,$C28,'DADOS BRUTOS'!CE$3:CE$500)))</f>
        <v>0</v>
      </c>
      <c r="FF28" s="133" t="n">
        <f aca="false">IF(OR(FF$4="",$B28=""),0,SUMIF('DADOS BRUTOS'!$A$3:$A$500,$B28,'DADOS BRUTOS'!CF$3:CF$500)+IF($C28="",0,SUMIF('DADOS BRUTOS'!$A$3:$A$500,$C28,'DADOS BRUTOS'!CF$3:CF$500)))</f>
        <v>0</v>
      </c>
      <c r="FG28" s="133" t="n">
        <f aca="false">IF(OR(FG$4="",$B28=""),0,SUMIF('DADOS BRUTOS'!$A$3:$A$500,$B28,'DADOS BRUTOS'!CG$3:CG$500)+IF($C28="",0,SUMIF('DADOS BRUTOS'!$A$3:$A$500,$C28,'DADOS BRUTOS'!CG$3:CG$500)))</f>
        <v>0</v>
      </c>
      <c r="FH28" s="133" t="n">
        <f aca="false">IF(OR(FH$4="",$B28=""),0,SUMIF('DADOS BRUTOS'!$A$3:$A$500,$B28,'DADOS BRUTOS'!CH$3:CH$500)+IF($C28="",0,SUMIF('DADOS BRUTOS'!$A$3:$A$500,$C28,'DADOS BRUTOS'!CH$3:CH$500)))</f>
        <v>0</v>
      </c>
      <c r="FI28" s="133" t="n">
        <f aca="false">IF(OR(FI$4="",$B28=""),0,SUMIF('DADOS BRUTOS'!$A$3:$A$500,$B28,'DADOS BRUTOS'!CI$3:CI$500)+IF($C28="",0,SUMIF('DADOS BRUTOS'!$A$3:$A$500,$C28,'DADOS BRUTOS'!CI$3:CI$500)))</f>
        <v>0</v>
      </c>
      <c r="FJ28" s="133" t="n">
        <f aca="false">IF(OR(FJ$4="",$B28=""),0,SUMIF('DADOS BRUTOS'!$A$3:$A$500,$B28,'DADOS BRUTOS'!CJ$3:CJ$500)+IF($C28="",0,SUMIF('DADOS BRUTOS'!$A$3:$A$500,$C28,'DADOS BRUTOS'!CJ$3:CJ$500)))</f>
        <v>0</v>
      </c>
      <c r="FK28" s="133" t="n">
        <f aca="false">IF(OR(FK$4="",$B28=""),0,SUMIF('DADOS BRUTOS'!$A$3:$A$500,$B28,'DADOS BRUTOS'!CK$3:CK$500)+IF($C28="",0,SUMIF('DADOS BRUTOS'!$A$3:$A$500,$C28,'DADOS BRUTOS'!CK$3:CK$500)))</f>
        <v>0</v>
      </c>
      <c r="FL28" s="133" t="n">
        <f aca="false">IF(OR(FL$4="",$B28=""),0,SUMIF('DADOS BRUTOS'!$A$3:$A$500,$B28,'DADOS BRUTOS'!CL$3:CL$500)+IF($C28="",0,SUMIF('DADOS BRUTOS'!$A$3:$A$500,$C28,'DADOS BRUTOS'!CL$3:CL$500)))</f>
        <v>0</v>
      </c>
      <c r="FM28" s="133" t="n">
        <f aca="false">IF(OR(FM$4="",$B28=""),0,SUMIF('DADOS BRUTOS'!$A$3:$A$500,$B28,'DADOS BRUTOS'!CM$3:CM$500)+IF($C28="",0,SUMIF('DADOS BRUTOS'!$A$3:$A$500,$C28,'DADOS BRUTOS'!CM$3:CM$500)))</f>
        <v>0</v>
      </c>
      <c r="FN28" s="133" t="n">
        <f aca="false">IF(OR(FN$4="",$B28=""),0,SUMIF('DADOS BRUTOS'!$A$3:$A$500,$B28,'DADOS BRUTOS'!CN$3:CN$500)+IF($C28="",0,SUMIF('DADOS BRUTOS'!$A$3:$A$500,$C28,'DADOS BRUTOS'!CN$3:CN$500)))</f>
        <v>0</v>
      </c>
      <c r="FO28" s="133" t="n">
        <f aca="false">IF(OR(FO$4="",$B28=""),0,SUMIF('DADOS BRUTOS'!$A$3:$A$500,$B28,'DADOS BRUTOS'!CO$3:CO$500)+IF($C28="",0,SUMIF('DADOS BRUTOS'!$A$3:$A$500,$C28,'DADOS BRUTOS'!CO$3:CO$500)))</f>
        <v>0</v>
      </c>
      <c r="FP28" s="133" t="n">
        <f aca="false">IF(OR(FP$4="",$B28=""),0,SUMIF('DADOS BRUTOS'!$A$3:$A$500,$B28,'DADOS BRUTOS'!CP$3:CP$500)+IF($C28="",0,SUMIF('DADOS BRUTOS'!$A$3:$A$500,$C28,'DADOS BRUTOS'!CP$3:CP$500)))</f>
        <v>0</v>
      </c>
      <c r="FQ28" s="133" t="n">
        <f aca="false">IF(OR(FQ$4="",$B28=""),0,SUMIF('DADOS BRUTOS'!$A$3:$A$500,$B28,'DADOS BRUTOS'!CQ$3:CQ$500)+IF($C28="",0,SUMIF('DADOS BRUTOS'!$A$3:$A$500,$C28,'DADOS BRUTOS'!CQ$3:CQ$500)))</f>
        <v>0</v>
      </c>
      <c r="FR28" s="133" t="n">
        <f aca="false">IF(OR(FR$4="",$B28=""),0,SUMIF('DADOS BRUTOS'!$A$3:$A$500,$B28,'DADOS BRUTOS'!CR$3:CR$500)+IF($C28="",0,SUMIF('DADOS BRUTOS'!$A$3:$A$500,$C28,'DADOS BRUTOS'!CR$3:CR$500)))</f>
        <v>0</v>
      </c>
      <c r="FS28" s="133" t="n">
        <f aca="false">IF(OR(FS$4="",$B28=""),0,SUMIF('DADOS BRUTOS'!$A$3:$A$500,$B28,'DADOS BRUTOS'!CS$3:CS$500)+IF($C28="",0,SUMIF('DADOS BRUTOS'!$A$3:$A$500,$C28,'DADOS BRUTOS'!CS$3:CS$500)))</f>
        <v>0</v>
      </c>
      <c r="FT28" s="133" t="n">
        <f aca="false">IF(OR(FT$4="",$B28=""),0,SUMIF('DADOS BRUTOS'!$A$3:$A$500,$B28,'DADOS BRUTOS'!CT$3:CT$500)+IF($C28="",0,SUMIF('DADOS BRUTOS'!$A$3:$A$500,$C28,'DADOS BRUTOS'!CT$3:CT$500)))</f>
        <v>0</v>
      </c>
      <c r="FU28" s="133" t="n">
        <f aca="false">IF(OR(FU$4="",$B28=""),0,SUMIF('DADOS BRUTOS'!$A$3:$A$500,$B28,'DADOS BRUTOS'!CU$3:CU$500)+IF($C28="",0,SUMIF('DADOS BRUTOS'!$A$3:$A$500,$C28,'DADOS BRUTOS'!CU$3:CU$500)))</f>
        <v>0</v>
      </c>
      <c r="FV28" s="133" t="n">
        <f aca="false">IF(OR(FV$4="",$B28=""),0,SUMIF('DADOS BRUTOS'!$A$3:$A$500,$B28,'DADOS BRUTOS'!CV$3:CV$500)+IF($C28="",0,SUMIF('DADOS BRUTOS'!$A$3:$A$500,$C28,'DADOS BRUTOS'!CV$3:CV$500)))</f>
        <v>0</v>
      </c>
      <c r="FW28" s="133" t="n">
        <f aca="false">IF(OR(FW$4="",$B28=""),0,SUMIF('DADOS BRUTOS'!$A$3:$A$500,$B28,'DADOS BRUTOS'!CW$3:CW$500)+IF($C28="",0,SUMIF('DADOS BRUTOS'!$A$3:$A$500,$C28,'DADOS BRUTOS'!CW$3:CW$500)))</f>
        <v>0</v>
      </c>
      <c r="FX28" s="133" t="n">
        <f aca="false">IF(OR(FX$4="",$B28=""),0,SUMIF('DADOS BRUTOS'!$A$3:$A$500,$B28,'DADOS BRUTOS'!CX$3:CX$500)+IF($C28="",0,SUMIF('DADOS BRUTOS'!$A$3:$A$500,$C28,'DADOS BRUTOS'!CX$3:CX$500)))</f>
        <v>0</v>
      </c>
      <c r="FY28" s="133" t="n">
        <f aca="false">IF(OR(FY$4="",$B28=""),0,SUMIF('DADOS BRUTOS'!$A$3:$A$500,$B28,'DADOS BRUTOS'!CY$3:CY$500)+IF($C28="",0,SUMIF('DADOS BRUTOS'!$A$3:$A$500,$C28,'DADOS BRUTOS'!CY$3:CY$500)))</f>
        <v>0</v>
      </c>
      <c r="FZ28" s="133" t="n">
        <f aca="false">IF(OR(FZ$4="",$B28=""),0,SUMIF('DADOS BRUTOS'!$A$3:$A$500,$B28,'DADOS BRUTOS'!CZ$3:CZ$500)+IF($C28="",0,SUMIF('DADOS BRUTOS'!$A$3:$A$500,$C28,'DADOS BRUTOS'!CZ$3:CZ$500)))</f>
        <v>0</v>
      </c>
      <c r="GA28" s="133" t="n">
        <f aca="false">IF(OR(GA$4="",$B28=""),0,SUMIF('DADOS BRUTOS'!$A$3:$A$500,$B28,'DADOS BRUTOS'!DA$3:DA$500)+IF($C28="",0,SUMIF('DADOS BRUTOS'!$A$3:$A$500,$C28,'DADOS BRUTOS'!DA$3:DA$500)))</f>
        <v>0</v>
      </c>
      <c r="GB28" s="133" t="n">
        <f aca="false">IF(OR(GB$4="",$B28=""),0,SUMIF('DADOS BRUTOS'!$A$3:$A$500,$B28,'DADOS BRUTOS'!DB$3:DB$500)+IF($C28="",0,SUMIF('DADOS BRUTOS'!$A$3:$A$500,$C28,'DADOS BRUTOS'!DB$3:DB$500)))</f>
        <v>0</v>
      </c>
      <c r="GC28" s="133" t="n">
        <f aca="false">IF(OR(GC$4="",$B28=""),0,SUMIF('DADOS BRUTOS'!$A$3:$A$500,$B28,'DADOS BRUTOS'!DC$3:DC$500)+IF($C28="",0,SUMIF('DADOS BRUTOS'!$A$3:$A$500,$C28,'DADOS BRUTOS'!DC$3:DC$500)))</f>
        <v>0</v>
      </c>
      <c r="GD28" s="133" t="n">
        <f aca="false">IF(OR(GD$4="",$B28=""),0,SUMIF('DADOS BRUTOS'!$A$3:$A$500,$B28,'DADOS BRUTOS'!DD$3:DD$500)+IF($C28="",0,SUMIF('DADOS BRUTOS'!$A$3:$A$500,$C28,'DADOS BRUTOS'!DD$3:DD$500)))</f>
        <v>0</v>
      </c>
      <c r="GE28" s="133" t="n">
        <f aca="false">IF(OR(GE$4="",$B28=""),0,SUMIF('DADOS BRUTOS'!$A$3:$A$500,$B28,'DADOS BRUTOS'!DE$3:DE$500)+IF($C28="",0,SUMIF('DADOS BRUTOS'!$A$3:$A$500,$C28,'DADOS BRUTOS'!DE$3:DE$500)))</f>
        <v>0</v>
      </c>
      <c r="GF28" s="133" t="n">
        <f aca="false">IF(OR(GF$4="",$B28=""),0,SUMIF('DADOS BRUTOS'!$A$3:$A$500,$B28,'DADOS BRUTOS'!DF$3:DF$500)+IF($C28="",0,SUMIF('DADOS BRUTOS'!$A$3:$A$500,$C28,'DADOS BRUTOS'!DF$3:DF$500)))</f>
        <v>0</v>
      </c>
      <c r="GG28" s="133" t="n">
        <f aca="false">IF(OR(GG$4="",$B28=""),0,SUMIF('DADOS BRUTOS'!$A$3:$A$500,$B28,'DADOS BRUTOS'!DG$3:DG$500)+IF($C28="",0,SUMIF('DADOS BRUTOS'!$A$3:$A$500,$C28,'DADOS BRUTOS'!DG$3:DG$500)))</f>
        <v>0</v>
      </c>
      <c r="GH28" s="133" t="n">
        <f aca="false">IF(OR(GH$4="",$B28=""),0,SUMIF('DADOS BRUTOS'!$A$3:$A$500,$B28,'DADOS BRUTOS'!DH$3:DH$500)+IF($C28="",0,SUMIF('DADOS BRUTOS'!$A$3:$A$500,$C28,'DADOS BRUTOS'!DH$3:DH$500)))</f>
        <v>0</v>
      </c>
      <c r="GI28" s="133" t="n">
        <f aca="false">IF(OR(GI$4="",$B28=""),0,SUMIF('DADOS BRUTOS'!$A$3:$A$500,$B28,'DADOS BRUTOS'!DI$3:DI$500)+IF($C28="",0,SUMIF('DADOS BRUTOS'!$A$3:$A$500,$C28,'DADOS BRUTOS'!DI$3:DI$500)))</f>
        <v>0</v>
      </c>
      <c r="GJ28" s="133" t="n">
        <f aca="false">IF(OR(GJ$4="",$B28=""),0,SUMIF('DADOS BRUTOS'!$A$3:$A$500,$B28,'DADOS BRUTOS'!DJ$3:DJ$500)+IF($C28="",0,SUMIF('DADOS BRUTOS'!$A$3:$A$500,$C28,'DADOS BRUTOS'!DJ$3:DJ$500)))</f>
        <v>0</v>
      </c>
      <c r="GK28" s="133" t="n">
        <f aca="false">IF(OR(GK$4="",$B28=""),0,SUMIF('DADOS BRUTOS'!$A$3:$A$500,$B28,'DADOS BRUTOS'!DK$3:DK$500)+IF($C28="",0,SUMIF('DADOS BRUTOS'!$A$3:$A$500,$C28,'DADOS BRUTOS'!DK$3:DK$500)))</f>
        <v>0</v>
      </c>
      <c r="GL28" s="133" t="n">
        <f aca="false">IF(OR(GL$4="",$B28=""),0,SUMIF('DADOS BRUTOS'!$A$3:$A$500,$B28,'DADOS BRUTOS'!DL$3:DL$500)+IF($C28="",0,SUMIF('DADOS BRUTOS'!$A$3:$A$500,$C28,'DADOS BRUTOS'!DL$3:DL$500)))</f>
        <v>0</v>
      </c>
      <c r="GM28" s="133" t="n">
        <f aca="false">IF(OR(GM$4="",$B28=""),0,SUMIF('DADOS BRUTOS'!$A$3:$A$500,$B28,'DADOS BRUTOS'!DM$3:DM$500)+IF($C28="",0,SUMIF('DADOS BRUTOS'!$A$3:$A$500,$C28,'DADOS BRUTOS'!DM$3:DM$500)))</f>
        <v>0</v>
      </c>
      <c r="GN28" s="133" t="n">
        <f aca="false">IF(OR(GN$4="",$B28=""),0,SUMIF('DADOS BRUTOS'!$A$3:$A$500,$B28,'DADOS BRUTOS'!DN$3:DN$500)+IF($C28="",0,SUMIF('DADOS BRUTOS'!$A$3:$A$500,$C28,'DADOS BRUTOS'!DN$3:DN$500)))</f>
        <v>0</v>
      </c>
      <c r="GO28" s="133" t="n">
        <f aca="false">IF(OR(GO$4="",$B28=""),0,SUMIF('DADOS BRUTOS'!$A$3:$A$500,$B28,'DADOS BRUTOS'!DO$3:DO$500)+IF($C28="",0,SUMIF('DADOS BRUTOS'!$A$3:$A$500,$C28,'DADOS BRUTOS'!DO$3:DO$500)))</f>
        <v>0</v>
      </c>
      <c r="GP28" s="133" t="n">
        <f aca="false">IF(OR(GP$4="",$B28=""),0,SUMIF('DADOS BRUTOS'!$A$3:$A$500,$B28,'DADOS BRUTOS'!DP$3:DP$500)+IF($C28="",0,SUMIF('DADOS BRUTOS'!$A$3:$A$500,$C28,'DADOS BRUTOS'!DP$3:DP$500)))</f>
        <v>0</v>
      </c>
      <c r="GQ28" s="133" t="n">
        <f aca="false">IF(OR(GQ$4="",$B28=""),0,SUMIF('DADOS BRUTOS'!$A$3:$A$500,$B28,'DADOS BRUTOS'!DQ$3:DQ$500)+IF($C28="",0,SUMIF('DADOS BRUTOS'!$A$3:$A$500,$C28,'DADOS BRUTOS'!DQ$3:DQ$500)))</f>
        <v>0</v>
      </c>
      <c r="GR28" s="133" t="n">
        <f aca="false">IF(OR(GR$4="",$B28=""),0,SUMIF('DADOS BRUTOS'!$A$3:$A$500,$B28,'DADOS BRUTOS'!DR$3:DR$500)+IF($C28="",0,SUMIF('DADOS BRUTOS'!$A$3:$A$500,$C28,'DADOS BRUTOS'!DR$3:DR$500)))</f>
        <v>0</v>
      </c>
      <c r="GS28" s="133" t="n">
        <f aca="false">IF(OR(GS$4="",$B28=""),0,SUMIF('DADOS BRUTOS'!$A$3:$A$500,$B28,'DADOS BRUTOS'!DS$3:DS$500)+IF($C28="",0,SUMIF('DADOS BRUTOS'!$A$3:$A$500,$C28,'DADOS BRUTOS'!DS$3:DS$500)))</f>
        <v>0</v>
      </c>
      <c r="GT28" s="133" t="n">
        <f aca="false">IF(OR(GT$4="",$B28=""),0,SUMIF('DADOS BRUTOS'!$A$3:$A$500,$B28,'DADOS BRUTOS'!DT$3:DT$500)+IF($C28="",0,SUMIF('DADOS BRUTOS'!$A$3:$A$500,$C28,'DADOS BRUTOS'!DT$3:DT$500)))</f>
        <v>0</v>
      </c>
      <c r="GU28" s="133" t="n">
        <f aca="false">IF(OR(GU$4="",$B28=""),0,SUMIF('DADOS BRUTOS'!$A$3:$A$500,$B28,'DADOS BRUTOS'!DU$3:DU$500)+IF($C28="",0,SUMIF('DADOS BRUTOS'!$A$3:$A$500,$C28,'DADOS BRUTOS'!DU$3:DU$500)))</f>
        <v>0</v>
      </c>
      <c r="GV28" s="133" t="n">
        <f aca="false">IF(OR(GV$4="",$B28=""),0,SUMIF('DADOS BRUTOS'!$A$3:$A$500,$B28,'DADOS BRUTOS'!DV$3:DV$500)+IF($C28="",0,SUMIF('DADOS BRUTOS'!$A$3:$A$500,$C28,'DADOS BRUTOS'!DV$3:DV$500)))</f>
        <v>0</v>
      </c>
      <c r="GW28" s="133" t="n">
        <f aca="false">IF(OR(GW$4="",$B28=""),0,SUMIF('DADOS BRUTOS'!$A$3:$A$500,$B28,'DADOS BRUTOS'!DW$3:DW$500)+IF($C28="",0,SUMIF('DADOS BRUTOS'!$A$3:$A$500,$C28,'DADOS BRUTOS'!DW$3:DW$500)))</f>
        <v>0</v>
      </c>
      <c r="GX28" s="133" t="n">
        <f aca="false">IF(OR(GX$4="",$B28=""),0,SUMIF('DADOS BRUTOS'!$A$3:$A$500,$B28,'DADOS BRUTOS'!DX$3:DX$500)+IF($C28="",0,SUMIF('DADOS BRUTOS'!$A$3:$A$500,$C28,'DADOS BRUTOS'!DX$3:DX$500)))</f>
        <v>0</v>
      </c>
      <c r="GY28" s="133" t="n">
        <f aca="false">IF(OR(GY$4="",$B28=""),0,SUMIF('DADOS BRUTOS'!$A$3:$A$500,$B28,'DADOS BRUTOS'!DY$3:DY$500)+IF($C28="",0,SUMIF('DADOS BRUTOS'!$A$3:$A$500,$C28,'DADOS BRUTOS'!DY$3:DY$500)))</f>
        <v>0</v>
      </c>
      <c r="GZ28" s="133" t="n">
        <f aca="false">IF(OR(GZ$4="",$B28=""),0,SUMIF('DADOS BRUTOS'!$A$3:$A$500,$B28,'DADOS BRUTOS'!DZ$3:DZ$500)+IF($C28="",0,SUMIF('DADOS BRUTOS'!$A$3:$A$500,$C28,'DADOS BRUTOS'!DZ$3:DZ$500)))</f>
        <v>0</v>
      </c>
      <c r="HA28" s="133" t="n">
        <f aca="false">IF(OR(HA$4="",$B28=""),0,SUMIF('DADOS BRUTOS'!$A$3:$A$500,$B28,'DADOS BRUTOS'!EA$3:EA$500)+IF($C28="",0,SUMIF('DADOS BRUTOS'!$A$3:$A$500,$C28,'DADOS BRUTOS'!EA$3:EA$500)))</f>
        <v>0</v>
      </c>
      <c r="HB28" s="133" t="n">
        <f aca="false">IF(OR(HB$4="",$B28=""),0,SUMIF('DADOS BRUTOS'!$A$3:$A$500,$B28,'DADOS BRUTOS'!EB$3:EB$500)+IF($C28="",0,SUMIF('DADOS BRUTOS'!$A$3:$A$500,$C28,'DADOS BRUTOS'!EB$3:EB$500)))</f>
        <v>0</v>
      </c>
      <c r="HC28" s="133" t="n">
        <f aca="false">IF(OR(HC$4="",$B28=""),0,SUMIF('DADOS BRUTOS'!$A$3:$A$500,$B28,'DADOS BRUTOS'!EC$3:EC$500)+IF($C28="",0,SUMIF('DADOS BRUTOS'!$A$3:$A$500,$C28,'DADOS BRUTOS'!EC$3:EC$500)))</f>
        <v>0</v>
      </c>
      <c r="HD28" s="133" t="n">
        <f aca="false">IF(OR(HD$4="",$B28=""),0,SUMIF('DADOS BRUTOS'!$A$3:$A$500,$B28,'DADOS BRUTOS'!ED$3:ED$500)+IF($C28="",0,SUMIF('DADOS BRUTOS'!$A$3:$A$500,$C28,'DADOS BRUTOS'!ED$3:ED$500)))</f>
        <v>0</v>
      </c>
      <c r="HE28" s="133" t="n">
        <f aca="false">IF(OR(HE$4="",$B28=""),0,SUMIF('DADOS BRUTOS'!$A$3:$A$500,$B28,'DADOS BRUTOS'!EE$3:EE$500)+IF($C28="",0,SUMIF('DADOS BRUTOS'!$A$3:$A$500,$C28,'DADOS BRUTOS'!EE$3:EE$500)))</f>
        <v>0</v>
      </c>
      <c r="HF28" s="133" t="n">
        <f aca="false">IF(OR(HF$4="",$B28=""),0,SUMIF('DADOS BRUTOS'!$A$3:$A$500,$B28,'DADOS BRUTOS'!EF$3:EF$500)+IF($C28="",0,SUMIF('DADOS BRUTOS'!$A$3:$A$500,$C28,'DADOS BRUTOS'!EF$3:EF$500)))</f>
        <v>0</v>
      </c>
      <c r="HG28" s="133" t="n">
        <f aca="false">IF(OR(HG$4="",$B28=""),0,SUMIF('DADOS BRUTOS'!$A$3:$A$500,$B28,'DADOS BRUTOS'!EG$3:EG$500)+IF($C28="",0,SUMIF('DADOS BRUTOS'!$A$3:$A$500,$C28,'DADOS BRUTOS'!EG$3:EG$500)))</f>
        <v>0</v>
      </c>
      <c r="HH28" s="133" t="n">
        <f aca="false">IF(OR(HH$4="",$B28=""),0,SUMIF('DADOS BRUTOS'!$A$3:$A$500,$B28,'DADOS BRUTOS'!EH$3:EH$500)+IF($C28="",0,SUMIF('DADOS BRUTOS'!$A$3:$A$500,$C28,'DADOS BRUTOS'!EH$3:EH$500)))</f>
        <v>0</v>
      </c>
      <c r="HI28" s="133" t="n">
        <f aca="false">IF(OR(HI$4="",$B28=""),0,SUMIF('DADOS BRUTOS'!$A$3:$A$500,$B28,'DADOS BRUTOS'!EI$3:EI$500)+IF($C28="",0,SUMIF('DADOS BRUTOS'!$A$3:$A$500,$C28,'DADOS BRUTOS'!EI$3:EI$500)))</f>
        <v>0</v>
      </c>
      <c r="HJ28" s="133" t="n">
        <f aca="false">IF(OR(HJ$4="",$B28=""),0,SUMIF('DADOS BRUTOS'!$A$3:$A$500,$B28,'DADOS BRUTOS'!EJ$3:EJ$500)+IF($C28="",0,SUMIF('DADOS BRUTOS'!$A$3:$A$500,$C28,'DADOS BRUTOS'!EJ$3:EJ$500)))</f>
        <v>0</v>
      </c>
      <c r="HK28" s="133" t="n">
        <f aca="false">IF(OR(HK$4="",$B28=""),0,SUMIF('DADOS BRUTOS'!$A$3:$A$500,$B28,'DADOS BRUTOS'!EK$3:EK$500)+IF($C28="",0,SUMIF('DADOS BRUTOS'!$A$3:$A$500,$C28,'DADOS BRUTOS'!EK$3:EK$500)))</f>
        <v>0</v>
      </c>
      <c r="HL28" s="133" t="n">
        <f aca="false">IF(OR(HL$4="",$B28=""),0,SUMIF('DADOS BRUTOS'!$A$3:$A$500,$B28,'DADOS BRUTOS'!EL$3:EL$500)+IF($C28="",0,SUMIF('DADOS BRUTOS'!$A$3:$A$500,$C28,'DADOS BRUTOS'!EL$3:EL$500)))</f>
        <v>0</v>
      </c>
      <c r="HM28" s="133" t="n">
        <f aca="false">IF(OR(HM$4="",$B28=""),0,SUMIF('DADOS BRUTOS'!$A$3:$A$500,$B28,'DADOS BRUTOS'!EM$3:EM$500)+IF($C28="",0,SUMIF('DADOS BRUTOS'!$A$3:$A$500,$C28,'DADOS BRUTOS'!EM$3:EM$500)))</f>
        <v>0</v>
      </c>
      <c r="HN28" s="133" t="n">
        <f aca="false">IF(OR(HN$4="",$B28=""),0,SUMIF('DADOS BRUTOS'!$A$3:$A$500,$B28,'DADOS BRUTOS'!EN$3:EN$500)+IF($C28="",0,SUMIF('DADOS BRUTOS'!$A$3:$A$500,$C28,'DADOS BRUTOS'!EN$3:EN$500)))</f>
        <v>0</v>
      </c>
      <c r="HO28" s="133" t="n">
        <f aca="false">IF(OR(HO$4="",$B28=""),0,SUMIF('DADOS BRUTOS'!$A$3:$A$500,$B28,'DADOS BRUTOS'!EO$3:EO$500)+IF($C28="",0,SUMIF('DADOS BRUTOS'!$A$3:$A$500,$C28,'DADOS BRUTOS'!EO$3:EO$500)))</f>
        <v>0</v>
      </c>
      <c r="HP28" s="133" t="n">
        <f aca="false">IF(OR(HP$4="",$B28=""),0,SUMIF('DADOS BRUTOS'!$A$3:$A$500,$B28,'DADOS BRUTOS'!EP$3:EP$500)+IF($C28="",0,SUMIF('DADOS BRUTOS'!$A$3:$A$500,$C28,'DADOS BRUTOS'!EP$3:EP$500)))</f>
        <v>0</v>
      </c>
      <c r="HQ28" s="133" t="n">
        <f aca="false">IF(OR(HQ$4="",$B28=""),0,SUMIF('DADOS BRUTOS'!$A$3:$A$500,$B28,'DADOS BRUTOS'!EQ$3:EQ$500)+IF($C28="",0,SUMIF('DADOS BRUTOS'!$A$3:$A$500,$C28,'DADOS BRUTOS'!EQ$3:EQ$500)))</f>
        <v>0</v>
      </c>
      <c r="HR28" s="133" t="n">
        <f aca="false">IF(OR(HR$4="",$B28=""),0,SUMIF('DADOS BRUTOS'!$A$3:$A$500,$B28,'DADOS BRUTOS'!ER$3:ER$500)+IF($C28="",0,SUMIF('DADOS BRUTOS'!$A$3:$A$500,$C28,'DADOS BRUTOS'!ER$3:ER$500)))</f>
        <v>0</v>
      </c>
      <c r="HS28" s="133" t="n">
        <f aca="false">IF(OR(HS$4="",$B28=""),0,SUMIF('DADOS BRUTOS'!$A$3:$A$500,$B28,'DADOS BRUTOS'!ES$3:ES$500)+IF($C28="",0,SUMIF('DADOS BRUTOS'!$A$3:$A$500,$C28,'DADOS BRUTOS'!ES$3:ES$500)))</f>
        <v>0</v>
      </c>
      <c r="HT28" s="133" t="n">
        <f aca="false">IF(OR(HT$4="",$B28=""),0,SUMIF('DADOS BRUTOS'!$A$3:$A$500,$B28,'DADOS BRUTOS'!ET$3:ET$500)+IF($C28="",0,SUMIF('DADOS BRUTOS'!$A$3:$A$500,$C28,'DADOS BRUTOS'!ET$3:ET$500)))</f>
        <v>0</v>
      </c>
      <c r="HU28" s="133" t="n">
        <f aca="false">IF(OR(HU$4="",$B28=""),0,SUMIF('DADOS BRUTOS'!$A$3:$A$500,$B28,'DADOS BRUTOS'!EU$3:EU$500)+IF($C28="",0,SUMIF('DADOS BRUTOS'!$A$3:$A$500,$C28,'DADOS BRUTOS'!EU$3:EU$500)))</f>
        <v>0</v>
      </c>
      <c r="HV28" s="133" t="n">
        <f aca="false">IF(OR(HV$4="",$B28=""),0,SUMIF('DADOS BRUTOS'!$A$3:$A$500,$B28,'DADOS BRUTOS'!EV$3:EV$500)+IF($C28="",0,SUMIF('DADOS BRUTOS'!$A$3:$A$500,$C28,'DADOS BRUTOS'!EV$3:EV$500)))</f>
        <v>0</v>
      </c>
      <c r="HW28" s="133" t="n">
        <f aca="false">IF(OR(HW$4="",$B28=""),0,SUMIF('DADOS BRUTOS'!$A$3:$A$500,$B28,'DADOS BRUTOS'!EW$3:EW$500)+IF($C28="",0,SUMIF('DADOS BRUTOS'!$A$3:$A$500,$C28,'DADOS BRUTOS'!EW$3:EW$500)))</f>
        <v>0</v>
      </c>
      <c r="HX28" s="133" t="n">
        <f aca="false">IF(OR(HX$4="",$B28=""),0,SUMIF('DADOS BRUTOS'!$A$3:$A$500,$B28,'DADOS BRUTOS'!EX$3:EX$500)+IF($C28="",0,SUMIF('DADOS BRUTOS'!$A$3:$A$500,$C28,'DADOS BRUTOS'!EX$3:EX$500)))</f>
        <v>0</v>
      </c>
      <c r="HY28" s="133" t="n">
        <f aca="false">IF(OR(HY$4="",$B28=""),0,SUMIF('DADOS BRUTOS'!$A$3:$A$500,$B28,'DADOS BRUTOS'!EY$3:EY$500)+IF($C28="",0,SUMIF('DADOS BRUTOS'!$A$3:$A$500,$C28,'DADOS BRUTOS'!EY$3:EY$500)))</f>
        <v>0</v>
      </c>
      <c r="HZ28" s="133" t="n">
        <f aca="false">IF(OR(HZ$4="",$B28=""),0,SUMIF('DADOS BRUTOS'!$A$3:$A$500,$B28,'DADOS BRUTOS'!EZ$3:EZ$500)+IF($C28="",0,SUMIF('DADOS BRUTOS'!$A$3:$A$500,$C28,'DADOS BRUTOS'!EZ$3:EZ$500)))</f>
        <v>0</v>
      </c>
      <c r="IA28" s="133" t="n">
        <f aca="false">IF(OR(IA$4="",$B28=""),0,SUMIF('DADOS BRUTOS'!$A$3:$A$500,$B28,'DADOS BRUTOS'!FA$3:FA$500)+IF($C28="",0,SUMIF('DADOS BRUTOS'!$A$3:$A$500,$C28,'DADOS BRUTOS'!FA$3:FA$500)))</f>
        <v>0</v>
      </c>
      <c r="IB28" s="133" t="n">
        <f aca="false">IF(OR(IB$4="",$B28=""),0,SUMIF('DADOS BRUTOS'!$A$3:$A$500,$B28,'DADOS BRUTOS'!FB$3:FB$500)+IF($C28="",0,SUMIF('DADOS BRUTOS'!$A$3:$A$500,$C28,'DADOS BRUTOS'!FB$3:FB$500)))</f>
        <v>0</v>
      </c>
      <c r="IC28" s="133" t="n">
        <f aca="false">IF(OR(IC$4="",$B28=""),0,SUMIF('DADOS BRUTOS'!$A$3:$A$500,$B28,'DADOS BRUTOS'!FC$3:FC$500)+IF($C28="",0,SUMIF('DADOS BRUTOS'!$A$3:$A$500,$C28,'DADOS BRUTOS'!FC$3:FC$500)))</f>
        <v>0</v>
      </c>
      <c r="ID28" s="133" t="n">
        <f aca="false">IF(OR(ID$4="",$B28=""),0,SUMIF('DADOS BRUTOS'!$A$3:$A$500,$B28,'DADOS BRUTOS'!FD$3:FD$500)+IF($C28="",0,SUMIF('DADOS BRUTOS'!$A$3:$A$500,$C28,'DADOS BRUTOS'!FD$3:FD$500)))</f>
        <v>0</v>
      </c>
      <c r="IE28" s="133" t="n">
        <f aca="false">IF(OR(IE$4="",$B28=""),0,SUMIF('DADOS BRUTOS'!$A$3:$A$500,$B28,'DADOS BRUTOS'!FE$3:FE$500)+IF($C28="",0,SUMIF('DADOS BRUTOS'!$A$3:$A$500,$C28,'DADOS BRUTOS'!FE$3:FE$500)))</f>
        <v>0</v>
      </c>
      <c r="IF28" s="133" t="n">
        <f aca="false">IF(OR(IF$4="",$B28=""),0,SUMIF('DADOS BRUTOS'!$A$3:$A$500,$B28,'DADOS BRUTOS'!FF$3:FF$500)+IF($C28="",0,SUMIF('DADOS BRUTOS'!$A$3:$A$500,$C28,'DADOS BRUTOS'!FF$3:FF$500)))</f>
        <v>0</v>
      </c>
      <c r="IG28" s="133" t="n">
        <f aca="false">IF(OR(IG$4="",$B28=""),0,SUMIF('DADOS BRUTOS'!$A$3:$A$500,$B28,'DADOS BRUTOS'!FG$3:FG$500)+IF($C28="",0,SUMIF('DADOS BRUTOS'!$A$3:$A$500,$C28,'DADOS BRUTOS'!FG$3:FG$500)))</f>
        <v>0</v>
      </c>
      <c r="IH28" s="133" t="n">
        <f aca="false">IF(OR(IH$4="",$B28=""),0,SUMIF('DADOS BRUTOS'!$A$3:$A$500,$B28,'DADOS BRUTOS'!FH$3:FH$500)+IF($C28="",0,SUMIF('DADOS BRUTOS'!$A$3:$A$500,$C28,'DADOS BRUTOS'!FH$3:FH$500)))</f>
        <v>0</v>
      </c>
      <c r="II28" s="133" t="n">
        <f aca="false">IF(OR(II$4="",$B28=""),0,SUMIF('DADOS BRUTOS'!$A$3:$A$500,$B28,'DADOS BRUTOS'!FI$3:FI$500)+IF($C28="",0,SUMIF('DADOS BRUTOS'!$A$3:$A$500,$C28,'DADOS BRUTOS'!FI$3:FI$500)))</f>
        <v>0</v>
      </c>
      <c r="IJ28" s="133" t="n">
        <f aca="false">IF(OR(IJ$4="",$B28=""),0,SUMIF('DADOS BRUTOS'!$A$3:$A$500,$B28,'DADOS BRUTOS'!FJ$3:FJ$500)+IF($C28="",0,SUMIF('DADOS BRUTOS'!$A$3:$A$500,$C28,'DADOS BRUTOS'!FJ$3:FJ$500)))</f>
        <v>0</v>
      </c>
      <c r="IK28" s="133" t="n">
        <f aca="false">IF(OR(IK$4="",$B28=""),0,SUMIF('DADOS BRUTOS'!$A$3:$A$500,$B28,'DADOS BRUTOS'!FK$3:FK$500)+IF($C28="",0,SUMIF('DADOS BRUTOS'!$A$3:$A$500,$C28,'DADOS BRUTOS'!FK$3:FK$500)))</f>
        <v>0</v>
      </c>
      <c r="IL28" s="133" t="n">
        <f aca="false">IF(OR(IL$4="",$B28=""),0,SUMIF('DADOS BRUTOS'!$A$3:$A$500,$B28,'DADOS BRUTOS'!FL$3:FL$500)+IF($C28="",0,SUMIF('DADOS BRUTOS'!$A$3:$A$500,$C28,'DADOS BRUTOS'!FL$3:FL$500)))</f>
        <v>0</v>
      </c>
      <c r="IM28" s="133" t="n">
        <f aca="false">IF(OR(IM$4="",$B28=""),0,SUMIF('DADOS BRUTOS'!$A$3:$A$500,$B28,'DADOS BRUTOS'!FM$3:FM$500)+IF($C28="",0,SUMIF('DADOS BRUTOS'!$A$3:$A$500,$C28,'DADOS BRUTOS'!FM$3:FM$500)))</f>
        <v>0</v>
      </c>
      <c r="IN28" s="133" t="n">
        <f aca="false">IF(OR(IN$4="",$B28=""),0,SUMIF('DADOS BRUTOS'!$A$3:$A$500,$B28,'DADOS BRUTOS'!FN$3:FN$500)+IF($C28="",0,SUMIF('DADOS BRUTOS'!$A$3:$A$500,$C28,'DADOS BRUTOS'!FN$3:FN$500)))</f>
        <v>0</v>
      </c>
      <c r="IO28" s="133" t="n">
        <f aca="false">IF(OR(IO$4="",$B28=""),0,SUMIF('DADOS BRUTOS'!$A$3:$A$500,$B28,'DADOS BRUTOS'!FO$3:FO$500)+IF($C28="",0,SUMIF('DADOS BRUTOS'!$A$3:$A$500,$C28,'DADOS BRUTOS'!FO$3:FO$500)))</f>
        <v>0</v>
      </c>
      <c r="IP28" s="133" t="n">
        <f aca="false">IF(OR(IP$4="",$B28=""),0,SUMIF('DADOS BRUTOS'!$A$3:$A$500,$B28,'DADOS BRUTOS'!FP$3:FP$500)+IF($C28="",0,SUMIF('DADOS BRUTOS'!$A$3:$A$500,$C28,'DADOS BRUTOS'!FP$3:FP$500)))</f>
        <v>0</v>
      </c>
      <c r="IQ28" s="133" t="n">
        <f aca="false">IF(OR(IQ$4="",$B28=""),0,SUMIF('DADOS BRUTOS'!$A$3:$A$500,$B28,'DADOS BRUTOS'!FQ$3:FQ$500)+IF($C28="",0,SUMIF('DADOS BRUTOS'!$A$3:$A$500,$C28,'DADOS BRUTOS'!FQ$3:FQ$500)))</f>
        <v>0</v>
      </c>
      <c r="IR28" s="133" t="n">
        <f aca="false">IF(OR(IR$4="",$B28=""),0,SUMIF('DADOS BRUTOS'!$A$3:$A$500,$B28,'DADOS BRUTOS'!FR$3:FR$500)+IF($C28="",0,SUMIF('DADOS BRUTOS'!$A$3:$A$500,$C28,'DADOS BRUTOS'!FR$3:FR$500)))</f>
        <v>0</v>
      </c>
      <c r="IS28" s="133" t="n">
        <f aca="false">IF(OR(IS$4="",$B28=""),0,SUMIF('DADOS BRUTOS'!$A$3:$A$500,$B28,'DADOS BRUTOS'!FS$3:FS$500)+IF($C28="",0,SUMIF('DADOS BRUTOS'!$A$3:$A$500,$C28,'DADOS BRUTOS'!FS$3:FS$500)))</f>
        <v>0</v>
      </c>
      <c r="IT28" s="133" t="n">
        <f aca="false">IF(OR(IT$4="",$B28=""),0,SUMIF('DADOS BRUTOS'!$A$3:$A$500,$B28,'DADOS BRUTOS'!FT$3:FT$500)+IF($C28="",0,SUMIF('DADOS BRUTOS'!$A$3:$A$500,$C28,'DADOS BRUTOS'!FT$3:FT$500)))</f>
        <v>0</v>
      </c>
      <c r="IU28" s="133" t="n">
        <f aca="false">IF(OR(IU$4="",$B28=""),0,SUMIF('DADOS BRUTOS'!$A$3:$A$500,$B28,'DADOS BRUTOS'!FU$3:FU$500)+IF($C28="",0,SUMIF('DADOS BRUTOS'!$A$3:$A$500,$C28,'DADOS BRUTOS'!FU$3:FU$500)))</f>
        <v>0</v>
      </c>
      <c r="IV28" s="133" t="n">
        <f aca="false">IF(OR(IV$4="",$B28=""),0,SUMIF('DADOS BRUTOS'!$A$3:$A$500,$B28,'DADOS BRUTOS'!FV$3:FV$500)+IF($C28="",0,SUMIF('DADOS BRUTOS'!$A$3:$A$500,$C28,'DADOS BRUTOS'!FV$3:FV$500)))</f>
        <v>0</v>
      </c>
      <c r="IW28" s="133" t="n">
        <f aca="false">IF(OR(IW$4="",$B28=""),0,SUMIF('DADOS BRUTOS'!$A$3:$A$500,$B28,'DADOS BRUTOS'!FW$3:FW$500)+IF($C28="",0,SUMIF('DADOS BRUTOS'!$A$3:$A$500,$C28,'DADOS BRUTOS'!FW$3:FW$500)))</f>
        <v>0</v>
      </c>
      <c r="IX28" s="133" t="n">
        <f aca="false">IF(OR(IX$4="",$B28=""),0,SUMIF('DADOS BRUTOS'!$A$3:$A$500,$B28,'DADOS BRUTOS'!FX$3:FX$500)+IF($C28="",0,SUMIF('DADOS BRUTOS'!$A$3:$A$500,$C28,'DADOS BRUTOS'!FX$3:FX$500)))</f>
        <v>0</v>
      </c>
      <c r="IY28" s="133" t="n">
        <f aca="false">IF(OR(IY$4="",$B28=""),0,SUMIF('DADOS BRUTOS'!$A$3:$A$500,$B28,'DADOS BRUTOS'!FY$3:FY$500)+IF($C28="",0,SUMIF('DADOS BRUTOS'!$A$3:$A$500,$C28,'DADOS BRUTOS'!FY$3:FY$500)))</f>
        <v>0</v>
      </c>
      <c r="IZ28" s="133" t="n">
        <f aca="false">IF(OR(IZ$4="",$B28=""),0,SUMIF('DADOS BRUTOS'!$A$3:$A$500,$B28,'DADOS BRUTOS'!FZ$3:FZ$500)+IF($C28="",0,SUMIF('DADOS BRUTOS'!$A$3:$A$500,$C28,'DADOS BRUTOS'!FZ$3:FZ$500)))</f>
        <v>0</v>
      </c>
      <c r="JA28" s="133" t="n">
        <f aca="false">IF(OR(JA$4="",$B28=""),0,SUMIF('DADOS BRUTOS'!$A$3:$A$500,$B28,'DADOS BRUTOS'!GA$3:GA$500)+IF($C28="",0,SUMIF('DADOS BRUTOS'!$A$3:$A$500,$C28,'DADOS BRUTOS'!GA$3:GA$500)))</f>
        <v>0</v>
      </c>
      <c r="JB28" s="133" t="n">
        <f aca="false">IF(OR(JB$4="",$B28=""),0,SUMIF('DADOS BRUTOS'!$A$3:$A$500,$B28,'DADOS BRUTOS'!GB$3:GB$500)+IF($C28="",0,SUMIF('DADOS BRUTOS'!$A$3:$A$500,$C28,'DADOS BRUTOS'!GB$3:GB$500)))</f>
        <v>0</v>
      </c>
      <c r="JC28" s="133" t="n">
        <f aca="false">IF(OR(JC$4="",$B28=""),0,SUMIF('DADOS BRUTOS'!$A$3:$A$500,$B28,'DADOS BRUTOS'!GC$3:GC$500)+IF($C28="",0,SUMIF('DADOS BRUTOS'!$A$3:$A$500,$C28,'DADOS BRUTOS'!GC$3:GC$500)))</f>
        <v>0</v>
      </c>
      <c r="JD28" s="133" t="n">
        <f aca="false">IF(OR(JD$4="",$B28=""),0,SUMIF('DADOS BRUTOS'!$A$3:$A$500,$B28,'DADOS BRUTOS'!GD$3:GD$500)+IF($C28="",0,SUMIF('DADOS BRUTOS'!$A$3:$A$500,$C28,'DADOS BRUTOS'!GD$3:GD$500)))</f>
        <v>0</v>
      </c>
      <c r="JE28" s="133" t="n">
        <f aca="false">IF(OR(JE$4="",$B28=""),0,SUMIF('DADOS BRUTOS'!$A$3:$A$500,$B28,'DADOS BRUTOS'!GE$3:GE$500)+IF($C28="",0,SUMIF('DADOS BRUTOS'!$A$3:$A$500,$C28,'DADOS BRUTOS'!GE$3:GE$500)))</f>
        <v>0</v>
      </c>
      <c r="JF28" s="133" t="n">
        <f aca="false">IF(OR(JF$4="",$B28=""),0,SUMIF('DADOS BRUTOS'!$A$3:$A$500,$B28,'DADOS BRUTOS'!GF$3:GF$500)+IF($C28="",0,SUMIF('DADOS BRUTOS'!$A$3:$A$500,$C28,'DADOS BRUTOS'!GF$3:GF$500)))</f>
        <v>0</v>
      </c>
      <c r="JG28" s="133" t="n">
        <f aca="false">IF(OR(JG$4="",$B28=""),0,SUMIF('DADOS BRUTOS'!$A$3:$A$500,$B28,'DADOS BRUTOS'!GG$3:GG$500)+IF($C28="",0,SUMIF('DADOS BRUTOS'!$A$3:$A$500,$C28,'DADOS BRUTOS'!GG$3:GG$500)))</f>
        <v>0</v>
      </c>
      <c r="JH28" s="133" t="n">
        <f aca="false">IF(OR(JH$4="",$B28=""),0,SUMIF('DADOS BRUTOS'!$A$3:$A$500,$B28,'DADOS BRUTOS'!GH$3:GH$500)+IF($C28="",0,SUMIF('DADOS BRUTOS'!$A$3:$A$500,$C28,'DADOS BRUTOS'!GH$3:GH$500)))</f>
        <v>0</v>
      </c>
      <c r="JI28" s="133" t="n">
        <f aca="false">IF(OR(JI$4="",$B28=""),0,SUMIF('DADOS BRUTOS'!$A$3:$A$500,$B28,'DADOS BRUTOS'!GI$3:GI$500)+IF($C28="",0,SUMIF('DADOS BRUTOS'!$A$3:$A$500,$C28,'DADOS BRUTOS'!GI$3:GI$500)))</f>
        <v>0</v>
      </c>
      <c r="JJ28" s="133" t="n">
        <f aca="false">IF(OR(JJ$4="",$B28=""),0,SUMIF('DADOS BRUTOS'!$A$3:$A$500,$B28,'DADOS BRUTOS'!GJ$3:GJ$500)+IF($C28="",0,SUMIF('DADOS BRUTOS'!$A$3:$A$500,$C28,'DADOS BRUTOS'!GJ$3:GJ$500)))</f>
        <v>0</v>
      </c>
      <c r="JK28" s="133" t="n">
        <f aca="false">IF(OR(JK$4="",$B28=""),0,SUMIF('DADOS BRUTOS'!$A$3:$A$500,$B28,'DADOS BRUTOS'!GK$3:GK$500)+IF($C28="",0,SUMIF('DADOS BRUTOS'!$A$3:$A$500,$C28,'DADOS BRUTOS'!GK$3:GK$500)))</f>
        <v>0</v>
      </c>
      <c r="JL28" s="133" t="n">
        <f aca="false">IF(OR(JL$4="",$B28=""),0,SUMIF('DADOS BRUTOS'!$A$3:$A$500,$B28,'DADOS BRUTOS'!GL$3:GL$500)+IF($C28="",0,SUMIF('DADOS BRUTOS'!$A$3:$A$500,$C28,'DADOS BRUTOS'!GL$3:GL$500)))</f>
        <v>0</v>
      </c>
      <c r="JM28" s="133" t="n">
        <f aca="false">IF(OR(JM$4="",$B28=""),0,SUMIF('DADOS BRUTOS'!$A$3:$A$500,$B28,'DADOS BRUTOS'!GM$3:GM$500)+IF($C28="",0,SUMIF('DADOS BRUTOS'!$A$3:$A$500,$C28,'DADOS BRUTOS'!GM$3:GM$500)))</f>
        <v>0</v>
      </c>
      <c r="JN28" s="133" t="n">
        <f aca="false">IF(OR(JN$4="",$B28=""),0,SUMIF('DADOS BRUTOS'!$A$3:$A$500,$B28,'DADOS BRUTOS'!GN$3:GN$500)+IF($C28="",0,SUMIF('DADOS BRUTOS'!$A$3:$A$500,$C28,'DADOS BRUTOS'!GN$3:GN$500)))</f>
        <v>0</v>
      </c>
      <c r="JO28" s="133" t="n">
        <f aca="false">IF(OR(JO$4="",$B28=""),0,SUMIF('DADOS BRUTOS'!$A$3:$A$500,$B28,'DADOS BRUTOS'!GO$3:GO$500)+IF($C28="",0,SUMIF('DADOS BRUTOS'!$A$3:$A$500,$C28,'DADOS BRUTOS'!GO$3:GO$500)))</f>
        <v>0</v>
      </c>
      <c r="JP28" s="133" t="n">
        <f aca="false">IF(OR(JP$4="",$B28=""),0,SUMIF('DADOS BRUTOS'!$A$3:$A$500,$B28,'DADOS BRUTOS'!GP$3:GP$500)+IF($C28="",0,SUMIF('DADOS BRUTOS'!$A$3:$A$500,$C28,'DADOS BRUTOS'!GP$3:GP$500)))</f>
        <v>0</v>
      </c>
      <c r="JQ28" s="133" t="n">
        <f aca="false">IF(OR(JQ$4="",$B28=""),0,SUMIF('DADOS BRUTOS'!$A$3:$A$500,$B28,'DADOS BRUTOS'!GQ$3:GQ$500)+IF($C28="",0,SUMIF('DADOS BRUTOS'!$A$3:$A$500,$C28,'DADOS BRUTOS'!GQ$3:GQ$500)))</f>
        <v>0</v>
      </c>
      <c r="JR28" s="133" t="n">
        <f aca="false">IF(OR(JR$4="",$B28=""),0,SUMIF('DADOS BRUTOS'!$A$3:$A$500,$B28,'DADOS BRUTOS'!GR$3:GR$500)+IF($C28="",0,SUMIF('DADOS BRUTOS'!$A$3:$A$500,$C28,'DADOS BRUTOS'!GR$3:GR$500)))</f>
        <v>0</v>
      </c>
      <c r="JS28" s="133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0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0</v>
      </c>
      <c r="BZ29" s="45" t="n">
        <f aca="false">SUMPRODUCT(($CB$4:$JS$4&lt;&gt;"")*($CB$4:$JS$4&lt;=$D$4),$CB29:$JS29,$CB$1:$JS$1)</f>
        <v>0</v>
      </c>
      <c r="CB29" s="133" t="n">
        <f aca="false">IF(OR(CB$4="",$B29=""),0,SUMIF('DADOS BRUTOS'!$A$3:$A$500,$B29,'DADOS BRUTOS'!B$3:B$500)+IF($C29="",0,SUMIF('DADOS BRUTOS'!$A$3:$A$500,$C29,'DADOS BRUTOS'!B$3:B$500)))</f>
        <v>0</v>
      </c>
      <c r="CC29" s="133" t="n">
        <f aca="false">IF(OR(CC$4="",$B29=""),0,SUMIF('DADOS BRUTOS'!$A$3:$A$500,$B29,'DADOS BRUTOS'!C$3:C$500)+IF($C29="",0,SUMIF('DADOS BRUTOS'!$A$3:$A$500,$C29,'DADOS BRUTOS'!C$3:C$500)))</f>
        <v>0</v>
      </c>
      <c r="CD29" s="133" t="n">
        <f aca="false">IF(OR(CD$4="",$B29=""),0,SUMIF('DADOS BRUTOS'!$A$3:$A$500,$B29,'DADOS BRUTOS'!D$3:D$500)+IF($C29="",0,SUMIF('DADOS BRUTOS'!$A$3:$A$500,$C29,'DADOS BRUTOS'!D$3:D$500)))</f>
        <v>0</v>
      </c>
      <c r="CE29" s="133" t="n">
        <f aca="false">IF(OR(CE$4="",$B29=""),0,SUMIF('DADOS BRUTOS'!$A$3:$A$500,$B29,'DADOS BRUTOS'!E$3:E$500)+IF($C29="",0,SUMIF('DADOS BRUTOS'!$A$3:$A$500,$C29,'DADOS BRUTOS'!E$3:E$500)))</f>
        <v>0</v>
      </c>
      <c r="CF29" s="133" t="n">
        <f aca="false">IF(OR(CF$4="",$B29=""),0,SUMIF('DADOS BRUTOS'!$A$3:$A$500,$B29,'DADOS BRUTOS'!F$3:F$500)+IF($C29="",0,SUMIF('DADOS BRUTOS'!$A$3:$A$500,$C29,'DADOS BRUTOS'!F$3:F$500)))</f>
        <v>0</v>
      </c>
      <c r="CG29" s="133" t="n">
        <f aca="false">IF(OR(CG$4="",$B29=""),0,SUMIF('DADOS BRUTOS'!$A$3:$A$500,$B29,'DADOS BRUTOS'!G$3:G$500)+IF($C29="",0,SUMIF('DADOS BRUTOS'!$A$3:$A$500,$C29,'DADOS BRUTOS'!G$3:G$500)))</f>
        <v>0</v>
      </c>
      <c r="CH29" s="133" t="n">
        <f aca="false">IF(OR(CH$4="",$B29=""),0,SUMIF('DADOS BRUTOS'!$A$3:$A$500,$B29,'DADOS BRUTOS'!H$3:H$500)+IF($C29="",0,SUMIF('DADOS BRUTOS'!$A$3:$A$500,$C29,'DADOS BRUTOS'!H$3:H$500)))</f>
        <v>0</v>
      </c>
      <c r="CI29" s="133" t="n">
        <f aca="false">IF(OR(CI$4="",$B29=""),0,SUMIF('DADOS BRUTOS'!$A$3:$A$500,$B29,'DADOS BRUTOS'!I$3:I$500)+IF($C29="",0,SUMIF('DADOS BRUTOS'!$A$3:$A$500,$C29,'DADOS BRUTOS'!I$3:I$500)))</f>
        <v>0</v>
      </c>
      <c r="CJ29" s="133" t="n">
        <f aca="false">IF(OR(CJ$4="",$B29=""),0,SUMIF('DADOS BRUTOS'!$A$3:$A$500,$B29,'DADOS BRUTOS'!J$3:J$500)+IF($C29="",0,SUMIF('DADOS BRUTOS'!$A$3:$A$500,$C29,'DADOS BRUTOS'!J$3:J$500)))</f>
        <v>0</v>
      </c>
      <c r="CK29" s="133" t="n">
        <f aca="false">IF(OR(CK$4="",$B29=""),0,SUMIF('DADOS BRUTOS'!$A$3:$A$500,$B29,'DADOS BRUTOS'!K$3:K$500)+IF($C29="",0,SUMIF('DADOS BRUTOS'!$A$3:$A$500,$C29,'DADOS BRUTOS'!K$3:K$500)))</f>
        <v>0</v>
      </c>
      <c r="CL29" s="133" t="n">
        <f aca="false">IF(OR(CL$4="",$B29=""),0,SUMIF('DADOS BRUTOS'!$A$3:$A$500,$B29,'DADOS BRUTOS'!L$3:L$500)+IF($C29="",0,SUMIF('DADOS BRUTOS'!$A$3:$A$500,$C29,'DADOS BRUTOS'!L$3:L$500)))</f>
        <v>0</v>
      </c>
      <c r="CM29" s="133" t="n">
        <f aca="false">IF(OR(CM$4="",$B29=""),0,SUMIF('DADOS BRUTOS'!$A$3:$A$500,$B29,'DADOS BRUTOS'!M$3:M$500)+IF($C29="",0,SUMIF('DADOS BRUTOS'!$A$3:$A$500,$C29,'DADOS BRUTOS'!M$3:M$500)))</f>
        <v>0</v>
      </c>
      <c r="CN29" s="133" t="n">
        <f aca="false">IF(OR(CN$4="",$B29=""),0,SUMIF('DADOS BRUTOS'!$A$3:$A$500,$B29,'DADOS BRUTOS'!N$3:N$500)+IF($C29="",0,SUMIF('DADOS BRUTOS'!$A$3:$A$500,$C29,'DADOS BRUTOS'!N$3:N$500)))</f>
        <v>0</v>
      </c>
      <c r="CO29" s="133" t="n">
        <f aca="false">IF(OR(CO$4="",$B29=""),0,SUMIF('DADOS BRUTOS'!$A$3:$A$500,$B29,'DADOS BRUTOS'!O$3:O$500)+IF($C29="",0,SUMIF('DADOS BRUTOS'!$A$3:$A$500,$C29,'DADOS BRUTOS'!O$3:O$500)))</f>
        <v>0</v>
      </c>
      <c r="CP29" s="133" t="n">
        <f aca="false">IF(OR(CP$4="",$B29=""),0,SUMIF('DADOS BRUTOS'!$A$3:$A$500,$B29,'DADOS BRUTOS'!P$3:P$500)+IF($C29="",0,SUMIF('DADOS BRUTOS'!$A$3:$A$500,$C29,'DADOS BRUTOS'!P$3:P$500)))</f>
        <v>0</v>
      </c>
      <c r="CQ29" s="133" t="n">
        <f aca="false">IF(OR(CQ$4="",$B29=""),0,SUMIF('DADOS BRUTOS'!$A$3:$A$500,$B29,'DADOS BRUTOS'!Q$3:Q$500)+IF($C29="",0,SUMIF('DADOS BRUTOS'!$A$3:$A$500,$C29,'DADOS BRUTOS'!Q$3:Q$500)))</f>
        <v>0</v>
      </c>
      <c r="CR29" s="133" t="n">
        <f aca="false">IF(OR(CR$4="",$B29=""),0,SUMIF('DADOS BRUTOS'!$A$3:$A$500,$B29,'DADOS BRUTOS'!R$3:R$500)+IF($C29="",0,SUMIF('DADOS BRUTOS'!$A$3:$A$500,$C29,'DADOS BRUTOS'!R$3:R$500)))</f>
        <v>0</v>
      </c>
      <c r="CS29" s="133" t="n">
        <f aca="false">IF(OR(CS$4="",$B29=""),0,SUMIF('DADOS BRUTOS'!$A$3:$A$500,$B29,'DADOS BRUTOS'!S$3:S$500)+IF($C29="",0,SUMIF('DADOS BRUTOS'!$A$3:$A$500,$C29,'DADOS BRUTOS'!S$3:S$500)))</f>
        <v>0</v>
      </c>
      <c r="CT29" s="133" t="n">
        <f aca="false">IF(OR(CT$4="",$B29=""),0,SUMIF('DADOS BRUTOS'!$A$3:$A$500,$B29,'DADOS BRUTOS'!T$3:T$500)+IF($C29="",0,SUMIF('DADOS BRUTOS'!$A$3:$A$500,$C29,'DADOS BRUTOS'!T$3:T$500)))</f>
        <v>0</v>
      </c>
      <c r="CU29" s="133" t="n">
        <f aca="false">IF(OR(CU$4="",$B29=""),0,SUMIF('DADOS BRUTOS'!$A$3:$A$500,$B29,'DADOS BRUTOS'!U$3:U$500)+IF($C29="",0,SUMIF('DADOS BRUTOS'!$A$3:$A$500,$C29,'DADOS BRUTOS'!U$3:U$500)))</f>
        <v>0</v>
      </c>
      <c r="CV29" s="133" t="n">
        <f aca="false">IF(OR(CV$4="",$B29=""),0,SUMIF('DADOS BRUTOS'!$A$3:$A$500,$B29,'DADOS BRUTOS'!V$3:V$500)+IF($C29="",0,SUMIF('DADOS BRUTOS'!$A$3:$A$500,$C29,'DADOS BRUTOS'!V$3:V$500)))</f>
        <v>0</v>
      </c>
      <c r="CW29" s="133" t="n">
        <f aca="false">IF(OR(CW$4="",$B29=""),0,SUMIF('DADOS BRUTOS'!$A$3:$A$500,$B29,'DADOS BRUTOS'!W$3:W$500)+IF($C29="",0,SUMIF('DADOS BRUTOS'!$A$3:$A$500,$C29,'DADOS BRUTOS'!W$3:W$500)))</f>
        <v>0</v>
      </c>
      <c r="CX29" s="133" t="n">
        <f aca="false">IF(OR(CX$4="",$B29=""),0,SUMIF('DADOS BRUTOS'!$A$3:$A$500,$B29,'DADOS BRUTOS'!X$3:X$500)+IF($C29="",0,SUMIF('DADOS BRUTOS'!$A$3:$A$500,$C29,'DADOS BRUTOS'!X$3:X$500)))</f>
        <v>0</v>
      </c>
      <c r="CY29" s="133" t="n">
        <f aca="false">IF(OR(CY$4="",$B29=""),0,SUMIF('DADOS BRUTOS'!$A$3:$A$500,$B29,'DADOS BRUTOS'!Y$3:Y$500)+IF($C29="",0,SUMIF('DADOS BRUTOS'!$A$3:$A$500,$C29,'DADOS BRUTOS'!Y$3:Y$500)))</f>
        <v>0</v>
      </c>
      <c r="CZ29" s="133" t="n">
        <f aca="false">IF(OR(CZ$4="",$B29=""),0,SUMIF('DADOS BRUTOS'!$A$3:$A$500,$B29,'DADOS BRUTOS'!Z$3:Z$500)+IF($C29="",0,SUMIF('DADOS BRUTOS'!$A$3:$A$500,$C29,'DADOS BRUTOS'!Z$3:Z$500)))</f>
        <v>0</v>
      </c>
      <c r="DA29" s="133" t="n">
        <f aca="false">IF(OR(DA$4="",$B29=""),0,SUMIF('DADOS BRUTOS'!$A$3:$A$500,$B29,'DADOS BRUTOS'!AA$3:AA$500)+IF($C29="",0,SUMIF('DADOS BRUTOS'!$A$3:$A$500,$C29,'DADOS BRUTOS'!AA$3:AA$500)))</f>
        <v>0</v>
      </c>
      <c r="DB29" s="133" t="n">
        <f aca="false">IF(OR(DB$4="",$B29=""),0,SUMIF('DADOS BRUTOS'!$A$3:$A$500,$B29,'DADOS BRUTOS'!AB$3:AB$500)+IF($C29="",0,SUMIF('DADOS BRUTOS'!$A$3:$A$500,$C29,'DADOS BRUTOS'!AB$3:AB$500)))</f>
        <v>0</v>
      </c>
      <c r="DC29" s="133" t="n">
        <f aca="false">IF(OR(DC$4="",$B29=""),0,SUMIF('DADOS BRUTOS'!$A$3:$A$500,$B29,'DADOS BRUTOS'!AC$3:AC$500)+IF($C29="",0,SUMIF('DADOS BRUTOS'!$A$3:$A$500,$C29,'DADOS BRUTOS'!AC$3:AC$500)))</f>
        <v>0</v>
      </c>
      <c r="DD29" s="133" t="n">
        <f aca="false">IF(OR(DD$4="",$B29=""),0,SUMIF('DADOS BRUTOS'!$A$3:$A$500,$B29,'DADOS BRUTOS'!AD$3:AD$500)+IF($C29="",0,SUMIF('DADOS BRUTOS'!$A$3:$A$500,$C29,'DADOS BRUTOS'!AD$3:AD$500)))</f>
        <v>0</v>
      </c>
      <c r="DE29" s="133" t="n">
        <f aca="false">IF(OR(DE$4="",$B29=""),0,SUMIF('DADOS BRUTOS'!$A$3:$A$500,$B29,'DADOS BRUTOS'!AE$3:AE$500)+IF($C29="",0,SUMIF('DADOS BRUTOS'!$A$3:$A$500,$C29,'DADOS BRUTOS'!AE$3:AE$500)))</f>
        <v>0</v>
      </c>
      <c r="DF29" s="133" t="n">
        <f aca="false">IF(OR(DF$4="",$B29=""),0,SUMIF('DADOS BRUTOS'!$A$3:$A$500,$B29,'DADOS BRUTOS'!AF$3:AF$500)+IF($C29="",0,SUMIF('DADOS BRUTOS'!$A$3:$A$500,$C29,'DADOS BRUTOS'!AF$3:AF$500)))</f>
        <v>0</v>
      </c>
      <c r="DG29" s="133" t="n">
        <f aca="false">IF(OR(DG$4="",$B29=""),0,SUMIF('DADOS BRUTOS'!$A$3:$A$500,$B29,'DADOS BRUTOS'!AG$3:AG$500)+IF($C29="",0,SUMIF('DADOS BRUTOS'!$A$3:$A$500,$C29,'DADOS BRUTOS'!AG$3:AG$500)))</f>
        <v>0</v>
      </c>
      <c r="DH29" s="133" t="n">
        <f aca="false">IF(OR(DH$4="",$B29=""),0,SUMIF('DADOS BRUTOS'!$A$3:$A$500,$B29,'DADOS BRUTOS'!AH$3:AH$500)+IF($C29="",0,SUMIF('DADOS BRUTOS'!$A$3:$A$500,$C29,'DADOS BRUTOS'!AH$3:AH$500)))</f>
        <v>0</v>
      </c>
      <c r="DI29" s="133" t="n">
        <f aca="false">IF(OR(DI$4="",$B29=""),0,SUMIF('DADOS BRUTOS'!$A$3:$A$500,$B29,'DADOS BRUTOS'!AI$3:AI$500)+IF($C29="",0,SUMIF('DADOS BRUTOS'!$A$3:$A$500,$C29,'DADOS BRUTOS'!AI$3:AI$500)))</f>
        <v>0</v>
      </c>
      <c r="DJ29" s="133" t="n">
        <f aca="false">IF(OR(DJ$4="",$B29=""),0,SUMIF('DADOS BRUTOS'!$A$3:$A$500,$B29,'DADOS BRUTOS'!AJ$3:AJ$500)+IF($C29="",0,SUMIF('DADOS BRUTOS'!$A$3:$A$500,$C29,'DADOS BRUTOS'!AJ$3:AJ$500)))</f>
        <v>0</v>
      </c>
      <c r="DK29" s="133" t="n">
        <f aca="false">IF(OR(DK$4="",$B29=""),0,SUMIF('DADOS BRUTOS'!$A$3:$A$500,$B29,'DADOS BRUTOS'!AK$3:AK$500)+IF($C29="",0,SUMIF('DADOS BRUTOS'!$A$3:$A$500,$C29,'DADOS BRUTOS'!AK$3:AK$500)))</f>
        <v>0</v>
      </c>
      <c r="DL29" s="133" t="n">
        <f aca="false">IF(OR(DL$4="",$B29=""),0,SUMIF('DADOS BRUTOS'!$A$3:$A$500,$B29,'DADOS BRUTOS'!AL$3:AL$500)+IF($C29="",0,SUMIF('DADOS BRUTOS'!$A$3:$A$500,$C29,'DADOS BRUTOS'!AL$3:AL$500)))</f>
        <v>0</v>
      </c>
      <c r="DM29" s="133" t="n">
        <f aca="false">IF(OR(DM$4="",$B29=""),0,SUMIF('DADOS BRUTOS'!$A$3:$A$500,$B29,'DADOS BRUTOS'!AM$3:AM$500)+IF($C29="",0,SUMIF('DADOS BRUTOS'!$A$3:$A$500,$C29,'DADOS BRUTOS'!AM$3:AM$500)))</f>
        <v>0</v>
      </c>
      <c r="DN29" s="133" t="n">
        <f aca="false">IF(OR(DN$4="",$B29=""),0,SUMIF('DADOS BRUTOS'!$A$3:$A$500,$B29,'DADOS BRUTOS'!AN$3:AN$500)+IF($C29="",0,SUMIF('DADOS BRUTOS'!$A$3:$A$500,$C29,'DADOS BRUTOS'!AN$3:AN$500)))</f>
        <v>0</v>
      </c>
      <c r="DO29" s="133" t="n">
        <f aca="false">IF(OR(DO$4="",$B29=""),0,SUMIF('DADOS BRUTOS'!$A$3:$A$500,$B29,'DADOS BRUTOS'!AO$3:AO$500)+IF($C29="",0,SUMIF('DADOS BRUTOS'!$A$3:$A$500,$C29,'DADOS BRUTOS'!AO$3:AO$500)))</f>
        <v>0</v>
      </c>
      <c r="DP29" s="133" t="n">
        <f aca="false">IF(OR(DP$4="",$B29=""),0,SUMIF('DADOS BRUTOS'!$A$3:$A$500,$B29,'DADOS BRUTOS'!AP$3:AP$500)+IF($C29="",0,SUMIF('DADOS BRUTOS'!$A$3:$A$500,$C29,'DADOS BRUTOS'!AP$3:AP$500)))</f>
        <v>0</v>
      </c>
      <c r="DQ29" s="133" t="n">
        <f aca="false">IF(OR(DQ$4="",$B29=""),0,SUMIF('DADOS BRUTOS'!$A$3:$A$500,$B29,'DADOS BRUTOS'!AQ$3:AQ$500)+IF($C29="",0,SUMIF('DADOS BRUTOS'!$A$3:$A$500,$C29,'DADOS BRUTOS'!AQ$3:AQ$500)))</f>
        <v>0</v>
      </c>
      <c r="DR29" s="133" t="n">
        <f aca="false">IF(OR(DR$4="",$B29=""),0,SUMIF('DADOS BRUTOS'!$A$3:$A$500,$B29,'DADOS BRUTOS'!AR$3:AR$500)+IF($C29="",0,SUMIF('DADOS BRUTOS'!$A$3:$A$500,$C29,'DADOS BRUTOS'!AR$3:AR$500)))</f>
        <v>0</v>
      </c>
      <c r="DS29" s="133" t="n">
        <f aca="false">IF(OR(DS$4="",$B29=""),0,SUMIF('DADOS BRUTOS'!$A$3:$A$500,$B29,'DADOS BRUTOS'!AS$3:AS$500)+IF($C29="",0,SUMIF('DADOS BRUTOS'!$A$3:$A$500,$C29,'DADOS BRUTOS'!AS$3:AS$500)))</f>
        <v>0</v>
      </c>
      <c r="DT29" s="133" t="n">
        <f aca="false">IF(OR(DT$4="",$B29=""),0,SUMIF('DADOS BRUTOS'!$A$3:$A$500,$B29,'DADOS BRUTOS'!AT$3:AT$500)+IF($C29="",0,SUMIF('DADOS BRUTOS'!$A$3:$A$500,$C29,'DADOS BRUTOS'!AT$3:AT$500)))</f>
        <v>0</v>
      </c>
      <c r="DU29" s="133" t="n">
        <f aca="false">IF(OR(DU$4="",$B29=""),0,SUMIF('DADOS BRUTOS'!$A$3:$A$500,$B29,'DADOS BRUTOS'!AU$3:AU$500)+IF($C29="",0,SUMIF('DADOS BRUTOS'!$A$3:$A$500,$C29,'DADOS BRUTOS'!AU$3:AU$500)))</f>
        <v>0</v>
      </c>
      <c r="DV29" s="133" t="n">
        <f aca="false">IF(OR(DV$4="",$B29=""),0,SUMIF('DADOS BRUTOS'!$A$3:$A$500,$B29,'DADOS BRUTOS'!AV$3:AV$500)+IF($C29="",0,SUMIF('DADOS BRUTOS'!$A$3:$A$500,$C29,'DADOS BRUTOS'!AV$3:AV$500)))</f>
        <v>0</v>
      </c>
      <c r="DW29" s="133" t="n">
        <f aca="false">IF(OR(DW$4="",$B29=""),0,SUMIF('DADOS BRUTOS'!$A$3:$A$500,$B29,'DADOS BRUTOS'!AW$3:AW$500)+IF($C29="",0,SUMIF('DADOS BRUTOS'!$A$3:$A$500,$C29,'DADOS BRUTOS'!AW$3:AW$500)))</f>
        <v>0</v>
      </c>
      <c r="DX29" s="133" t="n">
        <f aca="false">IF(OR(DX$4="",$B29=""),0,SUMIF('DADOS BRUTOS'!$A$3:$A$500,$B29,'DADOS BRUTOS'!AX$3:AX$500)+IF($C29="",0,SUMIF('DADOS BRUTOS'!$A$3:$A$500,$C29,'DADOS BRUTOS'!AX$3:AX$500)))</f>
        <v>0</v>
      </c>
      <c r="DY29" s="133" t="n">
        <f aca="false">IF(OR(DY$4="",$B29=""),0,SUMIF('DADOS BRUTOS'!$A$3:$A$500,$B29,'DADOS BRUTOS'!AY$3:AY$500)+IF($C29="",0,SUMIF('DADOS BRUTOS'!$A$3:$A$500,$C29,'DADOS BRUTOS'!AY$3:AY$500)))</f>
        <v>0</v>
      </c>
      <c r="DZ29" s="133" t="n">
        <f aca="false">IF(OR(DZ$4="",$B29=""),0,SUMIF('DADOS BRUTOS'!$A$3:$A$500,$B29,'DADOS BRUTOS'!AZ$3:AZ$500)+IF($C29="",0,SUMIF('DADOS BRUTOS'!$A$3:$A$500,$C29,'DADOS BRUTOS'!AZ$3:AZ$500)))</f>
        <v>0</v>
      </c>
      <c r="EA29" s="133" t="n">
        <f aca="false">IF(OR(EA$4="",$B29=""),0,SUMIF('DADOS BRUTOS'!$A$3:$A$500,$B29,'DADOS BRUTOS'!BA$3:BA$500)+IF($C29="",0,SUMIF('DADOS BRUTOS'!$A$3:$A$500,$C29,'DADOS BRUTOS'!BA$3:BA$500)))</f>
        <v>0</v>
      </c>
      <c r="EB29" s="133" t="n">
        <f aca="false">IF(OR(EB$4="",$B29=""),0,SUMIF('DADOS BRUTOS'!$A$3:$A$500,$B29,'DADOS BRUTOS'!BB$3:BB$500)+IF($C29="",0,SUMIF('DADOS BRUTOS'!$A$3:$A$500,$C29,'DADOS BRUTOS'!BB$3:BB$500)))</f>
        <v>0</v>
      </c>
      <c r="EC29" s="133" t="n">
        <f aca="false">IF(OR(EC$4="",$B29=""),0,SUMIF('DADOS BRUTOS'!$A$3:$A$500,$B29,'DADOS BRUTOS'!BC$3:BC$500)+IF($C29="",0,SUMIF('DADOS BRUTOS'!$A$3:$A$500,$C29,'DADOS BRUTOS'!BC$3:BC$500)))</f>
        <v>0</v>
      </c>
      <c r="ED29" s="133" t="n">
        <f aca="false">IF(OR(ED$4="",$B29=""),0,SUMIF('DADOS BRUTOS'!$A$3:$A$500,$B29,'DADOS BRUTOS'!BD$3:BD$500)+IF($C29="",0,SUMIF('DADOS BRUTOS'!$A$3:$A$500,$C29,'DADOS BRUTOS'!BD$3:BD$500)))</f>
        <v>0</v>
      </c>
      <c r="EE29" s="133" t="n">
        <f aca="false">IF(OR(EE$4="",$B29=""),0,SUMIF('DADOS BRUTOS'!$A$3:$A$500,$B29,'DADOS BRUTOS'!BE$3:BE$500)+IF($C29="",0,SUMIF('DADOS BRUTOS'!$A$3:$A$500,$C29,'DADOS BRUTOS'!BE$3:BE$500)))</f>
        <v>0</v>
      </c>
      <c r="EF29" s="133" t="n">
        <f aca="false">IF(OR(EF$4="",$B29=""),0,SUMIF('DADOS BRUTOS'!$A$3:$A$500,$B29,'DADOS BRUTOS'!BF$3:BF$500)+IF($C29="",0,SUMIF('DADOS BRUTOS'!$A$3:$A$500,$C29,'DADOS BRUTOS'!BF$3:BF$500)))</f>
        <v>0</v>
      </c>
      <c r="EG29" s="133" t="n">
        <f aca="false">IF(OR(EG$4="",$B29=""),0,SUMIF('DADOS BRUTOS'!$A$3:$A$500,$B29,'DADOS BRUTOS'!BG$3:BG$500)+IF($C29="",0,SUMIF('DADOS BRUTOS'!$A$3:$A$500,$C29,'DADOS BRUTOS'!BG$3:BG$500)))</f>
        <v>0</v>
      </c>
      <c r="EH29" s="133" t="n">
        <f aca="false">IF(OR(EH$4="",$B29=""),0,SUMIF('DADOS BRUTOS'!$A$3:$A$500,$B29,'DADOS BRUTOS'!BH$3:BH$500)+IF($C29="",0,SUMIF('DADOS BRUTOS'!$A$3:$A$500,$C29,'DADOS BRUTOS'!BH$3:BH$500)))</f>
        <v>0</v>
      </c>
      <c r="EI29" s="133" t="n">
        <f aca="false">IF(OR(EI$4="",$B29=""),0,SUMIF('DADOS BRUTOS'!$A$3:$A$500,$B29,'DADOS BRUTOS'!BI$3:BI$500)+IF($C29="",0,SUMIF('DADOS BRUTOS'!$A$3:$A$500,$C29,'DADOS BRUTOS'!BI$3:BI$500)))</f>
        <v>0</v>
      </c>
      <c r="EJ29" s="133" t="n">
        <f aca="false">IF(OR(EJ$4="",$B29=""),0,SUMIF('DADOS BRUTOS'!$A$3:$A$500,$B29,'DADOS BRUTOS'!BJ$3:BJ$500)+IF($C29="",0,SUMIF('DADOS BRUTOS'!$A$3:$A$500,$C29,'DADOS BRUTOS'!BJ$3:BJ$500)))</f>
        <v>0</v>
      </c>
      <c r="EK29" s="133" t="n">
        <f aca="false">IF(OR(EK$4="",$B29=""),0,SUMIF('DADOS BRUTOS'!$A$3:$A$500,$B29,'DADOS BRUTOS'!BK$3:BK$500)+IF($C29="",0,SUMIF('DADOS BRUTOS'!$A$3:$A$500,$C29,'DADOS BRUTOS'!BK$3:BK$500)))</f>
        <v>0</v>
      </c>
      <c r="EL29" s="133" t="n">
        <f aca="false">IF(OR(EL$4="",$B29=""),0,SUMIF('DADOS BRUTOS'!$A$3:$A$500,$B29,'DADOS BRUTOS'!BL$3:BL$500)+IF($C29="",0,SUMIF('DADOS BRUTOS'!$A$3:$A$500,$C29,'DADOS BRUTOS'!BL$3:BL$500)))</f>
        <v>0</v>
      </c>
      <c r="EM29" s="133" t="n">
        <f aca="false">IF(OR(EM$4="",$B29=""),0,SUMIF('DADOS BRUTOS'!$A$3:$A$500,$B29,'DADOS BRUTOS'!BM$3:BM$500)+IF($C29="",0,SUMIF('DADOS BRUTOS'!$A$3:$A$500,$C29,'DADOS BRUTOS'!BM$3:BM$500)))</f>
        <v>0</v>
      </c>
      <c r="EN29" s="133" t="n">
        <f aca="false">IF(OR(EN$4="",$B29=""),0,SUMIF('DADOS BRUTOS'!$A$3:$A$500,$B29,'DADOS BRUTOS'!BN$3:BN$500)+IF($C29="",0,SUMIF('DADOS BRUTOS'!$A$3:$A$500,$C29,'DADOS BRUTOS'!BN$3:BN$500)))</f>
        <v>0</v>
      </c>
      <c r="EO29" s="133" t="n">
        <f aca="false">IF(OR(EO$4="",$B29=""),0,SUMIF('DADOS BRUTOS'!$A$3:$A$500,$B29,'DADOS BRUTOS'!BO$3:BO$500)+IF($C29="",0,SUMIF('DADOS BRUTOS'!$A$3:$A$500,$C29,'DADOS BRUTOS'!BO$3:BO$500)))</f>
        <v>0</v>
      </c>
      <c r="EP29" s="133" t="n">
        <f aca="false">IF(OR(EP$4="",$B29=""),0,SUMIF('DADOS BRUTOS'!$A$3:$A$500,$B29,'DADOS BRUTOS'!BP$3:BP$500)+IF($C29="",0,SUMIF('DADOS BRUTOS'!$A$3:$A$500,$C29,'DADOS BRUTOS'!BP$3:BP$500)))</f>
        <v>0</v>
      </c>
      <c r="EQ29" s="133" t="n">
        <f aca="false">IF(OR(EQ$4="",$B29=""),0,SUMIF('DADOS BRUTOS'!$A$3:$A$500,$B29,'DADOS BRUTOS'!BQ$3:BQ$500)+IF($C29="",0,SUMIF('DADOS BRUTOS'!$A$3:$A$500,$C29,'DADOS BRUTOS'!BQ$3:BQ$500)))</f>
        <v>0</v>
      </c>
      <c r="ER29" s="133" t="n">
        <f aca="false">IF(OR(ER$4="",$B29=""),0,SUMIF('DADOS BRUTOS'!$A$3:$A$500,$B29,'DADOS BRUTOS'!BR$3:BR$500)+IF($C29="",0,SUMIF('DADOS BRUTOS'!$A$3:$A$500,$C29,'DADOS BRUTOS'!BR$3:BR$500)))</f>
        <v>0</v>
      </c>
      <c r="ES29" s="133" t="n">
        <f aca="false">IF(OR(ES$4="",$B29=""),0,SUMIF('DADOS BRUTOS'!$A$3:$A$500,$B29,'DADOS BRUTOS'!BS$3:BS$500)+IF($C29="",0,SUMIF('DADOS BRUTOS'!$A$3:$A$500,$C29,'DADOS BRUTOS'!BS$3:BS$500)))</f>
        <v>0</v>
      </c>
      <c r="ET29" s="133" t="n">
        <f aca="false">IF(OR(ET$4="",$B29=""),0,SUMIF('DADOS BRUTOS'!$A$3:$A$500,$B29,'DADOS BRUTOS'!BT$3:BT$500)+IF($C29="",0,SUMIF('DADOS BRUTOS'!$A$3:$A$500,$C29,'DADOS BRUTOS'!BT$3:BT$500)))</f>
        <v>0</v>
      </c>
      <c r="EU29" s="133" t="n">
        <f aca="false">IF(OR(EU$4="",$B29=""),0,SUMIF('DADOS BRUTOS'!$A$3:$A$500,$B29,'DADOS BRUTOS'!BU$3:BU$500)+IF($C29="",0,SUMIF('DADOS BRUTOS'!$A$3:$A$500,$C29,'DADOS BRUTOS'!BU$3:BU$500)))</f>
        <v>0</v>
      </c>
      <c r="EV29" s="133" t="n">
        <f aca="false">IF(OR(EV$4="",$B29=""),0,SUMIF('DADOS BRUTOS'!$A$3:$A$500,$B29,'DADOS BRUTOS'!BV$3:BV$500)+IF($C29="",0,SUMIF('DADOS BRUTOS'!$A$3:$A$500,$C29,'DADOS BRUTOS'!BV$3:BV$500)))</f>
        <v>0</v>
      </c>
      <c r="EW29" s="133" t="n">
        <f aca="false">IF(OR(EW$4="",$B29=""),0,SUMIF('DADOS BRUTOS'!$A$3:$A$500,$B29,'DADOS BRUTOS'!BW$3:BW$500)+IF($C29="",0,SUMIF('DADOS BRUTOS'!$A$3:$A$500,$C29,'DADOS BRUTOS'!BW$3:BW$500)))</f>
        <v>0</v>
      </c>
      <c r="EX29" s="133" t="n">
        <f aca="false">IF(OR(EX$4="",$B29=""),0,SUMIF('DADOS BRUTOS'!$A$3:$A$500,$B29,'DADOS BRUTOS'!BX$3:BX$500)+IF($C29="",0,SUMIF('DADOS BRUTOS'!$A$3:$A$500,$C29,'DADOS BRUTOS'!BX$3:BX$500)))</f>
        <v>0</v>
      </c>
      <c r="EY29" s="133" t="n">
        <f aca="false">IF(OR(EY$4="",$B29=""),0,SUMIF('DADOS BRUTOS'!$A$3:$A$500,$B29,'DADOS BRUTOS'!BY$3:BY$500)+IF($C29="",0,SUMIF('DADOS BRUTOS'!$A$3:$A$500,$C29,'DADOS BRUTOS'!BY$3:BY$500)))</f>
        <v>0</v>
      </c>
      <c r="EZ29" s="133" t="n">
        <f aca="false">IF(OR(EZ$4="",$B29=""),0,SUMIF('DADOS BRUTOS'!$A$3:$A$500,$B29,'DADOS BRUTOS'!BZ$3:BZ$500)+IF($C29="",0,SUMIF('DADOS BRUTOS'!$A$3:$A$500,$C29,'DADOS BRUTOS'!BZ$3:BZ$500)))</f>
        <v>0</v>
      </c>
      <c r="FA29" s="133" t="n">
        <f aca="false">IF(OR(FA$4="",$B29=""),0,SUMIF('DADOS BRUTOS'!$A$3:$A$500,$B29,'DADOS BRUTOS'!CA$3:CA$500)+IF($C29="",0,SUMIF('DADOS BRUTOS'!$A$3:$A$500,$C29,'DADOS BRUTOS'!CA$3:CA$500)))</f>
        <v>0</v>
      </c>
      <c r="FB29" s="133" t="n">
        <f aca="false">IF(OR(FB$4="",$B29=""),0,SUMIF('DADOS BRUTOS'!$A$3:$A$500,$B29,'DADOS BRUTOS'!CB$3:CB$500)+IF($C29="",0,SUMIF('DADOS BRUTOS'!$A$3:$A$500,$C29,'DADOS BRUTOS'!CB$3:CB$500)))</f>
        <v>0</v>
      </c>
      <c r="FC29" s="133" t="n">
        <f aca="false">IF(OR(FC$4="",$B29=""),0,SUMIF('DADOS BRUTOS'!$A$3:$A$500,$B29,'DADOS BRUTOS'!CC$3:CC$500)+IF($C29="",0,SUMIF('DADOS BRUTOS'!$A$3:$A$500,$C29,'DADOS BRUTOS'!CC$3:CC$500)))</f>
        <v>0</v>
      </c>
      <c r="FD29" s="133" t="n">
        <f aca="false">IF(OR(FD$4="",$B29=""),0,SUMIF('DADOS BRUTOS'!$A$3:$A$500,$B29,'DADOS BRUTOS'!CD$3:CD$500)+IF($C29="",0,SUMIF('DADOS BRUTOS'!$A$3:$A$500,$C29,'DADOS BRUTOS'!CD$3:CD$500)))</f>
        <v>0</v>
      </c>
      <c r="FE29" s="133" t="n">
        <f aca="false">IF(OR(FE$4="",$B29=""),0,SUMIF('DADOS BRUTOS'!$A$3:$A$500,$B29,'DADOS BRUTOS'!CE$3:CE$500)+IF($C29="",0,SUMIF('DADOS BRUTOS'!$A$3:$A$500,$C29,'DADOS BRUTOS'!CE$3:CE$500)))</f>
        <v>0</v>
      </c>
      <c r="FF29" s="133" t="n">
        <f aca="false">IF(OR(FF$4="",$B29=""),0,SUMIF('DADOS BRUTOS'!$A$3:$A$500,$B29,'DADOS BRUTOS'!CF$3:CF$500)+IF($C29="",0,SUMIF('DADOS BRUTOS'!$A$3:$A$500,$C29,'DADOS BRUTOS'!CF$3:CF$500)))</f>
        <v>0</v>
      </c>
      <c r="FG29" s="133" t="n">
        <f aca="false">IF(OR(FG$4="",$B29=""),0,SUMIF('DADOS BRUTOS'!$A$3:$A$500,$B29,'DADOS BRUTOS'!CG$3:CG$500)+IF($C29="",0,SUMIF('DADOS BRUTOS'!$A$3:$A$500,$C29,'DADOS BRUTOS'!CG$3:CG$500)))</f>
        <v>0</v>
      </c>
      <c r="FH29" s="133" t="n">
        <f aca="false">IF(OR(FH$4="",$B29=""),0,SUMIF('DADOS BRUTOS'!$A$3:$A$500,$B29,'DADOS BRUTOS'!CH$3:CH$500)+IF($C29="",0,SUMIF('DADOS BRUTOS'!$A$3:$A$500,$C29,'DADOS BRUTOS'!CH$3:CH$500)))</f>
        <v>0</v>
      </c>
      <c r="FI29" s="133" t="n">
        <f aca="false">IF(OR(FI$4="",$B29=""),0,SUMIF('DADOS BRUTOS'!$A$3:$A$500,$B29,'DADOS BRUTOS'!CI$3:CI$500)+IF($C29="",0,SUMIF('DADOS BRUTOS'!$A$3:$A$500,$C29,'DADOS BRUTOS'!CI$3:CI$500)))</f>
        <v>0</v>
      </c>
      <c r="FJ29" s="133" t="n">
        <f aca="false">IF(OR(FJ$4="",$B29=""),0,SUMIF('DADOS BRUTOS'!$A$3:$A$500,$B29,'DADOS BRUTOS'!CJ$3:CJ$500)+IF($C29="",0,SUMIF('DADOS BRUTOS'!$A$3:$A$500,$C29,'DADOS BRUTOS'!CJ$3:CJ$500)))</f>
        <v>0</v>
      </c>
      <c r="FK29" s="133" t="n">
        <f aca="false">IF(OR(FK$4="",$B29=""),0,SUMIF('DADOS BRUTOS'!$A$3:$A$500,$B29,'DADOS BRUTOS'!CK$3:CK$500)+IF($C29="",0,SUMIF('DADOS BRUTOS'!$A$3:$A$500,$C29,'DADOS BRUTOS'!CK$3:CK$500)))</f>
        <v>0</v>
      </c>
      <c r="FL29" s="133" t="n">
        <f aca="false">IF(OR(FL$4="",$B29=""),0,SUMIF('DADOS BRUTOS'!$A$3:$A$500,$B29,'DADOS BRUTOS'!CL$3:CL$500)+IF($C29="",0,SUMIF('DADOS BRUTOS'!$A$3:$A$500,$C29,'DADOS BRUTOS'!CL$3:CL$500)))</f>
        <v>0</v>
      </c>
      <c r="FM29" s="133" t="n">
        <f aca="false">IF(OR(FM$4="",$B29=""),0,SUMIF('DADOS BRUTOS'!$A$3:$A$500,$B29,'DADOS BRUTOS'!CM$3:CM$500)+IF($C29="",0,SUMIF('DADOS BRUTOS'!$A$3:$A$500,$C29,'DADOS BRUTOS'!CM$3:CM$500)))</f>
        <v>0</v>
      </c>
      <c r="FN29" s="133" t="n">
        <f aca="false">IF(OR(FN$4="",$B29=""),0,SUMIF('DADOS BRUTOS'!$A$3:$A$500,$B29,'DADOS BRUTOS'!CN$3:CN$500)+IF($C29="",0,SUMIF('DADOS BRUTOS'!$A$3:$A$500,$C29,'DADOS BRUTOS'!CN$3:CN$500)))</f>
        <v>0</v>
      </c>
      <c r="FO29" s="133" t="n">
        <f aca="false">IF(OR(FO$4="",$B29=""),0,SUMIF('DADOS BRUTOS'!$A$3:$A$500,$B29,'DADOS BRUTOS'!CO$3:CO$500)+IF($C29="",0,SUMIF('DADOS BRUTOS'!$A$3:$A$500,$C29,'DADOS BRUTOS'!CO$3:CO$500)))</f>
        <v>0</v>
      </c>
      <c r="FP29" s="133" t="n">
        <f aca="false">IF(OR(FP$4="",$B29=""),0,SUMIF('DADOS BRUTOS'!$A$3:$A$500,$B29,'DADOS BRUTOS'!CP$3:CP$500)+IF($C29="",0,SUMIF('DADOS BRUTOS'!$A$3:$A$500,$C29,'DADOS BRUTOS'!CP$3:CP$500)))</f>
        <v>0</v>
      </c>
      <c r="FQ29" s="133" t="n">
        <f aca="false">IF(OR(FQ$4="",$B29=""),0,SUMIF('DADOS BRUTOS'!$A$3:$A$500,$B29,'DADOS BRUTOS'!CQ$3:CQ$500)+IF($C29="",0,SUMIF('DADOS BRUTOS'!$A$3:$A$500,$C29,'DADOS BRUTOS'!CQ$3:CQ$500)))</f>
        <v>0</v>
      </c>
      <c r="FR29" s="133" t="n">
        <f aca="false">IF(OR(FR$4="",$B29=""),0,SUMIF('DADOS BRUTOS'!$A$3:$A$500,$B29,'DADOS BRUTOS'!CR$3:CR$500)+IF($C29="",0,SUMIF('DADOS BRUTOS'!$A$3:$A$500,$C29,'DADOS BRUTOS'!CR$3:CR$500)))</f>
        <v>0</v>
      </c>
      <c r="FS29" s="133" t="n">
        <f aca="false">IF(OR(FS$4="",$B29=""),0,SUMIF('DADOS BRUTOS'!$A$3:$A$500,$B29,'DADOS BRUTOS'!CS$3:CS$500)+IF($C29="",0,SUMIF('DADOS BRUTOS'!$A$3:$A$500,$C29,'DADOS BRUTOS'!CS$3:CS$500)))</f>
        <v>0</v>
      </c>
      <c r="FT29" s="133" t="n">
        <f aca="false">IF(OR(FT$4="",$B29=""),0,SUMIF('DADOS BRUTOS'!$A$3:$A$500,$B29,'DADOS BRUTOS'!CT$3:CT$500)+IF($C29="",0,SUMIF('DADOS BRUTOS'!$A$3:$A$500,$C29,'DADOS BRUTOS'!CT$3:CT$500)))</f>
        <v>0</v>
      </c>
      <c r="FU29" s="133" t="n">
        <f aca="false">IF(OR(FU$4="",$B29=""),0,SUMIF('DADOS BRUTOS'!$A$3:$A$500,$B29,'DADOS BRUTOS'!CU$3:CU$500)+IF($C29="",0,SUMIF('DADOS BRUTOS'!$A$3:$A$500,$C29,'DADOS BRUTOS'!CU$3:CU$500)))</f>
        <v>0</v>
      </c>
      <c r="FV29" s="133" t="n">
        <f aca="false">IF(OR(FV$4="",$B29=""),0,SUMIF('DADOS BRUTOS'!$A$3:$A$500,$B29,'DADOS BRUTOS'!CV$3:CV$500)+IF($C29="",0,SUMIF('DADOS BRUTOS'!$A$3:$A$500,$C29,'DADOS BRUTOS'!CV$3:CV$500)))</f>
        <v>0</v>
      </c>
      <c r="FW29" s="133" t="n">
        <f aca="false">IF(OR(FW$4="",$B29=""),0,SUMIF('DADOS BRUTOS'!$A$3:$A$500,$B29,'DADOS BRUTOS'!CW$3:CW$500)+IF($C29="",0,SUMIF('DADOS BRUTOS'!$A$3:$A$500,$C29,'DADOS BRUTOS'!CW$3:CW$500)))</f>
        <v>0</v>
      </c>
      <c r="FX29" s="133" t="n">
        <f aca="false">IF(OR(FX$4="",$B29=""),0,SUMIF('DADOS BRUTOS'!$A$3:$A$500,$B29,'DADOS BRUTOS'!CX$3:CX$500)+IF($C29="",0,SUMIF('DADOS BRUTOS'!$A$3:$A$500,$C29,'DADOS BRUTOS'!CX$3:CX$500)))</f>
        <v>0</v>
      </c>
      <c r="FY29" s="133" t="n">
        <f aca="false">IF(OR(FY$4="",$B29=""),0,SUMIF('DADOS BRUTOS'!$A$3:$A$500,$B29,'DADOS BRUTOS'!CY$3:CY$500)+IF($C29="",0,SUMIF('DADOS BRUTOS'!$A$3:$A$500,$C29,'DADOS BRUTOS'!CY$3:CY$500)))</f>
        <v>0</v>
      </c>
      <c r="FZ29" s="133" t="n">
        <f aca="false">IF(OR(FZ$4="",$B29=""),0,SUMIF('DADOS BRUTOS'!$A$3:$A$500,$B29,'DADOS BRUTOS'!CZ$3:CZ$500)+IF($C29="",0,SUMIF('DADOS BRUTOS'!$A$3:$A$500,$C29,'DADOS BRUTOS'!CZ$3:CZ$500)))</f>
        <v>0</v>
      </c>
      <c r="GA29" s="133" t="n">
        <f aca="false">IF(OR(GA$4="",$B29=""),0,SUMIF('DADOS BRUTOS'!$A$3:$A$500,$B29,'DADOS BRUTOS'!DA$3:DA$500)+IF($C29="",0,SUMIF('DADOS BRUTOS'!$A$3:$A$500,$C29,'DADOS BRUTOS'!DA$3:DA$500)))</f>
        <v>0</v>
      </c>
      <c r="GB29" s="133" t="n">
        <f aca="false">IF(OR(GB$4="",$B29=""),0,SUMIF('DADOS BRUTOS'!$A$3:$A$500,$B29,'DADOS BRUTOS'!DB$3:DB$500)+IF($C29="",0,SUMIF('DADOS BRUTOS'!$A$3:$A$500,$C29,'DADOS BRUTOS'!DB$3:DB$500)))</f>
        <v>0</v>
      </c>
      <c r="GC29" s="133" t="n">
        <f aca="false">IF(OR(GC$4="",$B29=""),0,SUMIF('DADOS BRUTOS'!$A$3:$A$500,$B29,'DADOS BRUTOS'!DC$3:DC$500)+IF($C29="",0,SUMIF('DADOS BRUTOS'!$A$3:$A$500,$C29,'DADOS BRUTOS'!DC$3:DC$500)))</f>
        <v>0</v>
      </c>
      <c r="GD29" s="133" t="n">
        <f aca="false">IF(OR(GD$4="",$B29=""),0,SUMIF('DADOS BRUTOS'!$A$3:$A$500,$B29,'DADOS BRUTOS'!DD$3:DD$500)+IF($C29="",0,SUMIF('DADOS BRUTOS'!$A$3:$A$500,$C29,'DADOS BRUTOS'!DD$3:DD$500)))</f>
        <v>0</v>
      </c>
      <c r="GE29" s="133" t="n">
        <f aca="false">IF(OR(GE$4="",$B29=""),0,SUMIF('DADOS BRUTOS'!$A$3:$A$500,$B29,'DADOS BRUTOS'!DE$3:DE$500)+IF($C29="",0,SUMIF('DADOS BRUTOS'!$A$3:$A$500,$C29,'DADOS BRUTOS'!DE$3:DE$500)))</f>
        <v>0</v>
      </c>
      <c r="GF29" s="133" t="n">
        <f aca="false">IF(OR(GF$4="",$B29=""),0,SUMIF('DADOS BRUTOS'!$A$3:$A$500,$B29,'DADOS BRUTOS'!DF$3:DF$500)+IF($C29="",0,SUMIF('DADOS BRUTOS'!$A$3:$A$500,$C29,'DADOS BRUTOS'!DF$3:DF$500)))</f>
        <v>0</v>
      </c>
      <c r="GG29" s="133" t="n">
        <f aca="false">IF(OR(GG$4="",$B29=""),0,SUMIF('DADOS BRUTOS'!$A$3:$A$500,$B29,'DADOS BRUTOS'!DG$3:DG$500)+IF($C29="",0,SUMIF('DADOS BRUTOS'!$A$3:$A$500,$C29,'DADOS BRUTOS'!DG$3:DG$500)))</f>
        <v>0</v>
      </c>
      <c r="GH29" s="133" t="n">
        <f aca="false">IF(OR(GH$4="",$B29=""),0,SUMIF('DADOS BRUTOS'!$A$3:$A$500,$B29,'DADOS BRUTOS'!DH$3:DH$500)+IF($C29="",0,SUMIF('DADOS BRUTOS'!$A$3:$A$500,$C29,'DADOS BRUTOS'!DH$3:DH$500)))</f>
        <v>0</v>
      </c>
      <c r="GI29" s="133" t="n">
        <f aca="false">IF(OR(GI$4="",$B29=""),0,SUMIF('DADOS BRUTOS'!$A$3:$A$500,$B29,'DADOS BRUTOS'!DI$3:DI$500)+IF($C29="",0,SUMIF('DADOS BRUTOS'!$A$3:$A$500,$C29,'DADOS BRUTOS'!DI$3:DI$500)))</f>
        <v>0</v>
      </c>
      <c r="GJ29" s="133" t="n">
        <f aca="false">IF(OR(GJ$4="",$B29=""),0,SUMIF('DADOS BRUTOS'!$A$3:$A$500,$B29,'DADOS BRUTOS'!DJ$3:DJ$500)+IF($C29="",0,SUMIF('DADOS BRUTOS'!$A$3:$A$500,$C29,'DADOS BRUTOS'!DJ$3:DJ$500)))</f>
        <v>0</v>
      </c>
      <c r="GK29" s="133" t="n">
        <f aca="false">IF(OR(GK$4="",$B29=""),0,SUMIF('DADOS BRUTOS'!$A$3:$A$500,$B29,'DADOS BRUTOS'!DK$3:DK$500)+IF($C29="",0,SUMIF('DADOS BRUTOS'!$A$3:$A$500,$C29,'DADOS BRUTOS'!DK$3:DK$500)))</f>
        <v>0</v>
      </c>
      <c r="GL29" s="133" t="n">
        <f aca="false">IF(OR(GL$4="",$B29=""),0,SUMIF('DADOS BRUTOS'!$A$3:$A$500,$B29,'DADOS BRUTOS'!DL$3:DL$500)+IF($C29="",0,SUMIF('DADOS BRUTOS'!$A$3:$A$500,$C29,'DADOS BRUTOS'!DL$3:DL$500)))</f>
        <v>0</v>
      </c>
      <c r="GM29" s="133" t="n">
        <f aca="false">IF(OR(GM$4="",$B29=""),0,SUMIF('DADOS BRUTOS'!$A$3:$A$500,$B29,'DADOS BRUTOS'!DM$3:DM$500)+IF($C29="",0,SUMIF('DADOS BRUTOS'!$A$3:$A$500,$C29,'DADOS BRUTOS'!DM$3:DM$500)))</f>
        <v>0</v>
      </c>
      <c r="GN29" s="133" t="n">
        <f aca="false">IF(OR(GN$4="",$B29=""),0,SUMIF('DADOS BRUTOS'!$A$3:$A$500,$B29,'DADOS BRUTOS'!DN$3:DN$500)+IF($C29="",0,SUMIF('DADOS BRUTOS'!$A$3:$A$500,$C29,'DADOS BRUTOS'!DN$3:DN$500)))</f>
        <v>0</v>
      </c>
      <c r="GO29" s="133" t="n">
        <f aca="false">IF(OR(GO$4="",$B29=""),0,SUMIF('DADOS BRUTOS'!$A$3:$A$500,$B29,'DADOS BRUTOS'!DO$3:DO$500)+IF($C29="",0,SUMIF('DADOS BRUTOS'!$A$3:$A$500,$C29,'DADOS BRUTOS'!DO$3:DO$500)))</f>
        <v>0</v>
      </c>
      <c r="GP29" s="133" t="n">
        <f aca="false">IF(OR(GP$4="",$B29=""),0,SUMIF('DADOS BRUTOS'!$A$3:$A$500,$B29,'DADOS BRUTOS'!DP$3:DP$500)+IF($C29="",0,SUMIF('DADOS BRUTOS'!$A$3:$A$500,$C29,'DADOS BRUTOS'!DP$3:DP$500)))</f>
        <v>0</v>
      </c>
      <c r="GQ29" s="133" t="n">
        <f aca="false">IF(OR(GQ$4="",$B29=""),0,SUMIF('DADOS BRUTOS'!$A$3:$A$500,$B29,'DADOS BRUTOS'!DQ$3:DQ$500)+IF($C29="",0,SUMIF('DADOS BRUTOS'!$A$3:$A$500,$C29,'DADOS BRUTOS'!DQ$3:DQ$500)))</f>
        <v>0</v>
      </c>
      <c r="GR29" s="133" t="n">
        <f aca="false">IF(OR(GR$4="",$B29=""),0,SUMIF('DADOS BRUTOS'!$A$3:$A$500,$B29,'DADOS BRUTOS'!DR$3:DR$500)+IF($C29="",0,SUMIF('DADOS BRUTOS'!$A$3:$A$500,$C29,'DADOS BRUTOS'!DR$3:DR$500)))</f>
        <v>0</v>
      </c>
      <c r="GS29" s="133" t="n">
        <f aca="false">IF(OR(GS$4="",$B29=""),0,SUMIF('DADOS BRUTOS'!$A$3:$A$500,$B29,'DADOS BRUTOS'!DS$3:DS$500)+IF($C29="",0,SUMIF('DADOS BRUTOS'!$A$3:$A$500,$C29,'DADOS BRUTOS'!DS$3:DS$500)))</f>
        <v>0</v>
      </c>
      <c r="GT29" s="133" t="n">
        <f aca="false">IF(OR(GT$4="",$B29=""),0,SUMIF('DADOS BRUTOS'!$A$3:$A$500,$B29,'DADOS BRUTOS'!DT$3:DT$500)+IF($C29="",0,SUMIF('DADOS BRUTOS'!$A$3:$A$500,$C29,'DADOS BRUTOS'!DT$3:DT$500)))</f>
        <v>0</v>
      </c>
      <c r="GU29" s="133" t="n">
        <f aca="false">IF(OR(GU$4="",$B29=""),0,SUMIF('DADOS BRUTOS'!$A$3:$A$500,$B29,'DADOS BRUTOS'!DU$3:DU$500)+IF($C29="",0,SUMIF('DADOS BRUTOS'!$A$3:$A$500,$C29,'DADOS BRUTOS'!DU$3:DU$500)))</f>
        <v>0</v>
      </c>
      <c r="GV29" s="133" t="n">
        <f aca="false">IF(OR(GV$4="",$B29=""),0,SUMIF('DADOS BRUTOS'!$A$3:$A$500,$B29,'DADOS BRUTOS'!DV$3:DV$500)+IF($C29="",0,SUMIF('DADOS BRUTOS'!$A$3:$A$500,$C29,'DADOS BRUTOS'!DV$3:DV$500)))</f>
        <v>0</v>
      </c>
      <c r="GW29" s="133" t="n">
        <f aca="false">IF(OR(GW$4="",$B29=""),0,SUMIF('DADOS BRUTOS'!$A$3:$A$500,$B29,'DADOS BRUTOS'!DW$3:DW$500)+IF($C29="",0,SUMIF('DADOS BRUTOS'!$A$3:$A$500,$C29,'DADOS BRUTOS'!DW$3:DW$500)))</f>
        <v>0</v>
      </c>
      <c r="GX29" s="133" t="n">
        <f aca="false">IF(OR(GX$4="",$B29=""),0,SUMIF('DADOS BRUTOS'!$A$3:$A$500,$B29,'DADOS BRUTOS'!DX$3:DX$500)+IF($C29="",0,SUMIF('DADOS BRUTOS'!$A$3:$A$500,$C29,'DADOS BRUTOS'!DX$3:DX$500)))</f>
        <v>0</v>
      </c>
      <c r="GY29" s="133" t="n">
        <f aca="false">IF(OR(GY$4="",$B29=""),0,SUMIF('DADOS BRUTOS'!$A$3:$A$500,$B29,'DADOS BRUTOS'!DY$3:DY$500)+IF($C29="",0,SUMIF('DADOS BRUTOS'!$A$3:$A$500,$C29,'DADOS BRUTOS'!DY$3:DY$500)))</f>
        <v>0</v>
      </c>
      <c r="GZ29" s="133" t="n">
        <f aca="false">IF(OR(GZ$4="",$B29=""),0,SUMIF('DADOS BRUTOS'!$A$3:$A$500,$B29,'DADOS BRUTOS'!DZ$3:DZ$500)+IF($C29="",0,SUMIF('DADOS BRUTOS'!$A$3:$A$500,$C29,'DADOS BRUTOS'!DZ$3:DZ$500)))</f>
        <v>0</v>
      </c>
      <c r="HA29" s="133" t="n">
        <f aca="false">IF(OR(HA$4="",$B29=""),0,SUMIF('DADOS BRUTOS'!$A$3:$A$500,$B29,'DADOS BRUTOS'!EA$3:EA$500)+IF($C29="",0,SUMIF('DADOS BRUTOS'!$A$3:$A$500,$C29,'DADOS BRUTOS'!EA$3:EA$500)))</f>
        <v>0</v>
      </c>
      <c r="HB29" s="133" t="n">
        <f aca="false">IF(OR(HB$4="",$B29=""),0,SUMIF('DADOS BRUTOS'!$A$3:$A$500,$B29,'DADOS BRUTOS'!EB$3:EB$500)+IF($C29="",0,SUMIF('DADOS BRUTOS'!$A$3:$A$500,$C29,'DADOS BRUTOS'!EB$3:EB$500)))</f>
        <v>0</v>
      </c>
      <c r="HC29" s="133" t="n">
        <f aca="false">IF(OR(HC$4="",$B29=""),0,SUMIF('DADOS BRUTOS'!$A$3:$A$500,$B29,'DADOS BRUTOS'!EC$3:EC$500)+IF($C29="",0,SUMIF('DADOS BRUTOS'!$A$3:$A$500,$C29,'DADOS BRUTOS'!EC$3:EC$500)))</f>
        <v>0</v>
      </c>
      <c r="HD29" s="133" t="n">
        <f aca="false">IF(OR(HD$4="",$B29=""),0,SUMIF('DADOS BRUTOS'!$A$3:$A$500,$B29,'DADOS BRUTOS'!ED$3:ED$500)+IF($C29="",0,SUMIF('DADOS BRUTOS'!$A$3:$A$500,$C29,'DADOS BRUTOS'!ED$3:ED$500)))</f>
        <v>0</v>
      </c>
      <c r="HE29" s="133" t="n">
        <f aca="false">IF(OR(HE$4="",$B29=""),0,SUMIF('DADOS BRUTOS'!$A$3:$A$500,$B29,'DADOS BRUTOS'!EE$3:EE$500)+IF($C29="",0,SUMIF('DADOS BRUTOS'!$A$3:$A$500,$C29,'DADOS BRUTOS'!EE$3:EE$500)))</f>
        <v>0</v>
      </c>
      <c r="HF29" s="133" t="n">
        <f aca="false">IF(OR(HF$4="",$B29=""),0,SUMIF('DADOS BRUTOS'!$A$3:$A$500,$B29,'DADOS BRUTOS'!EF$3:EF$500)+IF($C29="",0,SUMIF('DADOS BRUTOS'!$A$3:$A$500,$C29,'DADOS BRUTOS'!EF$3:EF$500)))</f>
        <v>0</v>
      </c>
      <c r="HG29" s="133" t="n">
        <f aca="false">IF(OR(HG$4="",$B29=""),0,SUMIF('DADOS BRUTOS'!$A$3:$A$500,$B29,'DADOS BRUTOS'!EG$3:EG$500)+IF($C29="",0,SUMIF('DADOS BRUTOS'!$A$3:$A$500,$C29,'DADOS BRUTOS'!EG$3:EG$500)))</f>
        <v>0</v>
      </c>
      <c r="HH29" s="133" t="n">
        <f aca="false">IF(OR(HH$4="",$B29=""),0,SUMIF('DADOS BRUTOS'!$A$3:$A$500,$B29,'DADOS BRUTOS'!EH$3:EH$500)+IF($C29="",0,SUMIF('DADOS BRUTOS'!$A$3:$A$500,$C29,'DADOS BRUTOS'!EH$3:EH$500)))</f>
        <v>0</v>
      </c>
      <c r="HI29" s="133" t="n">
        <f aca="false">IF(OR(HI$4="",$B29=""),0,SUMIF('DADOS BRUTOS'!$A$3:$A$500,$B29,'DADOS BRUTOS'!EI$3:EI$500)+IF($C29="",0,SUMIF('DADOS BRUTOS'!$A$3:$A$500,$C29,'DADOS BRUTOS'!EI$3:EI$500)))</f>
        <v>0</v>
      </c>
      <c r="HJ29" s="133" t="n">
        <f aca="false">IF(OR(HJ$4="",$B29=""),0,SUMIF('DADOS BRUTOS'!$A$3:$A$500,$B29,'DADOS BRUTOS'!EJ$3:EJ$500)+IF($C29="",0,SUMIF('DADOS BRUTOS'!$A$3:$A$500,$C29,'DADOS BRUTOS'!EJ$3:EJ$500)))</f>
        <v>0</v>
      </c>
      <c r="HK29" s="133" t="n">
        <f aca="false">IF(OR(HK$4="",$B29=""),0,SUMIF('DADOS BRUTOS'!$A$3:$A$500,$B29,'DADOS BRUTOS'!EK$3:EK$500)+IF($C29="",0,SUMIF('DADOS BRUTOS'!$A$3:$A$500,$C29,'DADOS BRUTOS'!EK$3:EK$500)))</f>
        <v>0</v>
      </c>
      <c r="HL29" s="133" t="n">
        <f aca="false">IF(OR(HL$4="",$B29=""),0,SUMIF('DADOS BRUTOS'!$A$3:$A$500,$B29,'DADOS BRUTOS'!EL$3:EL$500)+IF($C29="",0,SUMIF('DADOS BRUTOS'!$A$3:$A$500,$C29,'DADOS BRUTOS'!EL$3:EL$500)))</f>
        <v>0</v>
      </c>
      <c r="HM29" s="133" t="n">
        <f aca="false">IF(OR(HM$4="",$B29=""),0,SUMIF('DADOS BRUTOS'!$A$3:$A$500,$B29,'DADOS BRUTOS'!EM$3:EM$500)+IF($C29="",0,SUMIF('DADOS BRUTOS'!$A$3:$A$500,$C29,'DADOS BRUTOS'!EM$3:EM$500)))</f>
        <v>0</v>
      </c>
      <c r="HN29" s="133" t="n">
        <f aca="false">IF(OR(HN$4="",$B29=""),0,SUMIF('DADOS BRUTOS'!$A$3:$A$500,$B29,'DADOS BRUTOS'!EN$3:EN$500)+IF($C29="",0,SUMIF('DADOS BRUTOS'!$A$3:$A$500,$C29,'DADOS BRUTOS'!EN$3:EN$500)))</f>
        <v>0</v>
      </c>
      <c r="HO29" s="133" t="n">
        <f aca="false">IF(OR(HO$4="",$B29=""),0,SUMIF('DADOS BRUTOS'!$A$3:$A$500,$B29,'DADOS BRUTOS'!EO$3:EO$500)+IF($C29="",0,SUMIF('DADOS BRUTOS'!$A$3:$A$500,$C29,'DADOS BRUTOS'!EO$3:EO$500)))</f>
        <v>0</v>
      </c>
      <c r="HP29" s="133" t="n">
        <f aca="false">IF(OR(HP$4="",$B29=""),0,SUMIF('DADOS BRUTOS'!$A$3:$A$500,$B29,'DADOS BRUTOS'!EP$3:EP$500)+IF($C29="",0,SUMIF('DADOS BRUTOS'!$A$3:$A$500,$C29,'DADOS BRUTOS'!EP$3:EP$500)))</f>
        <v>0</v>
      </c>
      <c r="HQ29" s="133" t="n">
        <f aca="false">IF(OR(HQ$4="",$B29=""),0,SUMIF('DADOS BRUTOS'!$A$3:$A$500,$B29,'DADOS BRUTOS'!EQ$3:EQ$500)+IF($C29="",0,SUMIF('DADOS BRUTOS'!$A$3:$A$500,$C29,'DADOS BRUTOS'!EQ$3:EQ$500)))</f>
        <v>0</v>
      </c>
      <c r="HR29" s="133" t="n">
        <f aca="false">IF(OR(HR$4="",$B29=""),0,SUMIF('DADOS BRUTOS'!$A$3:$A$500,$B29,'DADOS BRUTOS'!ER$3:ER$500)+IF($C29="",0,SUMIF('DADOS BRUTOS'!$A$3:$A$500,$C29,'DADOS BRUTOS'!ER$3:ER$500)))</f>
        <v>0</v>
      </c>
      <c r="HS29" s="133" t="n">
        <f aca="false">IF(OR(HS$4="",$B29=""),0,SUMIF('DADOS BRUTOS'!$A$3:$A$500,$B29,'DADOS BRUTOS'!ES$3:ES$500)+IF($C29="",0,SUMIF('DADOS BRUTOS'!$A$3:$A$500,$C29,'DADOS BRUTOS'!ES$3:ES$500)))</f>
        <v>0</v>
      </c>
      <c r="HT29" s="133" t="n">
        <f aca="false">IF(OR(HT$4="",$B29=""),0,SUMIF('DADOS BRUTOS'!$A$3:$A$500,$B29,'DADOS BRUTOS'!ET$3:ET$500)+IF($C29="",0,SUMIF('DADOS BRUTOS'!$A$3:$A$500,$C29,'DADOS BRUTOS'!ET$3:ET$500)))</f>
        <v>0</v>
      </c>
      <c r="HU29" s="133" t="n">
        <f aca="false">IF(OR(HU$4="",$B29=""),0,SUMIF('DADOS BRUTOS'!$A$3:$A$500,$B29,'DADOS BRUTOS'!EU$3:EU$500)+IF($C29="",0,SUMIF('DADOS BRUTOS'!$A$3:$A$500,$C29,'DADOS BRUTOS'!EU$3:EU$500)))</f>
        <v>0</v>
      </c>
      <c r="HV29" s="133" t="n">
        <f aca="false">IF(OR(HV$4="",$B29=""),0,SUMIF('DADOS BRUTOS'!$A$3:$A$500,$B29,'DADOS BRUTOS'!EV$3:EV$500)+IF($C29="",0,SUMIF('DADOS BRUTOS'!$A$3:$A$500,$C29,'DADOS BRUTOS'!EV$3:EV$500)))</f>
        <v>0</v>
      </c>
      <c r="HW29" s="133" t="n">
        <f aca="false">IF(OR(HW$4="",$B29=""),0,SUMIF('DADOS BRUTOS'!$A$3:$A$500,$B29,'DADOS BRUTOS'!EW$3:EW$500)+IF($C29="",0,SUMIF('DADOS BRUTOS'!$A$3:$A$500,$C29,'DADOS BRUTOS'!EW$3:EW$500)))</f>
        <v>0</v>
      </c>
      <c r="HX29" s="133" t="n">
        <f aca="false">IF(OR(HX$4="",$B29=""),0,SUMIF('DADOS BRUTOS'!$A$3:$A$500,$B29,'DADOS BRUTOS'!EX$3:EX$500)+IF($C29="",0,SUMIF('DADOS BRUTOS'!$A$3:$A$500,$C29,'DADOS BRUTOS'!EX$3:EX$500)))</f>
        <v>0</v>
      </c>
      <c r="HY29" s="133" t="n">
        <f aca="false">IF(OR(HY$4="",$B29=""),0,SUMIF('DADOS BRUTOS'!$A$3:$A$500,$B29,'DADOS BRUTOS'!EY$3:EY$500)+IF($C29="",0,SUMIF('DADOS BRUTOS'!$A$3:$A$500,$C29,'DADOS BRUTOS'!EY$3:EY$500)))</f>
        <v>0</v>
      </c>
      <c r="HZ29" s="133" t="n">
        <f aca="false">IF(OR(HZ$4="",$B29=""),0,SUMIF('DADOS BRUTOS'!$A$3:$A$500,$B29,'DADOS BRUTOS'!EZ$3:EZ$500)+IF($C29="",0,SUMIF('DADOS BRUTOS'!$A$3:$A$500,$C29,'DADOS BRUTOS'!EZ$3:EZ$500)))</f>
        <v>0</v>
      </c>
      <c r="IA29" s="133" t="n">
        <f aca="false">IF(OR(IA$4="",$B29=""),0,SUMIF('DADOS BRUTOS'!$A$3:$A$500,$B29,'DADOS BRUTOS'!FA$3:FA$500)+IF($C29="",0,SUMIF('DADOS BRUTOS'!$A$3:$A$500,$C29,'DADOS BRUTOS'!FA$3:FA$500)))</f>
        <v>0</v>
      </c>
      <c r="IB29" s="133" t="n">
        <f aca="false">IF(OR(IB$4="",$B29=""),0,SUMIF('DADOS BRUTOS'!$A$3:$A$500,$B29,'DADOS BRUTOS'!FB$3:FB$500)+IF($C29="",0,SUMIF('DADOS BRUTOS'!$A$3:$A$500,$C29,'DADOS BRUTOS'!FB$3:FB$500)))</f>
        <v>0</v>
      </c>
      <c r="IC29" s="133" t="n">
        <f aca="false">IF(OR(IC$4="",$B29=""),0,SUMIF('DADOS BRUTOS'!$A$3:$A$500,$B29,'DADOS BRUTOS'!FC$3:FC$500)+IF($C29="",0,SUMIF('DADOS BRUTOS'!$A$3:$A$500,$C29,'DADOS BRUTOS'!FC$3:FC$500)))</f>
        <v>0</v>
      </c>
      <c r="ID29" s="133" t="n">
        <f aca="false">IF(OR(ID$4="",$B29=""),0,SUMIF('DADOS BRUTOS'!$A$3:$A$500,$B29,'DADOS BRUTOS'!FD$3:FD$500)+IF($C29="",0,SUMIF('DADOS BRUTOS'!$A$3:$A$500,$C29,'DADOS BRUTOS'!FD$3:FD$500)))</f>
        <v>0</v>
      </c>
      <c r="IE29" s="133" t="n">
        <f aca="false">IF(OR(IE$4="",$B29=""),0,SUMIF('DADOS BRUTOS'!$A$3:$A$500,$B29,'DADOS BRUTOS'!FE$3:FE$500)+IF($C29="",0,SUMIF('DADOS BRUTOS'!$A$3:$A$500,$C29,'DADOS BRUTOS'!FE$3:FE$500)))</f>
        <v>0</v>
      </c>
      <c r="IF29" s="133" t="n">
        <f aca="false">IF(OR(IF$4="",$B29=""),0,SUMIF('DADOS BRUTOS'!$A$3:$A$500,$B29,'DADOS BRUTOS'!FF$3:FF$500)+IF($C29="",0,SUMIF('DADOS BRUTOS'!$A$3:$A$500,$C29,'DADOS BRUTOS'!FF$3:FF$500)))</f>
        <v>0</v>
      </c>
      <c r="IG29" s="133" t="n">
        <f aca="false">IF(OR(IG$4="",$B29=""),0,SUMIF('DADOS BRUTOS'!$A$3:$A$500,$B29,'DADOS BRUTOS'!FG$3:FG$500)+IF($C29="",0,SUMIF('DADOS BRUTOS'!$A$3:$A$500,$C29,'DADOS BRUTOS'!FG$3:FG$500)))</f>
        <v>0</v>
      </c>
      <c r="IH29" s="133" t="n">
        <f aca="false">IF(OR(IH$4="",$B29=""),0,SUMIF('DADOS BRUTOS'!$A$3:$A$500,$B29,'DADOS BRUTOS'!FH$3:FH$500)+IF($C29="",0,SUMIF('DADOS BRUTOS'!$A$3:$A$500,$C29,'DADOS BRUTOS'!FH$3:FH$500)))</f>
        <v>0</v>
      </c>
      <c r="II29" s="133" t="n">
        <f aca="false">IF(OR(II$4="",$B29=""),0,SUMIF('DADOS BRUTOS'!$A$3:$A$500,$B29,'DADOS BRUTOS'!FI$3:FI$500)+IF($C29="",0,SUMIF('DADOS BRUTOS'!$A$3:$A$500,$C29,'DADOS BRUTOS'!FI$3:FI$500)))</f>
        <v>0</v>
      </c>
      <c r="IJ29" s="133" t="n">
        <f aca="false">IF(OR(IJ$4="",$B29=""),0,SUMIF('DADOS BRUTOS'!$A$3:$A$500,$B29,'DADOS BRUTOS'!FJ$3:FJ$500)+IF($C29="",0,SUMIF('DADOS BRUTOS'!$A$3:$A$500,$C29,'DADOS BRUTOS'!FJ$3:FJ$500)))</f>
        <v>0</v>
      </c>
      <c r="IK29" s="133" t="n">
        <f aca="false">IF(OR(IK$4="",$B29=""),0,SUMIF('DADOS BRUTOS'!$A$3:$A$500,$B29,'DADOS BRUTOS'!FK$3:FK$500)+IF($C29="",0,SUMIF('DADOS BRUTOS'!$A$3:$A$500,$C29,'DADOS BRUTOS'!FK$3:FK$500)))</f>
        <v>0</v>
      </c>
      <c r="IL29" s="133" t="n">
        <f aca="false">IF(OR(IL$4="",$B29=""),0,SUMIF('DADOS BRUTOS'!$A$3:$A$500,$B29,'DADOS BRUTOS'!FL$3:FL$500)+IF($C29="",0,SUMIF('DADOS BRUTOS'!$A$3:$A$500,$C29,'DADOS BRUTOS'!FL$3:FL$500)))</f>
        <v>0</v>
      </c>
      <c r="IM29" s="133" t="n">
        <f aca="false">IF(OR(IM$4="",$B29=""),0,SUMIF('DADOS BRUTOS'!$A$3:$A$500,$B29,'DADOS BRUTOS'!FM$3:FM$500)+IF($C29="",0,SUMIF('DADOS BRUTOS'!$A$3:$A$500,$C29,'DADOS BRUTOS'!FM$3:FM$500)))</f>
        <v>0</v>
      </c>
      <c r="IN29" s="133" t="n">
        <f aca="false">IF(OR(IN$4="",$B29=""),0,SUMIF('DADOS BRUTOS'!$A$3:$A$500,$B29,'DADOS BRUTOS'!FN$3:FN$500)+IF($C29="",0,SUMIF('DADOS BRUTOS'!$A$3:$A$500,$C29,'DADOS BRUTOS'!FN$3:FN$500)))</f>
        <v>0</v>
      </c>
      <c r="IO29" s="133" t="n">
        <f aca="false">IF(OR(IO$4="",$B29=""),0,SUMIF('DADOS BRUTOS'!$A$3:$A$500,$B29,'DADOS BRUTOS'!FO$3:FO$500)+IF($C29="",0,SUMIF('DADOS BRUTOS'!$A$3:$A$500,$C29,'DADOS BRUTOS'!FO$3:FO$500)))</f>
        <v>0</v>
      </c>
      <c r="IP29" s="133" t="n">
        <f aca="false">IF(OR(IP$4="",$B29=""),0,SUMIF('DADOS BRUTOS'!$A$3:$A$500,$B29,'DADOS BRUTOS'!FP$3:FP$500)+IF($C29="",0,SUMIF('DADOS BRUTOS'!$A$3:$A$500,$C29,'DADOS BRUTOS'!FP$3:FP$500)))</f>
        <v>0</v>
      </c>
      <c r="IQ29" s="133" t="n">
        <f aca="false">IF(OR(IQ$4="",$B29=""),0,SUMIF('DADOS BRUTOS'!$A$3:$A$500,$B29,'DADOS BRUTOS'!FQ$3:FQ$500)+IF($C29="",0,SUMIF('DADOS BRUTOS'!$A$3:$A$500,$C29,'DADOS BRUTOS'!FQ$3:FQ$500)))</f>
        <v>0</v>
      </c>
      <c r="IR29" s="133" t="n">
        <f aca="false">IF(OR(IR$4="",$B29=""),0,SUMIF('DADOS BRUTOS'!$A$3:$A$500,$B29,'DADOS BRUTOS'!FR$3:FR$500)+IF($C29="",0,SUMIF('DADOS BRUTOS'!$A$3:$A$500,$C29,'DADOS BRUTOS'!FR$3:FR$500)))</f>
        <v>0</v>
      </c>
      <c r="IS29" s="133" t="n">
        <f aca="false">IF(OR(IS$4="",$B29=""),0,SUMIF('DADOS BRUTOS'!$A$3:$A$500,$B29,'DADOS BRUTOS'!FS$3:FS$500)+IF($C29="",0,SUMIF('DADOS BRUTOS'!$A$3:$A$500,$C29,'DADOS BRUTOS'!FS$3:FS$500)))</f>
        <v>0</v>
      </c>
      <c r="IT29" s="133" t="n">
        <f aca="false">IF(OR(IT$4="",$B29=""),0,SUMIF('DADOS BRUTOS'!$A$3:$A$500,$B29,'DADOS BRUTOS'!FT$3:FT$500)+IF($C29="",0,SUMIF('DADOS BRUTOS'!$A$3:$A$500,$C29,'DADOS BRUTOS'!FT$3:FT$500)))</f>
        <v>0</v>
      </c>
      <c r="IU29" s="133" t="n">
        <f aca="false">IF(OR(IU$4="",$B29=""),0,SUMIF('DADOS BRUTOS'!$A$3:$A$500,$B29,'DADOS BRUTOS'!FU$3:FU$500)+IF($C29="",0,SUMIF('DADOS BRUTOS'!$A$3:$A$500,$C29,'DADOS BRUTOS'!FU$3:FU$500)))</f>
        <v>0</v>
      </c>
      <c r="IV29" s="133" t="n">
        <f aca="false">IF(OR(IV$4="",$B29=""),0,SUMIF('DADOS BRUTOS'!$A$3:$A$500,$B29,'DADOS BRUTOS'!FV$3:FV$500)+IF($C29="",0,SUMIF('DADOS BRUTOS'!$A$3:$A$500,$C29,'DADOS BRUTOS'!FV$3:FV$500)))</f>
        <v>0</v>
      </c>
      <c r="IW29" s="133" t="n">
        <f aca="false">IF(OR(IW$4="",$B29=""),0,SUMIF('DADOS BRUTOS'!$A$3:$A$500,$B29,'DADOS BRUTOS'!FW$3:FW$500)+IF($C29="",0,SUMIF('DADOS BRUTOS'!$A$3:$A$500,$C29,'DADOS BRUTOS'!FW$3:FW$500)))</f>
        <v>0</v>
      </c>
      <c r="IX29" s="133" t="n">
        <f aca="false">IF(OR(IX$4="",$B29=""),0,SUMIF('DADOS BRUTOS'!$A$3:$A$500,$B29,'DADOS BRUTOS'!FX$3:FX$500)+IF($C29="",0,SUMIF('DADOS BRUTOS'!$A$3:$A$500,$C29,'DADOS BRUTOS'!FX$3:FX$500)))</f>
        <v>0</v>
      </c>
      <c r="IY29" s="133" t="n">
        <f aca="false">IF(OR(IY$4="",$B29=""),0,SUMIF('DADOS BRUTOS'!$A$3:$A$500,$B29,'DADOS BRUTOS'!FY$3:FY$500)+IF($C29="",0,SUMIF('DADOS BRUTOS'!$A$3:$A$500,$C29,'DADOS BRUTOS'!FY$3:FY$500)))</f>
        <v>0</v>
      </c>
      <c r="IZ29" s="133" t="n">
        <f aca="false">IF(OR(IZ$4="",$B29=""),0,SUMIF('DADOS BRUTOS'!$A$3:$A$500,$B29,'DADOS BRUTOS'!FZ$3:FZ$500)+IF($C29="",0,SUMIF('DADOS BRUTOS'!$A$3:$A$500,$C29,'DADOS BRUTOS'!FZ$3:FZ$500)))</f>
        <v>0</v>
      </c>
      <c r="JA29" s="133" t="n">
        <f aca="false">IF(OR(JA$4="",$B29=""),0,SUMIF('DADOS BRUTOS'!$A$3:$A$500,$B29,'DADOS BRUTOS'!GA$3:GA$500)+IF($C29="",0,SUMIF('DADOS BRUTOS'!$A$3:$A$500,$C29,'DADOS BRUTOS'!GA$3:GA$500)))</f>
        <v>0</v>
      </c>
      <c r="JB29" s="133" t="n">
        <f aca="false">IF(OR(JB$4="",$B29=""),0,SUMIF('DADOS BRUTOS'!$A$3:$A$500,$B29,'DADOS BRUTOS'!GB$3:GB$500)+IF($C29="",0,SUMIF('DADOS BRUTOS'!$A$3:$A$500,$C29,'DADOS BRUTOS'!GB$3:GB$500)))</f>
        <v>0</v>
      </c>
      <c r="JC29" s="133" t="n">
        <f aca="false">IF(OR(JC$4="",$B29=""),0,SUMIF('DADOS BRUTOS'!$A$3:$A$500,$B29,'DADOS BRUTOS'!GC$3:GC$500)+IF($C29="",0,SUMIF('DADOS BRUTOS'!$A$3:$A$500,$C29,'DADOS BRUTOS'!GC$3:GC$500)))</f>
        <v>0</v>
      </c>
      <c r="JD29" s="133" t="n">
        <f aca="false">IF(OR(JD$4="",$B29=""),0,SUMIF('DADOS BRUTOS'!$A$3:$A$500,$B29,'DADOS BRUTOS'!GD$3:GD$500)+IF($C29="",0,SUMIF('DADOS BRUTOS'!$A$3:$A$500,$C29,'DADOS BRUTOS'!GD$3:GD$500)))</f>
        <v>0</v>
      </c>
      <c r="JE29" s="133" t="n">
        <f aca="false">IF(OR(JE$4="",$B29=""),0,SUMIF('DADOS BRUTOS'!$A$3:$A$500,$B29,'DADOS BRUTOS'!GE$3:GE$500)+IF($C29="",0,SUMIF('DADOS BRUTOS'!$A$3:$A$500,$C29,'DADOS BRUTOS'!GE$3:GE$500)))</f>
        <v>0</v>
      </c>
      <c r="JF29" s="133" t="n">
        <f aca="false">IF(OR(JF$4="",$B29=""),0,SUMIF('DADOS BRUTOS'!$A$3:$A$500,$B29,'DADOS BRUTOS'!GF$3:GF$500)+IF($C29="",0,SUMIF('DADOS BRUTOS'!$A$3:$A$500,$C29,'DADOS BRUTOS'!GF$3:GF$500)))</f>
        <v>0</v>
      </c>
      <c r="JG29" s="133" t="n">
        <f aca="false">IF(OR(JG$4="",$B29=""),0,SUMIF('DADOS BRUTOS'!$A$3:$A$500,$B29,'DADOS BRUTOS'!GG$3:GG$500)+IF($C29="",0,SUMIF('DADOS BRUTOS'!$A$3:$A$500,$C29,'DADOS BRUTOS'!GG$3:GG$500)))</f>
        <v>0</v>
      </c>
      <c r="JH29" s="133" t="n">
        <f aca="false">IF(OR(JH$4="",$B29=""),0,SUMIF('DADOS BRUTOS'!$A$3:$A$500,$B29,'DADOS BRUTOS'!GH$3:GH$500)+IF($C29="",0,SUMIF('DADOS BRUTOS'!$A$3:$A$500,$C29,'DADOS BRUTOS'!GH$3:GH$500)))</f>
        <v>0</v>
      </c>
      <c r="JI29" s="133" t="n">
        <f aca="false">IF(OR(JI$4="",$B29=""),0,SUMIF('DADOS BRUTOS'!$A$3:$A$500,$B29,'DADOS BRUTOS'!GI$3:GI$500)+IF($C29="",0,SUMIF('DADOS BRUTOS'!$A$3:$A$500,$C29,'DADOS BRUTOS'!GI$3:GI$500)))</f>
        <v>0</v>
      </c>
      <c r="JJ29" s="133" t="n">
        <f aca="false">IF(OR(JJ$4="",$B29=""),0,SUMIF('DADOS BRUTOS'!$A$3:$A$500,$B29,'DADOS BRUTOS'!GJ$3:GJ$500)+IF($C29="",0,SUMIF('DADOS BRUTOS'!$A$3:$A$500,$C29,'DADOS BRUTOS'!GJ$3:GJ$500)))</f>
        <v>0</v>
      </c>
      <c r="JK29" s="133" t="n">
        <f aca="false">IF(OR(JK$4="",$B29=""),0,SUMIF('DADOS BRUTOS'!$A$3:$A$500,$B29,'DADOS BRUTOS'!GK$3:GK$500)+IF($C29="",0,SUMIF('DADOS BRUTOS'!$A$3:$A$500,$C29,'DADOS BRUTOS'!GK$3:GK$500)))</f>
        <v>0</v>
      </c>
      <c r="JL29" s="133" t="n">
        <f aca="false">IF(OR(JL$4="",$B29=""),0,SUMIF('DADOS BRUTOS'!$A$3:$A$500,$B29,'DADOS BRUTOS'!GL$3:GL$500)+IF($C29="",0,SUMIF('DADOS BRUTOS'!$A$3:$A$500,$C29,'DADOS BRUTOS'!GL$3:GL$500)))</f>
        <v>0</v>
      </c>
      <c r="JM29" s="133" t="n">
        <f aca="false">IF(OR(JM$4="",$B29=""),0,SUMIF('DADOS BRUTOS'!$A$3:$A$500,$B29,'DADOS BRUTOS'!GM$3:GM$500)+IF($C29="",0,SUMIF('DADOS BRUTOS'!$A$3:$A$500,$C29,'DADOS BRUTOS'!GM$3:GM$500)))</f>
        <v>0</v>
      </c>
      <c r="JN29" s="133" t="n">
        <f aca="false">IF(OR(JN$4="",$B29=""),0,SUMIF('DADOS BRUTOS'!$A$3:$A$500,$B29,'DADOS BRUTOS'!GN$3:GN$500)+IF($C29="",0,SUMIF('DADOS BRUTOS'!$A$3:$A$500,$C29,'DADOS BRUTOS'!GN$3:GN$500)))</f>
        <v>0</v>
      </c>
      <c r="JO29" s="133" t="n">
        <f aca="false">IF(OR(JO$4="",$B29=""),0,SUMIF('DADOS BRUTOS'!$A$3:$A$500,$B29,'DADOS BRUTOS'!GO$3:GO$500)+IF($C29="",0,SUMIF('DADOS BRUTOS'!$A$3:$A$500,$C29,'DADOS BRUTOS'!GO$3:GO$500)))</f>
        <v>0</v>
      </c>
      <c r="JP29" s="133" t="n">
        <f aca="false">IF(OR(JP$4="",$B29=""),0,SUMIF('DADOS BRUTOS'!$A$3:$A$500,$B29,'DADOS BRUTOS'!GP$3:GP$500)+IF($C29="",0,SUMIF('DADOS BRUTOS'!$A$3:$A$500,$C29,'DADOS BRUTOS'!GP$3:GP$500)))</f>
        <v>0</v>
      </c>
      <c r="JQ29" s="133" t="n">
        <f aca="false">IF(OR(JQ$4="",$B29=""),0,SUMIF('DADOS BRUTOS'!$A$3:$A$500,$B29,'DADOS BRUTOS'!GQ$3:GQ$500)+IF($C29="",0,SUMIF('DADOS BRUTOS'!$A$3:$A$500,$C29,'DADOS BRUTOS'!GQ$3:GQ$500)))</f>
        <v>0</v>
      </c>
      <c r="JR29" s="133" t="n">
        <f aca="false">IF(OR(JR$4="",$B29=""),0,SUMIF('DADOS BRUTOS'!$A$3:$A$500,$B29,'DADOS BRUTOS'!GR$3:GR$500)+IF($C29="",0,SUMIF('DADOS BRUTOS'!$A$3:$A$500,$C29,'DADOS BRUTOS'!GR$3:GR$500)))</f>
        <v>0</v>
      </c>
      <c r="JS29" s="133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194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0</v>
      </c>
      <c r="Y30" s="50" t="n">
        <f aca="false">SUMIF($CB$4:$JS$4,Y$4,$CB30:$JS30)</f>
        <v>0</v>
      </c>
      <c r="Z30" s="50" t="n">
        <f aca="false">SUMIF($CB$4:$JS$4,Z$4,$CB30:$JS30)</f>
        <v>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0</v>
      </c>
      <c r="BZ30" s="45" t="n">
        <f aca="false">SUMPRODUCT(($CB$4:$JS$4&lt;&gt;"")*($CB$4:$JS$4&lt;=$D$4),$CB30:$JS30,$CB$1:$JS$1)</f>
        <v>0</v>
      </c>
      <c r="CB30" s="133" t="n">
        <f aca="false">IF(OR(CB$4="",$B30=""),0,SUMIF('DADOS BRUTOS'!$A$3:$A$500,$B30,'DADOS BRUTOS'!B$3:B$500)+IF($C30="",0,SUMIF('DADOS BRUTOS'!$A$3:$A$500,$C30,'DADOS BRUTOS'!B$3:B$500)))</f>
        <v>0</v>
      </c>
      <c r="CC30" s="133" t="n">
        <f aca="false">IF(OR(CC$4="",$B30=""),0,SUMIF('DADOS BRUTOS'!$A$3:$A$500,$B30,'DADOS BRUTOS'!C$3:C$500)+IF($C30="",0,SUMIF('DADOS BRUTOS'!$A$3:$A$500,$C30,'DADOS BRUTOS'!C$3:C$500)))</f>
        <v>0</v>
      </c>
      <c r="CD30" s="133" t="n">
        <f aca="false">IF(OR(CD$4="",$B30=""),0,SUMIF('DADOS BRUTOS'!$A$3:$A$500,$B30,'DADOS BRUTOS'!D$3:D$500)+IF($C30="",0,SUMIF('DADOS BRUTOS'!$A$3:$A$500,$C30,'DADOS BRUTOS'!D$3:D$500)))</f>
        <v>0</v>
      </c>
      <c r="CE30" s="133" t="n">
        <f aca="false">IF(OR(CE$4="",$B30=""),0,SUMIF('DADOS BRUTOS'!$A$3:$A$500,$B30,'DADOS BRUTOS'!E$3:E$500)+IF($C30="",0,SUMIF('DADOS BRUTOS'!$A$3:$A$500,$C30,'DADOS BRUTOS'!E$3:E$500)))</f>
        <v>0</v>
      </c>
      <c r="CF30" s="133" t="n">
        <f aca="false">IF(OR(CF$4="",$B30=""),0,SUMIF('DADOS BRUTOS'!$A$3:$A$500,$B30,'DADOS BRUTOS'!F$3:F$500)+IF($C30="",0,SUMIF('DADOS BRUTOS'!$A$3:$A$500,$C30,'DADOS BRUTOS'!F$3:F$500)))</f>
        <v>0</v>
      </c>
      <c r="CG30" s="133" t="n">
        <f aca="false">IF(OR(CG$4="",$B30=""),0,SUMIF('DADOS BRUTOS'!$A$3:$A$500,$B30,'DADOS BRUTOS'!G$3:G$500)+IF($C30="",0,SUMIF('DADOS BRUTOS'!$A$3:$A$500,$C30,'DADOS BRUTOS'!G$3:G$500)))</f>
        <v>0</v>
      </c>
      <c r="CH30" s="133" t="n">
        <f aca="false">IF(OR(CH$4="",$B30=""),0,SUMIF('DADOS BRUTOS'!$A$3:$A$500,$B30,'DADOS BRUTOS'!H$3:H$500)+IF($C30="",0,SUMIF('DADOS BRUTOS'!$A$3:$A$500,$C30,'DADOS BRUTOS'!H$3:H$500)))</f>
        <v>0</v>
      </c>
      <c r="CI30" s="133" t="n">
        <f aca="false">IF(OR(CI$4="",$B30=""),0,SUMIF('DADOS BRUTOS'!$A$3:$A$500,$B30,'DADOS BRUTOS'!I$3:I$500)+IF($C30="",0,SUMIF('DADOS BRUTOS'!$A$3:$A$500,$C30,'DADOS BRUTOS'!I$3:I$500)))</f>
        <v>0</v>
      </c>
      <c r="CJ30" s="133" t="n">
        <f aca="false">IF(OR(CJ$4="",$B30=""),0,SUMIF('DADOS BRUTOS'!$A$3:$A$500,$B30,'DADOS BRUTOS'!J$3:J$500)+IF($C30="",0,SUMIF('DADOS BRUTOS'!$A$3:$A$500,$C30,'DADOS BRUTOS'!J$3:J$500)))</f>
        <v>0</v>
      </c>
      <c r="CK30" s="133" t="n">
        <f aca="false">IF(OR(CK$4="",$B30=""),0,SUMIF('DADOS BRUTOS'!$A$3:$A$500,$B30,'DADOS BRUTOS'!K$3:K$500)+IF($C30="",0,SUMIF('DADOS BRUTOS'!$A$3:$A$500,$C30,'DADOS BRUTOS'!K$3:K$500)))</f>
        <v>0</v>
      </c>
      <c r="CL30" s="133" t="n">
        <f aca="false">IF(OR(CL$4="",$B30=""),0,SUMIF('DADOS BRUTOS'!$A$3:$A$500,$B30,'DADOS BRUTOS'!L$3:L$500)+IF($C30="",0,SUMIF('DADOS BRUTOS'!$A$3:$A$500,$C30,'DADOS BRUTOS'!L$3:L$500)))</f>
        <v>0</v>
      </c>
      <c r="CM30" s="133" t="n">
        <f aca="false">IF(OR(CM$4="",$B30=""),0,SUMIF('DADOS BRUTOS'!$A$3:$A$500,$B30,'DADOS BRUTOS'!M$3:M$500)+IF($C30="",0,SUMIF('DADOS BRUTOS'!$A$3:$A$500,$C30,'DADOS BRUTOS'!M$3:M$500)))</f>
        <v>0</v>
      </c>
      <c r="CN30" s="133" t="n">
        <f aca="false">IF(OR(CN$4="",$B30=""),0,SUMIF('DADOS BRUTOS'!$A$3:$A$500,$B30,'DADOS BRUTOS'!N$3:N$500)+IF($C30="",0,SUMIF('DADOS BRUTOS'!$A$3:$A$500,$C30,'DADOS BRUTOS'!N$3:N$500)))</f>
        <v>0</v>
      </c>
      <c r="CO30" s="133" t="n">
        <f aca="false">IF(OR(CO$4="",$B30=""),0,SUMIF('DADOS BRUTOS'!$A$3:$A$500,$B30,'DADOS BRUTOS'!O$3:O$500)+IF($C30="",0,SUMIF('DADOS BRUTOS'!$A$3:$A$500,$C30,'DADOS BRUTOS'!O$3:O$500)))</f>
        <v>0</v>
      </c>
      <c r="CP30" s="133" t="n">
        <f aca="false">IF(OR(CP$4="",$B30=""),0,SUMIF('DADOS BRUTOS'!$A$3:$A$500,$B30,'DADOS BRUTOS'!P$3:P$500)+IF($C30="",0,SUMIF('DADOS BRUTOS'!$A$3:$A$500,$C30,'DADOS BRUTOS'!P$3:P$500)))</f>
        <v>0</v>
      </c>
      <c r="CQ30" s="133" t="n">
        <f aca="false">IF(OR(CQ$4="",$B30=""),0,SUMIF('DADOS BRUTOS'!$A$3:$A$500,$B30,'DADOS BRUTOS'!Q$3:Q$500)+IF($C30="",0,SUMIF('DADOS BRUTOS'!$A$3:$A$500,$C30,'DADOS BRUTOS'!Q$3:Q$500)))</f>
        <v>0</v>
      </c>
      <c r="CR30" s="133" t="n">
        <f aca="false">IF(OR(CR$4="",$B30=""),0,SUMIF('DADOS BRUTOS'!$A$3:$A$500,$B30,'DADOS BRUTOS'!R$3:R$500)+IF($C30="",0,SUMIF('DADOS BRUTOS'!$A$3:$A$500,$C30,'DADOS BRUTOS'!R$3:R$500)))</f>
        <v>0</v>
      </c>
      <c r="CS30" s="133" t="n">
        <f aca="false">IF(OR(CS$4="",$B30=""),0,SUMIF('DADOS BRUTOS'!$A$3:$A$500,$B30,'DADOS BRUTOS'!S$3:S$500)+IF($C30="",0,SUMIF('DADOS BRUTOS'!$A$3:$A$500,$C30,'DADOS BRUTOS'!S$3:S$500)))</f>
        <v>0</v>
      </c>
      <c r="CT30" s="133" t="n">
        <f aca="false">IF(OR(CT$4="",$B30=""),0,SUMIF('DADOS BRUTOS'!$A$3:$A$500,$B30,'DADOS BRUTOS'!T$3:T$500)+IF($C30="",0,SUMIF('DADOS BRUTOS'!$A$3:$A$500,$C30,'DADOS BRUTOS'!T$3:T$500)))</f>
        <v>0</v>
      </c>
      <c r="CU30" s="133" t="n">
        <f aca="false">IF(OR(CU$4="",$B30=""),0,SUMIF('DADOS BRUTOS'!$A$3:$A$500,$B30,'DADOS BRUTOS'!U$3:U$500)+IF($C30="",0,SUMIF('DADOS BRUTOS'!$A$3:$A$500,$C30,'DADOS BRUTOS'!U$3:U$500)))</f>
        <v>0</v>
      </c>
      <c r="CV30" s="133" t="n">
        <f aca="false">IF(OR(CV$4="",$B30=""),0,SUMIF('DADOS BRUTOS'!$A$3:$A$500,$B30,'DADOS BRUTOS'!V$3:V$500)+IF($C30="",0,SUMIF('DADOS BRUTOS'!$A$3:$A$500,$C30,'DADOS BRUTOS'!V$3:V$500)))</f>
        <v>0</v>
      </c>
      <c r="CW30" s="133" t="n">
        <f aca="false">IF(OR(CW$4="",$B30=""),0,SUMIF('DADOS BRUTOS'!$A$3:$A$500,$B30,'DADOS BRUTOS'!W$3:W$500)+IF($C30="",0,SUMIF('DADOS BRUTOS'!$A$3:$A$500,$C30,'DADOS BRUTOS'!W$3:W$500)))</f>
        <v>0</v>
      </c>
      <c r="CX30" s="133" t="n">
        <f aca="false">IF(OR(CX$4="",$B30=""),0,SUMIF('DADOS BRUTOS'!$A$3:$A$500,$B30,'DADOS BRUTOS'!X$3:X$500)+IF($C30="",0,SUMIF('DADOS BRUTOS'!$A$3:$A$500,$C30,'DADOS BRUTOS'!X$3:X$500)))</f>
        <v>0</v>
      </c>
      <c r="CY30" s="133" t="n">
        <f aca="false">IF(OR(CY$4="",$B30=""),0,SUMIF('DADOS BRUTOS'!$A$3:$A$500,$B30,'DADOS BRUTOS'!Y$3:Y$500)+IF($C30="",0,SUMIF('DADOS BRUTOS'!$A$3:$A$500,$C30,'DADOS BRUTOS'!Y$3:Y$500)))</f>
        <v>0</v>
      </c>
      <c r="CZ30" s="133" t="n">
        <f aca="false">IF(OR(CZ$4="",$B30=""),0,SUMIF('DADOS BRUTOS'!$A$3:$A$500,$B30,'DADOS BRUTOS'!Z$3:Z$500)+IF($C30="",0,SUMIF('DADOS BRUTOS'!$A$3:$A$500,$C30,'DADOS BRUTOS'!Z$3:Z$500)))</f>
        <v>0</v>
      </c>
      <c r="DA30" s="133" t="n">
        <f aca="false">IF(OR(DA$4="",$B30=""),0,SUMIF('DADOS BRUTOS'!$A$3:$A$500,$B30,'DADOS BRUTOS'!AA$3:AA$500)+IF($C30="",0,SUMIF('DADOS BRUTOS'!$A$3:$A$500,$C30,'DADOS BRUTOS'!AA$3:AA$500)))</f>
        <v>0</v>
      </c>
      <c r="DB30" s="133" t="n">
        <f aca="false">IF(OR(DB$4="",$B30=""),0,SUMIF('DADOS BRUTOS'!$A$3:$A$500,$B30,'DADOS BRUTOS'!AB$3:AB$500)+IF($C30="",0,SUMIF('DADOS BRUTOS'!$A$3:$A$500,$C30,'DADOS BRUTOS'!AB$3:AB$500)))</f>
        <v>0</v>
      </c>
      <c r="DC30" s="133" t="n">
        <f aca="false">IF(OR(DC$4="",$B30=""),0,SUMIF('DADOS BRUTOS'!$A$3:$A$500,$B30,'DADOS BRUTOS'!AC$3:AC$500)+IF($C30="",0,SUMIF('DADOS BRUTOS'!$A$3:$A$500,$C30,'DADOS BRUTOS'!AC$3:AC$500)))</f>
        <v>0</v>
      </c>
      <c r="DD30" s="133" t="n">
        <f aca="false">IF(OR(DD$4="",$B30=""),0,SUMIF('DADOS BRUTOS'!$A$3:$A$500,$B30,'DADOS BRUTOS'!AD$3:AD$500)+IF($C30="",0,SUMIF('DADOS BRUTOS'!$A$3:$A$500,$C30,'DADOS BRUTOS'!AD$3:AD$500)))</f>
        <v>0</v>
      </c>
      <c r="DE30" s="133" t="n">
        <f aca="false">IF(OR(DE$4="",$B30=""),0,SUMIF('DADOS BRUTOS'!$A$3:$A$500,$B30,'DADOS BRUTOS'!AE$3:AE$500)+IF($C30="",0,SUMIF('DADOS BRUTOS'!$A$3:$A$500,$C30,'DADOS BRUTOS'!AE$3:AE$500)))</f>
        <v>0</v>
      </c>
      <c r="DF30" s="133" t="n">
        <f aca="false">IF(OR(DF$4="",$B30=""),0,SUMIF('DADOS BRUTOS'!$A$3:$A$500,$B30,'DADOS BRUTOS'!AF$3:AF$500)+IF($C30="",0,SUMIF('DADOS BRUTOS'!$A$3:$A$500,$C30,'DADOS BRUTOS'!AF$3:AF$500)))</f>
        <v>0</v>
      </c>
      <c r="DG30" s="133" t="n">
        <f aca="false">IF(OR(DG$4="",$B30=""),0,SUMIF('DADOS BRUTOS'!$A$3:$A$500,$B30,'DADOS BRUTOS'!AG$3:AG$500)+IF($C30="",0,SUMIF('DADOS BRUTOS'!$A$3:$A$500,$C30,'DADOS BRUTOS'!AG$3:AG$500)))</f>
        <v>0</v>
      </c>
      <c r="DH30" s="133" t="n">
        <f aca="false">IF(OR(DH$4="",$B30=""),0,SUMIF('DADOS BRUTOS'!$A$3:$A$500,$B30,'DADOS BRUTOS'!AH$3:AH$500)+IF($C30="",0,SUMIF('DADOS BRUTOS'!$A$3:$A$500,$C30,'DADOS BRUTOS'!AH$3:AH$500)))</f>
        <v>0</v>
      </c>
      <c r="DI30" s="133" t="n">
        <f aca="false">IF(OR(DI$4="",$B30=""),0,SUMIF('DADOS BRUTOS'!$A$3:$A$500,$B30,'DADOS BRUTOS'!AI$3:AI$500)+IF($C30="",0,SUMIF('DADOS BRUTOS'!$A$3:$A$500,$C30,'DADOS BRUTOS'!AI$3:AI$500)))</f>
        <v>0</v>
      </c>
      <c r="DJ30" s="133" t="n">
        <f aca="false">IF(OR(DJ$4="",$B30=""),0,SUMIF('DADOS BRUTOS'!$A$3:$A$500,$B30,'DADOS BRUTOS'!AJ$3:AJ$500)+IF($C30="",0,SUMIF('DADOS BRUTOS'!$A$3:$A$500,$C30,'DADOS BRUTOS'!AJ$3:AJ$500)))</f>
        <v>0</v>
      </c>
      <c r="DK30" s="133" t="n">
        <f aca="false">IF(OR(DK$4="",$B30=""),0,SUMIF('DADOS BRUTOS'!$A$3:$A$500,$B30,'DADOS BRUTOS'!AK$3:AK$500)+IF($C30="",0,SUMIF('DADOS BRUTOS'!$A$3:$A$500,$C30,'DADOS BRUTOS'!AK$3:AK$500)))</f>
        <v>0</v>
      </c>
      <c r="DL30" s="133" t="n">
        <f aca="false">IF(OR(DL$4="",$B30=""),0,SUMIF('DADOS BRUTOS'!$A$3:$A$500,$B30,'DADOS BRUTOS'!AL$3:AL$500)+IF($C30="",0,SUMIF('DADOS BRUTOS'!$A$3:$A$500,$C30,'DADOS BRUTOS'!AL$3:AL$500)))</f>
        <v>0</v>
      </c>
      <c r="DM30" s="133" t="n">
        <f aca="false">IF(OR(DM$4="",$B30=""),0,SUMIF('DADOS BRUTOS'!$A$3:$A$500,$B30,'DADOS BRUTOS'!AM$3:AM$500)+IF($C30="",0,SUMIF('DADOS BRUTOS'!$A$3:$A$500,$C30,'DADOS BRUTOS'!AM$3:AM$500)))</f>
        <v>0</v>
      </c>
      <c r="DN30" s="133" t="n">
        <f aca="false">IF(OR(DN$4="",$B30=""),0,SUMIF('DADOS BRUTOS'!$A$3:$A$500,$B30,'DADOS BRUTOS'!AN$3:AN$500)+IF($C30="",0,SUMIF('DADOS BRUTOS'!$A$3:$A$500,$C30,'DADOS BRUTOS'!AN$3:AN$500)))</f>
        <v>0</v>
      </c>
      <c r="DO30" s="133" t="n">
        <f aca="false">IF(OR(DO$4="",$B30=""),0,SUMIF('DADOS BRUTOS'!$A$3:$A$500,$B30,'DADOS BRUTOS'!AO$3:AO$500)+IF($C30="",0,SUMIF('DADOS BRUTOS'!$A$3:$A$500,$C30,'DADOS BRUTOS'!AO$3:AO$500)))</f>
        <v>0</v>
      </c>
      <c r="DP30" s="133" t="n">
        <f aca="false">IF(OR(DP$4="",$B30=""),0,SUMIF('DADOS BRUTOS'!$A$3:$A$500,$B30,'DADOS BRUTOS'!AP$3:AP$500)+IF($C30="",0,SUMIF('DADOS BRUTOS'!$A$3:$A$500,$C30,'DADOS BRUTOS'!AP$3:AP$500)))</f>
        <v>0</v>
      </c>
      <c r="DQ30" s="133" t="n">
        <f aca="false">IF(OR(DQ$4="",$B30=""),0,SUMIF('DADOS BRUTOS'!$A$3:$A$500,$B30,'DADOS BRUTOS'!AQ$3:AQ$500)+IF($C30="",0,SUMIF('DADOS BRUTOS'!$A$3:$A$500,$C30,'DADOS BRUTOS'!AQ$3:AQ$500)))</f>
        <v>0</v>
      </c>
      <c r="DR30" s="133" t="n">
        <f aca="false">IF(OR(DR$4="",$B30=""),0,SUMIF('DADOS BRUTOS'!$A$3:$A$500,$B30,'DADOS BRUTOS'!AR$3:AR$500)+IF($C30="",0,SUMIF('DADOS BRUTOS'!$A$3:$A$500,$C30,'DADOS BRUTOS'!AR$3:AR$500)))</f>
        <v>0</v>
      </c>
      <c r="DS30" s="133" t="n">
        <f aca="false">IF(OR(DS$4="",$B30=""),0,SUMIF('DADOS BRUTOS'!$A$3:$A$500,$B30,'DADOS BRUTOS'!AS$3:AS$500)+IF($C30="",0,SUMIF('DADOS BRUTOS'!$A$3:$A$500,$C30,'DADOS BRUTOS'!AS$3:AS$500)))</f>
        <v>0</v>
      </c>
      <c r="DT30" s="133" t="n">
        <f aca="false">IF(OR(DT$4="",$B30=""),0,SUMIF('DADOS BRUTOS'!$A$3:$A$500,$B30,'DADOS BRUTOS'!AT$3:AT$500)+IF($C30="",0,SUMIF('DADOS BRUTOS'!$A$3:$A$500,$C30,'DADOS BRUTOS'!AT$3:AT$500)))</f>
        <v>0</v>
      </c>
      <c r="DU30" s="133" t="n">
        <f aca="false">IF(OR(DU$4="",$B30=""),0,SUMIF('DADOS BRUTOS'!$A$3:$A$500,$B30,'DADOS BRUTOS'!AU$3:AU$500)+IF($C30="",0,SUMIF('DADOS BRUTOS'!$A$3:$A$500,$C30,'DADOS BRUTOS'!AU$3:AU$500)))</f>
        <v>0</v>
      </c>
      <c r="DV30" s="133" t="n">
        <f aca="false">IF(OR(DV$4="",$B30=""),0,SUMIF('DADOS BRUTOS'!$A$3:$A$500,$B30,'DADOS BRUTOS'!AV$3:AV$500)+IF($C30="",0,SUMIF('DADOS BRUTOS'!$A$3:$A$500,$C30,'DADOS BRUTOS'!AV$3:AV$500)))</f>
        <v>0</v>
      </c>
      <c r="DW30" s="133" t="n">
        <f aca="false">IF(OR(DW$4="",$B30=""),0,SUMIF('DADOS BRUTOS'!$A$3:$A$500,$B30,'DADOS BRUTOS'!AW$3:AW$500)+IF($C30="",0,SUMIF('DADOS BRUTOS'!$A$3:$A$500,$C30,'DADOS BRUTOS'!AW$3:AW$500)))</f>
        <v>0</v>
      </c>
      <c r="DX30" s="133" t="n">
        <f aca="false">IF(OR(DX$4="",$B30=""),0,SUMIF('DADOS BRUTOS'!$A$3:$A$500,$B30,'DADOS BRUTOS'!AX$3:AX$500)+IF($C30="",0,SUMIF('DADOS BRUTOS'!$A$3:$A$500,$C30,'DADOS BRUTOS'!AX$3:AX$500)))</f>
        <v>0</v>
      </c>
      <c r="DY30" s="133" t="n">
        <f aca="false">IF(OR(DY$4="",$B30=""),0,SUMIF('DADOS BRUTOS'!$A$3:$A$500,$B30,'DADOS BRUTOS'!AY$3:AY$500)+IF($C30="",0,SUMIF('DADOS BRUTOS'!$A$3:$A$500,$C30,'DADOS BRUTOS'!AY$3:AY$500)))</f>
        <v>0</v>
      </c>
      <c r="DZ30" s="133" t="n">
        <f aca="false">IF(OR(DZ$4="",$B30=""),0,SUMIF('DADOS BRUTOS'!$A$3:$A$500,$B30,'DADOS BRUTOS'!AZ$3:AZ$500)+IF($C30="",0,SUMIF('DADOS BRUTOS'!$A$3:$A$500,$C30,'DADOS BRUTOS'!AZ$3:AZ$500)))</f>
        <v>0</v>
      </c>
      <c r="EA30" s="133" t="n">
        <f aca="false">IF(OR(EA$4="",$B30=""),0,SUMIF('DADOS BRUTOS'!$A$3:$A$500,$B30,'DADOS BRUTOS'!BA$3:BA$500)+IF($C30="",0,SUMIF('DADOS BRUTOS'!$A$3:$A$500,$C30,'DADOS BRUTOS'!BA$3:BA$500)))</f>
        <v>0</v>
      </c>
      <c r="EB30" s="133" t="n">
        <f aca="false">IF(OR(EB$4="",$B30=""),0,SUMIF('DADOS BRUTOS'!$A$3:$A$500,$B30,'DADOS BRUTOS'!BB$3:BB$500)+IF($C30="",0,SUMIF('DADOS BRUTOS'!$A$3:$A$500,$C30,'DADOS BRUTOS'!BB$3:BB$500)))</f>
        <v>0</v>
      </c>
      <c r="EC30" s="133" t="n">
        <f aca="false">IF(OR(EC$4="",$B30=""),0,SUMIF('DADOS BRUTOS'!$A$3:$A$500,$B30,'DADOS BRUTOS'!BC$3:BC$500)+IF($C30="",0,SUMIF('DADOS BRUTOS'!$A$3:$A$500,$C30,'DADOS BRUTOS'!BC$3:BC$500)))</f>
        <v>0</v>
      </c>
      <c r="ED30" s="133" t="n">
        <f aca="false">IF(OR(ED$4="",$B30=""),0,SUMIF('DADOS BRUTOS'!$A$3:$A$500,$B30,'DADOS BRUTOS'!BD$3:BD$500)+IF($C30="",0,SUMIF('DADOS BRUTOS'!$A$3:$A$500,$C30,'DADOS BRUTOS'!BD$3:BD$500)))</f>
        <v>0</v>
      </c>
      <c r="EE30" s="133" t="n">
        <f aca="false">IF(OR(EE$4="",$B30=""),0,SUMIF('DADOS BRUTOS'!$A$3:$A$500,$B30,'DADOS BRUTOS'!BE$3:BE$500)+IF($C30="",0,SUMIF('DADOS BRUTOS'!$A$3:$A$500,$C30,'DADOS BRUTOS'!BE$3:BE$500)))</f>
        <v>0</v>
      </c>
      <c r="EF30" s="133" t="n">
        <f aca="false">IF(OR(EF$4="",$B30=""),0,SUMIF('DADOS BRUTOS'!$A$3:$A$500,$B30,'DADOS BRUTOS'!BF$3:BF$500)+IF($C30="",0,SUMIF('DADOS BRUTOS'!$A$3:$A$500,$C30,'DADOS BRUTOS'!BF$3:BF$500)))</f>
        <v>0</v>
      </c>
      <c r="EG30" s="133" t="n">
        <f aca="false">IF(OR(EG$4="",$B30=""),0,SUMIF('DADOS BRUTOS'!$A$3:$A$500,$B30,'DADOS BRUTOS'!BG$3:BG$500)+IF($C30="",0,SUMIF('DADOS BRUTOS'!$A$3:$A$500,$C30,'DADOS BRUTOS'!BG$3:BG$500)))</f>
        <v>0</v>
      </c>
      <c r="EH30" s="133" t="n">
        <f aca="false">IF(OR(EH$4="",$B30=""),0,SUMIF('DADOS BRUTOS'!$A$3:$A$500,$B30,'DADOS BRUTOS'!BH$3:BH$500)+IF($C30="",0,SUMIF('DADOS BRUTOS'!$A$3:$A$500,$C30,'DADOS BRUTOS'!BH$3:BH$500)))</f>
        <v>0</v>
      </c>
      <c r="EI30" s="133" t="n">
        <f aca="false">IF(OR(EI$4="",$B30=""),0,SUMIF('DADOS BRUTOS'!$A$3:$A$500,$B30,'DADOS BRUTOS'!BI$3:BI$500)+IF($C30="",0,SUMIF('DADOS BRUTOS'!$A$3:$A$500,$C30,'DADOS BRUTOS'!BI$3:BI$500)))</f>
        <v>0</v>
      </c>
      <c r="EJ30" s="133" t="n">
        <f aca="false">IF(OR(EJ$4="",$B30=""),0,SUMIF('DADOS BRUTOS'!$A$3:$A$500,$B30,'DADOS BRUTOS'!BJ$3:BJ$500)+IF($C30="",0,SUMIF('DADOS BRUTOS'!$A$3:$A$500,$C30,'DADOS BRUTOS'!BJ$3:BJ$500)))</f>
        <v>0</v>
      </c>
      <c r="EK30" s="133" t="n">
        <f aca="false">IF(OR(EK$4="",$B30=""),0,SUMIF('DADOS BRUTOS'!$A$3:$A$500,$B30,'DADOS BRUTOS'!BK$3:BK$500)+IF($C30="",0,SUMIF('DADOS BRUTOS'!$A$3:$A$500,$C30,'DADOS BRUTOS'!BK$3:BK$500)))</f>
        <v>0</v>
      </c>
      <c r="EL30" s="133" t="n">
        <f aca="false">IF(OR(EL$4="",$B30=""),0,SUMIF('DADOS BRUTOS'!$A$3:$A$500,$B30,'DADOS BRUTOS'!BL$3:BL$500)+IF($C30="",0,SUMIF('DADOS BRUTOS'!$A$3:$A$500,$C30,'DADOS BRUTOS'!BL$3:BL$500)))</f>
        <v>0</v>
      </c>
      <c r="EM30" s="133" t="n">
        <f aca="false">IF(OR(EM$4="",$B30=""),0,SUMIF('DADOS BRUTOS'!$A$3:$A$500,$B30,'DADOS BRUTOS'!BM$3:BM$500)+IF($C30="",0,SUMIF('DADOS BRUTOS'!$A$3:$A$500,$C30,'DADOS BRUTOS'!BM$3:BM$500)))</f>
        <v>0</v>
      </c>
      <c r="EN30" s="133" t="n">
        <f aca="false">IF(OR(EN$4="",$B30=""),0,SUMIF('DADOS BRUTOS'!$A$3:$A$500,$B30,'DADOS BRUTOS'!BN$3:BN$500)+IF($C30="",0,SUMIF('DADOS BRUTOS'!$A$3:$A$500,$C30,'DADOS BRUTOS'!BN$3:BN$500)))</f>
        <v>0</v>
      </c>
      <c r="EO30" s="133" t="n">
        <f aca="false">IF(OR(EO$4="",$B30=""),0,SUMIF('DADOS BRUTOS'!$A$3:$A$500,$B30,'DADOS BRUTOS'!BO$3:BO$500)+IF($C30="",0,SUMIF('DADOS BRUTOS'!$A$3:$A$500,$C30,'DADOS BRUTOS'!BO$3:BO$500)))</f>
        <v>0</v>
      </c>
      <c r="EP30" s="133" t="n">
        <f aca="false">IF(OR(EP$4="",$B30=""),0,SUMIF('DADOS BRUTOS'!$A$3:$A$500,$B30,'DADOS BRUTOS'!BP$3:BP$500)+IF($C30="",0,SUMIF('DADOS BRUTOS'!$A$3:$A$500,$C30,'DADOS BRUTOS'!BP$3:BP$500)))</f>
        <v>0</v>
      </c>
      <c r="EQ30" s="133" t="n">
        <f aca="false">IF(OR(EQ$4="",$B30=""),0,SUMIF('DADOS BRUTOS'!$A$3:$A$500,$B30,'DADOS BRUTOS'!BQ$3:BQ$500)+IF($C30="",0,SUMIF('DADOS BRUTOS'!$A$3:$A$500,$C30,'DADOS BRUTOS'!BQ$3:BQ$500)))</f>
        <v>0</v>
      </c>
      <c r="ER30" s="133" t="n">
        <f aca="false">IF(OR(ER$4="",$B30=""),0,SUMIF('DADOS BRUTOS'!$A$3:$A$500,$B30,'DADOS BRUTOS'!BR$3:BR$500)+IF($C30="",0,SUMIF('DADOS BRUTOS'!$A$3:$A$500,$C30,'DADOS BRUTOS'!BR$3:BR$500)))</f>
        <v>0</v>
      </c>
      <c r="ES30" s="133" t="n">
        <f aca="false">IF(OR(ES$4="",$B30=""),0,SUMIF('DADOS BRUTOS'!$A$3:$A$500,$B30,'DADOS BRUTOS'!BS$3:BS$500)+IF($C30="",0,SUMIF('DADOS BRUTOS'!$A$3:$A$500,$C30,'DADOS BRUTOS'!BS$3:BS$500)))</f>
        <v>0</v>
      </c>
      <c r="ET30" s="133" t="n">
        <f aca="false">IF(OR(ET$4="",$B30=""),0,SUMIF('DADOS BRUTOS'!$A$3:$A$500,$B30,'DADOS BRUTOS'!BT$3:BT$500)+IF($C30="",0,SUMIF('DADOS BRUTOS'!$A$3:$A$500,$C30,'DADOS BRUTOS'!BT$3:BT$500)))</f>
        <v>0</v>
      </c>
      <c r="EU30" s="133" t="n">
        <f aca="false">IF(OR(EU$4="",$B30=""),0,SUMIF('DADOS BRUTOS'!$A$3:$A$500,$B30,'DADOS BRUTOS'!BU$3:BU$500)+IF($C30="",0,SUMIF('DADOS BRUTOS'!$A$3:$A$500,$C30,'DADOS BRUTOS'!BU$3:BU$500)))</f>
        <v>0</v>
      </c>
      <c r="EV30" s="133" t="n">
        <f aca="false">IF(OR(EV$4="",$B30=""),0,SUMIF('DADOS BRUTOS'!$A$3:$A$500,$B30,'DADOS BRUTOS'!BV$3:BV$500)+IF($C30="",0,SUMIF('DADOS BRUTOS'!$A$3:$A$500,$C30,'DADOS BRUTOS'!BV$3:BV$500)))</f>
        <v>0</v>
      </c>
      <c r="EW30" s="133" t="n">
        <f aca="false">IF(OR(EW$4="",$B30=""),0,SUMIF('DADOS BRUTOS'!$A$3:$A$500,$B30,'DADOS BRUTOS'!BW$3:BW$500)+IF($C30="",0,SUMIF('DADOS BRUTOS'!$A$3:$A$500,$C30,'DADOS BRUTOS'!BW$3:BW$500)))</f>
        <v>0</v>
      </c>
      <c r="EX30" s="133" t="n">
        <f aca="false">IF(OR(EX$4="",$B30=""),0,SUMIF('DADOS BRUTOS'!$A$3:$A$500,$B30,'DADOS BRUTOS'!BX$3:BX$500)+IF($C30="",0,SUMIF('DADOS BRUTOS'!$A$3:$A$500,$C30,'DADOS BRUTOS'!BX$3:BX$500)))</f>
        <v>0</v>
      </c>
      <c r="EY30" s="133" t="n">
        <f aca="false">IF(OR(EY$4="",$B30=""),0,SUMIF('DADOS BRUTOS'!$A$3:$A$500,$B30,'DADOS BRUTOS'!BY$3:BY$500)+IF($C30="",0,SUMIF('DADOS BRUTOS'!$A$3:$A$500,$C30,'DADOS BRUTOS'!BY$3:BY$500)))</f>
        <v>0</v>
      </c>
      <c r="EZ30" s="133" t="n">
        <f aca="false">IF(OR(EZ$4="",$B30=""),0,SUMIF('DADOS BRUTOS'!$A$3:$A$500,$B30,'DADOS BRUTOS'!BZ$3:BZ$500)+IF($C30="",0,SUMIF('DADOS BRUTOS'!$A$3:$A$500,$C30,'DADOS BRUTOS'!BZ$3:BZ$500)))</f>
        <v>0</v>
      </c>
      <c r="FA30" s="133" t="n">
        <f aca="false">IF(OR(FA$4="",$B30=""),0,SUMIF('DADOS BRUTOS'!$A$3:$A$500,$B30,'DADOS BRUTOS'!CA$3:CA$500)+IF($C30="",0,SUMIF('DADOS BRUTOS'!$A$3:$A$500,$C30,'DADOS BRUTOS'!CA$3:CA$500)))</f>
        <v>0</v>
      </c>
      <c r="FB30" s="133" t="n">
        <f aca="false">IF(OR(FB$4="",$B30=""),0,SUMIF('DADOS BRUTOS'!$A$3:$A$500,$B30,'DADOS BRUTOS'!CB$3:CB$500)+IF($C30="",0,SUMIF('DADOS BRUTOS'!$A$3:$A$500,$C30,'DADOS BRUTOS'!CB$3:CB$500)))</f>
        <v>0</v>
      </c>
      <c r="FC30" s="133" t="n">
        <f aca="false">IF(OR(FC$4="",$B30=""),0,SUMIF('DADOS BRUTOS'!$A$3:$A$500,$B30,'DADOS BRUTOS'!CC$3:CC$500)+IF($C30="",0,SUMIF('DADOS BRUTOS'!$A$3:$A$500,$C30,'DADOS BRUTOS'!CC$3:CC$500)))</f>
        <v>0</v>
      </c>
      <c r="FD30" s="133" t="n">
        <f aca="false">IF(OR(FD$4="",$B30=""),0,SUMIF('DADOS BRUTOS'!$A$3:$A$500,$B30,'DADOS BRUTOS'!CD$3:CD$500)+IF($C30="",0,SUMIF('DADOS BRUTOS'!$A$3:$A$500,$C30,'DADOS BRUTOS'!CD$3:CD$500)))</f>
        <v>0</v>
      </c>
      <c r="FE30" s="133" t="n">
        <f aca="false">IF(OR(FE$4="",$B30=""),0,SUMIF('DADOS BRUTOS'!$A$3:$A$500,$B30,'DADOS BRUTOS'!CE$3:CE$500)+IF($C30="",0,SUMIF('DADOS BRUTOS'!$A$3:$A$500,$C30,'DADOS BRUTOS'!CE$3:CE$500)))</f>
        <v>0</v>
      </c>
      <c r="FF30" s="133" t="n">
        <f aca="false">IF(OR(FF$4="",$B30=""),0,SUMIF('DADOS BRUTOS'!$A$3:$A$500,$B30,'DADOS BRUTOS'!CF$3:CF$500)+IF($C30="",0,SUMIF('DADOS BRUTOS'!$A$3:$A$500,$C30,'DADOS BRUTOS'!CF$3:CF$500)))</f>
        <v>0</v>
      </c>
      <c r="FG30" s="133" t="n">
        <f aca="false">IF(OR(FG$4="",$B30=""),0,SUMIF('DADOS BRUTOS'!$A$3:$A$500,$B30,'DADOS BRUTOS'!CG$3:CG$500)+IF($C30="",0,SUMIF('DADOS BRUTOS'!$A$3:$A$500,$C30,'DADOS BRUTOS'!CG$3:CG$500)))</f>
        <v>0</v>
      </c>
      <c r="FH30" s="133" t="n">
        <f aca="false">IF(OR(FH$4="",$B30=""),0,SUMIF('DADOS BRUTOS'!$A$3:$A$500,$B30,'DADOS BRUTOS'!CH$3:CH$500)+IF($C30="",0,SUMIF('DADOS BRUTOS'!$A$3:$A$500,$C30,'DADOS BRUTOS'!CH$3:CH$500)))</f>
        <v>0</v>
      </c>
      <c r="FI30" s="133" t="n">
        <f aca="false">IF(OR(FI$4="",$B30=""),0,SUMIF('DADOS BRUTOS'!$A$3:$A$500,$B30,'DADOS BRUTOS'!CI$3:CI$500)+IF($C30="",0,SUMIF('DADOS BRUTOS'!$A$3:$A$500,$C30,'DADOS BRUTOS'!CI$3:CI$500)))</f>
        <v>0</v>
      </c>
      <c r="FJ30" s="133" t="n">
        <f aca="false">IF(OR(FJ$4="",$B30=""),0,SUMIF('DADOS BRUTOS'!$A$3:$A$500,$B30,'DADOS BRUTOS'!CJ$3:CJ$500)+IF($C30="",0,SUMIF('DADOS BRUTOS'!$A$3:$A$500,$C30,'DADOS BRUTOS'!CJ$3:CJ$500)))</f>
        <v>0</v>
      </c>
      <c r="FK30" s="133" t="n">
        <f aca="false">IF(OR(FK$4="",$B30=""),0,SUMIF('DADOS BRUTOS'!$A$3:$A$500,$B30,'DADOS BRUTOS'!CK$3:CK$500)+IF($C30="",0,SUMIF('DADOS BRUTOS'!$A$3:$A$500,$C30,'DADOS BRUTOS'!CK$3:CK$500)))</f>
        <v>0</v>
      </c>
      <c r="FL30" s="133" t="n">
        <f aca="false">IF(OR(FL$4="",$B30=""),0,SUMIF('DADOS BRUTOS'!$A$3:$A$500,$B30,'DADOS BRUTOS'!CL$3:CL$500)+IF($C30="",0,SUMIF('DADOS BRUTOS'!$A$3:$A$500,$C30,'DADOS BRUTOS'!CL$3:CL$500)))</f>
        <v>0</v>
      </c>
      <c r="FM30" s="133" t="n">
        <f aca="false">IF(OR(FM$4="",$B30=""),0,SUMIF('DADOS BRUTOS'!$A$3:$A$500,$B30,'DADOS BRUTOS'!CM$3:CM$500)+IF($C30="",0,SUMIF('DADOS BRUTOS'!$A$3:$A$500,$C30,'DADOS BRUTOS'!CM$3:CM$500)))</f>
        <v>0</v>
      </c>
      <c r="FN30" s="133" t="n">
        <f aca="false">IF(OR(FN$4="",$B30=""),0,SUMIF('DADOS BRUTOS'!$A$3:$A$500,$B30,'DADOS BRUTOS'!CN$3:CN$500)+IF($C30="",0,SUMIF('DADOS BRUTOS'!$A$3:$A$500,$C30,'DADOS BRUTOS'!CN$3:CN$500)))</f>
        <v>0</v>
      </c>
      <c r="FO30" s="133" t="n">
        <f aca="false">IF(OR(FO$4="",$B30=""),0,SUMIF('DADOS BRUTOS'!$A$3:$A$500,$B30,'DADOS BRUTOS'!CO$3:CO$500)+IF($C30="",0,SUMIF('DADOS BRUTOS'!$A$3:$A$500,$C30,'DADOS BRUTOS'!CO$3:CO$500)))</f>
        <v>0</v>
      </c>
      <c r="FP30" s="133" t="n">
        <f aca="false">IF(OR(FP$4="",$B30=""),0,SUMIF('DADOS BRUTOS'!$A$3:$A$500,$B30,'DADOS BRUTOS'!CP$3:CP$500)+IF($C30="",0,SUMIF('DADOS BRUTOS'!$A$3:$A$500,$C30,'DADOS BRUTOS'!CP$3:CP$500)))</f>
        <v>0</v>
      </c>
      <c r="FQ30" s="133" t="n">
        <f aca="false">IF(OR(FQ$4="",$B30=""),0,SUMIF('DADOS BRUTOS'!$A$3:$A$500,$B30,'DADOS BRUTOS'!CQ$3:CQ$500)+IF($C30="",0,SUMIF('DADOS BRUTOS'!$A$3:$A$500,$C30,'DADOS BRUTOS'!CQ$3:CQ$500)))</f>
        <v>0</v>
      </c>
      <c r="FR30" s="133" t="n">
        <f aca="false">IF(OR(FR$4="",$B30=""),0,SUMIF('DADOS BRUTOS'!$A$3:$A$500,$B30,'DADOS BRUTOS'!CR$3:CR$500)+IF($C30="",0,SUMIF('DADOS BRUTOS'!$A$3:$A$500,$C30,'DADOS BRUTOS'!CR$3:CR$500)))</f>
        <v>0</v>
      </c>
      <c r="FS30" s="133" t="n">
        <f aca="false">IF(OR(FS$4="",$B30=""),0,SUMIF('DADOS BRUTOS'!$A$3:$A$500,$B30,'DADOS BRUTOS'!CS$3:CS$500)+IF($C30="",0,SUMIF('DADOS BRUTOS'!$A$3:$A$500,$C30,'DADOS BRUTOS'!CS$3:CS$500)))</f>
        <v>0</v>
      </c>
      <c r="FT30" s="133" t="n">
        <f aca="false">IF(OR(FT$4="",$B30=""),0,SUMIF('DADOS BRUTOS'!$A$3:$A$500,$B30,'DADOS BRUTOS'!CT$3:CT$500)+IF($C30="",0,SUMIF('DADOS BRUTOS'!$A$3:$A$500,$C30,'DADOS BRUTOS'!CT$3:CT$500)))</f>
        <v>0</v>
      </c>
      <c r="FU30" s="133" t="n">
        <f aca="false">IF(OR(FU$4="",$B30=""),0,SUMIF('DADOS BRUTOS'!$A$3:$A$500,$B30,'DADOS BRUTOS'!CU$3:CU$500)+IF($C30="",0,SUMIF('DADOS BRUTOS'!$A$3:$A$500,$C30,'DADOS BRUTOS'!CU$3:CU$500)))</f>
        <v>0</v>
      </c>
      <c r="FV30" s="133" t="n">
        <f aca="false">IF(OR(FV$4="",$B30=""),0,SUMIF('DADOS BRUTOS'!$A$3:$A$500,$B30,'DADOS BRUTOS'!CV$3:CV$500)+IF($C30="",0,SUMIF('DADOS BRUTOS'!$A$3:$A$500,$C30,'DADOS BRUTOS'!CV$3:CV$500)))</f>
        <v>0</v>
      </c>
      <c r="FW30" s="133" t="n">
        <f aca="false">IF(OR(FW$4="",$B30=""),0,SUMIF('DADOS BRUTOS'!$A$3:$A$500,$B30,'DADOS BRUTOS'!CW$3:CW$500)+IF($C30="",0,SUMIF('DADOS BRUTOS'!$A$3:$A$500,$C30,'DADOS BRUTOS'!CW$3:CW$500)))</f>
        <v>0</v>
      </c>
      <c r="FX30" s="133" t="n">
        <f aca="false">IF(OR(FX$4="",$B30=""),0,SUMIF('DADOS BRUTOS'!$A$3:$A$500,$B30,'DADOS BRUTOS'!CX$3:CX$500)+IF($C30="",0,SUMIF('DADOS BRUTOS'!$A$3:$A$500,$C30,'DADOS BRUTOS'!CX$3:CX$500)))</f>
        <v>0</v>
      </c>
      <c r="FY30" s="133" t="n">
        <f aca="false">IF(OR(FY$4="",$B30=""),0,SUMIF('DADOS BRUTOS'!$A$3:$A$500,$B30,'DADOS BRUTOS'!CY$3:CY$500)+IF($C30="",0,SUMIF('DADOS BRUTOS'!$A$3:$A$500,$C30,'DADOS BRUTOS'!CY$3:CY$500)))</f>
        <v>0</v>
      </c>
      <c r="FZ30" s="133" t="n">
        <f aca="false">IF(OR(FZ$4="",$B30=""),0,SUMIF('DADOS BRUTOS'!$A$3:$A$500,$B30,'DADOS BRUTOS'!CZ$3:CZ$500)+IF($C30="",0,SUMIF('DADOS BRUTOS'!$A$3:$A$500,$C30,'DADOS BRUTOS'!CZ$3:CZ$500)))</f>
        <v>0</v>
      </c>
      <c r="GA30" s="133" t="n">
        <f aca="false">IF(OR(GA$4="",$B30=""),0,SUMIF('DADOS BRUTOS'!$A$3:$A$500,$B30,'DADOS BRUTOS'!DA$3:DA$500)+IF($C30="",0,SUMIF('DADOS BRUTOS'!$A$3:$A$500,$C30,'DADOS BRUTOS'!DA$3:DA$500)))</f>
        <v>0</v>
      </c>
      <c r="GB30" s="133" t="n">
        <f aca="false">IF(OR(GB$4="",$B30=""),0,SUMIF('DADOS BRUTOS'!$A$3:$A$500,$B30,'DADOS BRUTOS'!DB$3:DB$500)+IF($C30="",0,SUMIF('DADOS BRUTOS'!$A$3:$A$500,$C30,'DADOS BRUTOS'!DB$3:DB$500)))</f>
        <v>0</v>
      </c>
      <c r="GC30" s="133" t="n">
        <f aca="false">IF(OR(GC$4="",$B30=""),0,SUMIF('DADOS BRUTOS'!$A$3:$A$500,$B30,'DADOS BRUTOS'!DC$3:DC$500)+IF($C30="",0,SUMIF('DADOS BRUTOS'!$A$3:$A$500,$C30,'DADOS BRUTOS'!DC$3:DC$500)))</f>
        <v>0</v>
      </c>
      <c r="GD30" s="133" t="n">
        <f aca="false">IF(OR(GD$4="",$B30=""),0,SUMIF('DADOS BRUTOS'!$A$3:$A$500,$B30,'DADOS BRUTOS'!DD$3:DD$500)+IF($C30="",0,SUMIF('DADOS BRUTOS'!$A$3:$A$500,$C30,'DADOS BRUTOS'!DD$3:DD$500)))</f>
        <v>0</v>
      </c>
      <c r="GE30" s="133" t="n">
        <f aca="false">IF(OR(GE$4="",$B30=""),0,SUMIF('DADOS BRUTOS'!$A$3:$A$500,$B30,'DADOS BRUTOS'!DE$3:DE$500)+IF($C30="",0,SUMIF('DADOS BRUTOS'!$A$3:$A$500,$C30,'DADOS BRUTOS'!DE$3:DE$500)))</f>
        <v>0</v>
      </c>
      <c r="GF30" s="133" t="n">
        <f aca="false">IF(OR(GF$4="",$B30=""),0,SUMIF('DADOS BRUTOS'!$A$3:$A$500,$B30,'DADOS BRUTOS'!DF$3:DF$500)+IF($C30="",0,SUMIF('DADOS BRUTOS'!$A$3:$A$500,$C30,'DADOS BRUTOS'!DF$3:DF$500)))</f>
        <v>0</v>
      </c>
      <c r="GG30" s="133" t="n">
        <f aca="false">IF(OR(GG$4="",$B30=""),0,SUMIF('DADOS BRUTOS'!$A$3:$A$500,$B30,'DADOS BRUTOS'!DG$3:DG$500)+IF($C30="",0,SUMIF('DADOS BRUTOS'!$A$3:$A$500,$C30,'DADOS BRUTOS'!DG$3:DG$500)))</f>
        <v>0</v>
      </c>
      <c r="GH30" s="133" t="n">
        <f aca="false">IF(OR(GH$4="",$B30=""),0,SUMIF('DADOS BRUTOS'!$A$3:$A$500,$B30,'DADOS BRUTOS'!DH$3:DH$500)+IF($C30="",0,SUMIF('DADOS BRUTOS'!$A$3:$A$500,$C30,'DADOS BRUTOS'!DH$3:DH$500)))</f>
        <v>0</v>
      </c>
      <c r="GI30" s="133" t="n">
        <f aca="false">IF(OR(GI$4="",$B30=""),0,SUMIF('DADOS BRUTOS'!$A$3:$A$500,$B30,'DADOS BRUTOS'!DI$3:DI$500)+IF($C30="",0,SUMIF('DADOS BRUTOS'!$A$3:$A$500,$C30,'DADOS BRUTOS'!DI$3:DI$500)))</f>
        <v>0</v>
      </c>
      <c r="GJ30" s="133" t="n">
        <f aca="false">IF(OR(GJ$4="",$B30=""),0,SUMIF('DADOS BRUTOS'!$A$3:$A$500,$B30,'DADOS BRUTOS'!DJ$3:DJ$500)+IF($C30="",0,SUMIF('DADOS BRUTOS'!$A$3:$A$500,$C30,'DADOS BRUTOS'!DJ$3:DJ$500)))</f>
        <v>0</v>
      </c>
      <c r="GK30" s="133" t="n">
        <f aca="false">IF(OR(GK$4="",$B30=""),0,SUMIF('DADOS BRUTOS'!$A$3:$A$500,$B30,'DADOS BRUTOS'!DK$3:DK$500)+IF($C30="",0,SUMIF('DADOS BRUTOS'!$A$3:$A$500,$C30,'DADOS BRUTOS'!DK$3:DK$500)))</f>
        <v>0</v>
      </c>
      <c r="GL30" s="133" t="n">
        <f aca="false">IF(OR(GL$4="",$B30=""),0,SUMIF('DADOS BRUTOS'!$A$3:$A$500,$B30,'DADOS BRUTOS'!DL$3:DL$500)+IF($C30="",0,SUMIF('DADOS BRUTOS'!$A$3:$A$500,$C30,'DADOS BRUTOS'!DL$3:DL$500)))</f>
        <v>0</v>
      </c>
      <c r="GM30" s="133" t="n">
        <f aca="false">IF(OR(GM$4="",$B30=""),0,SUMIF('DADOS BRUTOS'!$A$3:$A$500,$B30,'DADOS BRUTOS'!DM$3:DM$500)+IF($C30="",0,SUMIF('DADOS BRUTOS'!$A$3:$A$500,$C30,'DADOS BRUTOS'!DM$3:DM$500)))</f>
        <v>0</v>
      </c>
      <c r="GN30" s="133" t="n">
        <f aca="false">IF(OR(GN$4="",$B30=""),0,SUMIF('DADOS BRUTOS'!$A$3:$A$500,$B30,'DADOS BRUTOS'!DN$3:DN$500)+IF($C30="",0,SUMIF('DADOS BRUTOS'!$A$3:$A$500,$C30,'DADOS BRUTOS'!DN$3:DN$500)))</f>
        <v>0</v>
      </c>
      <c r="GO30" s="133" t="n">
        <f aca="false">IF(OR(GO$4="",$B30=""),0,SUMIF('DADOS BRUTOS'!$A$3:$A$500,$B30,'DADOS BRUTOS'!DO$3:DO$500)+IF($C30="",0,SUMIF('DADOS BRUTOS'!$A$3:$A$500,$C30,'DADOS BRUTOS'!DO$3:DO$500)))</f>
        <v>0</v>
      </c>
      <c r="GP30" s="133" t="n">
        <f aca="false">IF(OR(GP$4="",$B30=""),0,SUMIF('DADOS BRUTOS'!$A$3:$A$500,$B30,'DADOS BRUTOS'!DP$3:DP$500)+IF($C30="",0,SUMIF('DADOS BRUTOS'!$A$3:$A$500,$C30,'DADOS BRUTOS'!DP$3:DP$500)))</f>
        <v>0</v>
      </c>
      <c r="GQ30" s="133" t="n">
        <f aca="false">IF(OR(GQ$4="",$B30=""),0,SUMIF('DADOS BRUTOS'!$A$3:$A$500,$B30,'DADOS BRUTOS'!DQ$3:DQ$500)+IF($C30="",0,SUMIF('DADOS BRUTOS'!$A$3:$A$500,$C30,'DADOS BRUTOS'!DQ$3:DQ$500)))</f>
        <v>0</v>
      </c>
      <c r="GR30" s="133" t="n">
        <f aca="false">IF(OR(GR$4="",$B30=""),0,SUMIF('DADOS BRUTOS'!$A$3:$A$500,$B30,'DADOS BRUTOS'!DR$3:DR$500)+IF($C30="",0,SUMIF('DADOS BRUTOS'!$A$3:$A$500,$C30,'DADOS BRUTOS'!DR$3:DR$500)))</f>
        <v>0</v>
      </c>
      <c r="GS30" s="133" t="n">
        <f aca="false">IF(OR(GS$4="",$B30=""),0,SUMIF('DADOS BRUTOS'!$A$3:$A$500,$B30,'DADOS BRUTOS'!DS$3:DS$500)+IF($C30="",0,SUMIF('DADOS BRUTOS'!$A$3:$A$500,$C30,'DADOS BRUTOS'!DS$3:DS$500)))</f>
        <v>0</v>
      </c>
      <c r="GT30" s="133" t="n">
        <f aca="false">IF(OR(GT$4="",$B30=""),0,SUMIF('DADOS BRUTOS'!$A$3:$A$500,$B30,'DADOS BRUTOS'!DT$3:DT$500)+IF($C30="",0,SUMIF('DADOS BRUTOS'!$A$3:$A$500,$C30,'DADOS BRUTOS'!DT$3:DT$500)))</f>
        <v>0</v>
      </c>
      <c r="GU30" s="133" t="n">
        <f aca="false">IF(OR(GU$4="",$B30=""),0,SUMIF('DADOS BRUTOS'!$A$3:$A$500,$B30,'DADOS BRUTOS'!DU$3:DU$500)+IF($C30="",0,SUMIF('DADOS BRUTOS'!$A$3:$A$500,$C30,'DADOS BRUTOS'!DU$3:DU$500)))</f>
        <v>0</v>
      </c>
      <c r="GV30" s="133" t="n">
        <f aca="false">IF(OR(GV$4="",$B30=""),0,SUMIF('DADOS BRUTOS'!$A$3:$A$500,$B30,'DADOS BRUTOS'!DV$3:DV$500)+IF($C30="",0,SUMIF('DADOS BRUTOS'!$A$3:$A$500,$C30,'DADOS BRUTOS'!DV$3:DV$500)))</f>
        <v>0</v>
      </c>
      <c r="GW30" s="133" t="n">
        <f aca="false">IF(OR(GW$4="",$B30=""),0,SUMIF('DADOS BRUTOS'!$A$3:$A$500,$B30,'DADOS BRUTOS'!DW$3:DW$500)+IF($C30="",0,SUMIF('DADOS BRUTOS'!$A$3:$A$500,$C30,'DADOS BRUTOS'!DW$3:DW$500)))</f>
        <v>0</v>
      </c>
      <c r="GX30" s="133" t="n">
        <f aca="false">IF(OR(GX$4="",$B30=""),0,SUMIF('DADOS BRUTOS'!$A$3:$A$500,$B30,'DADOS BRUTOS'!DX$3:DX$500)+IF($C30="",0,SUMIF('DADOS BRUTOS'!$A$3:$A$500,$C30,'DADOS BRUTOS'!DX$3:DX$500)))</f>
        <v>0</v>
      </c>
      <c r="GY30" s="133" t="n">
        <f aca="false">IF(OR(GY$4="",$B30=""),0,SUMIF('DADOS BRUTOS'!$A$3:$A$500,$B30,'DADOS BRUTOS'!DY$3:DY$500)+IF($C30="",0,SUMIF('DADOS BRUTOS'!$A$3:$A$500,$C30,'DADOS BRUTOS'!DY$3:DY$500)))</f>
        <v>0</v>
      </c>
      <c r="GZ30" s="133" t="n">
        <f aca="false">IF(OR(GZ$4="",$B30=""),0,SUMIF('DADOS BRUTOS'!$A$3:$A$500,$B30,'DADOS BRUTOS'!DZ$3:DZ$500)+IF($C30="",0,SUMIF('DADOS BRUTOS'!$A$3:$A$500,$C30,'DADOS BRUTOS'!DZ$3:DZ$500)))</f>
        <v>0</v>
      </c>
      <c r="HA30" s="133" t="n">
        <f aca="false">IF(OR(HA$4="",$B30=""),0,SUMIF('DADOS BRUTOS'!$A$3:$A$500,$B30,'DADOS BRUTOS'!EA$3:EA$500)+IF($C30="",0,SUMIF('DADOS BRUTOS'!$A$3:$A$500,$C30,'DADOS BRUTOS'!EA$3:EA$500)))</f>
        <v>0</v>
      </c>
      <c r="HB30" s="133" t="n">
        <f aca="false">IF(OR(HB$4="",$B30=""),0,SUMIF('DADOS BRUTOS'!$A$3:$A$500,$B30,'DADOS BRUTOS'!EB$3:EB$500)+IF($C30="",0,SUMIF('DADOS BRUTOS'!$A$3:$A$500,$C30,'DADOS BRUTOS'!EB$3:EB$500)))</f>
        <v>0</v>
      </c>
      <c r="HC30" s="133" t="n">
        <f aca="false">IF(OR(HC$4="",$B30=""),0,SUMIF('DADOS BRUTOS'!$A$3:$A$500,$B30,'DADOS BRUTOS'!EC$3:EC$500)+IF($C30="",0,SUMIF('DADOS BRUTOS'!$A$3:$A$500,$C30,'DADOS BRUTOS'!EC$3:EC$500)))</f>
        <v>0</v>
      </c>
      <c r="HD30" s="133" t="n">
        <f aca="false">IF(OR(HD$4="",$B30=""),0,SUMIF('DADOS BRUTOS'!$A$3:$A$500,$B30,'DADOS BRUTOS'!ED$3:ED$500)+IF($C30="",0,SUMIF('DADOS BRUTOS'!$A$3:$A$500,$C30,'DADOS BRUTOS'!ED$3:ED$500)))</f>
        <v>0</v>
      </c>
      <c r="HE30" s="133" t="n">
        <f aca="false">IF(OR(HE$4="",$B30=""),0,SUMIF('DADOS BRUTOS'!$A$3:$A$500,$B30,'DADOS BRUTOS'!EE$3:EE$500)+IF($C30="",0,SUMIF('DADOS BRUTOS'!$A$3:$A$500,$C30,'DADOS BRUTOS'!EE$3:EE$500)))</f>
        <v>0</v>
      </c>
      <c r="HF30" s="133" t="n">
        <f aca="false">IF(OR(HF$4="",$B30=""),0,SUMIF('DADOS BRUTOS'!$A$3:$A$500,$B30,'DADOS BRUTOS'!EF$3:EF$500)+IF($C30="",0,SUMIF('DADOS BRUTOS'!$A$3:$A$500,$C30,'DADOS BRUTOS'!EF$3:EF$500)))</f>
        <v>0</v>
      </c>
      <c r="HG30" s="133" t="n">
        <f aca="false">IF(OR(HG$4="",$B30=""),0,SUMIF('DADOS BRUTOS'!$A$3:$A$500,$B30,'DADOS BRUTOS'!EG$3:EG$500)+IF($C30="",0,SUMIF('DADOS BRUTOS'!$A$3:$A$500,$C30,'DADOS BRUTOS'!EG$3:EG$500)))</f>
        <v>0</v>
      </c>
      <c r="HH30" s="133" t="n">
        <f aca="false">IF(OR(HH$4="",$B30=""),0,SUMIF('DADOS BRUTOS'!$A$3:$A$500,$B30,'DADOS BRUTOS'!EH$3:EH$500)+IF($C30="",0,SUMIF('DADOS BRUTOS'!$A$3:$A$500,$C30,'DADOS BRUTOS'!EH$3:EH$500)))</f>
        <v>0</v>
      </c>
      <c r="HI30" s="133" t="n">
        <f aca="false">IF(OR(HI$4="",$B30=""),0,SUMIF('DADOS BRUTOS'!$A$3:$A$500,$B30,'DADOS BRUTOS'!EI$3:EI$500)+IF($C30="",0,SUMIF('DADOS BRUTOS'!$A$3:$A$500,$C30,'DADOS BRUTOS'!EI$3:EI$500)))</f>
        <v>0</v>
      </c>
      <c r="HJ30" s="133" t="n">
        <f aca="false">IF(OR(HJ$4="",$B30=""),0,SUMIF('DADOS BRUTOS'!$A$3:$A$500,$B30,'DADOS BRUTOS'!EJ$3:EJ$500)+IF($C30="",0,SUMIF('DADOS BRUTOS'!$A$3:$A$500,$C30,'DADOS BRUTOS'!EJ$3:EJ$500)))</f>
        <v>0</v>
      </c>
      <c r="HK30" s="133" t="n">
        <f aca="false">IF(OR(HK$4="",$B30=""),0,SUMIF('DADOS BRUTOS'!$A$3:$A$500,$B30,'DADOS BRUTOS'!EK$3:EK$500)+IF($C30="",0,SUMIF('DADOS BRUTOS'!$A$3:$A$500,$C30,'DADOS BRUTOS'!EK$3:EK$500)))</f>
        <v>0</v>
      </c>
      <c r="HL30" s="133" t="n">
        <f aca="false">IF(OR(HL$4="",$B30=""),0,SUMIF('DADOS BRUTOS'!$A$3:$A$500,$B30,'DADOS BRUTOS'!EL$3:EL$500)+IF($C30="",0,SUMIF('DADOS BRUTOS'!$A$3:$A$500,$C30,'DADOS BRUTOS'!EL$3:EL$500)))</f>
        <v>0</v>
      </c>
      <c r="HM30" s="133" t="n">
        <f aca="false">IF(OR(HM$4="",$B30=""),0,SUMIF('DADOS BRUTOS'!$A$3:$A$500,$B30,'DADOS BRUTOS'!EM$3:EM$500)+IF($C30="",0,SUMIF('DADOS BRUTOS'!$A$3:$A$500,$C30,'DADOS BRUTOS'!EM$3:EM$500)))</f>
        <v>0</v>
      </c>
      <c r="HN30" s="133" t="n">
        <f aca="false">IF(OR(HN$4="",$B30=""),0,SUMIF('DADOS BRUTOS'!$A$3:$A$500,$B30,'DADOS BRUTOS'!EN$3:EN$500)+IF($C30="",0,SUMIF('DADOS BRUTOS'!$A$3:$A$500,$C30,'DADOS BRUTOS'!EN$3:EN$500)))</f>
        <v>0</v>
      </c>
      <c r="HO30" s="133" t="n">
        <f aca="false">IF(OR(HO$4="",$B30=""),0,SUMIF('DADOS BRUTOS'!$A$3:$A$500,$B30,'DADOS BRUTOS'!EO$3:EO$500)+IF($C30="",0,SUMIF('DADOS BRUTOS'!$A$3:$A$500,$C30,'DADOS BRUTOS'!EO$3:EO$500)))</f>
        <v>0</v>
      </c>
      <c r="HP30" s="133" t="n">
        <f aca="false">IF(OR(HP$4="",$B30=""),0,SUMIF('DADOS BRUTOS'!$A$3:$A$500,$B30,'DADOS BRUTOS'!EP$3:EP$500)+IF($C30="",0,SUMIF('DADOS BRUTOS'!$A$3:$A$500,$C30,'DADOS BRUTOS'!EP$3:EP$500)))</f>
        <v>0</v>
      </c>
      <c r="HQ30" s="133" t="n">
        <f aca="false">IF(OR(HQ$4="",$B30=""),0,SUMIF('DADOS BRUTOS'!$A$3:$A$500,$B30,'DADOS BRUTOS'!EQ$3:EQ$500)+IF($C30="",0,SUMIF('DADOS BRUTOS'!$A$3:$A$500,$C30,'DADOS BRUTOS'!EQ$3:EQ$500)))</f>
        <v>0</v>
      </c>
      <c r="HR30" s="133" t="n">
        <f aca="false">IF(OR(HR$4="",$B30=""),0,SUMIF('DADOS BRUTOS'!$A$3:$A$500,$B30,'DADOS BRUTOS'!ER$3:ER$500)+IF($C30="",0,SUMIF('DADOS BRUTOS'!$A$3:$A$500,$C30,'DADOS BRUTOS'!ER$3:ER$500)))</f>
        <v>0</v>
      </c>
      <c r="HS30" s="133" t="n">
        <f aca="false">IF(OR(HS$4="",$B30=""),0,SUMIF('DADOS BRUTOS'!$A$3:$A$500,$B30,'DADOS BRUTOS'!ES$3:ES$500)+IF($C30="",0,SUMIF('DADOS BRUTOS'!$A$3:$A$500,$C30,'DADOS BRUTOS'!ES$3:ES$500)))</f>
        <v>0</v>
      </c>
      <c r="HT30" s="133" t="n">
        <f aca="false">IF(OR(HT$4="",$B30=""),0,SUMIF('DADOS BRUTOS'!$A$3:$A$500,$B30,'DADOS BRUTOS'!ET$3:ET$500)+IF($C30="",0,SUMIF('DADOS BRUTOS'!$A$3:$A$500,$C30,'DADOS BRUTOS'!ET$3:ET$500)))</f>
        <v>0</v>
      </c>
      <c r="HU30" s="133" t="n">
        <f aca="false">IF(OR(HU$4="",$B30=""),0,SUMIF('DADOS BRUTOS'!$A$3:$A$500,$B30,'DADOS BRUTOS'!EU$3:EU$500)+IF($C30="",0,SUMIF('DADOS BRUTOS'!$A$3:$A$500,$C30,'DADOS BRUTOS'!EU$3:EU$500)))</f>
        <v>0</v>
      </c>
      <c r="HV30" s="133" t="n">
        <f aca="false">IF(OR(HV$4="",$B30=""),0,SUMIF('DADOS BRUTOS'!$A$3:$A$500,$B30,'DADOS BRUTOS'!EV$3:EV$500)+IF($C30="",0,SUMIF('DADOS BRUTOS'!$A$3:$A$500,$C30,'DADOS BRUTOS'!EV$3:EV$500)))</f>
        <v>0</v>
      </c>
      <c r="HW30" s="133" t="n">
        <f aca="false">IF(OR(HW$4="",$B30=""),0,SUMIF('DADOS BRUTOS'!$A$3:$A$500,$B30,'DADOS BRUTOS'!EW$3:EW$500)+IF($C30="",0,SUMIF('DADOS BRUTOS'!$A$3:$A$500,$C30,'DADOS BRUTOS'!EW$3:EW$500)))</f>
        <v>0</v>
      </c>
      <c r="HX30" s="133" t="n">
        <f aca="false">IF(OR(HX$4="",$B30=""),0,SUMIF('DADOS BRUTOS'!$A$3:$A$500,$B30,'DADOS BRUTOS'!EX$3:EX$500)+IF($C30="",0,SUMIF('DADOS BRUTOS'!$A$3:$A$500,$C30,'DADOS BRUTOS'!EX$3:EX$500)))</f>
        <v>0</v>
      </c>
      <c r="HY30" s="133" t="n">
        <f aca="false">IF(OR(HY$4="",$B30=""),0,SUMIF('DADOS BRUTOS'!$A$3:$A$500,$B30,'DADOS BRUTOS'!EY$3:EY$500)+IF($C30="",0,SUMIF('DADOS BRUTOS'!$A$3:$A$500,$C30,'DADOS BRUTOS'!EY$3:EY$500)))</f>
        <v>0</v>
      </c>
      <c r="HZ30" s="133" t="n">
        <f aca="false">IF(OR(HZ$4="",$B30=""),0,SUMIF('DADOS BRUTOS'!$A$3:$A$500,$B30,'DADOS BRUTOS'!EZ$3:EZ$500)+IF($C30="",0,SUMIF('DADOS BRUTOS'!$A$3:$A$500,$C30,'DADOS BRUTOS'!EZ$3:EZ$500)))</f>
        <v>0</v>
      </c>
      <c r="IA30" s="133" t="n">
        <f aca="false">IF(OR(IA$4="",$B30=""),0,SUMIF('DADOS BRUTOS'!$A$3:$A$500,$B30,'DADOS BRUTOS'!FA$3:FA$500)+IF($C30="",0,SUMIF('DADOS BRUTOS'!$A$3:$A$500,$C30,'DADOS BRUTOS'!FA$3:FA$500)))</f>
        <v>0</v>
      </c>
      <c r="IB30" s="133" t="n">
        <f aca="false">IF(OR(IB$4="",$B30=""),0,SUMIF('DADOS BRUTOS'!$A$3:$A$500,$B30,'DADOS BRUTOS'!FB$3:FB$500)+IF($C30="",0,SUMIF('DADOS BRUTOS'!$A$3:$A$500,$C30,'DADOS BRUTOS'!FB$3:FB$500)))</f>
        <v>0</v>
      </c>
      <c r="IC30" s="133" t="n">
        <f aca="false">IF(OR(IC$4="",$B30=""),0,SUMIF('DADOS BRUTOS'!$A$3:$A$500,$B30,'DADOS BRUTOS'!FC$3:FC$500)+IF($C30="",0,SUMIF('DADOS BRUTOS'!$A$3:$A$500,$C30,'DADOS BRUTOS'!FC$3:FC$500)))</f>
        <v>0</v>
      </c>
      <c r="ID30" s="133" t="n">
        <f aca="false">IF(OR(ID$4="",$B30=""),0,SUMIF('DADOS BRUTOS'!$A$3:$A$500,$B30,'DADOS BRUTOS'!FD$3:FD$500)+IF($C30="",0,SUMIF('DADOS BRUTOS'!$A$3:$A$500,$C30,'DADOS BRUTOS'!FD$3:FD$500)))</f>
        <v>0</v>
      </c>
      <c r="IE30" s="133" t="n">
        <f aca="false">IF(OR(IE$4="",$B30=""),0,SUMIF('DADOS BRUTOS'!$A$3:$A$500,$B30,'DADOS BRUTOS'!FE$3:FE$500)+IF($C30="",0,SUMIF('DADOS BRUTOS'!$A$3:$A$500,$C30,'DADOS BRUTOS'!FE$3:FE$500)))</f>
        <v>0</v>
      </c>
      <c r="IF30" s="133" t="n">
        <f aca="false">IF(OR(IF$4="",$B30=""),0,SUMIF('DADOS BRUTOS'!$A$3:$A$500,$B30,'DADOS BRUTOS'!FF$3:FF$500)+IF($C30="",0,SUMIF('DADOS BRUTOS'!$A$3:$A$500,$C30,'DADOS BRUTOS'!FF$3:FF$500)))</f>
        <v>0</v>
      </c>
      <c r="IG30" s="133" t="n">
        <f aca="false">IF(OR(IG$4="",$B30=""),0,SUMIF('DADOS BRUTOS'!$A$3:$A$500,$B30,'DADOS BRUTOS'!FG$3:FG$500)+IF($C30="",0,SUMIF('DADOS BRUTOS'!$A$3:$A$500,$C30,'DADOS BRUTOS'!FG$3:FG$500)))</f>
        <v>0</v>
      </c>
      <c r="IH30" s="133" t="n">
        <f aca="false">IF(OR(IH$4="",$B30=""),0,SUMIF('DADOS BRUTOS'!$A$3:$A$500,$B30,'DADOS BRUTOS'!FH$3:FH$500)+IF($C30="",0,SUMIF('DADOS BRUTOS'!$A$3:$A$500,$C30,'DADOS BRUTOS'!FH$3:FH$500)))</f>
        <v>0</v>
      </c>
      <c r="II30" s="133" t="n">
        <f aca="false">IF(OR(II$4="",$B30=""),0,SUMIF('DADOS BRUTOS'!$A$3:$A$500,$B30,'DADOS BRUTOS'!FI$3:FI$500)+IF($C30="",0,SUMIF('DADOS BRUTOS'!$A$3:$A$500,$C30,'DADOS BRUTOS'!FI$3:FI$500)))</f>
        <v>0</v>
      </c>
      <c r="IJ30" s="133" t="n">
        <f aca="false">IF(OR(IJ$4="",$B30=""),0,SUMIF('DADOS BRUTOS'!$A$3:$A$500,$B30,'DADOS BRUTOS'!FJ$3:FJ$500)+IF($C30="",0,SUMIF('DADOS BRUTOS'!$A$3:$A$500,$C30,'DADOS BRUTOS'!FJ$3:FJ$500)))</f>
        <v>0</v>
      </c>
      <c r="IK30" s="133" t="n">
        <f aca="false">IF(OR(IK$4="",$B30=""),0,SUMIF('DADOS BRUTOS'!$A$3:$A$500,$B30,'DADOS BRUTOS'!FK$3:FK$500)+IF($C30="",0,SUMIF('DADOS BRUTOS'!$A$3:$A$500,$C30,'DADOS BRUTOS'!FK$3:FK$500)))</f>
        <v>0</v>
      </c>
      <c r="IL30" s="133" t="n">
        <f aca="false">IF(OR(IL$4="",$B30=""),0,SUMIF('DADOS BRUTOS'!$A$3:$A$500,$B30,'DADOS BRUTOS'!FL$3:FL$500)+IF($C30="",0,SUMIF('DADOS BRUTOS'!$A$3:$A$500,$C30,'DADOS BRUTOS'!FL$3:FL$500)))</f>
        <v>0</v>
      </c>
      <c r="IM30" s="133" t="n">
        <f aca="false">IF(OR(IM$4="",$B30=""),0,SUMIF('DADOS BRUTOS'!$A$3:$A$500,$B30,'DADOS BRUTOS'!FM$3:FM$500)+IF($C30="",0,SUMIF('DADOS BRUTOS'!$A$3:$A$500,$C30,'DADOS BRUTOS'!FM$3:FM$500)))</f>
        <v>0</v>
      </c>
      <c r="IN30" s="133" t="n">
        <f aca="false">IF(OR(IN$4="",$B30=""),0,SUMIF('DADOS BRUTOS'!$A$3:$A$500,$B30,'DADOS BRUTOS'!FN$3:FN$500)+IF($C30="",0,SUMIF('DADOS BRUTOS'!$A$3:$A$500,$C30,'DADOS BRUTOS'!FN$3:FN$500)))</f>
        <v>0</v>
      </c>
      <c r="IO30" s="133" t="n">
        <f aca="false">IF(OR(IO$4="",$B30=""),0,SUMIF('DADOS BRUTOS'!$A$3:$A$500,$B30,'DADOS BRUTOS'!FO$3:FO$500)+IF($C30="",0,SUMIF('DADOS BRUTOS'!$A$3:$A$500,$C30,'DADOS BRUTOS'!FO$3:FO$500)))</f>
        <v>0</v>
      </c>
      <c r="IP30" s="133" t="n">
        <f aca="false">IF(OR(IP$4="",$B30=""),0,SUMIF('DADOS BRUTOS'!$A$3:$A$500,$B30,'DADOS BRUTOS'!FP$3:FP$500)+IF($C30="",0,SUMIF('DADOS BRUTOS'!$A$3:$A$500,$C30,'DADOS BRUTOS'!FP$3:FP$500)))</f>
        <v>0</v>
      </c>
      <c r="IQ30" s="133" t="n">
        <f aca="false">IF(OR(IQ$4="",$B30=""),0,SUMIF('DADOS BRUTOS'!$A$3:$A$500,$B30,'DADOS BRUTOS'!FQ$3:FQ$500)+IF($C30="",0,SUMIF('DADOS BRUTOS'!$A$3:$A$500,$C30,'DADOS BRUTOS'!FQ$3:FQ$500)))</f>
        <v>0</v>
      </c>
      <c r="IR30" s="133" t="n">
        <f aca="false">IF(OR(IR$4="",$B30=""),0,SUMIF('DADOS BRUTOS'!$A$3:$A$500,$B30,'DADOS BRUTOS'!FR$3:FR$500)+IF($C30="",0,SUMIF('DADOS BRUTOS'!$A$3:$A$500,$C30,'DADOS BRUTOS'!FR$3:FR$500)))</f>
        <v>0</v>
      </c>
      <c r="IS30" s="133" t="n">
        <f aca="false">IF(OR(IS$4="",$B30=""),0,SUMIF('DADOS BRUTOS'!$A$3:$A$500,$B30,'DADOS BRUTOS'!FS$3:FS$500)+IF($C30="",0,SUMIF('DADOS BRUTOS'!$A$3:$A$500,$C30,'DADOS BRUTOS'!FS$3:FS$500)))</f>
        <v>0</v>
      </c>
      <c r="IT30" s="133" t="n">
        <f aca="false">IF(OR(IT$4="",$B30=""),0,SUMIF('DADOS BRUTOS'!$A$3:$A$500,$B30,'DADOS BRUTOS'!FT$3:FT$500)+IF($C30="",0,SUMIF('DADOS BRUTOS'!$A$3:$A$500,$C30,'DADOS BRUTOS'!FT$3:FT$500)))</f>
        <v>0</v>
      </c>
      <c r="IU30" s="133" t="n">
        <f aca="false">IF(OR(IU$4="",$B30=""),0,SUMIF('DADOS BRUTOS'!$A$3:$A$500,$B30,'DADOS BRUTOS'!FU$3:FU$500)+IF($C30="",0,SUMIF('DADOS BRUTOS'!$A$3:$A$500,$C30,'DADOS BRUTOS'!FU$3:FU$500)))</f>
        <v>0</v>
      </c>
      <c r="IV30" s="133" t="n">
        <f aca="false">IF(OR(IV$4="",$B30=""),0,SUMIF('DADOS BRUTOS'!$A$3:$A$500,$B30,'DADOS BRUTOS'!FV$3:FV$500)+IF($C30="",0,SUMIF('DADOS BRUTOS'!$A$3:$A$500,$C30,'DADOS BRUTOS'!FV$3:FV$500)))</f>
        <v>0</v>
      </c>
      <c r="IW30" s="133" t="n">
        <f aca="false">IF(OR(IW$4="",$B30=""),0,SUMIF('DADOS BRUTOS'!$A$3:$A$500,$B30,'DADOS BRUTOS'!FW$3:FW$500)+IF($C30="",0,SUMIF('DADOS BRUTOS'!$A$3:$A$500,$C30,'DADOS BRUTOS'!FW$3:FW$500)))</f>
        <v>0</v>
      </c>
      <c r="IX30" s="133" t="n">
        <f aca="false">IF(OR(IX$4="",$B30=""),0,SUMIF('DADOS BRUTOS'!$A$3:$A$500,$B30,'DADOS BRUTOS'!FX$3:FX$500)+IF($C30="",0,SUMIF('DADOS BRUTOS'!$A$3:$A$500,$C30,'DADOS BRUTOS'!FX$3:FX$500)))</f>
        <v>0</v>
      </c>
      <c r="IY30" s="133" t="n">
        <f aca="false">IF(OR(IY$4="",$B30=""),0,SUMIF('DADOS BRUTOS'!$A$3:$A$500,$B30,'DADOS BRUTOS'!FY$3:FY$500)+IF($C30="",0,SUMIF('DADOS BRUTOS'!$A$3:$A$500,$C30,'DADOS BRUTOS'!FY$3:FY$500)))</f>
        <v>0</v>
      </c>
      <c r="IZ30" s="133" t="n">
        <f aca="false">IF(OR(IZ$4="",$B30=""),0,SUMIF('DADOS BRUTOS'!$A$3:$A$500,$B30,'DADOS BRUTOS'!FZ$3:FZ$500)+IF($C30="",0,SUMIF('DADOS BRUTOS'!$A$3:$A$500,$C30,'DADOS BRUTOS'!FZ$3:FZ$500)))</f>
        <v>0</v>
      </c>
      <c r="JA30" s="133" t="n">
        <f aca="false">IF(OR(JA$4="",$B30=""),0,SUMIF('DADOS BRUTOS'!$A$3:$A$500,$B30,'DADOS BRUTOS'!GA$3:GA$500)+IF($C30="",0,SUMIF('DADOS BRUTOS'!$A$3:$A$500,$C30,'DADOS BRUTOS'!GA$3:GA$500)))</f>
        <v>0</v>
      </c>
      <c r="JB30" s="133" t="n">
        <f aca="false">IF(OR(JB$4="",$B30=""),0,SUMIF('DADOS BRUTOS'!$A$3:$A$500,$B30,'DADOS BRUTOS'!GB$3:GB$500)+IF($C30="",0,SUMIF('DADOS BRUTOS'!$A$3:$A$500,$C30,'DADOS BRUTOS'!GB$3:GB$500)))</f>
        <v>0</v>
      </c>
      <c r="JC30" s="133" t="n">
        <f aca="false">IF(OR(JC$4="",$B30=""),0,SUMIF('DADOS BRUTOS'!$A$3:$A$500,$B30,'DADOS BRUTOS'!GC$3:GC$500)+IF($C30="",0,SUMIF('DADOS BRUTOS'!$A$3:$A$500,$C30,'DADOS BRUTOS'!GC$3:GC$500)))</f>
        <v>0</v>
      </c>
      <c r="JD30" s="133" t="n">
        <f aca="false">IF(OR(JD$4="",$B30=""),0,SUMIF('DADOS BRUTOS'!$A$3:$A$500,$B30,'DADOS BRUTOS'!GD$3:GD$500)+IF($C30="",0,SUMIF('DADOS BRUTOS'!$A$3:$A$500,$C30,'DADOS BRUTOS'!GD$3:GD$500)))</f>
        <v>0</v>
      </c>
      <c r="JE30" s="133" t="n">
        <f aca="false">IF(OR(JE$4="",$B30=""),0,SUMIF('DADOS BRUTOS'!$A$3:$A$500,$B30,'DADOS BRUTOS'!GE$3:GE$500)+IF($C30="",0,SUMIF('DADOS BRUTOS'!$A$3:$A$500,$C30,'DADOS BRUTOS'!GE$3:GE$500)))</f>
        <v>0</v>
      </c>
      <c r="JF30" s="133" t="n">
        <f aca="false">IF(OR(JF$4="",$B30=""),0,SUMIF('DADOS BRUTOS'!$A$3:$A$500,$B30,'DADOS BRUTOS'!GF$3:GF$500)+IF($C30="",0,SUMIF('DADOS BRUTOS'!$A$3:$A$500,$C30,'DADOS BRUTOS'!GF$3:GF$500)))</f>
        <v>0</v>
      </c>
      <c r="JG30" s="133" t="n">
        <f aca="false">IF(OR(JG$4="",$B30=""),0,SUMIF('DADOS BRUTOS'!$A$3:$A$500,$B30,'DADOS BRUTOS'!GG$3:GG$500)+IF($C30="",0,SUMIF('DADOS BRUTOS'!$A$3:$A$500,$C30,'DADOS BRUTOS'!GG$3:GG$500)))</f>
        <v>0</v>
      </c>
      <c r="JH30" s="133" t="n">
        <f aca="false">IF(OR(JH$4="",$B30=""),0,SUMIF('DADOS BRUTOS'!$A$3:$A$500,$B30,'DADOS BRUTOS'!GH$3:GH$500)+IF($C30="",0,SUMIF('DADOS BRUTOS'!$A$3:$A$500,$C30,'DADOS BRUTOS'!GH$3:GH$500)))</f>
        <v>0</v>
      </c>
      <c r="JI30" s="133" t="n">
        <f aca="false">IF(OR(JI$4="",$B30=""),0,SUMIF('DADOS BRUTOS'!$A$3:$A$500,$B30,'DADOS BRUTOS'!GI$3:GI$500)+IF($C30="",0,SUMIF('DADOS BRUTOS'!$A$3:$A$500,$C30,'DADOS BRUTOS'!GI$3:GI$500)))</f>
        <v>0</v>
      </c>
      <c r="JJ30" s="133" t="n">
        <f aca="false">IF(OR(JJ$4="",$B30=""),0,SUMIF('DADOS BRUTOS'!$A$3:$A$500,$B30,'DADOS BRUTOS'!GJ$3:GJ$500)+IF($C30="",0,SUMIF('DADOS BRUTOS'!$A$3:$A$500,$C30,'DADOS BRUTOS'!GJ$3:GJ$500)))</f>
        <v>0</v>
      </c>
      <c r="JK30" s="133" t="n">
        <f aca="false">IF(OR(JK$4="",$B30=""),0,SUMIF('DADOS BRUTOS'!$A$3:$A$500,$B30,'DADOS BRUTOS'!GK$3:GK$500)+IF($C30="",0,SUMIF('DADOS BRUTOS'!$A$3:$A$500,$C30,'DADOS BRUTOS'!GK$3:GK$500)))</f>
        <v>0</v>
      </c>
      <c r="JL30" s="133" t="n">
        <f aca="false">IF(OR(JL$4="",$B30=""),0,SUMIF('DADOS BRUTOS'!$A$3:$A$500,$B30,'DADOS BRUTOS'!GL$3:GL$500)+IF($C30="",0,SUMIF('DADOS BRUTOS'!$A$3:$A$500,$C30,'DADOS BRUTOS'!GL$3:GL$500)))</f>
        <v>0</v>
      </c>
      <c r="JM30" s="133" t="n">
        <f aca="false">IF(OR(JM$4="",$B30=""),0,SUMIF('DADOS BRUTOS'!$A$3:$A$500,$B30,'DADOS BRUTOS'!GM$3:GM$500)+IF($C30="",0,SUMIF('DADOS BRUTOS'!$A$3:$A$500,$C30,'DADOS BRUTOS'!GM$3:GM$500)))</f>
        <v>0</v>
      </c>
      <c r="JN30" s="133" t="n">
        <f aca="false">IF(OR(JN$4="",$B30=""),0,SUMIF('DADOS BRUTOS'!$A$3:$A$500,$B30,'DADOS BRUTOS'!GN$3:GN$500)+IF($C30="",0,SUMIF('DADOS BRUTOS'!$A$3:$A$500,$C30,'DADOS BRUTOS'!GN$3:GN$500)))</f>
        <v>0</v>
      </c>
      <c r="JO30" s="133" t="n">
        <f aca="false">IF(OR(JO$4="",$B30=""),0,SUMIF('DADOS BRUTOS'!$A$3:$A$500,$B30,'DADOS BRUTOS'!GO$3:GO$500)+IF($C30="",0,SUMIF('DADOS BRUTOS'!$A$3:$A$500,$C30,'DADOS BRUTOS'!GO$3:GO$500)))</f>
        <v>0</v>
      </c>
      <c r="JP30" s="133" t="n">
        <f aca="false">IF(OR(JP$4="",$B30=""),0,SUMIF('DADOS BRUTOS'!$A$3:$A$500,$B30,'DADOS BRUTOS'!GP$3:GP$500)+IF($C30="",0,SUMIF('DADOS BRUTOS'!$A$3:$A$500,$C30,'DADOS BRUTOS'!GP$3:GP$500)))</f>
        <v>0</v>
      </c>
      <c r="JQ30" s="133" t="n">
        <f aca="false">IF(OR(JQ$4="",$B30=""),0,SUMIF('DADOS BRUTOS'!$A$3:$A$500,$B30,'DADOS BRUTOS'!GQ$3:GQ$500)+IF($C30="",0,SUMIF('DADOS BRUTOS'!$A$3:$A$500,$C30,'DADOS BRUTOS'!GQ$3:GQ$500)))</f>
        <v>0</v>
      </c>
      <c r="JR30" s="133" t="n">
        <f aca="false">IF(OR(JR$4="",$B30=""),0,SUMIF('DADOS BRUTOS'!$A$3:$A$500,$B30,'DADOS BRUTOS'!GR$3:GR$500)+IF($C30="",0,SUMIF('DADOS BRUTOS'!$A$3:$A$500,$C30,'DADOS BRUTOS'!GR$3:GR$500)))</f>
        <v>0</v>
      </c>
      <c r="JS30" s="133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197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3" t="n">
        <f aca="false">IF(OR(CB$4="",$B31=""),0,SUMIF('DADOS BRUTOS'!$A$3:$A$500,$B31,'DADOS BRUTOS'!B$3:B$500)+IF($C31="",0,SUMIF('DADOS BRUTOS'!$A$3:$A$500,$C31,'DADOS BRUTOS'!B$3:B$500)))</f>
        <v>0</v>
      </c>
      <c r="CC31" s="133" t="n">
        <f aca="false">IF(OR(CC$4="",$B31=""),0,SUMIF('DADOS BRUTOS'!$A$3:$A$500,$B31,'DADOS BRUTOS'!C$3:C$500)+IF($C31="",0,SUMIF('DADOS BRUTOS'!$A$3:$A$500,$C31,'DADOS BRUTOS'!C$3:C$500)))</f>
        <v>0</v>
      </c>
      <c r="CD31" s="133" t="n">
        <f aca="false">IF(OR(CD$4="",$B31=""),0,SUMIF('DADOS BRUTOS'!$A$3:$A$500,$B31,'DADOS BRUTOS'!D$3:D$500)+IF($C31="",0,SUMIF('DADOS BRUTOS'!$A$3:$A$500,$C31,'DADOS BRUTOS'!D$3:D$500)))</f>
        <v>0</v>
      </c>
      <c r="CE31" s="133" t="n">
        <f aca="false">IF(OR(CE$4="",$B31=""),0,SUMIF('DADOS BRUTOS'!$A$3:$A$500,$B31,'DADOS BRUTOS'!E$3:E$500)+IF($C31="",0,SUMIF('DADOS BRUTOS'!$A$3:$A$500,$C31,'DADOS BRUTOS'!E$3:E$500)))</f>
        <v>0</v>
      </c>
      <c r="CF31" s="133" t="n">
        <f aca="false">IF(OR(CF$4="",$B31=""),0,SUMIF('DADOS BRUTOS'!$A$3:$A$500,$B31,'DADOS BRUTOS'!F$3:F$500)+IF($C31="",0,SUMIF('DADOS BRUTOS'!$A$3:$A$500,$C31,'DADOS BRUTOS'!F$3:F$500)))</f>
        <v>0</v>
      </c>
      <c r="CG31" s="133" t="n">
        <f aca="false">IF(OR(CG$4="",$B31=""),0,SUMIF('DADOS BRUTOS'!$A$3:$A$500,$B31,'DADOS BRUTOS'!G$3:G$500)+IF($C31="",0,SUMIF('DADOS BRUTOS'!$A$3:$A$500,$C31,'DADOS BRUTOS'!G$3:G$500)))</f>
        <v>0</v>
      </c>
      <c r="CH31" s="133" t="n">
        <f aca="false">IF(OR(CH$4="",$B31=""),0,SUMIF('DADOS BRUTOS'!$A$3:$A$500,$B31,'DADOS BRUTOS'!H$3:H$500)+IF($C31="",0,SUMIF('DADOS BRUTOS'!$A$3:$A$500,$C31,'DADOS BRUTOS'!H$3:H$500)))</f>
        <v>0</v>
      </c>
      <c r="CI31" s="133" t="n">
        <f aca="false">IF(OR(CI$4="",$B31=""),0,SUMIF('DADOS BRUTOS'!$A$3:$A$500,$B31,'DADOS BRUTOS'!I$3:I$500)+IF($C31="",0,SUMIF('DADOS BRUTOS'!$A$3:$A$500,$C31,'DADOS BRUTOS'!I$3:I$500)))</f>
        <v>0</v>
      </c>
      <c r="CJ31" s="133" t="n">
        <f aca="false">IF(OR(CJ$4="",$B31=""),0,SUMIF('DADOS BRUTOS'!$A$3:$A$500,$B31,'DADOS BRUTOS'!J$3:J$500)+IF($C31="",0,SUMIF('DADOS BRUTOS'!$A$3:$A$500,$C31,'DADOS BRUTOS'!J$3:J$500)))</f>
        <v>0</v>
      </c>
      <c r="CK31" s="133" t="n">
        <f aca="false">IF(OR(CK$4="",$B31=""),0,SUMIF('DADOS BRUTOS'!$A$3:$A$500,$B31,'DADOS BRUTOS'!K$3:K$500)+IF($C31="",0,SUMIF('DADOS BRUTOS'!$A$3:$A$500,$C31,'DADOS BRUTOS'!K$3:K$500)))</f>
        <v>0</v>
      </c>
      <c r="CL31" s="133" t="n">
        <f aca="false">IF(OR(CL$4="",$B31=""),0,SUMIF('DADOS BRUTOS'!$A$3:$A$500,$B31,'DADOS BRUTOS'!L$3:L$500)+IF($C31="",0,SUMIF('DADOS BRUTOS'!$A$3:$A$500,$C31,'DADOS BRUTOS'!L$3:L$500)))</f>
        <v>0</v>
      </c>
      <c r="CM31" s="133" t="n">
        <f aca="false">IF(OR(CM$4="",$B31=""),0,SUMIF('DADOS BRUTOS'!$A$3:$A$500,$B31,'DADOS BRUTOS'!M$3:M$500)+IF($C31="",0,SUMIF('DADOS BRUTOS'!$A$3:$A$500,$C31,'DADOS BRUTOS'!M$3:M$500)))</f>
        <v>0</v>
      </c>
      <c r="CN31" s="133" t="n">
        <f aca="false">IF(OR(CN$4="",$B31=""),0,SUMIF('DADOS BRUTOS'!$A$3:$A$500,$B31,'DADOS BRUTOS'!N$3:N$500)+IF($C31="",0,SUMIF('DADOS BRUTOS'!$A$3:$A$500,$C31,'DADOS BRUTOS'!N$3:N$500)))</f>
        <v>0</v>
      </c>
      <c r="CO31" s="133" t="n">
        <f aca="false">IF(OR(CO$4="",$B31=""),0,SUMIF('DADOS BRUTOS'!$A$3:$A$500,$B31,'DADOS BRUTOS'!O$3:O$500)+IF($C31="",0,SUMIF('DADOS BRUTOS'!$A$3:$A$500,$C31,'DADOS BRUTOS'!O$3:O$500)))</f>
        <v>0</v>
      </c>
      <c r="CP31" s="133" t="n">
        <f aca="false">IF(OR(CP$4="",$B31=""),0,SUMIF('DADOS BRUTOS'!$A$3:$A$500,$B31,'DADOS BRUTOS'!P$3:P$500)+IF($C31="",0,SUMIF('DADOS BRUTOS'!$A$3:$A$500,$C31,'DADOS BRUTOS'!P$3:P$500)))</f>
        <v>0</v>
      </c>
      <c r="CQ31" s="133" t="n">
        <f aca="false">IF(OR(CQ$4="",$B31=""),0,SUMIF('DADOS BRUTOS'!$A$3:$A$500,$B31,'DADOS BRUTOS'!Q$3:Q$500)+IF($C31="",0,SUMIF('DADOS BRUTOS'!$A$3:$A$500,$C31,'DADOS BRUTOS'!Q$3:Q$500)))</f>
        <v>0</v>
      </c>
      <c r="CR31" s="133" t="n">
        <f aca="false">IF(OR(CR$4="",$B31=""),0,SUMIF('DADOS BRUTOS'!$A$3:$A$500,$B31,'DADOS BRUTOS'!R$3:R$500)+IF($C31="",0,SUMIF('DADOS BRUTOS'!$A$3:$A$500,$C31,'DADOS BRUTOS'!R$3:R$500)))</f>
        <v>0</v>
      </c>
      <c r="CS31" s="133" t="n">
        <f aca="false">IF(OR(CS$4="",$B31=""),0,SUMIF('DADOS BRUTOS'!$A$3:$A$500,$B31,'DADOS BRUTOS'!S$3:S$500)+IF($C31="",0,SUMIF('DADOS BRUTOS'!$A$3:$A$500,$C31,'DADOS BRUTOS'!S$3:S$500)))</f>
        <v>0</v>
      </c>
      <c r="CT31" s="133" t="n">
        <f aca="false">IF(OR(CT$4="",$B31=""),0,SUMIF('DADOS BRUTOS'!$A$3:$A$500,$B31,'DADOS BRUTOS'!T$3:T$500)+IF($C31="",0,SUMIF('DADOS BRUTOS'!$A$3:$A$500,$C31,'DADOS BRUTOS'!T$3:T$500)))</f>
        <v>0</v>
      </c>
      <c r="CU31" s="133" t="n">
        <f aca="false">IF(OR(CU$4="",$B31=""),0,SUMIF('DADOS BRUTOS'!$A$3:$A$500,$B31,'DADOS BRUTOS'!U$3:U$500)+IF($C31="",0,SUMIF('DADOS BRUTOS'!$A$3:$A$500,$C31,'DADOS BRUTOS'!U$3:U$500)))</f>
        <v>0</v>
      </c>
      <c r="CV31" s="133" t="n">
        <f aca="false">IF(OR(CV$4="",$B31=""),0,SUMIF('DADOS BRUTOS'!$A$3:$A$500,$B31,'DADOS BRUTOS'!V$3:V$500)+IF($C31="",0,SUMIF('DADOS BRUTOS'!$A$3:$A$500,$C31,'DADOS BRUTOS'!V$3:V$500)))</f>
        <v>0</v>
      </c>
      <c r="CW31" s="133" t="n">
        <f aca="false">IF(OR(CW$4="",$B31=""),0,SUMIF('DADOS BRUTOS'!$A$3:$A$500,$B31,'DADOS BRUTOS'!W$3:W$500)+IF($C31="",0,SUMIF('DADOS BRUTOS'!$A$3:$A$500,$C31,'DADOS BRUTOS'!W$3:W$500)))</f>
        <v>0</v>
      </c>
      <c r="CX31" s="133" t="n">
        <f aca="false">IF(OR(CX$4="",$B31=""),0,SUMIF('DADOS BRUTOS'!$A$3:$A$500,$B31,'DADOS BRUTOS'!X$3:X$500)+IF($C31="",0,SUMIF('DADOS BRUTOS'!$A$3:$A$500,$C31,'DADOS BRUTOS'!X$3:X$500)))</f>
        <v>0</v>
      </c>
      <c r="CY31" s="133" t="n">
        <f aca="false">IF(OR(CY$4="",$B31=""),0,SUMIF('DADOS BRUTOS'!$A$3:$A$500,$B31,'DADOS BRUTOS'!Y$3:Y$500)+IF($C31="",0,SUMIF('DADOS BRUTOS'!$A$3:$A$500,$C31,'DADOS BRUTOS'!Y$3:Y$500)))</f>
        <v>0</v>
      </c>
      <c r="CZ31" s="133" t="n">
        <f aca="false">IF(OR(CZ$4="",$B31=""),0,SUMIF('DADOS BRUTOS'!$A$3:$A$500,$B31,'DADOS BRUTOS'!Z$3:Z$500)+IF($C31="",0,SUMIF('DADOS BRUTOS'!$A$3:$A$500,$C31,'DADOS BRUTOS'!Z$3:Z$500)))</f>
        <v>0</v>
      </c>
      <c r="DA31" s="133" t="n">
        <f aca="false">IF(OR(DA$4="",$B31=""),0,SUMIF('DADOS BRUTOS'!$A$3:$A$500,$B31,'DADOS BRUTOS'!AA$3:AA$500)+IF($C31="",0,SUMIF('DADOS BRUTOS'!$A$3:$A$500,$C31,'DADOS BRUTOS'!AA$3:AA$500)))</f>
        <v>0</v>
      </c>
      <c r="DB31" s="133" t="n">
        <f aca="false">IF(OR(DB$4="",$B31=""),0,SUMIF('DADOS BRUTOS'!$A$3:$A$500,$B31,'DADOS BRUTOS'!AB$3:AB$500)+IF($C31="",0,SUMIF('DADOS BRUTOS'!$A$3:$A$500,$C31,'DADOS BRUTOS'!AB$3:AB$500)))</f>
        <v>0</v>
      </c>
      <c r="DC31" s="133" t="n">
        <f aca="false">IF(OR(DC$4="",$B31=""),0,SUMIF('DADOS BRUTOS'!$A$3:$A$500,$B31,'DADOS BRUTOS'!AC$3:AC$500)+IF($C31="",0,SUMIF('DADOS BRUTOS'!$A$3:$A$500,$C31,'DADOS BRUTOS'!AC$3:AC$500)))</f>
        <v>0</v>
      </c>
      <c r="DD31" s="133" t="n">
        <f aca="false">IF(OR(DD$4="",$B31=""),0,SUMIF('DADOS BRUTOS'!$A$3:$A$500,$B31,'DADOS BRUTOS'!AD$3:AD$500)+IF($C31="",0,SUMIF('DADOS BRUTOS'!$A$3:$A$500,$C31,'DADOS BRUTOS'!AD$3:AD$500)))</f>
        <v>0</v>
      </c>
      <c r="DE31" s="133" t="n">
        <f aca="false">IF(OR(DE$4="",$B31=""),0,SUMIF('DADOS BRUTOS'!$A$3:$A$500,$B31,'DADOS BRUTOS'!AE$3:AE$500)+IF($C31="",0,SUMIF('DADOS BRUTOS'!$A$3:$A$500,$C31,'DADOS BRUTOS'!AE$3:AE$500)))</f>
        <v>0</v>
      </c>
      <c r="DF31" s="133" t="n">
        <f aca="false">IF(OR(DF$4="",$B31=""),0,SUMIF('DADOS BRUTOS'!$A$3:$A$500,$B31,'DADOS BRUTOS'!AF$3:AF$500)+IF($C31="",0,SUMIF('DADOS BRUTOS'!$A$3:$A$500,$C31,'DADOS BRUTOS'!AF$3:AF$500)))</f>
        <v>0</v>
      </c>
      <c r="DG31" s="133" t="n">
        <f aca="false">IF(OR(DG$4="",$B31=""),0,SUMIF('DADOS BRUTOS'!$A$3:$A$500,$B31,'DADOS BRUTOS'!AG$3:AG$500)+IF($C31="",0,SUMIF('DADOS BRUTOS'!$A$3:$A$500,$C31,'DADOS BRUTOS'!AG$3:AG$500)))</f>
        <v>0</v>
      </c>
      <c r="DH31" s="133" t="n">
        <f aca="false">IF(OR(DH$4="",$B31=""),0,SUMIF('DADOS BRUTOS'!$A$3:$A$500,$B31,'DADOS BRUTOS'!AH$3:AH$500)+IF($C31="",0,SUMIF('DADOS BRUTOS'!$A$3:$A$500,$C31,'DADOS BRUTOS'!AH$3:AH$500)))</f>
        <v>0</v>
      </c>
      <c r="DI31" s="133" t="n">
        <f aca="false">IF(OR(DI$4="",$B31=""),0,SUMIF('DADOS BRUTOS'!$A$3:$A$500,$B31,'DADOS BRUTOS'!AI$3:AI$500)+IF($C31="",0,SUMIF('DADOS BRUTOS'!$A$3:$A$500,$C31,'DADOS BRUTOS'!AI$3:AI$500)))</f>
        <v>0</v>
      </c>
      <c r="DJ31" s="133" t="n">
        <f aca="false">IF(OR(DJ$4="",$B31=""),0,SUMIF('DADOS BRUTOS'!$A$3:$A$500,$B31,'DADOS BRUTOS'!AJ$3:AJ$500)+IF($C31="",0,SUMIF('DADOS BRUTOS'!$A$3:$A$500,$C31,'DADOS BRUTOS'!AJ$3:AJ$500)))</f>
        <v>0</v>
      </c>
      <c r="DK31" s="133" t="n">
        <f aca="false">IF(OR(DK$4="",$B31=""),0,SUMIF('DADOS BRUTOS'!$A$3:$A$500,$B31,'DADOS BRUTOS'!AK$3:AK$500)+IF($C31="",0,SUMIF('DADOS BRUTOS'!$A$3:$A$500,$C31,'DADOS BRUTOS'!AK$3:AK$500)))</f>
        <v>0</v>
      </c>
      <c r="DL31" s="133" t="n">
        <f aca="false">IF(OR(DL$4="",$B31=""),0,SUMIF('DADOS BRUTOS'!$A$3:$A$500,$B31,'DADOS BRUTOS'!AL$3:AL$500)+IF($C31="",0,SUMIF('DADOS BRUTOS'!$A$3:$A$500,$C31,'DADOS BRUTOS'!AL$3:AL$500)))</f>
        <v>0</v>
      </c>
      <c r="DM31" s="133" t="n">
        <f aca="false">IF(OR(DM$4="",$B31=""),0,SUMIF('DADOS BRUTOS'!$A$3:$A$500,$B31,'DADOS BRUTOS'!AM$3:AM$500)+IF($C31="",0,SUMIF('DADOS BRUTOS'!$A$3:$A$500,$C31,'DADOS BRUTOS'!AM$3:AM$500)))</f>
        <v>0</v>
      </c>
      <c r="DN31" s="133" t="n">
        <f aca="false">IF(OR(DN$4="",$B31=""),0,SUMIF('DADOS BRUTOS'!$A$3:$A$500,$B31,'DADOS BRUTOS'!AN$3:AN$500)+IF($C31="",0,SUMIF('DADOS BRUTOS'!$A$3:$A$500,$C31,'DADOS BRUTOS'!AN$3:AN$500)))</f>
        <v>0</v>
      </c>
      <c r="DO31" s="133" t="n">
        <f aca="false">IF(OR(DO$4="",$B31=""),0,SUMIF('DADOS BRUTOS'!$A$3:$A$500,$B31,'DADOS BRUTOS'!AO$3:AO$500)+IF($C31="",0,SUMIF('DADOS BRUTOS'!$A$3:$A$500,$C31,'DADOS BRUTOS'!AO$3:AO$500)))</f>
        <v>0</v>
      </c>
      <c r="DP31" s="133" t="n">
        <f aca="false">IF(OR(DP$4="",$B31=""),0,SUMIF('DADOS BRUTOS'!$A$3:$A$500,$B31,'DADOS BRUTOS'!AP$3:AP$500)+IF($C31="",0,SUMIF('DADOS BRUTOS'!$A$3:$A$500,$C31,'DADOS BRUTOS'!AP$3:AP$500)))</f>
        <v>0</v>
      </c>
      <c r="DQ31" s="133" t="n">
        <f aca="false">IF(OR(DQ$4="",$B31=""),0,SUMIF('DADOS BRUTOS'!$A$3:$A$500,$B31,'DADOS BRUTOS'!AQ$3:AQ$500)+IF($C31="",0,SUMIF('DADOS BRUTOS'!$A$3:$A$500,$C31,'DADOS BRUTOS'!AQ$3:AQ$500)))</f>
        <v>0</v>
      </c>
      <c r="DR31" s="133" t="n">
        <f aca="false">IF(OR(DR$4="",$B31=""),0,SUMIF('DADOS BRUTOS'!$A$3:$A$500,$B31,'DADOS BRUTOS'!AR$3:AR$500)+IF($C31="",0,SUMIF('DADOS BRUTOS'!$A$3:$A$500,$C31,'DADOS BRUTOS'!AR$3:AR$500)))</f>
        <v>0</v>
      </c>
      <c r="DS31" s="133" t="n">
        <f aca="false">IF(OR(DS$4="",$B31=""),0,SUMIF('DADOS BRUTOS'!$A$3:$A$500,$B31,'DADOS BRUTOS'!AS$3:AS$500)+IF($C31="",0,SUMIF('DADOS BRUTOS'!$A$3:$A$500,$C31,'DADOS BRUTOS'!AS$3:AS$500)))</f>
        <v>0</v>
      </c>
      <c r="DT31" s="133" t="n">
        <f aca="false">IF(OR(DT$4="",$B31=""),0,SUMIF('DADOS BRUTOS'!$A$3:$A$500,$B31,'DADOS BRUTOS'!AT$3:AT$500)+IF($C31="",0,SUMIF('DADOS BRUTOS'!$A$3:$A$500,$C31,'DADOS BRUTOS'!AT$3:AT$500)))</f>
        <v>0</v>
      </c>
      <c r="DU31" s="133" t="n">
        <f aca="false">IF(OR(DU$4="",$B31=""),0,SUMIF('DADOS BRUTOS'!$A$3:$A$500,$B31,'DADOS BRUTOS'!AU$3:AU$500)+IF($C31="",0,SUMIF('DADOS BRUTOS'!$A$3:$A$500,$C31,'DADOS BRUTOS'!AU$3:AU$500)))</f>
        <v>0</v>
      </c>
      <c r="DV31" s="133" t="n">
        <f aca="false">IF(OR(DV$4="",$B31=""),0,SUMIF('DADOS BRUTOS'!$A$3:$A$500,$B31,'DADOS BRUTOS'!AV$3:AV$500)+IF($C31="",0,SUMIF('DADOS BRUTOS'!$A$3:$A$500,$C31,'DADOS BRUTOS'!AV$3:AV$500)))</f>
        <v>0</v>
      </c>
      <c r="DW31" s="133" t="n">
        <f aca="false">IF(OR(DW$4="",$B31=""),0,SUMIF('DADOS BRUTOS'!$A$3:$A$500,$B31,'DADOS BRUTOS'!AW$3:AW$500)+IF($C31="",0,SUMIF('DADOS BRUTOS'!$A$3:$A$500,$C31,'DADOS BRUTOS'!AW$3:AW$500)))</f>
        <v>0</v>
      </c>
      <c r="DX31" s="133" t="n">
        <f aca="false">IF(OR(DX$4="",$B31=""),0,SUMIF('DADOS BRUTOS'!$A$3:$A$500,$B31,'DADOS BRUTOS'!AX$3:AX$500)+IF($C31="",0,SUMIF('DADOS BRUTOS'!$A$3:$A$500,$C31,'DADOS BRUTOS'!AX$3:AX$500)))</f>
        <v>0</v>
      </c>
      <c r="DY31" s="133" t="n">
        <f aca="false">IF(OR(DY$4="",$B31=""),0,SUMIF('DADOS BRUTOS'!$A$3:$A$500,$B31,'DADOS BRUTOS'!AY$3:AY$500)+IF($C31="",0,SUMIF('DADOS BRUTOS'!$A$3:$A$500,$C31,'DADOS BRUTOS'!AY$3:AY$500)))</f>
        <v>0</v>
      </c>
      <c r="DZ31" s="133" t="n">
        <f aca="false">IF(OR(DZ$4="",$B31=""),0,SUMIF('DADOS BRUTOS'!$A$3:$A$500,$B31,'DADOS BRUTOS'!AZ$3:AZ$500)+IF($C31="",0,SUMIF('DADOS BRUTOS'!$A$3:$A$500,$C31,'DADOS BRUTOS'!AZ$3:AZ$500)))</f>
        <v>0</v>
      </c>
      <c r="EA31" s="133" t="n">
        <f aca="false">IF(OR(EA$4="",$B31=""),0,SUMIF('DADOS BRUTOS'!$A$3:$A$500,$B31,'DADOS BRUTOS'!BA$3:BA$500)+IF($C31="",0,SUMIF('DADOS BRUTOS'!$A$3:$A$500,$C31,'DADOS BRUTOS'!BA$3:BA$500)))</f>
        <v>0</v>
      </c>
      <c r="EB31" s="133" t="n">
        <f aca="false">IF(OR(EB$4="",$B31=""),0,SUMIF('DADOS BRUTOS'!$A$3:$A$500,$B31,'DADOS BRUTOS'!BB$3:BB$500)+IF($C31="",0,SUMIF('DADOS BRUTOS'!$A$3:$A$500,$C31,'DADOS BRUTOS'!BB$3:BB$500)))</f>
        <v>0</v>
      </c>
      <c r="EC31" s="133" t="n">
        <f aca="false">IF(OR(EC$4="",$B31=""),0,SUMIF('DADOS BRUTOS'!$A$3:$A$500,$B31,'DADOS BRUTOS'!BC$3:BC$500)+IF($C31="",0,SUMIF('DADOS BRUTOS'!$A$3:$A$500,$C31,'DADOS BRUTOS'!BC$3:BC$500)))</f>
        <v>0</v>
      </c>
      <c r="ED31" s="133" t="n">
        <f aca="false">IF(OR(ED$4="",$B31=""),0,SUMIF('DADOS BRUTOS'!$A$3:$A$500,$B31,'DADOS BRUTOS'!BD$3:BD$500)+IF($C31="",0,SUMIF('DADOS BRUTOS'!$A$3:$A$500,$C31,'DADOS BRUTOS'!BD$3:BD$500)))</f>
        <v>0</v>
      </c>
      <c r="EE31" s="133" t="n">
        <f aca="false">IF(OR(EE$4="",$B31=""),0,SUMIF('DADOS BRUTOS'!$A$3:$A$500,$B31,'DADOS BRUTOS'!BE$3:BE$500)+IF($C31="",0,SUMIF('DADOS BRUTOS'!$A$3:$A$500,$C31,'DADOS BRUTOS'!BE$3:BE$500)))</f>
        <v>0</v>
      </c>
      <c r="EF31" s="133" t="n">
        <f aca="false">IF(OR(EF$4="",$B31=""),0,SUMIF('DADOS BRUTOS'!$A$3:$A$500,$B31,'DADOS BRUTOS'!BF$3:BF$500)+IF($C31="",0,SUMIF('DADOS BRUTOS'!$A$3:$A$500,$C31,'DADOS BRUTOS'!BF$3:BF$500)))</f>
        <v>0</v>
      </c>
      <c r="EG31" s="133" t="n">
        <f aca="false">IF(OR(EG$4="",$B31=""),0,SUMIF('DADOS BRUTOS'!$A$3:$A$500,$B31,'DADOS BRUTOS'!BG$3:BG$500)+IF($C31="",0,SUMIF('DADOS BRUTOS'!$A$3:$A$500,$C31,'DADOS BRUTOS'!BG$3:BG$500)))</f>
        <v>0</v>
      </c>
      <c r="EH31" s="133" t="n">
        <f aca="false">IF(OR(EH$4="",$B31=""),0,SUMIF('DADOS BRUTOS'!$A$3:$A$500,$B31,'DADOS BRUTOS'!BH$3:BH$500)+IF($C31="",0,SUMIF('DADOS BRUTOS'!$A$3:$A$500,$C31,'DADOS BRUTOS'!BH$3:BH$500)))</f>
        <v>0</v>
      </c>
      <c r="EI31" s="133" t="n">
        <f aca="false">IF(OR(EI$4="",$B31=""),0,SUMIF('DADOS BRUTOS'!$A$3:$A$500,$B31,'DADOS BRUTOS'!BI$3:BI$500)+IF($C31="",0,SUMIF('DADOS BRUTOS'!$A$3:$A$500,$C31,'DADOS BRUTOS'!BI$3:BI$500)))</f>
        <v>0</v>
      </c>
      <c r="EJ31" s="133" t="n">
        <f aca="false">IF(OR(EJ$4="",$B31=""),0,SUMIF('DADOS BRUTOS'!$A$3:$A$500,$B31,'DADOS BRUTOS'!BJ$3:BJ$500)+IF($C31="",0,SUMIF('DADOS BRUTOS'!$A$3:$A$500,$C31,'DADOS BRUTOS'!BJ$3:BJ$500)))</f>
        <v>0</v>
      </c>
      <c r="EK31" s="133" t="n">
        <f aca="false">IF(OR(EK$4="",$B31=""),0,SUMIF('DADOS BRUTOS'!$A$3:$A$500,$B31,'DADOS BRUTOS'!BK$3:BK$500)+IF($C31="",0,SUMIF('DADOS BRUTOS'!$A$3:$A$500,$C31,'DADOS BRUTOS'!BK$3:BK$500)))</f>
        <v>0</v>
      </c>
      <c r="EL31" s="133" t="n">
        <f aca="false">IF(OR(EL$4="",$B31=""),0,SUMIF('DADOS BRUTOS'!$A$3:$A$500,$B31,'DADOS BRUTOS'!BL$3:BL$500)+IF($C31="",0,SUMIF('DADOS BRUTOS'!$A$3:$A$500,$C31,'DADOS BRUTOS'!BL$3:BL$500)))</f>
        <v>0</v>
      </c>
      <c r="EM31" s="133" t="n">
        <f aca="false">IF(OR(EM$4="",$B31=""),0,SUMIF('DADOS BRUTOS'!$A$3:$A$500,$B31,'DADOS BRUTOS'!BM$3:BM$500)+IF($C31="",0,SUMIF('DADOS BRUTOS'!$A$3:$A$500,$C31,'DADOS BRUTOS'!BM$3:BM$500)))</f>
        <v>0</v>
      </c>
      <c r="EN31" s="133" t="n">
        <f aca="false">IF(OR(EN$4="",$B31=""),0,SUMIF('DADOS BRUTOS'!$A$3:$A$500,$B31,'DADOS BRUTOS'!BN$3:BN$500)+IF($C31="",0,SUMIF('DADOS BRUTOS'!$A$3:$A$500,$C31,'DADOS BRUTOS'!BN$3:BN$500)))</f>
        <v>0</v>
      </c>
      <c r="EO31" s="133" t="n">
        <f aca="false">IF(OR(EO$4="",$B31=""),0,SUMIF('DADOS BRUTOS'!$A$3:$A$500,$B31,'DADOS BRUTOS'!BO$3:BO$500)+IF($C31="",0,SUMIF('DADOS BRUTOS'!$A$3:$A$500,$C31,'DADOS BRUTOS'!BO$3:BO$500)))</f>
        <v>0</v>
      </c>
      <c r="EP31" s="133" t="n">
        <f aca="false">IF(OR(EP$4="",$B31=""),0,SUMIF('DADOS BRUTOS'!$A$3:$A$500,$B31,'DADOS BRUTOS'!BP$3:BP$500)+IF($C31="",0,SUMIF('DADOS BRUTOS'!$A$3:$A$500,$C31,'DADOS BRUTOS'!BP$3:BP$500)))</f>
        <v>0</v>
      </c>
      <c r="EQ31" s="133" t="n">
        <f aca="false">IF(OR(EQ$4="",$B31=""),0,SUMIF('DADOS BRUTOS'!$A$3:$A$500,$B31,'DADOS BRUTOS'!BQ$3:BQ$500)+IF($C31="",0,SUMIF('DADOS BRUTOS'!$A$3:$A$500,$C31,'DADOS BRUTOS'!BQ$3:BQ$500)))</f>
        <v>0</v>
      </c>
      <c r="ER31" s="133" t="n">
        <f aca="false">IF(OR(ER$4="",$B31=""),0,SUMIF('DADOS BRUTOS'!$A$3:$A$500,$B31,'DADOS BRUTOS'!BR$3:BR$500)+IF($C31="",0,SUMIF('DADOS BRUTOS'!$A$3:$A$500,$C31,'DADOS BRUTOS'!BR$3:BR$500)))</f>
        <v>0</v>
      </c>
      <c r="ES31" s="133" t="n">
        <f aca="false">IF(OR(ES$4="",$B31=""),0,SUMIF('DADOS BRUTOS'!$A$3:$A$500,$B31,'DADOS BRUTOS'!BS$3:BS$500)+IF($C31="",0,SUMIF('DADOS BRUTOS'!$A$3:$A$500,$C31,'DADOS BRUTOS'!BS$3:BS$500)))</f>
        <v>0</v>
      </c>
      <c r="ET31" s="133" t="n">
        <f aca="false">IF(OR(ET$4="",$B31=""),0,SUMIF('DADOS BRUTOS'!$A$3:$A$500,$B31,'DADOS BRUTOS'!BT$3:BT$500)+IF($C31="",0,SUMIF('DADOS BRUTOS'!$A$3:$A$500,$C31,'DADOS BRUTOS'!BT$3:BT$500)))</f>
        <v>0</v>
      </c>
      <c r="EU31" s="133" t="n">
        <f aca="false">IF(OR(EU$4="",$B31=""),0,SUMIF('DADOS BRUTOS'!$A$3:$A$500,$B31,'DADOS BRUTOS'!BU$3:BU$500)+IF($C31="",0,SUMIF('DADOS BRUTOS'!$A$3:$A$500,$C31,'DADOS BRUTOS'!BU$3:BU$500)))</f>
        <v>0</v>
      </c>
      <c r="EV31" s="133" t="n">
        <f aca="false">IF(OR(EV$4="",$B31=""),0,SUMIF('DADOS BRUTOS'!$A$3:$A$500,$B31,'DADOS BRUTOS'!BV$3:BV$500)+IF($C31="",0,SUMIF('DADOS BRUTOS'!$A$3:$A$500,$C31,'DADOS BRUTOS'!BV$3:BV$500)))</f>
        <v>0</v>
      </c>
      <c r="EW31" s="133" t="n">
        <f aca="false">IF(OR(EW$4="",$B31=""),0,SUMIF('DADOS BRUTOS'!$A$3:$A$500,$B31,'DADOS BRUTOS'!BW$3:BW$500)+IF($C31="",0,SUMIF('DADOS BRUTOS'!$A$3:$A$500,$C31,'DADOS BRUTOS'!BW$3:BW$500)))</f>
        <v>0</v>
      </c>
      <c r="EX31" s="133" t="n">
        <f aca="false">IF(OR(EX$4="",$B31=""),0,SUMIF('DADOS BRUTOS'!$A$3:$A$500,$B31,'DADOS BRUTOS'!BX$3:BX$500)+IF($C31="",0,SUMIF('DADOS BRUTOS'!$A$3:$A$500,$C31,'DADOS BRUTOS'!BX$3:BX$500)))</f>
        <v>0</v>
      </c>
      <c r="EY31" s="133" t="n">
        <f aca="false">IF(OR(EY$4="",$B31=""),0,SUMIF('DADOS BRUTOS'!$A$3:$A$500,$B31,'DADOS BRUTOS'!BY$3:BY$500)+IF($C31="",0,SUMIF('DADOS BRUTOS'!$A$3:$A$500,$C31,'DADOS BRUTOS'!BY$3:BY$500)))</f>
        <v>0</v>
      </c>
      <c r="EZ31" s="133" t="n">
        <f aca="false">IF(OR(EZ$4="",$B31=""),0,SUMIF('DADOS BRUTOS'!$A$3:$A$500,$B31,'DADOS BRUTOS'!BZ$3:BZ$500)+IF($C31="",0,SUMIF('DADOS BRUTOS'!$A$3:$A$500,$C31,'DADOS BRUTOS'!BZ$3:BZ$500)))</f>
        <v>0</v>
      </c>
      <c r="FA31" s="133" t="n">
        <f aca="false">IF(OR(FA$4="",$B31=""),0,SUMIF('DADOS BRUTOS'!$A$3:$A$500,$B31,'DADOS BRUTOS'!CA$3:CA$500)+IF($C31="",0,SUMIF('DADOS BRUTOS'!$A$3:$A$500,$C31,'DADOS BRUTOS'!CA$3:CA$500)))</f>
        <v>0</v>
      </c>
      <c r="FB31" s="133" t="n">
        <f aca="false">IF(OR(FB$4="",$B31=""),0,SUMIF('DADOS BRUTOS'!$A$3:$A$500,$B31,'DADOS BRUTOS'!CB$3:CB$500)+IF($C31="",0,SUMIF('DADOS BRUTOS'!$A$3:$A$500,$C31,'DADOS BRUTOS'!CB$3:CB$500)))</f>
        <v>0</v>
      </c>
      <c r="FC31" s="133" t="n">
        <f aca="false">IF(OR(FC$4="",$B31=""),0,SUMIF('DADOS BRUTOS'!$A$3:$A$500,$B31,'DADOS BRUTOS'!CC$3:CC$500)+IF($C31="",0,SUMIF('DADOS BRUTOS'!$A$3:$A$500,$C31,'DADOS BRUTOS'!CC$3:CC$500)))</f>
        <v>0</v>
      </c>
      <c r="FD31" s="133" t="n">
        <f aca="false">IF(OR(FD$4="",$B31=""),0,SUMIF('DADOS BRUTOS'!$A$3:$A$500,$B31,'DADOS BRUTOS'!CD$3:CD$500)+IF($C31="",0,SUMIF('DADOS BRUTOS'!$A$3:$A$500,$C31,'DADOS BRUTOS'!CD$3:CD$500)))</f>
        <v>0</v>
      </c>
      <c r="FE31" s="133" t="n">
        <f aca="false">IF(OR(FE$4="",$B31=""),0,SUMIF('DADOS BRUTOS'!$A$3:$A$500,$B31,'DADOS BRUTOS'!CE$3:CE$500)+IF($C31="",0,SUMIF('DADOS BRUTOS'!$A$3:$A$500,$C31,'DADOS BRUTOS'!CE$3:CE$500)))</f>
        <v>0</v>
      </c>
      <c r="FF31" s="133" t="n">
        <f aca="false">IF(OR(FF$4="",$B31=""),0,SUMIF('DADOS BRUTOS'!$A$3:$A$500,$B31,'DADOS BRUTOS'!CF$3:CF$500)+IF($C31="",0,SUMIF('DADOS BRUTOS'!$A$3:$A$500,$C31,'DADOS BRUTOS'!CF$3:CF$500)))</f>
        <v>0</v>
      </c>
      <c r="FG31" s="133" t="n">
        <f aca="false">IF(OR(FG$4="",$B31=""),0,SUMIF('DADOS BRUTOS'!$A$3:$A$500,$B31,'DADOS BRUTOS'!CG$3:CG$500)+IF($C31="",0,SUMIF('DADOS BRUTOS'!$A$3:$A$500,$C31,'DADOS BRUTOS'!CG$3:CG$500)))</f>
        <v>0</v>
      </c>
      <c r="FH31" s="133" t="n">
        <f aca="false">IF(OR(FH$4="",$B31=""),0,SUMIF('DADOS BRUTOS'!$A$3:$A$500,$B31,'DADOS BRUTOS'!CH$3:CH$500)+IF($C31="",0,SUMIF('DADOS BRUTOS'!$A$3:$A$500,$C31,'DADOS BRUTOS'!CH$3:CH$500)))</f>
        <v>0</v>
      </c>
      <c r="FI31" s="133" t="n">
        <f aca="false">IF(OR(FI$4="",$B31=""),0,SUMIF('DADOS BRUTOS'!$A$3:$A$500,$B31,'DADOS BRUTOS'!CI$3:CI$500)+IF($C31="",0,SUMIF('DADOS BRUTOS'!$A$3:$A$500,$C31,'DADOS BRUTOS'!CI$3:CI$500)))</f>
        <v>0</v>
      </c>
      <c r="FJ31" s="133" t="n">
        <f aca="false">IF(OR(FJ$4="",$B31=""),0,SUMIF('DADOS BRUTOS'!$A$3:$A$500,$B31,'DADOS BRUTOS'!CJ$3:CJ$500)+IF($C31="",0,SUMIF('DADOS BRUTOS'!$A$3:$A$500,$C31,'DADOS BRUTOS'!CJ$3:CJ$500)))</f>
        <v>0</v>
      </c>
      <c r="FK31" s="133" t="n">
        <f aca="false">IF(OR(FK$4="",$B31=""),0,SUMIF('DADOS BRUTOS'!$A$3:$A$500,$B31,'DADOS BRUTOS'!CK$3:CK$500)+IF($C31="",0,SUMIF('DADOS BRUTOS'!$A$3:$A$500,$C31,'DADOS BRUTOS'!CK$3:CK$500)))</f>
        <v>0</v>
      </c>
      <c r="FL31" s="133" t="n">
        <f aca="false">IF(OR(FL$4="",$B31=""),0,SUMIF('DADOS BRUTOS'!$A$3:$A$500,$B31,'DADOS BRUTOS'!CL$3:CL$500)+IF($C31="",0,SUMIF('DADOS BRUTOS'!$A$3:$A$500,$C31,'DADOS BRUTOS'!CL$3:CL$500)))</f>
        <v>0</v>
      </c>
      <c r="FM31" s="133" t="n">
        <f aca="false">IF(OR(FM$4="",$B31=""),0,SUMIF('DADOS BRUTOS'!$A$3:$A$500,$B31,'DADOS BRUTOS'!CM$3:CM$500)+IF($C31="",0,SUMIF('DADOS BRUTOS'!$A$3:$A$500,$C31,'DADOS BRUTOS'!CM$3:CM$500)))</f>
        <v>0</v>
      </c>
      <c r="FN31" s="133" t="n">
        <f aca="false">IF(OR(FN$4="",$B31=""),0,SUMIF('DADOS BRUTOS'!$A$3:$A$500,$B31,'DADOS BRUTOS'!CN$3:CN$500)+IF($C31="",0,SUMIF('DADOS BRUTOS'!$A$3:$A$500,$C31,'DADOS BRUTOS'!CN$3:CN$500)))</f>
        <v>0</v>
      </c>
      <c r="FO31" s="133" t="n">
        <f aca="false">IF(OR(FO$4="",$B31=""),0,SUMIF('DADOS BRUTOS'!$A$3:$A$500,$B31,'DADOS BRUTOS'!CO$3:CO$500)+IF($C31="",0,SUMIF('DADOS BRUTOS'!$A$3:$A$500,$C31,'DADOS BRUTOS'!CO$3:CO$500)))</f>
        <v>0</v>
      </c>
      <c r="FP31" s="133" t="n">
        <f aca="false">IF(OR(FP$4="",$B31=""),0,SUMIF('DADOS BRUTOS'!$A$3:$A$500,$B31,'DADOS BRUTOS'!CP$3:CP$500)+IF($C31="",0,SUMIF('DADOS BRUTOS'!$A$3:$A$500,$C31,'DADOS BRUTOS'!CP$3:CP$500)))</f>
        <v>0</v>
      </c>
      <c r="FQ31" s="133" t="n">
        <f aca="false">IF(OR(FQ$4="",$B31=""),0,SUMIF('DADOS BRUTOS'!$A$3:$A$500,$B31,'DADOS BRUTOS'!CQ$3:CQ$500)+IF($C31="",0,SUMIF('DADOS BRUTOS'!$A$3:$A$500,$C31,'DADOS BRUTOS'!CQ$3:CQ$500)))</f>
        <v>0</v>
      </c>
      <c r="FR31" s="133" t="n">
        <f aca="false">IF(OR(FR$4="",$B31=""),0,SUMIF('DADOS BRUTOS'!$A$3:$A$500,$B31,'DADOS BRUTOS'!CR$3:CR$500)+IF($C31="",0,SUMIF('DADOS BRUTOS'!$A$3:$A$500,$C31,'DADOS BRUTOS'!CR$3:CR$500)))</f>
        <v>0</v>
      </c>
      <c r="FS31" s="133" t="n">
        <f aca="false">IF(OR(FS$4="",$B31=""),0,SUMIF('DADOS BRUTOS'!$A$3:$A$500,$B31,'DADOS BRUTOS'!CS$3:CS$500)+IF($C31="",0,SUMIF('DADOS BRUTOS'!$A$3:$A$500,$C31,'DADOS BRUTOS'!CS$3:CS$500)))</f>
        <v>0</v>
      </c>
      <c r="FT31" s="133" t="n">
        <f aca="false">IF(OR(FT$4="",$B31=""),0,SUMIF('DADOS BRUTOS'!$A$3:$A$500,$B31,'DADOS BRUTOS'!CT$3:CT$500)+IF($C31="",0,SUMIF('DADOS BRUTOS'!$A$3:$A$500,$C31,'DADOS BRUTOS'!CT$3:CT$500)))</f>
        <v>0</v>
      </c>
      <c r="FU31" s="133" t="n">
        <f aca="false">IF(OR(FU$4="",$B31=""),0,SUMIF('DADOS BRUTOS'!$A$3:$A$500,$B31,'DADOS BRUTOS'!CU$3:CU$500)+IF($C31="",0,SUMIF('DADOS BRUTOS'!$A$3:$A$500,$C31,'DADOS BRUTOS'!CU$3:CU$500)))</f>
        <v>0</v>
      </c>
      <c r="FV31" s="133" t="n">
        <f aca="false">IF(OR(FV$4="",$B31=""),0,SUMIF('DADOS BRUTOS'!$A$3:$A$500,$B31,'DADOS BRUTOS'!CV$3:CV$500)+IF($C31="",0,SUMIF('DADOS BRUTOS'!$A$3:$A$500,$C31,'DADOS BRUTOS'!CV$3:CV$500)))</f>
        <v>0</v>
      </c>
      <c r="FW31" s="133" t="n">
        <f aca="false">IF(OR(FW$4="",$B31=""),0,SUMIF('DADOS BRUTOS'!$A$3:$A$500,$B31,'DADOS BRUTOS'!CW$3:CW$500)+IF($C31="",0,SUMIF('DADOS BRUTOS'!$A$3:$A$500,$C31,'DADOS BRUTOS'!CW$3:CW$500)))</f>
        <v>0</v>
      </c>
      <c r="FX31" s="133" t="n">
        <f aca="false">IF(OR(FX$4="",$B31=""),0,SUMIF('DADOS BRUTOS'!$A$3:$A$500,$B31,'DADOS BRUTOS'!CX$3:CX$500)+IF($C31="",0,SUMIF('DADOS BRUTOS'!$A$3:$A$500,$C31,'DADOS BRUTOS'!CX$3:CX$500)))</f>
        <v>0</v>
      </c>
      <c r="FY31" s="133" t="n">
        <f aca="false">IF(OR(FY$4="",$B31=""),0,SUMIF('DADOS BRUTOS'!$A$3:$A$500,$B31,'DADOS BRUTOS'!CY$3:CY$500)+IF($C31="",0,SUMIF('DADOS BRUTOS'!$A$3:$A$500,$C31,'DADOS BRUTOS'!CY$3:CY$500)))</f>
        <v>0</v>
      </c>
      <c r="FZ31" s="133" t="n">
        <f aca="false">IF(OR(FZ$4="",$B31=""),0,SUMIF('DADOS BRUTOS'!$A$3:$A$500,$B31,'DADOS BRUTOS'!CZ$3:CZ$500)+IF($C31="",0,SUMIF('DADOS BRUTOS'!$A$3:$A$500,$C31,'DADOS BRUTOS'!CZ$3:CZ$500)))</f>
        <v>0</v>
      </c>
      <c r="GA31" s="133" t="n">
        <f aca="false">IF(OR(GA$4="",$B31=""),0,SUMIF('DADOS BRUTOS'!$A$3:$A$500,$B31,'DADOS BRUTOS'!DA$3:DA$500)+IF($C31="",0,SUMIF('DADOS BRUTOS'!$A$3:$A$500,$C31,'DADOS BRUTOS'!DA$3:DA$500)))</f>
        <v>0</v>
      </c>
      <c r="GB31" s="133" t="n">
        <f aca="false">IF(OR(GB$4="",$B31=""),0,SUMIF('DADOS BRUTOS'!$A$3:$A$500,$B31,'DADOS BRUTOS'!DB$3:DB$500)+IF($C31="",0,SUMIF('DADOS BRUTOS'!$A$3:$A$500,$C31,'DADOS BRUTOS'!DB$3:DB$500)))</f>
        <v>0</v>
      </c>
      <c r="GC31" s="133" t="n">
        <f aca="false">IF(OR(GC$4="",$B31=""),0,SUMIF('DADOS BRUTOS'!$A$3:$A$500,$B31,'DADOS BRUTOS'!DC$3:DC$500)+IF($C31="",0,SUMIF('DADOS BRUTOS'!$A$3:$A$500,$C31,'DADOS BRUTOS'!DC$3:DC$500)))</f>
        <v>0</v>
      </c>
      <c r="GD31" s="133" t="n">
        <f aca="false">IF(OR(GD$4="",$B31=""),0,SUMIF('DADOS BRUTOS'!$A$3:$A$500,$B31,'DADOS BRUTOS'!DD$3:DD$500)+IF($C31="",0,SUMIF('DADOS BRUTOS'!$A$3:$A$500,$C31,'DADOS BRUTOS'!DD$3:DD$500)))</f>
        <v>0</v>
      </c>
      <c r="GE31" s="133" t="n">
        <f aca="false">IF(OR(GE$4="",$B31=""),0,SUMIF('DADOS BRUTOS'!$A$3:$A$500,$B31,'DADOS BRUTOS'!DE$3:DE$500)+IF($C31="",0,SUMIF('DADOS BRUTOS'!$A$3:$A$500,$C31,'DADOS BRUTOS'!DE$3:DE$500)))</f>
        <v>0</v>
      </c>
      <c r="GF31" s="133" t="n">
        <f aca="false">IF(OR(GF$4="",$B31=""),0,SUMIF('DADOS BRUTOS'!$A$3:$A$500,$B31,'DADOS BRUTOS'!DF$3:DF$500)+IF($C31="",0,SUMIF('DADOS BRUTOS'!$A$3:$A$500,$C31,'DADOS BRUTOS'!DF$3:DF$500)))</f>
        <v>0</v>
      </c>
      <c r="GG31" s="133" t="n">
        <f aca="false">IF(OR(GG$4="",$B31=""),0,SUMIF('DADOS BRUTOS'!$A$3:$A$500,$B31,'DADOS BRUTOS'!DG$3:DG$500)+IF($C31="",0,SUMIF('DADOS BRUTOS'!$A$3:$A$500,$C31,'DADOS BRUTOS'!DG$3:DG$500)))</f>
        <v>0</v>
      </c>
      <c r="GH31" s="133" t="n">
        <f aca="false">IF(OR(GH$4="",$B31=""),0,SUMIF('DADOS BRUTOS'!$A$3:$A$500,$B31,'DADOS BRUTOS'!DH$3:DH$500)+IF($C31="",0,SUMIF('DADOS BRUTOS'!$A$3:$A$500,$C31,'DADOS BRUTOS'!DH$3:DH$500)))</f>
        <v>0</v>
      </c>
      <c r="GI31" s="133" t="n">
        <f aca="false">IF(OR(GI$4="",$B31=""),0,SUMIF('DADOS BRUTOS'!$A$3:$A$500,$B31,'DADOS BRUTOS'!DI$3:DI$500)+IF($C31="",0,SUMIF('DADOS BRUTOS'!$A$3:$A$500,$C31,'DADOS BRUTOS'!DI$3:DI$500)))</f>
        <v>0</v>
      </c>
      <c r="GJ31" s="133" t="n">
        <f aca="false">IF(OR(GJ$4="",$B31=""),0,SUMIF('DADOS BRUTOS'!$A$3:$A$500,$B31,'DADOS BRUTOS'!DJ$3:DJ$500)+IF($C31="",0,SUMIF('DADOS BRUTOS'!$A$3:$A$500,$C31,'DADOS BRUTOS'!DJ$3:DJ$500)))</f>
        <v>0</v>
      </c>
      <c r="GK31" s="133" t="n">
        <f aca="false">IF(OR(GK$4="",$B31=""),0,SUMIF('DADOS BRUTOS'!$A$3:$A$500,$B31,'DADOS BRUTOS'!DK$3:DK$500)+IF($C31="",0,SUMIF('DADOS BRUTOS'!$A$3:$A$500,$C31,'DADOS BRUTOS'!DK$3:DK$500)))</f>
        <v>0</v>
      </c>
      <c r="GL31" s="133" t="n">
        <f aca="false">IF(OR(GL$4="",$B31=""),0,SUMIF('DADOS BRUTOS'!$A$3:$A$500,$B31,'DADOS BRUTOS'!DL$3:DL$500)+IF($C31="",0,SUMIF('DADOS BRUTOS'!$A$3:$A$500,$C31,'DADOS BRUTOS'!DL$3:DL$500)))</f>
        <v>0</v>
      </c>
      <c r="GM31" s="133" t="n">
        <f aca="false">IF(OR(GM$4="",$B31=""),0,SUMIF('DADOS BRUTOS'!$A$3:$A$500,$B31,'DADOS BRUTOS'!DM$3:DM$500)+IF($C31="",0,SUMIF('DADOS BRUTOS'!$A$3:$A$500,$C31,'DADOS BRUTOS'!DM$3:DM$500)))</f>
        <v>0</v>
      </c>
      <c r="GN31" s="133" t="n">
        <f aca="false">IF(OR(GN$4="",$B31=""),0,SUMIF('DADOS BRUTOS'!$A$3:$A$500,$B31,'DADOS BRUTOS'!DN$3:DN$500)+IF($C31="",0,SUMIF('DADOS BRUTOS'!$A$3:$A$500,$C31,'DADOS BRUTOS'!DN$3:DN$500)))</f>
        <v>0</v>
      </c>
      <c r="GO31" s="133" t="n">
        <f aca="false">IF(OR(GO$4="",$B31=""),0,SUMIF('DADOS BRUTOS'!$A$3:$A$500,$B31,'DADOS BRUTOS'!DO$3:DO$500)+IF($C31="",0,SUMIF('DADOS BRUTOS'!$A$3:$A$500,$C31,'DADOS BRUTOS'!DO$3:DO$500)))</f>
        <v>0</v>
      </c>
      <c r="GP31" s="133" t="n">
        <f aca="false">IF(OR(GP$4="",$B31=""),0,SUMIF('DADOS BRUTOS'!$A$3:$A$500,$B31,'DADOS BRUTOS'!DP$3:DP$500)+IF($C31="",0,SUMIF('DADOS BRUTOS'!$A$3:$A$500,$C31,'DADOS BRUTOS'!DP$3:DP$500)))</f>
        <v>0</v>
      </c>
      <c r="GQ31" s="133" t="n">
        <f aca="false">IF(OR(GQ$4="",$B31=""),0,SUMIF('DADOS BRUTOS'!$A$3:$A$500,$B31,'DADOS BRUTOS'!DQ$3:DQ$500)+IF($C31="",0,SUMIF('DADOS BRUTOS'!$A$3:$A$500,$C31,'DADOS BRUTOS'!DQ$3:DQ$500)))</f>
        <v>0</v>
      </c>
      <c r="GR31" s="133" t="n">
        <f aca="false">IF(OR(GR$4="",$B31=""),0,SUMIF('DADOS BRUTOS'!$A$3:$A$500,$B31,'DADOS BRUTOS'!DR$3:DR$500)+IF($C31="",0,SUMIF('DADOS BRUTOS'!$A$3:$A$500,$C31,'DADOS BRUTOS'!DR$3:DR$500)))</f>
        <v>0</v>
      </c>
      <c r="GS31" s="133" t="n">
        <f aca="false">IF(OR(GS$4="",$B31=""),0,SUMIF('DADOS BRUTOS'!$A$3:$A$500,$B31,'DADOS BRUTOS'!DS$3:DS$500)+IF($C31="",0,SUMIF('DADOS BRUTOS'!$A$3:$A$500,$C31,'DADOS BRUTOS'!DS$3:DS$500)))</f>
        <v>0</v>
      </c>
      <c r="GT31" s="133" t="n">
        <f aca="false">IF(OR(GT$4="",$B31=""),0,SUMIF('DADOS BRUTOS'!$A$3:$A$500,$B31,'DADOS BRUTOS'!DT$3:DT$500)+IF($C31="",0,SUMIF('DADOS BRUTOS'!$A$3:$A$500,$C31,'DADOS BRUTOS'!DT$3:DT$500)))</f>
        <v>0</v>
      </c>
      <c r="GU31" s="133" t="n">
        <f aca="false">IF(OR(GU$4="",$B31=""),0,SUMIF('DADOS BRUTOS'!$A$3:$A$500,$B31,'DADOS BRUTOS'!DU$3:DU$500)+IF($C31="",0,SUMIF('DADOS BRUTOS'!$A$3:$A$500,$C31,'DADOS BRUTOS'!DU$3:DU$500)))</f>
        <v>0</v>
      </c>
      <c r="GV31" s="133" t="n">
        <f aca="false">IF(OR(GV$4="",$B31=""),0,SUMIF('DADOS BRUTOS'!$A$3:$A$500,$B31,'DADOS BRUTOS'!DV$3:DV$500)+IF($C31="",0,SUMIF('DADOS BRUTOS'!$A$3:$A$500,$C31,'DADOS BRUTOS'!DV$3:DV$500)))</f>
        <v>0</v>
      </c>
      <c r="GW31" s="133" t="n">
        <f aca="false">IF(OR(GW$4="",$B31=""),0,SUMIF('DADOS BRUTOS'!$A$3:$A$500,$B31,'DADOS BRUTOS'!DW$3:DW$500)+IF($C31="",0,SUMIF('DADOS BRUTOS'!$A$3:$A$500,$C31,'DADOS BRUTOS'!DW$3:DW$500)))</f>
        <v>0</v>
      </c>
      <c r="GX31" s="133" t="n">
        <f aca="false">IF(OR(GX$4="",$B31=""),0,SUMIF('DADOS BRUTOS'!$A$3:$A$500,$B31,'DADOS BRUTOS'!DX$3:DX$500)+IF($C31="",0,SUMIF('DADOS BRUTOS'!$A$3:$A$500,$C31,'DADOS BRUTOS'!DX$3:DX$500)))</f>
        <v>0</v>
      </c>
      <c r="GY31" s="133" t="n">
        <f aca="false">IF(OR(GY$4="",$B31=""),0,SUMIF('DADOS BRUTOS'!$A$3:$A$500,$B31,'DADOS BRUTOS'!DY$3:DY$500)+IF($C31="",0,SUMIF('DADOS BRUTOS'!$A$3:$A$500,$C31,'DADOS BRUTOS'!DY$3:DY$500)))</f>
        <v>0</v>
      </c>
      <c r="GZ31" s="133" t="n">
        <f aca="false">IF(OR(GZ$4="",$B31=""),0,SUMIF('DADOS BRUTOS'!$A$3:$A$500,$B31,'DADOS BRUTOS'!DZ$3:DZ$500)+IF($C31="",0,SUMIF('DADOS BRUTOS'!$A$3:$A$500,$C31,'DADOS BRUTOS'!DZ$3:DZ$500)))</f>
        <v>0</v>
      </c>
      <c r="HA31" s="133" t="n">
        <f aca="false">IF(OR(HA$4="",$B31=""),0,SUMIF('DADOS BRUTOS'!$A$3:$A$500,$B31,'DADOS BRUTOS'!EA$3:EA$500)+IF($C31="",0,SUMIF('DADOS BRUTOS'!$A$3:$A$500,$C31,'DADOS BRUTOS'!EA$3:EA$500)))</f>
        <v>0</v>
      </c>
      <c r="HB31" s="133" t="n">
        <f aca="false">IF(OR(HB$4="",$B31=""),0,SUMIF('DADOS BRUTOS'!$A$3:$A$500,$B31,'DADOS BRUTOS'!EB$3:EB$500)+IF($C31="",0,SUMIF('DADOS BRUTOS'!$A$3:$A$500,$C31,'DADOS BRUTOS'!EB$3:EB$500)))</f>
        <v>0</v>
      </c>
      <c r="HC31" s="133" t="n">
        <f aca="false">IF(OR(HC$4="",$B31=""),0,SUMIF('DADOS BRUTOS'!$A$3:$A$500,$B31,'DADOS BRUTOS'!EC$3:EC$500)+IF($C31="",0,SUMIF('DADOS BRUTOS'!$A$3:$A$500,$C31,'DADOS BRUTOS'!EC$3:EC$500)))</f>
        <v>0</v>
      </c>
      <c r="HD31" s="133" t="n">
        <f aca="false">IF(OR(HD$4="",$B31=""),0,SUMIF('DADOS BRUTOS'!$A$3:$A$500,$B31,'DADOS BRUTOS'!ED$3:ED$500)+IF($C31="",0,SUMIF('DADOS BRUTOS'!$A$3:$A$500,$C31,'DADOS BRUTOS'!ED$3:ED$500)))</f>
        <v>0</v>
      </c>
      <c r="HE31" s="133" t="n">
        <f aca="false">IF(OR(HE$4="",$B31=""),0,SUMIF('DADOS BRUTOS'!$A$3:$A$500,$B31,'DADOS BRUTOS'!EE$3:EE$500)+IF($C31="",0,SUMIF('DADOS BRUTOS'!$A$3:$A$500,$C31,'DADOS BRUTOS'!EE$3:EE$500)))</f>
        <v>0</v>
      </c>
      <c r="HF31" s="133" t="n">
        <f aca="false">IF(OR(HF$4="",$B31=""),0,SUMIF('DADOS BRUTOS'!$A$3:$A$500,$B31,'DADOS BRUTOS'!EF$3:EF$500)+IF($C31="",0,SUMIF('DADOS BRUTOS'!$A$3:$A$500,$C31,'DADOS BRUTOS'!EF$3:EF$500)))</f>
        <v>0</v>
      </c>
      <c r="HG31" s="133" t="n">
        <f aca="false">IF(OR(HG$4="",$B31=""),0,SUMIF('DADOS BRUTOS'!$A$3:$A$500,$B31,'DADOS BRUTOS'!EG$3:EG$500)+IF($C31="",0,SUMIF('DADOS BRUTOS'!$A$3:$A$500,$C31,'DADOS BRUTOS'!EG$3:EG$500)))</f>
        <v>0</v>
      </c>
      <c r="HH31" s="133" t="n">
        <f aca="false">IF(OR(HH$4="",$B31=""),0,SUMIF('DADOS BRUTOS'!$A$3:$A$500,$B31,'DADOS BRUTOS'!EH$3:EH$500)+IF($C31="",0,SUMIF('DADOS BRUTOS'!$A$3:$A$500,$C31,'DADOS BRUTOS'!EH$3:EH$500)))</f>
        <v>0</v>
      </c>
      <c r="HI31" s="133" t="n">
        <f aca="false">IF(OR(HI$4="",$B31=""),0,SUMIF('DADOS BRUTOS'!$A$3:$A$500,$B31,'DADOS BRUTOS'!EI$3:EI$500)+IF($C31="",0,SUMIF('DADOS BRUTOS'!$A$3:$A$500,$C31,'DADOS BRUTOS'!EI$3:EI$500)))</f>
        <v>0</v>
      </c>
      <c r="HJ31" s="133" t="n">
        <f aca="false">IF(OR(HJ$4="",$B31=""),0,SUMIF('DADOS BRUTOS'!$A$3:$A$500,$B31,'DADOS BRUTOS'!EJ$3:EJ$500)+IF($C31="",0,SUMIF('DADOS BRUTOS'!$A$3:$A$500,$C31,'DADOS BRUTOS'!EJ$3:EJ$500)))</f>
        <v>0</v>
      </c>
      <c r="HK31" s="133" t="n">
        <f aca="false">IF(OR(HK$4="",$B31=""),0,SUMIF('DADOS BRUTOS'!$A$3:$A$500,$B31,'DADOS BRUTOS'!EK$3:EK$500)+IF($C31="",0,SUMIF('DADOS BRUTOS'!$A$3:$A$500,$C31,'DADOS BRUTOS'!EK$3:EK$500)))</f>
        <v>0</v>
      </c>
      <c r="HL31" s="133" t="n">
        <f aca="false">IF(OR(HL$4="",$B31=""),0,SUMIF('DADOS BRUTOS'!$A$3:$A$500,$B31,'DADOS BRUTOS'!EL$3:EL$500)+IF($C31="",0,SUMIF('DADOS BRUTOS'!$A$3:$A$500,$C31,'DADOS BRUTOS'!EL$3:EL$500)))</f>
        <v>0</v>
      </c>
      <c r="HM31" s="133" t="n">
        <f aca="false">IF(OR(HM$4="",$B31=""),0,SUMIF('DADOS BRUTOS'!$A$3:$A$500,$B31,'DADOS BRUTOS'!EM$3:EM$500)+IF($C31="",0,SUMIF('DADOS BRUTOS'!$A$3:$A$500,$C31,'DADOS BRUTOS'!EM$3:EM$500)))</f>
        <v>0</v>
      </c>
      <c r="HN31" s="133" t="n">
        <f aca="false">IF(OR(HN$4="",$B31=""),0,SUMIF('DADOS BRUTOS'!$A$3:$A$500,$B31,'DADOS BRUTOS'!EN$3:EN$500)+IF($C31="",0,SUMIF('DADOS BRUTOS'!$A$3:$A$500,$C31,'DADOS BRUTOS'!EN$3:EN$500)))</f>
        <v>0</v>
      </c>
      <c r="HO31" s="133" t="n">
        <f aca="false">IF(OR(HO$4="",$B31=""),0,SUMIF('DADOS BRUTOS'!$A$3:$A$500,$B31,'DADOS BRUTOS'!EO$3:EO$500)+IF($C31="",0,SUMIF('DADOS BRUTOS'!$A$3:$A$500,$C31,'DADOS BRUTOS'!EO$3:EO$500)))</f>
        <v>0</v>
      </c>
      <c r="HP31" s="133" t="n">
        <f aca="false">IF(OR(HP$4="",$B31=""),0,SUMIF('DADOS BRUTOS'!$A$3:$A$500,$B31,'DADOS BRUTOS'!EP$3:EP$500)+IF($C31="",0,SUMIF('DADOS BRUTOS'!$A$3:$A$500,$C31,'DADOS BRUTOS'!EP$3:EP$500)))</f>
        <v>0</v>
      </c>
      <c r="HQ31" s="133" t="n">
        <f aca="false">IF(OR(HQ$4="",$B31=""),0,SUMIF('DADOS BRUTOS'!$A$3:$A$500,$B31,'DADOS BRUTOS'!EQ$3:EQ$500)+IF($C31="",0,SUMIF('DADOS BRUTOS'!$A$3:$A$500,$C31,'DADOS BRUTOS'!EQ$3:EQ$500)))</f>
        <v>0</v>
      </c>
      <c r="HR31" s="133" t="n">
        <f aca="false">IF(OR(HR$4="",$B31=""),0,SUMIF('DADOS BRUTOS'!$A$3:$A$500,$B31,'DADOS BRUTOS'!ER$3:ER$500)+IF($C31="",0,SUMIF('DADOS BRUTOS'!$A$3:$A$500,$C31,'DADOS BRUTOS'!ER$3:ER$500)))</f>
        <v>0</v>
      </c>
      <c r="HS31" s="133" t="n">
        <f aca="false">IF(OR(HS$4="",$B31=""),0,SUMIF('DADOS BRUTOS'!$A$3:$A$500,$B31,'DADOS BRUTOS'!ES$3:ES$500)+IF($C31="",0,SUMIF('DADOS BRUTOS'!$A$3:$A$500,$C31,'DADOS BRUTOS'!ES$3:ES$500)))</f>
        <v>0</v>
      </c>
      <c r="HT31" s="133" t="n">
        <f aca="false">IF(OR(HT$4="",$B31=""),0,SUMIF('DADOS BRUTOS'!$A$3:$A$500,$B31,'DADOS BRUTOS'!ET$3:ET$500)+IF($C31="",0,SUMIF('DADOS BRUTOS'!$A$3:$A$500,$C31,'DADOS BRUTOS'!ET$3:ET$500)))</f>
        <v>0</v>
      </c>
      <c r="HU31" s="133" t="n">
        <f aca="false">IF(OR(HU$4="",$B31=""),0,SUMIF('DADOS BRUTOS'!$A$3:$A$500,$B31,'DADOS BRUTOS'!EU$3:EU$500)+IF($C31="",0,SUMIF('DADOS BRUTOS'!$A$3:$A$500,$C31,'DADOS BRUTOS'!EU$3:EU$500)))</f>
        <v>0</v>
      </c>
      <c r="HV31" s="133" t="n">
        <f aca="false">IF(OR(HV$4="",$B31=""),0,SUMIF('DADOS BRUTOS'!$A$3:$A$500,$B31,'DADOS BRUTOS'!EV$3:EV$500)+IF($C31="",0,SUMIF('DADOS BRUTOS'!$A$3:$A$500,$C31,'DADOS BRUTOS'!EV$3:EV$500)))</f>
        <v>0</v>
      </c>
      <c r="HW31" s="133" t="n">
        <f aca="false">IF(OR(HW$4="",$B31=""),0,SUMIF('DADOS BRUTOS'!$A$3:$A$500,$B31,'DADOS BRUTOS'!EW$3:EW$500)+IF($C31="",0,SUMIF('DADOS BRUTOS'!$A$3:$A$500,$C31,'DADOS BRUTOS'!EW$3:EW$500)))</f>
        <v>0</v>
      </c>
      <c r="HX31" s="133" t="n">
        <f aca="false">IF(OR(HX$4="",$B31=""),0,SUMIF('DADOS BRUTOS'!$A$3:$A$500,$B31,'DADOS BRUTOS'!EX$3:EX$500)+IF($C31="",0,SUMIF('DADOS BRUTOS'!$A$3:$A$500,$C31,'DADOS BRUTOS'!EX$3:EX$500)))</f>
        <v>0</v>
      </c>
      <c r="HY31" s="133" t="n">
        <f aca="false">IF(OR(HY$4="",$B31=""),0,SUMIF('DADOS BRUTOS'!$A$3:$A$500,$B31,'DADOS BRUTOS'!EY$3:EY$500)+IF($C31="",0,SUMIF('DADOS BRUTOS'!$A$3:$A$500,$C31,'DADOS BRUTOS'!EY$3:EY$500)))</f>
        <v>0</v>
      </c>
      <c r="HZ31" s="133" t="n">
        <f aca="false">IF(OR(HZ$4="",$B31=""),0,SUMIF('DADOS BRUTOS'!$A$3:$A$500,$B31,'DADOS BRUTOS'!EZ$3:EZ$500)+IF($C31="",0,SUMIF('DADOS BRUTOS'!$A$3:$A$500,$C31,'DADOS BRUTOS'!EZ$3:EZ$500)))</f>
        <v>0</v>
      </c>
      <c r="IA31" s="133" t="n">
        <f aca="false">IF(OR(IA$4="",$B31=""),0,SUMIF('DADOS BRUTOS'!$A$3:$A$500,$B31,'DADOS BRUTOS'!FA$3:FA$500)+IF($C31="",0,SUMIF('DADOS BRUTOS'!$A$3:$A$500,$C31,'DADOS BRUTOS'!FA$3:FA$500)))</f>
        <v>0</v>
      </c>
      <c r="IB31" s="133" t="n">
        <f aca="false">IF(OR(IB$4="",$B31=""),0,SUMIF('DADOS BRUTOS'!$A$3:$A$500,$B31,'DADOS BRUTOS'!FB$3:FB$500)+IF($C31="",0,SUMIF('DADOS BRUTOS'!$A$3:$A$500,$C31,'DADOS BRUTOS'!FB$3:FB$500)))</f>
        <v>0</v>
      </c>
      <c r="IC31" s="133" t="n">
        <f aca="false">IF(OR(IC$4="",$B31=""),0,SUMIF('DADOS BRUTOS'!$A$3:$A$500,$B31,'DADOS BRUTOS'!FC$3:FC$500)+IF($C31="",0,SUMIF('DADOS BRUTOS'!$A$3:$A$500,$C31,'DADOS BRUTOS'!FC$3:FC$500)))</f>
        <v>0</v>
      </c>
      <c r="ID31" s="133" t="n">
        <f aca="false">IF(OR(ID$4="",$B31=""),0,SUMIF('DADOS BRUTOS'!$A$3:$A$500,$B31,'DADOS BRUTOS'!FD$3:FD$500)+IF($C31="",0,SUMIF('DADOS BRUTOS'!$A$3:$A$500,$C31,'DADOS BRUTOS'!FD$3:FD$500)))</f>
        <v>0</v>
      </c>
      <c r="IE31" s="133" t="n">
        <f aca="false">IF(OR(IE$4="",$B31=""),0,SUMIF('DADOS BRUTOS'!$A$3:$A$500,$B31,'DADOS BRUTOS'!FE$3:FE$500)+IF($C31="",0,SUMIF('DADOS BRUTOS'!$A$3:$A$500,$C31,'DADOS BRUTOS'!FE$3:FE$500)))</f>
        <v>0</v>
      </c>
      <c r="IF31" s="133" t="n">
        <f aca="false">IF(OR(IF$4="",$B31=""),0,SUMIF('DADOS BRUTOS'!$A$3:$A$500,$B31,'DADOS BRUTOS'!FF$3:FF$500)+IF($C31="",0,SUMIF('DADOS BRUTOS'!$A$3:$A$500,$C31,'DADOS BRUTOS'!FF$3:FF$500)))</f>
        <v>0</v>
      </c>
      <c r="IG31" s="133" t="n">
        <f aca="false">IF(OR(IG$4="",$B31=""),0,SUMIF('DADOS BRUTOS'!$A$3:$A$500,$B31,'DADOS BRUTOS'!FG$3:FG$500)+IF($C31="",0,SUMIF('DADOS BRUTOS'!$A$3:$A$500,$C31,'DADOS BRUTOS'!FG$3:FG$500)))</f>
        <v>0</v>
      </c>
      <c r="IH31" s="133" t="n">
        <f aca="false">IF(OR(IH$4="",$B31=""),0,SUMIF('DADOS BRUTOS'!$A$3:$A$500,$B31,'DADOS BRUTOS'!FH$3:FH$500)+IF($C31="",0,SUMIF('DADOS BRUTOS'!$A$3:$A$500,$C31,'DADOS BRUTOS'!FH$3:FH$500)))</f>
        <v>0</v>
      </c>
      <c r="II31" s="133" t="n">
        <f aca="false">IF(OR(II$4="",$B31=""),0,SUMIF('DADOS BRUTOS'!$A$3:$A$500,$B31,'DADOS BRUTOS'!FI$3:FI$500)+IF($C31="",0,SUMIF('DADOS BRUTOS'!$A$3:$A$500,$C31,'DADOS BRUTOS'!FI$3:FI$500)))</f>
        <v>0</v>
      </c>
      <c r="IJ31" s="133" t="n">
        <f aca="false">IF(OR(IJ$4="",$B31=""),0,SUMIF('DADOS BRUTOS'!$A$3:$A$500,$B31,'DADOS BRUTOS'!FJ$3:FJ$500)+IF($C31="",0,SUMIF('DADOS BRUTOS'!$A$3:$A$500,$C31,'DADOS BRUTOS'!FJ$3:FJ$500)))</f>
        <v>0</v>
      </c>
      <c r="IK31" s="133" t="n">
        <f aca="false">IF(OR(IK$4="",$B31=""),0,SUMIF('DADOS BRUTOS'!$A$3:$A$500,$B31,'DADOS BRUTOS'!FK$3:FK$500)+IF($C31="",0,SUMIF('DADOS BRUTOS'!$A$3:$A$500,$C31,'DADOS BRUTOS'!FK$3:FK$500)))</f>
        <v>0</v>
      </c>
      <c r="IL31" s="133" t="n">
        <f aca="false">IF(OR(IL$4="",$B31=""),0,SUMIF('DADOS BRUTOS'!$A$3:$A$500,$B31,'DADOS BRUTOS'!FL$3:FL$500)+IF($C31="",0,SUMIF('DADOS BRUTOS'!$A$3:$A$500,$C31,'DADOS BRUTOS'!FL$3:FL$500)))</f>
        <v>0</v>
      </c>
      <c r="IM31" s="133" t="n">
        <f aca="false">IF(OR(IM$4="",$B31=""),0,SUMIF('DADOS BRUTOS'!$A$3:$A$500,$B31,'DADOS BRUTOS'!FM$3:FM$500)+IF($C31="",0,SUMIF('DADOS BRUTOS'!$A$3:$A$500,$C31,'DADOS BRUTOS'!FM$3:FM$500)))</f>
        <v>0</v>
      </c>
      <c r="IN31" s="133" t="n">
        <f aca="false">IF(OR(IN$4="",$B31=""),0,SUMIF('DADOS BRUTOS'!$A$3:$A$500,$B31,'DADOS BRUTOS'!FN$3:FN$500)+IF($C31="",0,SUMIF('DADOS BRUTOS'!$A$3:$A$500,$C31,'DADOS BRUTOS'!FN$3:FN$500)))</f>
        <v>0</v>
      </c>
      <c r="IO31" s="133" t="n">
        <f aca="false">IF(OR(IO$4="",$B31=""),0,SUMIF('DADOS BRUTOS'!$A$3:$A$500,$B31,'DADOS BRUTOS'!FO$3:FO$500)+IF($C31="",0,SUMIF('DADOS BRUTOS'!$A$3:$A$500,$C31,'DADOS BRUTOS'!FO$3:FO$500)))</f>
        <v>0</v>
      </c>
      <c r="IP31" s="133" t="n">
        <f aca="false">IF(OR(IP$4="",$B31=""),0,SUMIF('DADOS BRUTOS'!$A$3:$A$500,$B31,'DADOS BRUTOS'!FP$3:FP$500)+IF($C31="",0,SUMIF('DADOS BRUTOS'!$A$3:$A$500,$C31,'DADOS BRUTOS'!FP$3:FP$500)))</f>
        <v>0</v>
      </c>
      <c r="IQ31" s="133" t="n">
        <f aca="false">IF(OR(IQ$4="",$B31=""),0,SUMIF('DADOS BRUTOS'!$A$3:$A$500,$B31,'DADOS BRUTOS'!FQ$3:FQ$500)+IF($C31="",0,SUMIF('DADOS BRUTOS'!$A$3:$A$500,$C31,'DADOS BRUTOS'!FQ$3:FQ$500)))</f>
        <v>0</v>
      </c>
      <c r="IR31" s="133" t="n">
        <f aca="false">IF(OR(IR$4="",$B31=""),0,SUMIF('DADOS BRUTOS'!$A$3:$A$500,$B31,'DADOS BRUTOS'!FR$3:FR$500)+IF($C31="",0,SUMIF('DADOS BRUTOS'!$A$3:$A$500,$C31,'DADOS BRUTOS'!FR$3:FR$500)))</f>
        <v>0</v>
      </c>
      <c r="IS31" s="133" t="n">
        <f aca="false">IF(OR(IS$4="",$B31=""),0,SUMIF('DADOS BRUTOS'!$A$3:$A$500,$B31,'DADOS BRUTOS'!FS$3:FS$500)+IF($C31="",0,SUMIF('DADOS BRUTOS'!$A$3:$A$500,$C31,'DADOS BRUTOS'!FS$3:FS$500)))</f>
        <v>0</v>
      </c>
      <c r="IT31" s="133" t="n">
        <f aca="false">IF(OR(IT$4="",$B31=""),0,SUMIF('DADOS BRUTOS'!$A$3:$A$500,$B31,'DADOS BRUTOS'!FT$3:FT$500)+IF($C31="",0,SUMIF('DADOS BRUTOS'!$A$3:$A$500,$C31,'DADOS BRUTOS'!FT$3:FT$500)))</f>
        <v>0</v>
      </c>
      <c r="IU31" s="133" t="n">
        <f aca="false">IF(OR(IU$4="",$B31=""),0,SUMIF('DADOS BRUTOS'!$A$3:$A$500,$B31,'DADOS BRUTOS'!FU$3:FU$500)+IF($C31="",0,SUMIF('DADOS BRUTOS'!$A$3:$A$500,$C31,'DADOS BRUTOS'!FU$3:FU$500)))</f>
        <v>0</v>
      </c>
      <c r="IV31" s="133" t="n">
        <f aca="false">IF(OR(IV$4="",$B31=""),0,SUMIF('DADOS BRUTOS'!$A$3:$A$500,$B31,'DADOS BRUTOS'!FV$3:FV$500)+IF($C31="",0,SUMIF('DADOS BRUTOS'!$A$3:$A$500,$C31,'DADOS BRUTOS'!FV$3:FV$500)))</f>
        <v>0</v>
      </c>
      <c r="IW31" s="133" t="n">
        <f aca="false">IF(OR(IW$4="",$B31=""),0,SUMIF('DADOS BRUTOS'!$A$3:$A$500,$B31,'DADOS BRUTOS'!FW$3:FW$500)+IF($C31="",0,SUMIF('DADOS BRUTOS'!$A$3:$A$500,$C31,'DADOS BRUTOS'!FW$3:FW$500)))</f>
        <v>0</v>
      </c>
      <c r="IX31" s="133" t="n">
        <f aca="false">IF(OR(IX$4="",$B31=""),0,SUMIF('DADOS BRUTOS'!$A$3:$A$500,$B31,'DADOS BRUTOS'!FX$3:FX$500)+IF($C31="",0,SUMIF('DADOS BRUTOS'!$A$3:$A$500,$C31,'DADOS BRUTOS'!FX$3:FX$500)))</f>
        <v>0</v>
      </c>
      <c r="IY31" s="133" t="n">
        <f aca="false">IF(OR(IY$4="",$B31=""),0,SUMIF('DADOS BRUTOS'!$A$3:$A$500,$B31,'DADOS BRUTOS'!FY$3:FY$500)+IF($C31="",0,SUMIF('DADOS BRUTOS'!$A$3:$A$500,$C31,'DADOS BRUTOS'!FY$3:FY$500)))</f>
        <v>0</v>
      </c>
      <c r="IZ31" s="133" t="n">
        <f aca="false">IF(OR(IZ$4="",$B31=""),0,SUMIF('DADOS BRUTOS'!$A$3:$A$500,$B31,'DADOS BRUTOS'!FZ$3:FZ$500)+IF($C31="",0,SUMIF('DADOS BRUTOS'!$A$3:$A$500,$C31,'DADOS BRUTOS'!FZ$3:FZ$500)))</f>
        <v>0</v>
      </c>
      <c r="JA31" s="133" t="n">
        <f aca="false">IF(OR(JA$4="",$B31=""),0,SUMIF('DADOS BRUTOS'!$A$3:$A$500,$B31,'DADOS BRUTOS'!GA$3:GA$500)+IF($C31="",0,SUMIF('DADOS BRUTOS'!$A$3:$A$500,$C31,'DADOS BRUTOS'!GA$3:GA$500)))</f>
        <v>0</v>
      </c>
      <c r="JB31" s="133" t="n">
        <f aca="false">IF(OR(JB$4="",$B31=""),0,SUMIF('DADOS BRUTOS'!$A$3:$A$500,$B31,'DADOS BRUTOS'!GB$3:GB$500)+IF($C31="",0,SUMIF('DADOS BRUTOS'!$A$3:$A$500,$C31,'DADOS BRUTOS'!GB$3:GB$500)))</f>
        <v>0</v>
      </c>
      <c r="JC31" s="133" t="n">
        <f aca="false">IF(OR(JC$4="",$B31=""),0,SUMIF('DADOS BRUTOS'!$A$3:$A$500,$B31,'DADOS BRUTOS'!GC$3:GC$500)+IF($C31="",0,SUMIF('DADOS BRUTOS'!$A$3:$A$500,$C31,'DADOS BRUTOS'!GC$3:GC$500)))</f>
        <v>0</v>
      </c>
      <c r="JD31" s="133" t="n">
        <f aca="false">IF(OR(JD$4="",$B31=""),0,SUMIF('DADOS BRUTOS'!$A$3:$A$500,$B31,'DADOS BRUTOS'!GD$3:GD$500)+IF($C31="",0,SUMIF('DADOS BRUTOS'!$A$3:$A$500,$C31,'DADOS BRUTOS'!GD$3:GD$500)))</f>
        <v>0</v>
      </c>
      <c r="JE31" s="133" t="n">
        <f aca="false">IF(OR(JE$4="",$B31=""),0,SUMIF('DADOS BRUTOS'!$A$3:$A$500,$B31,'DADOS BRUTOS'!GE$3:GE$500)+IF($C31="",0,SUMIF('DADOS BRUTOS'!$A$3:$A$500,$C31,'DADOS BRUTOS'!GE$3:GE$500)))</f>
        <v>0</v>
      </c>
      <c r="JF31" s="133" t="n">
        <f aca="false">IF(OR(JF$4="",$B31=""),0,SUMIF('DADOS BRUTOS'!$A$3:$A$500,$B31,'DADOS BRUTOS'!GF$3:GF$500)+IF($C31="",0,SUMIF('DADOS BRUTOS'!$A$3:$A$500,$C31,'DADOS BRUTOS'!GF$3:GF$500)))</f>
        <v>0</v>
      </c>
      <c r="JG31" s="133" t="n">
        <f aca="false">IF(OR(JG$4="",$B31=""),0,SUMIF('DADOS BRUTOS'!$A$3:$A$500,$B31,'DADOS BRUTOS'!GG$3:GG$500)+IF($C31="",0,SUMIF('DADOS BRUTOS'!$A$3:$A$500,$C31,'DADOS BRUTOS'!GG$3:GG$500)))</f>
        <v>0</v>
      </c>
      <c r="JH31" s="133" t="n">
        <f aca="false">IF(OR(JH$4="",$B31=""),0,SUMIF('DADOS BRUTOS'!$A$3:$A$500,$B31,'DADOS BRUTOS'!GH$3:GH$500)+IF($C31="",0,SUMIF('DADOS BRUTOS'!$A$3:$A$500,$C31,'DADOS BRUTOS'!GH$3:GH$500)))</f>
        <v>0</v>
      </c>
      <c r="JI31" s="133" t="n">
        <f aca="false">IF(OR(JI$4="",$B31=""),0,SUMIF('DADOS BRUTOS'!$A$3:$A$500,$B31,'DADOS BRUTOS'!GI$3:GI$500)+IF($C31="",0,SUMIF('DADOS BRUTOS'!$A$3:$A$500,$C31,'DADOS BRUTOS'!GI$3:GI$500)))</f>
        <v>0</v>
      </c>
      <c r="JJ31" s="133" t="n">
        <f aca="false">IF(OR(JJ$4="",$B31=""),0,SUMIF('DADOS BRUTOS'!$A$3:$A$500,$B31,'DADOS BRUTOS'!GJ$3:GJ$500)+IF($C31="",0,SUMIF('DADOS BRUTOS'!$A$3:$A$500,$C31,'DADOS BRUTOS'!GJ$3:GJ$500)))</f>
        <v>0</v>
      </c>
      <c r="JK31" s="133" t="n">
        <f aca="false">IF(OR(JK$4="",$B31=""),0,SUMIF('DADOS BRUTOS'!$A$3:$A$500,$B31,'DADOS BRUTOS'!GK$3:GK$500)+IF($C31="",0,SUMIF('DADOS BRUTOS'!$A$3:$A$500,$C31,'DADOS BRUTOS'!GK$3:GK$500)))</f>
        <v>0</v>
      </c>
      <c r="JL31" s="133" t="n">
        <f aca="false">IF(OR(JL$4="",$B31=""),0,SUMIF('DADOS BRUTOS'!$A$3:$A$500,$B31,'DADOS BRUTOS'!GL$3:GL$500)+IF($C31="",0,SUMIF('DADOS BRUTOS'!$A$3:$A$500,$C31,'DADOS BRUTOS'!GL$3:GL$500)))</f>
        <v>0</v>
      </c>
      <c r="JM31" s="133" t="n">
        <f aca="false">IF(OR(JM$4="",$B31=""),0,SUMIF('DADOS BRUTOS'!$A$3:$A$500,$B31,'DADOS BRUTOS'!GM$3:GM$500)+IF($C31="",0,SUMIF('DADOS BRUTOS'!$A$3:$A$500,$C31,'DADOS BRUTOS'!GM$3:GM$500)))</f>
        <v>0</v>
      </c>
      <c r="JN31" s="133" t="n">
        <f aca="false">IF(OR(JN$4="",$B31=""),0,SUMIF('DADOS BRUTOS'!$A$3:$A$500,$B31,'DADOS BRUTOS'!GN$3:GN$500)+IF($C31="",0,SUMIF('DADOS BRUTOS'!$A$3:$A$500,$C31,'DADOS BRUTOS'!GN$3:GN$500)))</f>
        <v>0</v>
      </c>
      <c r="JO31" s="133" t="n">
        <f aca="false">IF(OR(JO$4="",$B31=""),0,SUMIF('DADOS BRUTOS'!$A$3:$A$500,$B31,'DADOS BRUTOS'!GO$3:GO$500)+IF($C31="",0,SUMIF('DADOS BRUTOS'!$A$3:$A$500,$C31,'DADOS BRUTOS'!GO$3:GO$500)))</f>
        <v>0</v>
      </c>
      <c r="JP31" s="133" t="n">
        <f aca="false">IF(OR(JP$4="",$B31=""),0,SUMIF('DADOS BRUTOS'!$A$3:$A$500,$B31,'DADOS BRUTOS'!GP$3:GP$500)+IF($C31="",0,SUMIF('DADOS BRUTOS'!$A$3:$A$500,$C31,'DADOS BRUTOS'!GP$3:GP$500)))</f>
        <v>0</v>
      </c>
      <c r="JQ31" s="133" t="n">
        <f aca="false">IF(OR(JQ$4="",$B31=""),0,SUMIF('DADOS BRUTOS'!$A$3:$A$500,$B31,'DADOS BRUTOS'!GQ$3:GQ$500)+IF($C31="",0,SUMIF('DADOS BRUTOS'!$A$3:$A$500,$C31,'DADOS BRUTOS'!GQ$3:GQ$500)))</f>
        <v>0</v>
      </c>
      <c r="JR31" s="133" t="n">
        <f aca="false">IF(OR(JR$4="",$B31=""),0,SUMIF('DADOS BRUTOS'!$A$3:$A$500,$B31,'DADOS BRUTOS'!GR$3:GR$500)+IF($C31="",0,SUMIF('DADOS BRUTOS'!$A$3:$A$500,$C31,'DADOS BRUTOS'!GR$3:GR$500)))</f>
        <v>0</v>
      </c>
      <c r="JS31" s="133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200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3" t="n">
        <f aca="false">IF(OR(CB$4="",$B32=""),0,SUMIF('DADOS BRUTOS'!$A$3:$A$500,$B32,'DADOS BRUTOS'!B$3:B$500)+IF($C32="",0,SUMIF('DADOS BRUTOS'!$A$3:$A$500,$C32,'DADOS BRUTOS'!B$3:B$500)))</f>
        <v>0</v>
      </c>
      <c r="CC32" s="133" t="n">
        <f aca="false">IF(OR(CC$4="",$B32=""),0,SUMIF('DADOS BRUTOS'!$A$3:$A$500,$B32,'DADOS BRUTOS'!C$3:C$500)+IF($C32="",0,SUMIF('DADOS BRUTOS'!$A$3:$A$500,$C32,'DADOS BRUTOS'!C$3:C$500)))</f>
        <v>0</v>
      </c>
      <c r="CD32" s="133" t="n">
        <f aca="false">IF(OR(CD$4="",$B32=""),0,SUMIF('DADOS BRUTOS'!$A$3:$A$500,$B32,'DADOS BRUTOS'!D$3:D$500)+IF($C32="",0,SUMIF('DADOS BRUTOS'!$A$3:$A$500,$C32,'DADOS BRUTOS'!D$3:D$500)))</f>
        <v>0</v>
      </c>
      <c r="CE32" s="133" t="n">
        <f aca="false">IF(OR(CE$4="",$B32=""),0,SUMIF('DADOS BRUTOS'!$A$3:$A$500,$B32,'DADOS BRUTOS'!E$3:E$500)+IF($C32="",0,SUMIF('DADOS BRUTOS'!$A$3:$A$500,$C32,'DADOS BRUTOS'!E$3:E$500)))</f>
        <v>0</v>
      </c>
      <c r="CF32" s="133" t="n">
        <f aca="false">IF(OR(CF$4="",$B32=""),0,SUMIF('DADOS BRUTOS'!$A$3:$A$500,$B32,'DADOS BRUTOS'!F$3:F$500)+IF($C32="",0,SUMIF('DADOS BRUTOS'!$A$3:$A$500,$C32,'DADOS BRUTOS'!F$3:F$500)))</f>
        <v>0</v>
      </c>
      <c r="CG32" s="133" t="n">
        <f aca="false">IF(OR(CG$4="",$B32=""),0,SUMIF('DADOS BRUTOS'!$A$3:$A$500,$B32,'DADOS BRUTOS'!G$3:G$500)+IF($C32="",0,SUMIF('DADOS BRUTOS'!$A$3:$A$500,$C32,'DADOS BRUTOS'!G$3:G$500)))</f>
        <v>0</v>
      </c>
      <c r="CH32" s="133" t="n">
        <f aca="false">IF(OR(CH$4="",$B32=""),0,SUMIF('DADOS BRUTOS'!$A$3:$A$500,$B32,'DADOS BRUTOS'!H$3:H$500)+IF($C32="",0,SUMIF('DADOS BRUTOS'!$A$3:$A$500,$C32,'DADOS BRUTOS'!H$3:H$500)))</f>
        <v>0</v>
      </c>
      <c r="CI32" s="133" t="n">
        <f aca="false">IF(OR(CI$4="",$B32=""),0,SUMIF('DADOS BRUTOS'!$A$3:$A$500,$B32,'DADOS BRUTOS'!I$3:I$500)+IF($C32="",0,SUMIF('DADOS BRUTOS'!$A$3:$A$500,$C32,'DADOS BRUTOS'!I$3:I$500)))</f>
        <v>0</v>
      </c>
      <c r="CJ32" s="133" t="n">
        <f aca="false">IF(OR(CJ$4="",$B32=""),0,SUMIF('DADOS BRUTOS'!$A$3:$A$500,$B32,'DADOS BRUTOS'!J$3:J$500)+IF($C32="",0,SUMIF('DADOS BRUTOS'!$A$3:$A$500,$C32,'DADOS BRUTOS'!J$3:J$500)))</f>
        <v>0</v>
      </c>
      <c r="CK32" s="133" t="n">
        <f aca="false">IF(OR(CK$4="",$B32=""),0,SUMIF('DADOS BRUTOS'!$A$3:$A$500,$B32,'DADOS BRUTOS'!K$3:K$500)+IF($C32="",0,SUMIF('DADOS BRUTOS'!$A$3:$A$500,$C32,'DADOS BRUTOS'!K$3:K$500)))</f>
        <v>0</v>
      </c>
      <c r="CL32" s="133" t="n">
        <f aca="false">IF(OR(CL$4="",$B32=""),0,SUMIF('DADOS BRUTOS'!$A$3:$A$500,$B32,'DADOS BRUTOS'!L$3:L$500)+IF($C32="",0,SUMIF('DADOS BRUTOS'!$A$3:$A$500,$C32,'DADOS BRUTOS'!L$3:L$500)))</f>
        <v>0</v>
      </c>
      <c r="CM32" s="133" t="n">
        <f aca="false">IF(OR(CM$4="",$B32=""),0,SUMIF('DADOS BRUTOS'!$A$3:$A$500,$B32,'DADOS BRUTOS'!M$3:M$500)+IF($C32="",0,SUMIF('DADOS BRUTOS'!$A$3:$A$500,$C32,'DADOS BRUTOS'!M$3:M$500)))</f>
        <v>0</v>
      </c>
      <c r="CN32" s="133" t="n">
        <f aca="false">IF(OR(CN$4="",$B32=""),0,SUMIF('DADOS BRUTOS'!$A$3:$A$500,$B32,'DADOS BRUTOS'!N$3:N$500)+IF($C32="",0,SUMIF('DADOS BRUTOS'!$A$3:$A$500,$C32,'DADOS BRUTOS'!N$3:N$500)))</f>
        <v>0</v>
      </c>
      <c r="CO32" s="133" t="n">
        <f aca="false">IF(OR(CO$4="",$B32=""),0,SUMIF('DADOS BRUTOS'!$A$3:$A$500,$B32,'DADOS BRUTOS'!O$3:O$500)+IF($C32="",0,SUMIF('DADOS BRUTOS'!$A$3:$A$500,$C32,'DADOS BRUTOS'!O$3:O$500)))</f>
        <v>0</v>
      </c>
      <c r="CP32" s="133" t="n">
        <f aca="false">IF(OR(CP$4="",$B32=""),0,SUMIF('DADOS BRUTOS'!$A$3:$A$500,$B32,'DADOS BRUTOS'!P$3:P$500)+IF($C32="",0,SUMIF('DADOS BRUTOS'!$A$3:$A$500,$C32,'DADOS BRUTOS'!P$3:P$500)))</f>
        <v>0</v>
      </c>
      <c r="CQ32" s="133" t="n">
        <f aca="false">IF(OR(CQ$4="",$B32=""),0,SUMIF('DADOS BRUTOS'!$A$3:$A$500,$B32,'DADOS BRUTOS'!Q$3:Q$500)+IF($C32="",0,SUMIF('DADOS BRUTOS'!$A$3:$A$500,$C32,'DADOS BRUTOS'!Q$3:Q$500)))</f>
        <v>0</v>
      </c>
      <c r="CR32" s="133" t="n">
        <f aca="false">IF(OR(CR$4="",$B32=""),0,SUMIF('DADOS BRUTOS'!$A$3:$A$500,$B32,'DADOS BRUTOS'!R$3:R$500)+IF($C32="",0,SUMIF('DADOS BRUTOS'!$A$3:$A$500,$C32,'DADOS BRUTOS'!R$3:R$500)))</f>
        <v>0</v>
      </c>
      <c r="CS32" s="133" t="n">
        <f aca="false">IF(OR(CS$4="",$B32=""),0,SUMIF('DADOS BRUTOS'!$A$3:$A$500,$B32,'DADOS BRUTOS'!S$3:S$500)+IF($C32="",0,SUMIF('DADOS BRUTOS'!$A$3:$A$500,$C32,'DADOS BRUTOS'!S$3:S$500)))</f>
        <v>0</v>
      </c>
      <c r="CT32" s="133" t="n">
        <f aca="false">IF(OR(CT$4="",$B32=""),0,SUMIF('DADOS BRUTOS'!$A$3:$A$500,$B32,'DADOS BRUTOS'!T$3:T$500)+IF($C32="",0,SUMIF('DADOS BRUTOS'!$A$3:$A$500,$C32,'DADOS BRUTOS'!T$3:T$500)))</f>
        <v>0</v>
      </c>
      <c r="CU32" s="133" t="n">
        <f aca="false">IF(OR(CU$4="",$B32=""),0,SUMIF('DADOS BRUTOS'!$A$3:$A$500,$B32,'DADOS BRUTOS'!U$3:U$500)+IF($C32="",0,SUMIF('DADOS BRUTOS'!$A$3:$A$500,$C32,'DADOS BRUTOS'!U$3:U$500)))</f>
        <v>0</v>
      </c>
      <c r="CV32" s="133" t="n">
        <f aca="false">IF(OR(CV$4="",$B32=""),0,SUMIF('DADOS BRUTOS'!$A$3:$A$500,$B32,'DADOS BRUTOS'!V$3:V$500)+IF($C32="",0,SUMIF('DADOS BRUTOS'!$A$3:$A$500,$C32,'DADOS BRUTOS'!V$3:V$500)))</f>
        <v>0</v>
      </c>
      <c r="CW32" s="133" t="n">
        <f aca="false">IF(OR(CW$4="",$B32=""),0,SUMIF('DADOS BRUTOS'!$A$3:$A$500,$B32,'DADOS BRUTOS'!W$3:W$500)+IF($C32="",0,SUMIF('DADOS BRUTOS'!$A$3:$A$500,$C32,'DADOS BRUTOS'!W$3:W$500)))</f>
        <v>0</v>
      </c>
      <c r="CX32" s="133" t="n">
        <f aca="false">IF(OR(CX$4="",$B32=""),0,SUMIF('DADOS BRUTOS'!$A$3:$A$500,$B32,'DADOS BRUTOS'!X$3:X$500)+IF($C32="",0,SUMIF('DADOS BRUTOS'!$A$3:$A$500,$C32,'DADOS BRUTOS'!X$3:X$500)))</f>
        <v>0</v>
      </c>
      <c r="CY32" s="133" t="n">
        <f aca="false">IF(OR(CY$4="",$B32=""),0,SUMIF('DADOS BRUTOS'!$A$3:$A$500,$B32,'DADOS BRUTOS'!Y$3:Y$500)+IF($C32="",0,SUMIF('DADOS BRUTOS'!$A$3:$A$500,$C32,'DADOS BRUTOS'!Y$3:Y$500)))</f>
        <v>0</v>
      </c>
      <c r="CZ32" s="133" t="n">
        <f aca="false">IF(OR(CZ$4="",$B32=""),0,SUMIF('DADOS BRUTOS'!$A$3:$A$500,$B32,'DADOS BRUTOS'!Z$3:Z$500)+IF($C32="",0,SUMIF('DADOS BRUTOS'!$A$3:$A$500,$C32,'DADOS BRUTOS'!Z$3:Z$500)))</f>
        <v>0</v>
      </c>
      <c r="DA32" s="133" t="n">
        <f aca="false">IF(OR(DA$4="",$B32=""),0,SUMIF('DADOS BRUTOS'!$A$3:$A$500,$B32,'DADOS BRUTOS'!AA$3:AA$500)+IF($C32="",0,SUMIF('DADOS BRUTOS'!$A$3:$A$500,$C32,'DADOS BRUTOS'!AA$3:AA$500)))</f>
        <v>0</v>
      </c>
      <c r="DB32" s="133" t="n">
        <f aca="false">IF(OR(DB$4="",$B32=""),0,SUMIF('DADOS BRUTOS'!$A$3:$A$500,$B32,'DADOS BRUTOS'!AB$3:AB$500)+IF($C32="",0,SUMIF('DADOS BRUTOS'!$A$3:$A$500,$C32,'DADOS BRUTOS'!AB$3:AB$500)))</f>
        <v>0</v>
      </c>
      <c r="DC32" s="133" t="n">
        <f aca="false">IF(OR(DC$4="",$B32=""),0,SUMIF('DADOS BRUTOS'!$A$3:$A$500,$B32,'DADOS BRUTOS'!AC$3:AC$500)+IF($C32="",0,SUMIF('DADOS BRUTOS'!$A$3:$A$500,$C32,'DADOS BRUTOS'!AC$3:AC$500)))</f>
        <v>0</v>
      </c>
      <c r="DD32" s="133" t="n">
        <f aca="false">IF(OR(DD$4="",$B32=""),0,SUMIF('DADOS BRUTOS'!$A$3:$A$500,$B32,'DADOS BRUTOS'!AD$3:AD$500)+IF($C32="",0,SUMIF('DADOS BRUTOS'!$A$3:$A$500,$C32,'DADOS BRUTOS'!AD$3:AD$500)))</f>
        <v>0</v>
      </c>
      <c r="DE32" s="133" t="n">
        <f aca="false">IF(OR(DE$4="",$B32=""),0,SUMIF('DADOS BRUTOS'!$A$3:$A$500,$B32,'DADOS BRUTOS'!AE$3:AE$500)+IF($C32="",0,SUMIF('DADOS BRUTOS'!$A$3:$A$500,$C32,'DADOS BRUTOS'!AE$3:AE$500)))</f>
        <v>0</v>
      </c>
      <c r="DF32" s="133" t="n">
        <f aca="false">IF(OR(DF$4="",$B32=""),0,SUMIF('DADOS BRUTOS'!$A$3:$A$500,$B32,'DADOS BRUTOS'!AF$3:AF$500)+IF($C32="",0,SUMIF('DADOS BRUTOS'!$A$3:$A$500,$C32,'DADOS BRUTOS'!AF$3:AF$500)))</f>
        <v>0</v>
      </c>
      <c r="DG32" s="133" t="n">
        <f aca="false">IF(OR(DG$4="",$B32=""),0,SUMIF('DADOS BRUTOS'!$A$3:$A$500,$B32,'DADOS BRUTOS'!AG$3:AG$500)+IF($C32="",0,SUMIF('DADOS BRUTOS'!$A$3:$A$500,$C32,'DADOS BRUTOS'!AG$3:AG$500)))</f>
        <v>0</v>
      </c>
      <c r="DH32" s="133" t="n">
        <f aca="false">IF(OR(DH$4="",$B32=""),0,SUMIF('DADOS BRUTOS'!$A$3:$A$500,$B32,'DADOS BRUTOS'!AH$3:AH$500)+IF($C32="",0,SUMIF('DADOS BRUTOS'!$A$3:$A$500,$C32,'DADOS BRUTOS'!AH$3:AH$500)))</f>
        <v>0</v>
      </c>
      <c r="DI32" s="133" t="n">
        <f aca="false">IF(OR(DI$4="",$B32=""),0,SUMIF('DADOS BRUTOS'!$A$3:$A$500,$B32,'DADOS BRUTOS'!AI$3:AI$500)+IF($C32="",0,SUMIF('DADOS BRUTOS'!$A$3:$A$500,$C32,'DADOS BRUTOS'!AI$3:AI$500)))</f>
        <v>0</v>
      </c>
      <c r="DJ32" s="133" t="n">
        <f aca="false">IF(OR(DJ$4="",$B32=""),0,SUMIF('DADOS BRUTOS'!$A$3:$A$500,$B32,'DADOS BRUTOS'!AJ$3:AJ$500)+IF($C32="",0,SUMIF('DADOS BRUTOS'!$A$3:$A$500,$C32,'DADOS BRUTOS'!AJ$3:AJ$500)))</f>
        <v>0</v>
      </c>
      <c r="DK32" s="133" t="n">
        <f aca="false">IF(OR(DK$4="",$B32=""),0,SUMIF('DADOS BRUTOS'!$A$3:$A$500,$B32,'DADOS BRUTOS'!AK$3:AK$500)+IF($C32="",0,SUMIF('DADOS BRUTOS'!$A$3:$A$500,$C32,'DADOS BRUTOS'!AK$3:AK$500)))</f>
        <v>0</v>
      </c>
      <c r="DL32" s="133" t="n">
        <f aca="false">IF(OR(DL$4="",$B32=""),0,SUMIF('DADOS BRUTOS'!$A$3:$A$500,$B32,'DADOS BRUTOS'!AL$3:AL$500)+IF($C32="",0,SUMIF('DADOS BRUTOS'!$A$3:$A$500,$C32,'DADOS BRUTOS'!AL$3:AL$500)))</f>
        <v>0</v>
      </c>
      <c r="DM32" s="133" t="n">
        <f aca="false">IF(OR(DM$4="",$B32=""),0,SUMIF('DADOS BRUTOS'!$A$3:$A$500,$B32,'DADOS BRUTOS'!AM$3:AM$500)+IF($C32="",0,SUMIF('DADOS BRUTOS'!$A$3:$A$500,$C32,'DADOS BRUTOS'!AM$3:AM$500)))</f>
        <v>0</v>
      </c>
      <c r="DN32" s="133" t="n">
        <f aca="false">IF(OR(DN$4="",$B32=""),0,SUMIF('DADOS BRUTOS'!$A$3:$A$500,$B32,'DADOS BRUTOS'!AN$3:AN$500)+IF($C32="",0,SUMIF('DADOS BRUTOS'!$A$3:$A$500,$C32,'DADOS BRUTOS'!AN$3:AN$500)))</f>
        <v>0</v>
      </c>
      <c r="DO32" s="133" t="n">
        <f aca="false">IF(OR(DO$4="",$B32=""),0,SUMIF('DADOS BRUTOS'!$A$3:$A$500,$B32,'DADOS BRUTOS'!AO$3:AO$500)+IF($C32="",0,SUMIF('DADOS BRUTOS'!$A$3:$A$500,$C32,'DADOS BRUTOS'!AO$3:AO$500)))</f>
        <v>0</v>
      </c>
      <c r="DP32" s="133" t="n">
        <f aca="false">IF(OR(DP$4="",$B32=""),0,SUMIF('DADOS BRUTOS'!$A$3:$A$500,$B32,'DADOS BRUTOS'!AP$3:AP$500)+IF($C32="",0,SUMIF('DADOS BRUTOS'!$A$3:$A$500,$C32,'DADOS BRUTOS'!AP$3:AP$500)))</f>
        <v>0</v>
      </c>
      <c r="DQ32" s="133" t="n">
        <f aca="false">IF(OR(DQ$4="",$B32=""),0,SUMIF('DADOS BRUTOS'!$A$3:$A$500,$B32,'DADOS BRUTOS'!AQ$3:AQ$500)+IF($C32="",0,SUMIF('DADOS BRUTOS'!$A$3:$A$500,$C32,'DADOS BRUTOS'!AQ$3:AQ$500)))</f>
        <v>0</v>
      </c>
      <c r="DR32" s="133" t="n">
        <f aca="false">IF(OR(DR$4="",$B32=""),0,SUMIF('DADOS BRUTOS'!$A$3:$A$500,$B32,'DADOS BRUTOS'!AR$3:AR$500)+IF($C32="",0,SUMIF('DADOS BRUTOS'!$A$3:$A$500,$C32,'DADOS BRUTOS'!AR$3:AR$500)))</f>
        <v>0</v>
      </c>
      <c r="DS32" s="133" t="n">
        <f aca="false">IF(OR(DS$4="",$B32=""),0,SUMIF('DADOS BRUTOS'!$A$3:$A$500,$B32,'DADOS BRUTOS'!AS$3:AS$500)+IF($C32="",0,SUMIF('DADOS BRUTOS'!$A$3:$A$500,$C32,'DADOS BRUTOS'!AS$3:AS$500)))</f>
        <v>0</v>
      </c>
      <c r="DT32" s="133" t="n">
        <f aca="false">IF(OR(DT$4="",$B32=""),0,SUMIF('DADOS BRUTOS'!$A$3:$A$500,$B32,'DADOS BRUTOS'!AT$3:AT$500)+IF($C32="",0,SUMIF('DADOS BRUTOS'!$A$3:$A$500,$C32,'DADOS BRUTOS'!AT$3:AT$500)))</f>
        <v>0</v>
      </c>
      <c r="DU32" s="133" t="n">
        <f aca="false">IF(OR(DU$4="",$B32=""),0,SUMIF('DADOS BRUTOS'!$A$3:$A$500,$B32,'DADOS BRUTOS'!AU$3:AU$500)+IF($C32="",0,SUMIF('DADOS BRUTOS'!$A$3:$A$500,$C32,'DADOS BRUTOS'!AU$3:AU$500)))</f>
        <v>0</v>
      </c>
      <c r="DV32" s="133" t="n">
        <f aca="false">IF(OR(DV$4="",$B32=""),0,SUMIF('DADOS BRUTOS'!$A$3:$A$500,$B32,'DADOS BRUTOS'!AV$3:AV$500)+IF($C32="",0,SUMIF('DADOS BRUTOS'!$A$3:$A$500,$C32,'DADOS BRUTOS'!AV$3:AV$500)))</f>
        <v>0</v>
      </c>
      <c r="DW32" s="133" t="n">
        <f aca="false">IF(OR(DW$4="",$B32=""),0,SUMIF('DADOS BRUTOS'!$A$3:$A$500,$B32,'DADOS BRUTOS'!AW$3:AW$500)+IF($C32="",0,SUMIF('DADOS BRUTOS'!$A$3:$A$500,$C32,'DADOS BRUTOS'!AW$3:AW$500)))</f>
        <v>0</v>
      </c>
      <c r="DX32" s="133" t="n">
        <f aca="false">IF(OR(DX$4="",$B32=""),0,SUMIF('DADOS BRUTOS'!$A$3:$A$500,$B32,'DADOS BRUTOS'!AX$3:AX$500)+IF($C32="",0,SUMIF('DADOS BRUTOS'!$A$3:$A$500,$C32,'DADOS BRUTOS'!AX$3:AX$500)))</f>
        <v>0</v>
      </c>
      <c r="DY32" s="133" t="n">
        <f aca="false">IF(OR(DY$4="",$B32=""),0,SUMIF('DADOS BRUTOS'!$A$3:$A$500,$B32,'DADOS BRUTOS'!AY$3:AY$500)+IF($C32="",0,SUMIF('DADOS BRUTOS'!$A$3:$A$500,$C32,'DADOS BRUTOS'!AY$3:AY$500)))</f>
        <v>0</v>
      </c>
      <c r="DZ32" s="133" t="n">
        <f aca="false">IF(OR(DZ$4="",$B32=""),0,SUMIF('DADOS BRUTOS'!$A$3:$A$500,$B32,'DADOS BRUTOS'!AZ$3:AZ$500)+IF($C32="",0,SUMIF('DADOS BRUTOS'!$A$3:$A$500,$C32,'DADOS BRUTOS'!AZ$3:AZ$500)))</f>
        <v>0</v>
      </c>
      <c r="EA32" s="133" t="n">
        <f aca="false">IF(OR(EA$4="",$B32=""),0,SUMIF('DADOS BRUTOS'!$A$3:$A$500,$B32,'DADOS BRUTOS'!BA$3:BA$500)+IF($C32="",0,SUMIF('DADOS BRUTOS'!$A$3:$A$500,$C32,'DADOS BRUTOS'!BA$3:BA$500)))</f>
        <v>0</v>
      </c>
      <c r="EB32" s="133" t="n">
        <f aca="false">IF(OR(EB$4="",$B32=""),0,SUMIF('DADOS BRUTOS'!$A$3:$A$500,$B32,'DADOS BRUTOS'!BB$3:BB$500)+IF($C32="",0,SUMIF('DADOS BRUTOS'!$A$3:$A$500,$C32,'DADOS BRUTOS'!BB$3:BB$500)))</f>
        <v>0</v>
      </c>
      <c r="EC32" s="133" t="n">
        <f aca="false">IF(OR(EC$4="",$B32=""),0,SUMIF('DADOS BRUTOS'!$A$3:$A$500,$B32,'DADOS BRUTOS'!BC$3:BC$500)+IF($C32="",0,SUMIF('DADOS BRUTOS'!$A$3:$A$500,$C32,'DADOS BRUTOS'!BC$3:BC$500)))</f>
        <v>0</v>
      </c>
      <c r="ED32" s="133" t="n">
        <f aca="false">IF(OR(ED$4="",$B32=""),0,SUMIF('DADOS BRUTOS'!$A$3:$A$500,$B32,'DADOS BRUTOS'!BD$3:BD$500)+IF($C32="",0,SUMIF('DADOS BRUTOS'!$A$3:$A$500,$C32,'DADOS BRUTOS'!BD$3:BD$500)))</f>
        <v>0</v>
      </c>
      <c r="EE32" s="133" t="n">
        <f aca="false">IF(OR(EE$4="",$B32=""),0,SUMIF('DADOS BRUTOS'!$A$3:$A$500,$B32,'DADOS BRUTOS'!BE$3:BE$500)+IF($C32="",0,SUMIF('DADOS BRUTOS'!$A$3:$A$500,$C32,'DADOS BRUTOS'!BE$3:BE$500)))</f>
        <v>0</v>
      </c>
      <c r="EF32" s="133" t="n">
        <f aca="false">IF(OR(EF$4="",$B32=""),0,SUMIF('DADOS BRUTOS'!$A$3:$A$500,$B32,'DADOS BRUTOS'!BF$3:BF$500)+IF($C32="",0,SUMIF('DADOS BRUTOS'!$A$3:$A$500,$C32,'DADOS BRUTOS'!BF$3:BF$500)))</f>
        <v>0</v>
      </c>
      <c r="EG32" s="133" t="n">
        <f aca="false">IF(OR(EG$4="",$B32=""),0,SUMIF('DADOS BRUTOS'!$A$3:$A$500,$B32,'DADOS BRUTOS'!BG$3:BG$500)+IF($C32="",0,SUMIF('DADOS BRUTOS'!$A$3:$A$500,$C32,'DADOS BRUTOS'!BG$3:BG$500)))</f>
        <v>0</v>
      </c>
      <c r="EH32" s="133" t="n">
        <f aca="false">IF(OR(EH$4="",$B32=""),0,SUMIF('DADOS BRUTOS'!$A$3:$A$500,$B32,'DADOS BRUTOS'!BH$3:BH$500)+IF($C32="",0,SUMIF('DADOS BRUTOS'!$A$3:$A$500,$C32,'DADOS BRUTOS'!BH$3:BH$500)))</f>
        <v>0</v>
      </c>
      <c r="EI32" s="133" t="n">
        <f aca="false">IF(OR(EI$4="",$B32=""),0,SUMIF('DADOS BRUTOS'!$A$3:$A$500,$B32,'DADOS BRUTOS'!BI$3:BI$500)+IF($C32="",0,SUMIF('DADOS BRUTOS'!$A$3:$A$500,$C32,'DADOS BRUTOS'!BI$3:BI$500)))</f>
        <v>0</v>
      </c>
      <c r="EJ32" s="133" t="n">
        <f aca="false">IF(OR(EJ$4="",$B32=""),0,SUMIF('DADOS BRUTOS'!$A$3:$A$500,$B32,'DADOS BRUTOS'!BJ$3:BJ$500)+IF($C32="",0,SUMIF('DADOS BRUTOS'!$A$3:$A$500,$C32,'DADOS BRUTOS'!BJ$3:BJ$500)))</f>
        <v>0</v>
      </c>
      <c r="EK32" s="133" t="n">
        <f aca="false">IF(OR(EK$4="",$B32=""),0,SUMIF('DADOS BRUTOS'!$A$3:$A$500,$B32,'DADOS BRUTOS'!BK$3:BK$500)+IF($C32="",0,SUMIF('DADOS BRUTOS'!$A$3:$A$500,$C32,'DADOS BRUTOS'!BK$3:BK$500)))</f>
        <v>0</v>
      </c>
      <c r="EL32" s="133" t="n">
        <f aca="false">IF(OR(EL$4="",$B32=""),0,SUMIF('DADOS BRUTOS'!$A$3:$A$500,$B32,'DADOS BRUTOS'!BL$3:BL$500)+IF($C32="",0,SUMIF('DADOS BRUTOS'!$A$3:$A$500,$C32,'DADOS BRUTOS'!BL$3:BL$500)))</f>
        <v>0</v>
      </c>
      <c r="EM32" s="133" t="n">
        <f aca="false">IF(OR(EM$4="",$B32=""),0,SUMIF('DADOS BRUTOS'!$A$3:$A$500,$B32,'DADOS BRUTOS'!BM$3:BM$500)+IF($C32="",0,SUMIF('DADOS BRUTOS'!$A$3:$A$500,$C32,'DADOS BRUTOS'!BM$3:BM$500)))</f>
        <v>0</v>
      </c>
      <c r="EN32" s="133" t="n">
        <f aca="false">IF(OR(EN$4="",$B32=""),0,SUMIF('DADOS BRUTOS'!$A$3:$A$500,$B32,'DADOS BRUTOS'!BN$3:BN$500)+IF($C32="",0,SUMIF('DADOS BRUTOS'!$A$3:$A$500,$C32,'DADOS BRUTOS'!BN$3:BN$500)))</f>
        <v>0</v>
      </c>
      <c r="EO32" s="133" t="n">
        <f aca="false">IF(OR(EO$4="",$B32=""),0,SUMIF('DADOS BRUTOS'!$A$3:$A$500,$B32,'DADOS BRUTOS'!BO$3:BO$500)+IF($C32="",0,SUMIF('DADOS BRUTOS'!$A$3:$A$500,$C32,'DADOS BRUTOS'!BO$3:BO$500)))</f>
        <v>0</v>
      </c>
      <c r="EP32" s="133" t="n">
        <f aca="false">IF(OR(EP$4="",$B32=""),0,SUMIF('DADOS BRUTOS'!$A$3:$A$500,$B32,'DADOS BRUTOS'!BP$3:BP$500)+IF($C32="",0,SUMIF('DADOS BRUTOS'!$A$3:$A$500,$C32,'DADOS BRUTOS'!BP$3:BP$500)))</f>
        <v>0</v>
      </c>
      <c r="EQ32" s="133" t="n">
        <f aca="false">IF(OR(EQ$4="",$B32=""),0,SUMIF('DADOS BRUTOS'!$A$3:$A$500,$B32,'DADOS BRUTOS'!BQ$3:BQ$500)+IF($C32="",0,SUMIF('DADOS BRUTOS'!$A$3:$A$500,$C32,'DADOS BRUTOS'!BQ$3:BQ$500)))</f>
        <v>0</v>
      </c>
      <c r="ER32" s="133" t="n">
        <f aca="false">IF(OR(ER$4="",$B32=""),0,SUMIF('DADOS BRUTOS'!$A$3:$A$500,$B32,'DADOS BRUTOS'!BR$3:BR$500)+IF($C32="",0,SUMIF('DADOS BRUTOS'!$A$3:$A$500,$C32,'DADOS BRUTOS'!BR$3:BR$500)))</f>
        <v>0</v>
      </c>
      <c r="ES32" s="133" t="n">
        <f aca="false">IF(OR(ES$4="",$B32=""),0,SUMIF('DADOS BRUTOS'!$A$3:$A$500,$B32,'DADOS BRUTOS'!BS$3:BS$500)+IF($C32="",0,SUMIF('DADOS BRUTOS'!$A$3:$A$500,$C32,'DADOS BRUTOS'!BS$3:BS$500)))</f>
        <v>0</v>
      </c>
      <c r="ET32" s="133" t="n">
        <f aca="false">IF(OR(ET$4="",$B32=""),0,SUMIF('DADOS BRUTOS'!$A$3:$A$500,$B32,'DADOS BRUTOS'!BT$3:BT$500)+IF($C32="",0,SUMIF('DADOS BRUTOS'!$A$3:$A$500,$C32,'DADOS BRUTOS'!BT$3:BT$500)))</f>
        <v>0</v>
      </c>
      <c r="EU32" s="133" t="n">
        <f aca="false">IF(OR(EU$4="",$B32=""),0,SUMIF('DADOS BRUTOS'!$A$3:$A$500,$B32,'DADOS BRUTOS'!BU$3:BU$500)+IF($C32="",0,SUMIF('DADOS BRUTOS'!$A$3:$A$500,$C32,'DADOS BRUTOS'!BU$3:BU$500)))</f>
        <v>0</v>
      </c>
      <c r="EV32" s="133" t="n">
        <f aca="false">IF(OR(EV$4="",$B32=""),0,SUMIF('DADOS BRUTOS'!$A$3:$A$500,$B32,'DADOS BRUTOS'!BV$3:BV$500)+IF($C32="",0,SUMIF('DADOS BRUTOS'!$A$3:$A$500,$C32,'DADOS BRUTOS'!BV$3:BV$500)))</f>
        <v>0</v>
      </c>
      <c r="EW32" s="133" t="n">
        <f aca="false">IF(OR(EW$4="",$B32=""),0,SUMIF('DADOS BRUTOS'!$A$3:$A$500,$B32,'DADOS BRUTOS'!BW$3:BW$500)+IF($C32="",0,SUMIF('DADOS BRUTOS'!$A$3:$A$500,$C32,'DADOS BRUTOS'!BW$3:BW$500)))</f>
        <v>0</v>
      </c>
      <c r="EX32" s="133" t="n">
        <f aca="false">IF(OR(EX$4="",$B32=""),0,SUMIF('DADOS BRUTOS'!$A$3:$A$500,$B32,'DADOS BRUTOS'!BX$3:BX$500)+IF($C32="",0,SUMIF('DADOS BRUTOS'!$A$3:$A$500,$C32,'DADOS BRUTOS'!BX$3:BX$500)))</f>
        <v>0</v>
      </c>
      <c r="EY32" s="133" t="n">
        <f aca="false">IF(OR(EY$4="",$B32=""),0,SUMIF('DADOS BRUTOS'!$A$3:$A$500,$B32,'DADOS BRUTOS'!BY$3:BY$500)+IF($C32="",0,SUMIF('DADOS BRUTOS'!$A$3:$A$500,$C32,'DADOS BRUTOS'!BY$3:BY$500)))</f>
        <v>0</v>
      </c>
      <c r="EZ32" s="133" t="n">
        <f aca="false">IF(OR(EZ$4="",$B32=""),0,SUMIF('DADOS BRUTOS'!$A$3:$A$500,$B32,'DADOS BRUTOS'!BZ$3:BZ$500)+IF($C32="",0,SUMIF('DADOS BRUTOS'!$A$3:$A$500,$C32,'DADOS BRUTOS'!BZ$3:BZ$500)))</f>
        <v>0</v>
      </c>
      <c r="FA32" s="133" t="n">
        <f aca="false">IF(OR(FA$4="",$B32=""),0,SUMIF('DADOS BRUTOS'!$A$3:$A$500,$B32,'DADOS BRUTOS'!CA$3:CA$500)+IF($C32="",0,SUMIF('DADOS BRUTOS'!$A$3:$A$500,$C32,'DADOS BRUTOS'!CA$3:CA$500)))</f>
        <v>0</v>
      </c>
      <c r="FB32" s="133" t="n">
        <f aca="false">IF(OR(FB$4="",$B32=""),0,SUMIF('DADOS BRUTOS'!$A$3:$A$500,$B32,'DADOS BRUTOS'!CB$3:CB$500)+IF($C32="",0,SUMIF('DADOS BRUTOS'!$A$3:$A$500,$C32,'DADOS BRUTOS'!CB$3:CB$500)))</f>
        <v>0</v>
      </c>
      <c r="FC32" s="133" t="n">
        <f aca="false">IF(OR(FC$4="",$B32=""),0,SUMIF('DADOS BRUTOS'!$A$3:$A$500,$B32,'DADOS BRUTOS'!CC$3:CC$500)+IF($C32="",0,SUMIF('DADOS BRUTOS'!$A$3:$A$500,$C32,'DADOS BRUTOS'!CC$3:CC$500)))</f>
        <v>0</v>
      </c>
      <c r="FD32" s="133" t="n">
        <f aca="false">IF(OR(FD$4="",$B32=""),0,SUMIF('DADOS BRUTOS'!$A$3:$A$500,$B32,'DADOS BRUTOS'!CD$3:CD$500)+IF($C32="",0,SUMIF('DADOS BRUTOS'!$A$3:$A$500,$C32,'DADOS BRUTOS'!CD$3:CD$500)))</f>
        <v>0</v>
      </c>
      <c r="FE32" s="133" t="n">
        <f aca="false">IF(OR(FE$4="",$B32=""),0,SUMIF('DADOS BRUTOS'!$A$3:$A$500,$B32,'DADOS BRUTOS'!CE$3:CE$500)+IF($C32="",0,SUMIF('DADOS BRUTOS'!$A$3:$A$500,$C32,'DADOS BRUTOS'!CE$3:CE$500)))</f>
        <v>0</v>
      </c>
      <c r="FF32" s="133" t="n">
        <f aca="false">IF(OR(FF$4="",$B32=""),0,SUMIF('DADOS BRUTOS'!$A$3:$A$500,$B32,'DADOS BRUTOS'!CF$3:CF$500)+IF($C32="",0,SUMIF('DADOS BRUTOS'!$A$3:$A$500,$C32,'DADOS BRUTOS'!CF$3:CF$500)))</f>
        <v>0</v>
      </c>
      <c r="FG32" s="133" t="n">
        <f aca="false">IF(OR(FG$4="",$B32=""),0,SUMIF('DADOS BRUTOS'!$A$3:$A$500,$B32,'DADOS BRUTOS'!CG$3:CG$500)+IF($C32="",0,SUMIF('DADOS BRUTOS'!$A$3:$A$500,$C32,'DADOS BRUTOS'!CG$3:CG$500)))</f>
        <v>0</v>
      </c>
      <c r="FH32" s="133" t="n">
        <f aca="false">IF(OR(FH$4="",$B32=""),0,SUMIF('DADOS BRUTOS'!$A$3:$A$500,$B32,'DADOS BRUTOS'!CH$3:CH$500)+IF($C32="",0,SUMIF('DADOS BRUTOS'!$A$3:$A$500,$C32,'DADOS BRUTOS'!CH$3:CH$500)))</f>
        <v>0</v>
      </c>
      <c r="FI32" s="133" t="n">
        <f aca="false">IF(OR(FI$4="",$B32=""),0,SUMIF('DADOS BRUTOS'!$A$3:$A$500,$B32,'DADOS BRUTOS'!CI$3:CI$500)+IF($C32="",0,SUMIF('DADOS BRUTOS'!$A$3:$A$500,$C32,'DADOS BRUTOS'!CI$3:CI$500)))</f>
        <v>0</v>
      </c>
      <c r="FJ32" s="133" t="n">
        <f aca="false">IF(OR(FJ$4="",$B32=""),0,SUMIF('DADOS BRUTOS'!$A$3:$A$500,$B32,'DADOS BRUTOS'!CJ$3:CJ$500)+IF($C32="",0,SUMIF('DADOS BRUTOS'!$A$3:$A$500,$C32,'DADOS BRUTOS'!CJ$3:CJ$500)))</f>
        <v>0</v>
      </c>
      <c r="FK32" s="133" t="n">
        <f aca="false">IF(OR(FK$4="",$B32=""),0,SUMIF('DADOS BRUTOS'!$A$3:$A$500,$B32,'DADOS BRUTOS'!CK$3:CK$500)+IF($C32="",0,SUMIF('DADOS BRUTOS'!$A$3:$A$500,$C32,'DADOS BRUTOS'!CK$3:CK$500)))</f>
        <v>0</v>
      </c>
      <c r="FL32" s="133" t="n">
        <f aca="false">IF(OR(FL$4="",$B32=""),0,SUMIF('DADOS BRUTOS'!$A$3:$A$500,$B32,'DADOS BRUTOS'!CL$3:CL$500)+IF($C32="",0,SUMIF('DADOS BRUTOS'!$A$3:$A$500,$C32,'DADOS BRUTOS'!CL$3:CL$500)))</f>
        <v>0</v>
      </c>
      <c r="FM32" s="133" t="n">
        <f aca="false">IF(OR(FM$4="",$B32=""),0,SUMIF('DADOS BRUTOS'!$A$3:$A$500,$B32,'DADOS BRUTOS'!CM$3:CM$500)+IF($C32="",0,SUMIF('DADOS BRUTOS'!$A$3:$A$500,$C32,'DADOS BRUTOS'!CM$3:CM$500)))</f>
        <v>0</v>
      </c>
      <c r="FN32" s="133" t="n">
        <f aca="false">IF(OR(FN$4="",$B32=""),0,SUMIF('DADOS BRUTOS'!$A$3:$A$500,$B32,'DADOS BRUTOS'!CN$3:CN$500)+IF($C32="",0,SUMIF('DADOS BRUTOS'!$A$3:$A$500,$C32,'DADOS BRUTOS'!CN$3:CN$500)))</f>
        <v>0</v>
      </c>
      <c r="FO32" s="133" t="n">
        <f aca="false">IF(OR(FO$4="",$B32=""),0,SUMIF('DADOS BRUTOS'!$A$3:$A$500,$B32,'DADOS BRUTOS'!CO$3:CO$500)+IF($C32="",0,SUMIF('DADOS BRUTOS'!$A$3:$A$500,$C32,'DADOS BRUTOS'!CO$3:CO$500)))</f>
        <v>0</v>
      </c>
      <c r="FP32" s="133" t="n">
        <f aca="false">IF(OR(FP$4="",$B32=""),0,SUMIF('DADOS BRUTOS'!$A$3:$A$500,$B32,'DADOS BRUTOS'!CP$3:CP$500)+IF($C32="",0,SUMIF('DADOS BRUTOS'!$A$3:$A$500,$C32,'DADOS BRUTOS'!CP$3:CP$500)))</f>
        <v>0</v>
      </c>
      <c r="FQ32" s="133" t="n">
        <f aca="false">IF(OR(FQ$4="",$B32=""),0,SUMIF('DADOS BRUTOS'!$A$3:$A$500,$B32,'DADOS BRUTOS'!CQ$3:CQ$500)+IF($C32="",0,SUMIF('DADOS BRUTOS'!$A$3:$A$500,$C32,'DADOS BRUTOS'!CQ$3:CQ$500)))</f>
        <v>0</v>
      </c>
      <c r="FR32" s="133" t="n">
        <f aca="false">IF(OR(FR$4="",$B32=""),0,SUMIF('DADOS BRUTOS'!$A$3:$A$500,$B32,'DADOS BRUTOS'!CR$3:CR$500)+IF($C32="",0,SUMIF('DADOS BRUTOS'!$A$3:$A$500,$C32,'DADOS BRUTOS'!CR$3:CR$500)))</f>
        <v>0</v>
      </c>
      <c r="FS32" s="133" t="n">
        <f aca="false">IF(OR(FS$4="",$B32=""),0,SUMIF('DADOS BRUTOS'!$A$3:$A$500,$B32,'DADOS BRUTOS'!CS$3:CS$500)+IF($C32="",0,SUMIF('DADOS BRUTOS'!$A$3:$A$500,$C32,'DADOS BRUTOS'!CS$3:CS$500)))</f>
        <v>0</v>
      </c>
      <c r="FT32" s="133" t="n">
        <f aca="false">IF(OR(FT$4="",$B32=""),0,SUMIF('DADOS BRUTOS'!$A$3:$A$500,$B32,'DADOS BRUTOS'!CT$3:CT$500)+IF($C32="",0,SUMIF('DADOS BRUTOS'!$A$3:$A$500,$C32,'DADOS BRUTOS'!CT$3:CT$500)))</f>
        <v>0</v>
      </c>
      <c r="FU32" s="133" t="n">
        <f aca="false">IF(OR(FU$4="",$B32=""),0,SUMIF('DADOS BRUTOS'!$A$3:$A$500,$B32,'DADOS BRUTOS'!CU$3:CU$500)+IF($C32="",0,SUMIF('DADOS BRUTOS'!$A$3:$A$500,$C32,'DADOS BRUTOS'!CU$3:CU$500)))</f>
        <v>0</v>
      </c>
      <c r="FV32" s="133" t="n">
        <f aca="false">IF(OR(FV$4="",$B32=""),0,SUMIF('DADOS BRUTOS'!$A$3:$A$500,$B32,'DADOS BRUTOS'!CV$3:CV$500)+IF($C32="",0,SUMIF('DADOS BRUTOS'!$A$3:$A$500,$C32,'DADOS BRUTOS'!CV$3:CV$500)))</f>
        <v>0</v>
      </c>
      <c r="FW32" s="133" t="n">
        <f aca="false">IF(OR(FW$4="",$B32=""),0,SUMIF('DADOS BRUTOS'!$A$3:$A$500,$B32,'DADOS BRUTOS'!CW$3:CW$500)+IF($C32="",0,SUMIF('DADOS BRUTOS'!$A$3:$A$500,$C32,'DADOS BRUTOS'!CW$3:CW$500)))</f>
        <v>0</v>
      </c>
      <c r="FX32" s="133" t="n">
        <f aca="false">IF(OR(FX$4="",$B32=""),0,SUMIF('DADOS BRUTOS'!$A$3:$A$500,$B32,'DADOS BRUTOS'!CX$3:CX$500)+IF($C32="",0,SUMIF('DADOS BRUTOS'!$A$3:$A$500,$C32,'DADOS BRUTOS'!CX$3:CX$500)))</f>
        <v>0</v>
      </c>
      <c r="FY32" s="133" t="n">
        <f aca="false">IF(OR(FY$4="",$B32=""),0,SUMIF('DADOS BRUTOS'!$A$3:$A$500,$B32,'DADOS BRUTOS'!CY$3:CY$500)+IF($C32="",0,SUMIF('DADOS BRUTOS'!$A$3:$A$500,$C32,'DADOS BRUTOS'!CY$3:CY$500)))</f>
        <v>0</v>
      </c>
      <c r="FZ32" s="133" t="n">
        <f aca="false">IF(OR(FZ$4="",$B32=""),0,SUMIF('DADOS BRUTOS'!$A$3:$A$500,$B32,'DADOS BRUTOS'!CZ$3:CZ$500)+IF($C32="",0,SUMIF('DADOS BRUTOS'!$A$3:$A$500,$C32,'DADOS BRUTOS'!CZ$3:CZ$500)))</f>
        <v>0</v>
      </c>
      <c r="GA32" s="133" t="n">
        <f aca="false">IF(OR(GA$4="",$B32=""),0,SUMIF('DADOS BRUTOS'!$A$3:$A$500,$B32,'DADOS BRUTOS'!DA$3:DA$500)+IF($C32="",0,SUMIF('DADOS BRUTOS'!$A$3:$A$500,$C32,'DADOS BRUTOS'!DA$3:DA$500)))</f>
        <v>0</v>
      </c>
      <c r="GB32" s="133" t="n">
        <f aca="false">IF(OR(GB$4="",$B32=""),0,SUMIF('DADOS BRUTOS'!$A$3:$A$500,$B32,'DADOS BRUTOS'!DB$3:DB$500)+IF($C32="",0,SUMIF('DADOS BRUTOS'!$A$3:$A$500,$C32,'DADOS BRUTOS'!DB$3:DB$500)))</f>
        <v>0</v>
      </c>
      <c r="GC32" s="133" t="n">
        <f aca="false">IF(OR(GC$4="",$B32=""),0,SUMIF('DADOS BRUTOS'!$A$3:$A$500,$B32,'DADOS BRUTOS'!DC$3:DC$500)+IF($C32="",0,SUMIF('DADOS BRUTOS'!$A$3:$A$500,$C32,'DADOS BRUTOS'!DC$3:DC$500)))</f>
        <v>0</v>
      </c>
      <c r="GD32" s="133" t="n">
        <f aca="false">IF(OR(GD$4="",$B32=""),0,SUMIF('DADOS BRUTOS'!$A$3:$A$500,$B32,'DADOS BRUTOS'!DD$3:DD$500)+IF($C32="",0,SUMIF('DADOS BRUTOS'!$A$3:$A$500,$C32,'DADOS BRUTOS'!DD$3:DD$500)))</f>
        <v>0</v>
      </c>
      <c r="GE32" s="133" t="n">
        <f aca="false">IF(OR(GE$4="",$B32=""),0,SUMIF('DADOS BRUTOS'!$A$3:$A$500,$B32,'DADOS BRUTOS'!DE$3:DE$500)+IF($C32="",0,SUMIF('DADOS BRUTOS'!$A$3:$A$500,$C32,'DADOS BRUTOS'!DE$3:DE$500)))</f>
        <v>0</v>
      </c>
      <c r="GF32" s="133" t="n">
        <f aca="false">IF(OR(GF$4="",$B32=""),0,SUMIF('DADOS BRUTOS'!$A$3:$A$500,$B32,'DADOS BRUTOS'!DF$3:DF$500)+IF($C32="",0,SUMIF('DADOS BRUTOS'!$A$3:$A$500,$C32,'DADOS BRUTOS'!DF$3:DF$500)))</f>
        <v>0</v>
      </c>
      <c r="GG32" s="133" t="n">
        <f aca="false">IF(OR(GG$4="",$B32=""),0,SUMIF('DADOS BRUTOS'!$A$3:$A$500,$B32,'DADOS BRUTOS'!DG$3:DG$500)+IF($C32="",0,SUMIF('DADOS BRUTOS'!$A$3:$A$500,$C32,'DADOS BRUTOS'!DG$3:DG$500)))</f>
        <v>0</v>
      </c>
      <c r="GH32" s="133" t="n">
        <f aca="false">IF(OR(GH$4="",$B32=""),0,SUMIF('DADOS BRUTOS'!$A$3:$A$500,$B32,'DADOS BRUTOS'!DH$3:DH$500)+IF($C32="",0,SUMIF('DADOS BRUTOS'!$A$3:$A$500,$C32,'DADOS BRUTOS'!DH$3:DH$500)))</f>
        <v>0</v>
      </c>
      <c r="GI32" s="133" t="n">
        <f aca="false">IF(OR(GI$4="",$B32=""),0,SUMIF('DADOS BRUTOS'!$A$3:$A$500,$B32,'DADOS BRUTOS'!DI$3:DI$500)+IF($C32="",0,SUMIF('DADOS BRUTOS'!$A$3:$A$500,$C32,'DADOS BRUTOS'!DI$3:DI$500)))</f>
        <v>0</v>
      </c>
      <c r="GJ32" s="133" t="n">
        <f aca="false">IF(OR(GJ$4="",$B32=""),0,SUMIF('DADOS BRUTOS'!$A$3:$A$500,$B32,'DADOS BRUTOS'!DJ$3:DJ$500)+IF($C32="",0,SUMIF('DADOS BRUTOS'!$A$3:$A$500,$C32,'DADOS BRUTOS'!DJ$3:DJ$500)))</f>
        <v>0</v>
      </c>
      <c r="GK32" s="133" t="n">
        <f aca="false">IF(OR(GK$4="",$B32=""),0,SUMIF('DADOS BRUTOS'!$A$3:$A$500,$B32,'DADOS BRUTOS'!DK$3:DK$500)+IF($C32="",0,SUMIF('DADOS BRUTOS'!$A$3:$A$500,$C32,'DADOS BRUTOS'!DK$3:DK$500)))</f>
        <v>0</v>
      </c>
      <c r="GL32" s="133" t="n">
        <f aca="false">IF(OR(GL$4="",$B32=""),0,SUMIF('DADOS BRUTOS'!$A$3:$A$500,$B32,'DADOS BRUTOS'!DL$3:DL$500)+IF($C32="",0,SUMIF('DADOS BRUTOS'!$A$3:$A$500,$C32,'DADOS BRUTOS'!DL$3:DL$500)))</f>
        <v>0</v>
      </c>
      <c r="GM32" s="133" t="n">
        <f aca="false">IF(OR(GM$4="",$B32=""),0,SUMIF('DADOS BRUTOS'!$A$3:$A$500,$B32,'DADOS BRUTOS'!DM$3:DM$500)+IF($C32="",0,SUMIF('DADOS BRUTOS'!$A$3:$A$500,$C32,'DADOS BRUTOS'!DM$3:DM$500)))</f>
        <v>0</v>
      </c>
      <c r="GN32" s="133" t="n">
        <f aca="false">IF(OR(GN$4="",$B32=""),0,SUMIF('DADOS BRUTOS'!$A$3:$A$500,$B32,'DADOS BRUTOS'!DN$3:DN$500)+IF($C32="",0,SUMIF('DADOS BRUTOS'!$A$3:$A$500,$C32,'DADOS BRUTOS'!DN$3:DN$500)))</f>
        <v>0</v>
      </c>
      <c r="GO32" s="133" t="n">
        <f aca="false">IF(OR(GO$4="",$B32=""),0,SUMIF('DADOS BRUTOS'!$A$3:$A$500,$B32,'DADOS BRUTOS'!DO$3:DO$500)+IF($C32="",0,SUMIF('DADOS BRUTOS'!$A$3:$A$500,$C32,'DADOS BRUTOS'!DO$3:DO$500)))</f>
        <v>0</v>
      </c>
      <c r="GP32" s="133" t="n">
        <f aca="false">IF(OR(GP$4="",$B32=""),0,SUMIF('DADOS BRUTOS'!$A$3:$A$500,$B32,'DADOS BRUTOS'!DP$3:DP$500)+IF($C32="",0,SUMIF('DADOS BRUTOS'!$A$3:$A$500,$C32,'DADOS BRUTOS'!DP$3:DP$500)))</f>
        <v>0</v>
      </c>
      <c r="GQ32" s="133" t="n">
        <f aca="false">IF(OR(GQ$4="",$B32=""),0,SUMIF('DADOS BRUTOS'!$A$3:$A$500,$B32,'DADOS BRUTOS'!DQ$3:DQ$500)+IF($C32="",0,SUMIF('DADOS BRUTOS'!$A$3:$A$500,$C32,'DADOS BRUTOS'!DQ$3:DQ$500)))</f>
        <v>0</v>
      </c>
      <c r="GR32" s="133" t="n">
        <f aca="false">IF(OR(GR$4="",$B32=""),0,SUMIF('DADOS BRUTOS'!$A$3:$A$500,$B32,'DADOS BRUTOS'!DR$3:DR$500)+IF($C32="",0,SUMIF('DADOS BRUTOS'!$A$3:$A$500,$C32,'DADOS BRUTOS'!DR$3:DR$500)))</f>
        <v>0</v>
      </c>
      <c r="GS32" s="133" t="n">
        <f aca="false">IF(OR(GS$4="",$B32=""),0,SUMIF('DADOS BRUTOS'!$A$3:$A$500,$B32,'DADOS BRUTOS'!DS$3:DS$500)+IF($C32="",0,SUMIF('DADOS BRUTOS'!$A$3:$A$500,$C32,'DADOS BRUTOS'!DS$3:DS$500)))</f>
        <v>0</v>
      </c>
      <c r="GT32" s="133" t="n">
        <f aca="false">IF(OR(GT$4="",$B32=""),0,SUMIF('DADOS BRUTOS'!$A$3:$A$500,$B32,'DADOS BRUTOS'!DT$3:DT$500)+IF($C32="",0,SUMIF('DADOS BRUTOS'!$A$3:$A$500,$C32,'DADOS BRUTOS'!DT$3:DT$500)))</f>
        <v>0</v>
      </c>
      <c r="GU32" s="133" t="n">
        <f aca="false">IF(OR(GU$4="",$B32=""),0,SUMIF('DADOS BRUTOS'!$A$3:$A$500,$B32,'DADOS BRUTOS'!DU$3:DU$500)+IF($C32="",0,SUMIF('DADOS BRUTOS'!$A$3:$A$500,$C32,'DADOS BRUTOS'!DU$3:DU$500)))</f>
        <v>0</v>
      </c>
      <c r="GV32" s="133" t="n">
        <f aca="false">IF(OR(GV$4="",$B32=""),0,SUMIF('DADOS BRUTOS'!$A$3:$A$500,$B32,'DADOS BRUTOS'!DV$3:DV$500)+IF($C32="",0,SUMIF('DADOS BRUTOS'!$A$3:$A$500,$C32,'DADOS BRUTOS'!DV$3:DV$500)))</f>
        <v>0</v>
      </c>
      <c r="GW32" s="133" t="n">
        <f aca="false">IF(OR(GW$4="",$B32=""),0,SUMIF('DADOS BRUTOS'!$A$3:$A$500,$B32,'DADOS BRUTOS'!DW$3:DW$500)+IF($C32="",0,SUMIF('DADOS BRUTOS'!$A$3:$A$500,$C32,'DADOS BRUTOS'!DW$3:DW$500)))</f>
        <v>0</v>
      </c>
      <c r="GX32" s="133" t="n">
        <f aca="false">IF(OR(GX$4="",$B32=""),0,SUMIF('DADOS BRUTOS'!$A$3:$A$500,$B32,'DADOS BRUTOS'!DX$3:DX$500)+IF($C32="",0,SUMIF('DADOS BRUTOS'!$A$3:$A$500,$C32,'DADOS BRUTOS'!DX$3:DX$500)))</f>
        <v>0</v>
      </c>
      <c r="GY32" s="133" t="n">
        <f aca="false">IF(OR(GY$4="",$B32=""),0,SUMIF('DADOS BRUTOS'!$A$3:$A$500,$B32,'DADOS BRUTOS'!DY$3:DY$500)+IF($C32="",0,SUMIF('DADOS BRUTOS'!$A$3:$A$500,$C32,'DADOS BRUTOS'!DY$3:DY$500)))</f>
        <v>0</v>
      </c>
      <c r="GZ32" s="133" t="n">
        <f aca="false">IF(OR(GZ$4="",$B32=""),0,SUMIF('DADOS BRUTOS'!$A$3:$A$500,$B32,'DADOS BRUTOS'!DZ$3:DZ$500)+IF($C32="",0,SUMIF('DADOS BRUTOS'!$A$3:$A$500,$C32,'DADOS BRUTOS'!DZ$3:DZ$500)))</f>
        <v>0</v>
      </c>
      <c r="HA32" s="133" t="n">
        <f aca="false">IF(OR(HA$4="",$B32=""),0,SUMIF('DADOS BRUTOS'!$A$3:$A$500,$B32,'DADOS BRUTOS'!EA$3:EA$500)+IF($C32="",0,SUMIF('DADOS BRUTOS'!$A$3:$A$500,$C32,'DADOS BRUTOS'!EA$3:EA$500)))</f>
        <v>0</v>
      </c>
      <c r="HB32" s="133" t="n">
        <f aca="false">IF(OR(HB$4="",$B32=""),0,SUMIF('DADOS BRUTOS'!$A$3:$A$500,$B32,'DADOS BRUTOS'!EB$3:EB$500)+IF($C32="",0,SUMIF('DADOS BRUTOS'!$A$3:$A$500,$C32,'DADOS BRUTOS'!EB$3:EB$500)))</f>
        <v>0</v>
      </c>
      <c r="HC32" s="133" t="n">
        <f aca="false">IF(OR(HC$4="",$B32=""),0,SUMIF('DADOS BRUTOS'!$A$3:$A$500,$B32,'DADOS BRUTOS'!EC$3:EC$500)+IF($C32="",0,SUMIF('DADOS BRUTOS'!$A$3:$A$500,$C32,'DADOS BRUTOS'!EC$3:EC$500)))</f>
        <v>0</v>
      </c>
      <c r="HD32" s="133" t="n">
        <f aca="false">IF(OR(HD$4="",$B32=""),0,SUMIF('DADOS BRUTOS'!$A$3:$A$500,$B32,'DADOS BRUTOS'!ED$3:ED$500)+IF($C32="",0,SUMIF('DADOS BRUTOS'!$A$3:$A$500,$C32,'DADOS BRUTOS'!ED$3:ED$500)))</f>
        <v>0</v>
      </c>
      <c r="HE32" s="133" t="n">
        <f aca="false">IF(OR(HE$4="",$B32=""),0,SUMIF('DADOS BRUTOS'!$A$3:$A$500,$B32,'DADOS BRUTOS'!EE$3:EE$500)+IF($C32="",0,SUMIF('DADOS BRUTOS'!$A$3:$A$500,$C32,'DADOS BRUTOS'!EE$3:EE$500)))</f>
        <v>0</v>
      </c>
      <c r="HF32" s="133" t="n">
        <f aca="false">IF(OR(HF$4="",$B32=""),0,SUMIF('DADOS BRUTOS'!$A$3:$A$500,$B32,'DADOS BRUTOS'!EF$3:EF$500)+IF($C32="",0,SUMIF('DADOS BRUTOS'!$A$3:$A$500,$C32,'DADOS BRUTOS'!EF$3:EF$500)))</f>
        <v>0</v>
      </c>
      <c r="HG32" s="133" t="n">
        <f aca="false">IF(OR(HG$4="",$B32=""),0,SUMIF('DADOS BRUTOS'!$A$3:$A$500,$B32,'DADOS BRUTOS'!EG$3:EG$500)+IF($C32="",0,SUMIF('DADOS BRUTOS'!$A$3:$A$500,$C32,'DADOS BRUTOS'!EG$3:EG$500)))</f>
        <v>0</v>
      </c>
      <c r="HH32" s="133" t="n">
        <f aca="false">IF(OR(HH$4="",$B32=""),0,SUMIF('DADOS BRUTOS'!$A$3:$A$500,$B32,'DADOS BRUTOS'!EH$3:EH$500)+IF($C32="",0,SUMIF('DADOS BRUTOS'!$A$3:$A$500,$C32,'DADOS BRUTOS'!EH$3:EH$500)))</f>
        <v>0</v>
      </c>
      <c r="HI32" s="133" t="n">
        <f aca="false">IF(OR(HI$4="",$B32=""),0,SUMIF('DADOS BRUTOS'!$A$3:$A$500,$B32,'DADOS BRUTOS'!EI$3:EI$500)+IF($C32="",0,SUMIF('DADOS BRUTOS'!$A$3:$A$500,$C32,'DADOS BRUTOS'!EI$3:EI$500)))</f>
        <v>0</v>
      </c>
      <c r="HJ32" s="133" t="n">
        <f aca="false">IF(OR(HJ$4="",$B32=""),0,SUMIF('DADOS BRUTOS'!$A$3:$A$500,$B32,'DADOS BRUTOS'!EJ$3:EJ$500)+IF($C32="",0,SUMIF('DADOS BRUTOS'!$A$3:$A$500,$C32,'DADOS BRUTOS'!EJ$3:EJ$500)))</f>
        <v>0</v>
      </c>
      <c r="HK32" s="133" t="n">
        <f aca="false">IF(OR(HK$4="",$B32=""),0,SUMIF('DADOS BRUTOS'!$A$3:$A$500,$B32,'DADOS BRUTOS'!EK$3:EK$500)+IF($C32="",0,SUMIF('DADOS BRUTOS'!$A$3:$A$500,$C32,'DADOS BRUTOS'!EK$3:EK$500)))</f>
        <v>0</v>
      </c>
      <c r="HL32" s="133" t="n">
        <f aca="false">IF(OR(HL$4="",$B32=""),0,SUMIF('DADOS BRUTOS'!$A$3:$A$500,$B32,'DADOS BRUTOS'!EL$3:EL$500)+IF($C32="",0,SUMIF('DADOS BRUTOS'!$A$3:$A$500,$C32,'DADOS BRUTOS'!EL$3:EL$500)))</f>
        <v>0</v>
      </c>
      <c r="HM32" s="133" t="n">
        <f aca="false">IF(OR(HM$4="",$B32=""),0,SUMIF('DADOS BRUTOS'!$A$3:$A$500,$B32,'DADOS BRUTOS'!EM$3:EM$500)+IF($C32="",0,SUMIF('DADOS BRUTOS'!$A$3:$A$500,$C32,'DADOS BRUTOS'!EM$3:EM$500)))</f>
        <v>0</v>
      </c>
      <c r="HN32" s="133" t="n">
        <f aca="false">IF(OR(HN$4="",$B32=""),0,SUMIF('DADOS BRUTOS'!$A$3:$A$500,$B32,'DADOS BRUTOS'!EN$3:EN$500)+IF($C32="",0,SUMIF('DADOS BRUTOS'!$A$3:$A$500,$C32,'DADOS BRUTOS'!EN$3:EN$500)))</f>
        <v>0</v>
      </c>
      <c r="HO32" s="133" t="n">
        <f aca="false">IF(OR(HO$4="",$B32=""),0,SUMIF('DADOS BRUTOS'!$A$3:$A$500,$B32,'DADOS BRUTOS'!EO$3:EO$500)+IF($C32="",0,SUMIF('DADOS BRUTOS'!$A$3:$A$500,$C32,'DADOS BRUTOS'!EO$3:EO$500)))</f>
        <v>0</v>
      </c>
      <c r="HP32" s="133" t="n">
        <f aca="false">IF(OR(HP$4="",$B32=""),0,SUMIF('DADOS BRUTOS'!$A$3:$A$500,$B32,'DADOS BRUTOS'!EP$3:EP$500)+IF($C32="",0,SUMIF('DADOS BRUTOS'!$A$3:$A$500,$C32,'DADOS BRUTOS'!EP$3:EP$500)))</f>
        <v>0</v>
      </c>
      <c r="HQ32" s="133" t="n">
        <f aca="false">IF(OR(HQ$4="",$B32=""),0,SUMIF('DADOS BRUTOS'!$A$3:$A$500,$B32,'DADOS BRUTOS'!EQ$3:EQ$500)+IF($C32="",0,SUMIF('DADOS BRUTOS'!$A$3:$A$500,$C32,'DADOS BRUTOS'!EQ$3:EQ$500)))</f>
        <v>0</v>
      </c>
      <c r="HR32" s="133" t="n">
        <f aca="false">IF(OR(HR$4="",$B32=""),0,SUMIF('DADOS BRUTOS'!$A$3:$A$500,$B32,'DADOS BRUTOS'!ER$3:ER$500)+IF($C32="",0,SUMIF('DADOS BRUTOS'!$A$3:$A$500,$C32,'DADOS BRUTOS'!ER$3:ER$500)))</f>
        <v>0</v>
      </c>
      <c r="HS32" s="133" t="n">
        <f aca="false">IF(OR(HS$4="",$B32=""),0,SUMIF('DADOS BRUTOS'!$A$3:$A$500,$B32,'DADOS BRUTOS'!ES$3:ES$500)+IF($C32="",0,SUMIF('DADOS BRUTOS'!$A$3:$A$500,$C32,'DADOS BRUTOS'!ES$3:ES$500)))</f>
        <v>0</v>
      </c>
      <c r="HT32" s="133" t="n">
        <f aca="false">IF(OR(HT$4="",$B32=""),0,SUMIF('DADOS BRUTOS'!$A$3:$A$500,$B32,'DADOS BRUTOS'!ET$3:ET$500)+IF($C32="",0,SUMIF('DADOS BRUTOS'!$A$3:$A$500,$C32,'DADOS BRUTOS'!ET$3:ET$500)))</f>
        <v>0</v>
      </c>
      <c r="HU32" s="133" t="n">
        <f aca="false">IF(OR(HU$4="",$B32=""),0,SUMIF('DADOS BRUTOS'!$A$3:$A$500,$B32,'DADOS BRUTOS'!EU$3:EU$500)+IF($C32="",0,SUMIF('DADOS BRUTOS'!$A$3:$A$500,$C32,'DADOS BRUTOS'!EU$3:EU$500)))</f>
        <v>0</v>
      </c>
      <c r="HV32" s="133" t="n">
        <f aca="false">IF(OR(HV$4="",$B32=""),0,SUMIF('DADOS BRUTOS'!$A$3:$A$500,$B32,'DADOS BRUTOS'!EV$3:EV$500)+IF($C32="",0,SUMIF('DADOS BRUTOS'!$A$3:$A$500,$C32,'DADOS BRUTOS'!EV$3:EV$500)))</f>
        <v>0</v>
      </c>
      <c r="HW32" s="133" t="n">
        <f aca="false">IF(OR(HW$4="",$B32=""),0,SUMIF('DADOS BRUTOS'!$A$3:$A$500,$B32,'DADOS BRUTOS'!EW$3:EW$500)+IF($C32="",0,SUMIF('DADOS BRUTOS'!$A$3:$A$500,$C32,'DADOS BRUTOS'!EW$3:EW$500)))</f>
        <v>0</v>
      </c>
      <c r="HX32" s="133" t="n">
        <f aca="false">IF(OR(HX$4="",$B32=""),0,SUMIF('DADOS BRUTOS'!$A$3:$A$500,$B32,'DADOS BRUTOS'!EX$3:EX$500)+IF($C32="",0,SUMIF('DADOS BRUTOS'!$A$3:$A$500,$C32,'DADOS BRUTOS'!EX$3:EX$500)))</f>
        <v>0</v>
      </c>
      <c r="HY32" s="133" t="n">
        <f aca="false">IF(OR(HY$4="",$B32=""),0,SUMIF('DADOS BRUTOS'!$A$3:$A$500,$B32,'DADOS BRUTOS'!EY$3:EY$500)+IF($C32="",0,SUMIF('DADOS BRUTOS'!$A$3:$A$500,$C32,'DADOS BRUTOS'!EY$3:EY$500)))</f>
        <v>0</v>
      </c>
      <c r="HZ32" s="133" t="n">
        <f aca="false">IF(OR(HZ$4="",$B32=""),0,SUMIF('DADOS BRUTOS'!$A$3:$A$500,$B32,'DADOS BRUTOS'!EZ$3:EZ$500)+IF($C32="",0,SUMIF('DADOS BRUTOS'!$A$3:$A$500,$C32,'DADOS BRUTOS'!EZ$3:EZ$500)))</f>
        <v>0</v>
      </c>
      <c r="IA32" s="133" t="n">
        <f aca="false">IF(OR(IA$4="",$B32=""),0,SUMIF('DADOS BRUTOS'!$A$3:$A$500,$B32,'DADOS BRUTOS'!FA$3:FA$500)+IF($C32="",0,SUMIF('DADOS BRUTOS'!$A$3:$A$500,$C32,'DADOS BRUTOS'!FA$3:FA$500)))</f>
        <v>0</v>
      </c>
      <c r="IB32" s="133" t="n">
        <f aca="false">IF(OR(IB$4="",$B32=""),0,SUMIF('DADOS BRUTOS'!$A$3:$A$500,$B32,'DADOS BRUTOS'!FB$3:FB$500)+IF($C32="",0,SUMIF('DADOS BRUTOS'!$A$3:$A$500,$C32,'DADOS BRUTOS'!FB$3:FB$500)))</f>
        <v>0</v>
      </c>
      <c r="IC32" s="133" t="n">
        <f aca="false">IF(OR(IC$4="",$B32=""),0,SUMIF('DADOS BRUTOS'!$A$3:$A$500,$B32,'DADOS BRUTOS'!FC$3:FC$500)+IF($C32="",0,SUMIF('DADOS BRUTOS'!$A$3:$A$500,$C32,'DADOS BRUTOS'!FC$3:FC$500)))</f>
        <v>0</v>
      </c>
      <c r="ID32" s="133" t="n">
        <f aca="false">IF(OR(ID$4="",$B32=""),0,SUMIF('DADOS BRUTOS'!$A$3:$A$500,$B32,'DADOS BRUTOS'!FD$3:FD$500)+IF($C32="",0,SUMIF('DADOS BRUTOS'!$A$3:$A$500,$C32,'DADOS BRUTOS'!FD$3:FD$500)))</f>
        <v>0</v>
      </c>
      <c r="IE32" s="133" t="n">
        <f aca="false">IF(OR(IE$4="",$B32=""),0,SUMIF('DADOS BRUTOS'!$A$3:$A$500,$B32,'DADOS BRUTOS'!FE$3:FE$500)+IF($C32="",0,SUMIF('DADOS BRUTOS'!$A$3:$A$500,$C32,'DADOS BRUTOS'!FE$3:FE$500)))</f>
        <v>0</v>
      </c>
      <c r="IF32" s="133" t="n">
        <f aca="false">IF(OR(IF$4="",$B32=""),0,SUMIF('DADOS BRUTOS'!$A$3:$A$500,$B32,'DADOS BRUTOS'!FF$3:FF$500)+IF($C32="",0,SUMIF('DADOS BRUTOS'!$A$3:$A$500,$C32,'DADOS BRUTOS'!FF$3:FF$500)))</f>
        <v>0</v>
      </c>
      <c r="IG32" s="133" t="n">
        <f aca="false">IF(OR(IG$4="",$B32=""),0,SUMIF('DADOS BRUTOS'!$A$3:$A$500,$B32,'DADOS BRUTOS'!FG$3:FG$500)+IF($C32="",0,SUMIF('DADOS BRUTOS'!$A$3:$A$500,$C32,'DADOS BRUTOS'!FG$3:FG$500)))</f>
        <v>0</v>
      </c>
      <c r="IH32" s="133" t="n">
        <f aca="false">IF(OR(IH$4="",$B32=""),0,SUMIF('DADOS BRUTOS'!$A$3:$A$500,$B32,'DADOS BRUTOS'!FH$3:FH$500)+IF($C32="",0,SUMIF('DADOS BRUTOS'!$A$3:$A$500,$C32,'DADOS BRUTOS'!FH$3:FH$500)))</f>
        <v>0</v>
      </c>
      <c r="II32" s="133" t="n">
        <f aca="false">IF(OR(II$4="",$B32=""),0,SUMIF('DADOS BRUTOS'!$A$3:$A$500,$B32,'DADOS BRUTOS'!FI$3:FI$500)+IF($C32="",0,SUMIF('DADOS BRUTOS'!$A$3:$A$500,$C32,'DADOS BRUTOS'!FI$3:FI$500)))</f>
        <v>0</v>
      </c>
      <c r="IJ32" s="133" t="n">
        <f aca="false">IF(OR(IJ$4="",$B32=""),0,SUMIF('DADOS BRUTOS'!$A$3:$A$500,$B32,'DADOS BRUTOS'!FJ$3:FJ$500)+IF($C32="",0,SUMIF('DADOS BRUTOS'!$A$3:$A$500,$C32,'DADOS BRUTOS'!FJ$3:FJ$500)))</f>
        <v>0</v>
      </c>
      <c r="IK32" s="133" t="n">
        <f aca="false">IF(OR(IK$4="",$B32=""),0,SUMIF('DADOS BRUTOS'!$A$3:$A$500,$B32,'DADOS BRUTOS'!FK$3:FK$500)+IF($C32="",0,SUMIF('DADOS BRUTOS'!$A$3:$A$500,$C32,'DADOS BRUTOS'!FK$3:FK$500)))</f>
        <v>0</v>
      </c>
      <c r="IL32" s="133" t="n">
        <f aca="false">IF(OR(IL$4="",$B32=""),0,SUMIF('DADOS BRUTOS'!$A$3:$A$500,$B32,'DADOS BRUTOS'!FL$3:FL$500)+IF($C32="",0,SUMIF('DADOS BRUTOS'!$A$3:$A$500,$C32,'DADOS BRUTOS'!FL$3:FL$500)))</f>
        <v>0</v>
      </c>
      <c r="IM32" s="133" t="n">
        <f aca="false">IF(OR(IM$4="",$B32=""),0,SUMIF('DADOS BRUTOS'!$A$3:$A$500,$B32,'DADOS BRUTOS'!FM$3:FM$500)+IF($C32="",0,SUMIF('DADOS BRUTOS'!$A$3:$A$500,$C32,'DADOS BRUTOS'!FM$3:FM$500)))</f>
        <v>0</v>
      </c>
      <c r="IN32" s="133" t="n">
        <f aca="false">IF(OR(IN$4="",$B32=""),0,SUMIF('DADOS BRUTOS'!$A$3:$A$500,$B32,'DADOS BRUTOS'!FN$3:FN$500)+IF($C32="",0,SUMIF('DADOS BRUTOS'!$A$3:$A$500,$C32,'DADOS BRUTOS'!FN$3:FN$500)))</f>
        <v>0</v>
      </c>
      <c r="IO32" s="133" t="n">
        <f aca="false">IF(OR(IO$4="",$B32=""),0,SUMIF('DADOS BRUTOS'!$A$3:$A$500,$B32,'DADOS BRUTOS'!FO$3:FO$500)+IF($C32="",0,SUMIF('DADOS BRUTOS'!$A$3:$A$500,$C32,'DADOS BRUTOS'!FO$3:FO$500)))</f>
        <v>0</v>
      </c>
      <c r="IP32" s="133" t="n">
        <f aca="false">IF(OR(IP$4="",$B32=""),0,SUMIF('DADOS BRUTOS'!$A$3:$A$500,$B32,'DADOS BRUTOS'!FP$3:FP$500)+IF($C32="",0,SUMIF('DADOS BRUTOS'!$A$3:$A$500,$C32,'DADOS BRUTOS'!FP$3:FP$500)))</f>
        <v>0</v>
      </c>
      <c r="IQ32" s="133" t="n">
        <f aca="false">IF(OR(IQ$4="",$B32=""),0,SUMIF('DADOS BRUTOS'!$A$3:$A$500,$B32,'DADOS BRUTOS'!FQ$3:FQ$500)+IF($C32="",0,SUMIF('DADOS BRUTOS'!$A$3:$A$500,$C32,'DADOS BRUTOS'!FQ$3:FQ$500)))</f>
        <v>0</v>
      </c>
      <c r="IR32" s="133" t="n">
        <f aca="false">IF(OR(IR$4="",$B32=""),0,SUMIF('DADOS BRUTOS'!$A$3:$A$500,$B32,'DADOS BRUTOS'!FR$3:FR$500)+IF($C32="",0,SUMIF('DADOS BRUTOS'!$A$3:$A$500,$C32,'DADOS BRUTOS'!FR$3:FR$500)))</f>
        <v>0</v>
      </c>
      <c r="IS32" s="133" t="n">
        <f aca="false">IF(OR(IS$4="",$B32=""),0,SUMIF('DADOS BRUTOS'!$A$3:$A$500,$B32,'DADOS BRUTOS'!FS$3:FS$500)+IF($C32="",0,SUMIF('DADOS BRUTOS'!$A$3:$A$500,$C32,'DADOS BRUTOS'!FS$3:FS$500)))</f>
        <v>0</v>
      </c>
      <c r="IT32" s="133" t="n">
        <f aca="false">IF(OR(IT$4="",$B32=""),0,SUMIF('DADOS BRUTOS'!$A$3:$A$500,$B32,'DADOS BRUTOS'!FT$3:FT$500)+IF($C32="",0,SUMIF('DADOS BRUTOS'!$A$3:$A$500,$C32,'DADOS BRUTOS'!FT$3:FT$500)))</f>
        <v>0</v>
      </c>
      <c r="IU32" s="133" t="n">
        <f aca="false">IF(OR(IU$4="",$B32=""),0,SUMIF('DADOS BRUTOS'!$A$3:$A$500,$B32,'DADOS BRUTOS'!FU$3:FU$500)+IF($C32="",0,SUMIF('DADOS BRUTOS'!$A$3:$A$500,$C32,'DADOS BRUTOS'!FU$3:FU$500)))</f>
        <v>0</v>
      </c>
      <c r="IV32" s="133" t="n">
        <f aca="false">IF(OR(IV$4="",$B32=""),0,SUMIF('DADOS BRUTOS'!$A$3:$A$500,$B32,'DADOS BRUTOS'!FV$3:FV$500)+IF($C32="",0,SUMIF('DADOS BRUTOS'!$A$3:$A$500,$C32,'DADOS BRUTOS'!FV$3:FV$500)))</f>
        <v>0</v>
      </c>
      <c r="IW32" s="133" t="n">
        <f aca="false">IF(OR(IW$4="",$B32=""),0,SUMIF('DADOS BRUTOS'!$A$3:$A$500,$B32,'DADOS BRUTOS'!FW$3:FW$500)+IF($C32="",0,SUMIF('DADOS BRUTOS'!$A$3:$A$500,$C32,'DADOS BRUTOS'!FW$3:FW$500)))</f>
        <v>0</v>
      </c>
      <c r="IX32" s="133" t="n">
        <f aca="false">IF(OR(IX$4="",$B32=""),0,SUMIF('DADOS BRUTOS'!$A$3:$A$500,$B32,'DADOS BRUTOS'!FX$3:FX$500)+IF($C32="",0,SUMIF('DADOS BRUTOS'!$A$3:$A$500,$C32,'DADOS BRUTOS'!FX$3:FX$500)))</f>
        <v>0</v>
      </c>
      <c r="IY32" s="133" t="n">
        <f aca="false">IF(OR(IY$4="",$B32=""),0,SUMIF('DADOS BRUTOS'!$A$3:$A$500,$B32,'DADOS BRUTOS'!FY$3:FY$500)+IF($C32="",0,SUMIF('DADOS BRUTOS'!$A$3:$A$500,$C32,'DADOS BRUTOS'!FY$3:FY$500)))</f>
        <v>0</v>
      </c>
      <c r="IZ32" s="133" t="n">
        <f aca="false">IF(OR(IZ$4="",$B32=""),0,SUMIF('DADOS BRUTOS'!$A$3:$A$500,$B32,'DADOS BRUTOS'!FZ$3:FZ$500)+IF($C32="",0,SUMIF('DADOS BRUTOS'!$A$3:$A$500,$C32,'DADOS BRUTOS'!FZ$3:FZ$500)))</f>
        <v>0</v>
      </c>
      <c r="JA32" s="133" t="n">
        <f aca="false">IF(OR(JA$4="",$B32=""),0,SUMIF('DADOS BRUTOS'!$A$3:$A$500,$B32,'DADOS BRUTOS'!GA$3:GA$500)+IF($C32="",0,SUMIF('DADOS BRUTOS'!$A$3:$A$500,$C32,'DADOS BRUTOS'!GA$3:GA$500)))</f>
        <v>0</v>
      </c>
      <c r="JB32" s="133" t="n">
        <f aca="false">IF(OR(JB$4="",$B32=""),0,SUMIF('DADOS BRUTOS'!$A$3:$A$500,$B32,'DADOS BRUTOS'!GB$3:GB$500)+IF($C32="",0,SUMIF('DADOS BRUTOS'!$A$3:$A$500,$C32,'DADOS BRUTOS'!GB$3:GB$500)))</f>
        <v>0</v>
      </c>
      <c r="JC32" s="133" t="n">
        <f aca="false">IF(OR(JC$4="",$B32=""),0,SUMIF('DADOS BRUTOS'!$A$3:$A$500,$B32,'DADOS BRUTOS'!GC$3:GC$500)+IF($C32="",0,SUMIF('DADOS BRUTOS'!$A$3:$A$500,$C32,'DADOS BRUTOS'!GC$3:GC$500)))</f>
        <v>0</v>
      </c>
      <c r="JD32" s="133" t="n">
        <f aca="false">IF(OR(JD$4="",$B32=""),0,SUMIF('DADOS BRUTOS'!$A$3:$A$500,$B32,'DADOS BRUTOS'!GD$3:GD$500)+IF($C32="",0,SUMIF('DADOS BRUTOS'!$A$3:$A$500,$C32,'DADOS BRUTOS'!GD$3:GD$500)))</f>
        <v>0</v>
      </c>
      <c r="JE32" s="133" t="n">
        <f aca="false">IF(OR(JE$4="",$B32=""),0,SUMIF('DADOS BRUTOS'!$A$3:$A$500,$B32,'DADOS BRUTOS'!GE$3:GE$500)+IF($C32="",0,SUMIF('DADOS BRUTOS'!$A$3:$A$500,$C32,'DADOS BRUTOS'!GE$3:GE$500)))</f>
        <v>0</v>
      </c>
      <c r="JF32" s="133" t="n">
        <f aca="false">IF(OR(JF$4="",$B32=""),0,SUMIF('DADOS BRUTOS'!$A$3:$A$500,$B32,'DADOS BRUTOS'!GF$3:GF$500)+IF($C32="",0,SUMIF('DADOS BRUTOS'!$A$3:$A$500,$C32,'DADOS BRUTOS'!GF$3:GF$500)))</f>
        <v>0</v>
      </c>
      <c r="JG32" s="133" t="n">
        <f aca="false">IF(OR(JG$4="",$B32=""),0,SUMIF('DADOS BRUTOS'!$A$3:$A$500,$B32,'DADOS BRUTOS'!GG$3:GG$500)+IF($C32="",0,SUMIF('DADOS BRUTOS'!$A$3:$A$500,$C32,'DADOS BRUTOS'!GG$3:GG$500)))</f>
        <v>0</v>
      </c>
      <c r="JH32" s="133" t="n">
        <f aca="false">IF(OR(JH$4="",$B32=""),0,SUMIF('DADOS BRUTOS'!$A$3:$A$500,$B32,'DADOS BRUTOS'!GH$3:GH$500)+IF($C32="",0,SUMIF('DADOS BRUTOS'!$A$3:$A$500,$C32,'DADOS BRUTOS'!GH$3:GH$500)))</f>
        <v>0</v>
      </c>
      <c r="JI32" s="133" t="n">
        <f aca="false">IF(OR(JI$4="",$B32=""),0,SUMIF('DADOS BRUTOS'!$A$3:$A$500,$B32,'DADOS BRUTOS'!GI$3:GI$500)+IF($C32="",0,SUMIF('DADOS BRUTOS'!$A$3:$A$500,$C32,'DADOS BRUTOS'!GI$3:GI$500)))</f>
        <v>0</v>
      </c>
      <c r="JJ32" s="133" t="n">
        <f aca="false">IF(OR(JJ$4="",$B32=""),0,SUMIF('DADOS BRUTOS'!$A$3:$A$500,$B32,'DADOS BRUTOS'!GJ$3:GJ$500)+IF($C32="",0,SUMIF('DADOS BRUTOS'!$A$3:$A$500,$C32,'DADOS BRUTOS'!GJ$3:GJ$500)))</f>
        <v>0</v>
      </c>
      <c r="JK32" s="133" t="n">
        <f aca="false">IF(OR(JK$4="",$B32=""),0,SUMIF('DADOS BRUTOS'!$A$3:$A$500,$B32,'DADOS BRUTOS'!GK$3:GK$500)+IF($C32="",0,SUMIF('DADOS BRUTOS'!$A$3:$A$500,$C32,'DADOS BRUTOS'!GK$3:GK$500)))</f>
        <v>0</v>
      </c>
      <c r="JL32" s="133" t="n">
        <f aca="false">IF(OR(JL$4="",$B32=""),0,SUMIF('DADOS BRUTOS'!$A$3:$A$500,$B32,'DADOS BRUTOS'!GL$3:GL$500)+IF($C32="",0,SUMIF('DADOS BRUTOS'!$A$3:$A$500,$C32,'DADOS BRUTOS'!GL$3:GL$500)))</f>
        <v>0</v>
      </c>
      <c r="JM32" s="133" t="n">
        <f aca="false">IF(OR(JM$4="",$B32=""),0,SUMIF('DADOS BRUTOS'!$A$3:$A$500,$B32,'DADOS BRUTOS'!GM$3:GM$500)+IF($C32="",0,SUMIF('DADOS BRUTOS'!$A$3:$A$500,$C32,'DADOS BRUTOS'!GM$3:GM$500)))</f>
        <v>0</v>
      </c>
      <c r="JN32" s="133" t="n">
        <f aca="false">IF(OR(JN$4="",$B32=""),0,SUMIF('DADOS BRUTOS'!$A$3:$A$500,$B32,'DADOS BRUTOS'!GN$3:GN$500)+IF($C32="",0,SUMIF('DADOS BRUTOS'!$A$3:$A$500,$C32,'DADOS BRUTOS'!GN$3:GN$500)))</f>
        <v>0</v>
      </c>
      <c r="JO32" s="133" t="n">
        <f aca="false">IF(OR(JO$4="",$B32=""),0,SUMIF('DADOS BRUTOS'!$A$3:$A$500,$B32,'DADOS BRUTOS'!GO$3:GO$500)+IF($C32="",0,SUMIF('DADOS BRUTOS'!$A$3:$A$500,$C32,'DADOS BRUTOS'!GO$3:GO$500)))</f>
        <v>0</v>
      </c>
      <c r="JP32" s="133" t="n">
        <f aca="false">IF(OR(JP$4="",$B32=""),0,SUMIF('DADOS BRUTOS'!$A$3:$A$500,$B32,'DADOS BRUTOS'!GP$3:GP$500)+IF($C32="",0,SUMIF('DADOS BRUTOS'!$A$3:$A$500,$C32,'DADOS BRUTOS'!GP$3:GP$500)))</f>
        <v>0</v>
      </c>
      <c r="JQ32" s="133" t="n">
        <f aca="false">IF(OR(JQ$4="",$B32=""),0,SUMIF('DADOS BRUTOS'!$A$3:$A$500,$B32,'DADOS BRUTOS'!GQ$3:GQ$500)+IF($C32="",0,SUMIF('DADOS BRUTOS'!$A$3:$A$500,$C32,'DADOS BRUTOS'!GQ$3:GQ$500)))</f>
        <v>0</v>
      </c>
      <c r="JR32" s="133" t="n">
        <f aca="false">IF(OR(JR$4="",$B32=""),0,SUMIF('DADOS BRUTOS'!$A$3:$A$500,$B32,'DADOS BRUTOS'!GR$3:GR$500)+IF($C32="",0,SUMIF('DADOS BRUTOS'!$A$3:$A$500,$C32,'DADOS BRUTOS'!GR$3:GR$500)))</f>
        <v>0</v>
      </c>
      <c r="JS32" s="133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2876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0</v>
      </c>
      <c r="T33" s="50" t="n">
        <f aca="false">SUMIF($CB$4:$JS$4,T$4,$CB33:$JS33)</f>
        <v>0</v>
      </c>
      <c r="U33" s="50" t="n">
        <f aca="false">SUMIF($CB$4:$JS$4,U$4,$CB33:$JS33)</f>
        <v>0</v>
      </c>
      <c r="V33" s="50" t="n">
        <f aca="false">SUMIF($CB$4:$JS$4,V$4,$CB33:$JS33)</f>
        <v>0</v>
      </c>
      <c r="W33" s="50" t="n">
        <f aca="false">SUMIF($CB$4:$JS$4,W$4,$CB33:$JS33)</f>
        <v>0</v>
      </c>
      <c r="X33" s="50" t="n">
        <f aca="false">SUMIF($CB$4:$JS$4,X$4,$CB33:$JS33)</f>
        <v>0</v>
      </c>
      <c r="Y33" s="50" t="n">
        <f aca="false">SUMIF($CB$4:$JS$4,Y$4,$CB33:$JS33)</f>
        <v>0</v>
      </c>
      <c r="Z33" s="50" t="n">
        <f aca="false">SUMIF($CB$4:$JS$4,Z$4,$CB33:$JS33)</f>
        <v>0</v>
      </c>
      <c r="AA33" s="50" t="n">
        <f aca="false">SUMIF($CB$4:$JS$4,AA$4,$CB33:$JS33)</f>
        <v>0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0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0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0</v>
      </c>
      <c r="BZ33" s="45" t="n">
        <f aca="false">SUMPRODUCT(($CB$4:$JS$4&lt;&gt;"")*($CB$4:$JS$4&lt;=$D$4),$CB33:$JS33,$CB$1:$JS$1)</f>
        <v>0</v>
      </c>
      <c r="CB33" s="133" t="n">
        <f aca="false">IF(OR(CB$4="",$B33=""),0,SUMIF('DADOS BRUTOS'!$A$3:$A$500,$B33,'DADOS BRUTOS'!B$3:B$500)+IF($C33="",0,SUMIF('DADOS BRUTOS'!$A$3:$A$500,$C33,'DADOS BRUTOS'!B$3:B$500)))</f>
        <v>0</v>
      </c>
      <c r="CC33" s="133" t="n">
        <f aca="false">IF(OR(CC$4="",$B33=""),0,SUMIF('DADOS BRUTOS'!$A$3:$A$500,$B33,'DADOS BRUTOS'!C$3:C$500)+IF($C33="",0,SUMIF('DADOS BRUTOS'!$A$3:$A$500,$C33,'DADOS BRUTOS'!C$3:C$500)))</f>
        <v>0</v>
      </c>
      <c r="CD33" s="133" t="n">
        <f aca="false">IF(OR(CD$4="",$B33=""),0,SUMIF('DADOS BRUTOS'!$A$3:$A$500,$B33,'DADOS BRUTOS'!D$3:D$500)+IF($C33="",0,SUMIF('DADOS BRUTOS'!$A$3:$A$500,$C33,'DADOS BRUTOS'!D$3:D$500)))</f>
        <v>0</v>
      </c>
      <c r="CE33" s="133" t="n">
        <f aca="false">IF(OR(CE$4="",$B33=""),0,SUMIF('DADOS BRUTOS'!$A$3:$A$500,$B33,'DADOS BRUTOS'!E$3:E$500)+IF($C33="",0,SUMIF('DADOS BRUTOS'!$A$3:$A$500,$C33,'DADOS BRUTOS'!E$3:E$500)))</f>
        <v>0</v>
      </c>
      <c r="CF33" s="133" t="n">
        <f aca="false">IF(OR(CF$4="",$B33=""),0,SUMIF('DADOS BRUTOS'!$A$3:$A$500,$B33,'DADOS BRUTOS'!F$3:F$500)+IF($C33="",0,SUMIF('DADOS BRUTOS'!$A$3:$A$500,$C33,'DADOS BRUTOS'!F$3:F$500)))</f>
        <v>0</v>
      </c>
      <c r="CG33" s="133" t="n">
        <f aca="false">IF(OR(CG$4="",$B33=""),0,SUMIF('DADOS BRUTOS'!$A$3:$A$500,$B33,'DADOS BRUTOS'!G$3:G$500)+IF($C33="",0,SUMIF('DADOS BRUTOS'!$A$3:$A$500,$C33,'DADOS BRUTOS'!G$3:G$500)))</f>
        <v>0</v>
      </c>
      <c r="CH33" s="133" t="n">
        <f aca="false">IF(OR(CH$4="",$B33=""),0,SUMIF('DADOS BRUTOS'!$A$3:$A$500,$B33,'DADOS BRUTOS'!H$3:H$500)+IF($C33="",0,SUMIF('DADOS BRUTOS'!$A$3:$A$500,$C33,'DADOS BRUTOS'!H$3:H$500)))</f>
        <v>0</v>
      </c>
      <c r="CI33" s="133" t="n">
        <f aca="false">IF(OR(CI$4="",$B33=""),0,SUMIF('DADOS BRUTOS'!$A$3:$A$500,$B33,'DADOS BRUTOS'!I$3:I$500)+IF($C33="",0,SUMIF('DADOS BRUTOS'!$A$3:$A$500,$C33,'DADOS BRUTOS'!I$3:I$500)))</f>
        <v>0</v>
      </c>
      <c r="CJ33" s="133" t="n">
        <f aca="false">IF(OR(CJ$4="",$B33=""),0,SUMIF('DADOS BRUTOS'!$A$3:$A$500,$B33,'DADOS BRUTOS'!J$3:J$500)+IF($C33="",0,SUMIF('DADOS BRUTOS'!$A$3:$A$500,$C33,'DADOS BRUTOS'!J$3:J$500)))</f>
        <v>0</v>
      </c>
      <c r="CK33" s="133" t="n">
        <f aca="false">IF(OR(CK$4="",$B33=""),0,SUMIF('DADOS BRUTOS'!$A$3:$A$500,$B33,'DADOS BRUTOS'!K$3:K$500)+IF($C33="",0,SUMIF('DADOS BRUTOS'!$A$3:$A$500,$C33,'DADOS BRUTOS'!K$3:K$500)))</f>
        <v>0</v>
      </c>
      <c r="CL33" s="133" t="n">
        <f aca="false">IF(OR(CL$4="",$B33=""),0,SUMIF('DADOS BRUTOS'!$A$3:$A$500,$B33,'DADOS BRUTOS'!L$3:L$500)+IF($C33="",0,SUMIF('DADOS BRUTOS'!$A$3:$A$500,$C33,'DADOS BRUTOS'!L$3:L$500)))</f>
        <v>0</v>
      </c>
      <c r="CM33" s="133" t="n">
        <f aca="false">IF(OR(CM$4="",$B33=""),0,SUMIF('DADOS BRUTOS'!$A$3:$A$500,$B33,'DADOS BRUTOS'!M$3:M$500)+IF($C33="",0,SUMIF('DADOS BRUTOS'!$A$3:$A$500,$C33,'DADOS BRUTOS'!M$3:M$500)))</f>
        <v>0</v>
      </c>
      <c r="CN33" s="133" t="n">
        <f aca="false">IF(OR(CN$4="",$B33=""),0,SUMIF('DADOS BRUTOS'!$A$3:$A$500,$B33,'DADOS BRUTOS'!N$3:N$500)+IF($C33="",0,SUMIF('DADOS BRUTOS'!$A$3:$A$500,$C33,'DADOS BRUTOS'!N$3:N$500)))</f>
        <v>0</v>
      </c>
      <c r="CO33" s="133" t="n">
        <f aca="false">IF(OR(CO$4="",$B33=""),0,SUMIF('DADOS BRUTOS'!$A$3:$A$500,$B33,'DADOS BRUTOS'!O$3:O$500)+IF($C33="",0,SUMIF('DADOS BRUTOS'!$A$3:$A$500,$C33,'DADOS BRUTOS'!O$3:O$500)))</f>
        <v>0</v>
      </c>
      <c r="CP33" s="133" t="n">
        <f aca="false">IF(OR(CP$4="",$B33=""),0,SUMIF('DADOS BRUTOS'!$A$3:$A$500,$B33,'DADOS BRUTOS'!P$3:P$500)+IF($C33="",0,SUMIF('DADOS BRUTOS'!$A$3:$A$500,$C33,'DADOS BRUTOS'!P$3:P$500)))</f>
        <v>0</v>
      </c>
      <c r="CQ33" s="133" t="n">
        <f aca="false">IF(OR(CQ$4="",$B33=""),0,SUMIF('DADOS BRUTOS'!$A$3:$A$500,$B33,'DADOS BRUTOS'!Q$3:Q$500)+IF($C33="",0,SUMIF('DADOS BRUTOS'!$A$3:$A$500,$C33,'DADOS BRUTOS'!Q$3:Q$500)))</f>
        <v>0</v>
      </c>
      <c r="CR33" s="133" t="n">
        <f aca="false">IF(OR(CR$4="",$B33=""),0,SUMIF('DADOS BRUTOS'!$A$3:$A$500,$B33,'DADOS BRUTOS'!R$3:R$500)+IF($C33="",0,SUMIF('DADOS BRUTOS'!$A$3:$A$500,$C33,'DADOS BRUTOS'!R$3:R$500)))</f>
        <v>0</v>
      </c>
      <c r="CS33" s="133" t="n">
        <f aca="false">IF(OR(CS$4="",$B33=""),0,SUMIF('DADOS BRUTOS'!$A$3:$A$500,$B33,'DADOS BRUTOS'!S$3:S$500)+IF($C33="",0,SUMIF('DADOS BRUTOS'!$A$3:$A$500,$C33,'DADOS BRUTOS'!S$3:S$500)))</f>
        <v>0</v>
      </c>
      <c r="CT33" s="133" t="n">
        <f aca="false">IF(OR(CT$4="",$B33=""),0,SUMIF('DADOS BRUTOS'!$A$3:$A$500,$B33,'DADOS BRUTOS'!T$3:T$500)+IF($C33="",0,SUMIF('DADOS BRUTOS'!$A$3:$A$500,$C33,'DADOS BRUTOS'!T$3:T$500)))</f>
        <v>0</v>
      </c>
      <c r="CU33" s="133" t="n">
        <f aca="false">IF(OR(CU$4="",$B33=""),0,SUMIF('DADOS BRUTOS'!$A$3:$A$500,$B33,'DADOS BRUTOS'!U$3:U$500)+IF($C33="",0,SUMIF('DADOS BRUTOS'!$A$3:$A$500,$C33,'DADOS BRUTOS'!U$3:U$500)))</f>
        <v>0</v>
      </c>
      <c r="CV33" s="133" t="n">
        <f aca="false">IF(OR(CV$4="",$B33=""),0,SUMIF('DADOS BRUTOS'!$A$3:$A$500,$B33,'DADOS BRUTOS'!V$3:V$500)+IF($C33="",0,SUMIF('DADOS BRUTOS'!$A$3:$A$500,$C33,'DADOS BRUTOS'!V$3:V$500)))</f>
        <v>0</v>
      </c>
      <c r="CW33" s="133" t="n">
        <f aca="false">IF(OR(CW$4="",$B33=""),0,SUMIF('DADOS BRUTOS'!$A$3:$A$500,$B33,'DADOS BRUTOS'!W$3:W$500)+IF($C33="",0,SUMIF('DADOS BRUTOS'!$A$3:$A$500,$C33,'DADOS BRUTOS'!W$3:W$500)))</f>
        <v>0</v>
      </c>
      <c r="CX33" s="133" t="n">
        <f aca="false">IF(OR(CX$4="",$B33=""),0,SUMIF('DADOS BRUTOS'!$A$3:$A$500,$B33,'DADOS BRUTOS'!X$3:X$500)+IF($C33="",0,SUMIF('DADOS BRUTOS'!$A$3:$A$500,$C33,'DADOS BRUTOS'!X$3:X$500)))</f>
        <v>0</v>
      </c>
      <c r="CY33" s="133" t="n">
        <f aca="false">IF(OR(CY$4="",$B33=""),0,SUMIF('DADOS BRUTOS'!$A$3:$A$500,$B33,'DADOS BRUTOS'!Y$3:Y$500)+IF($C33="",0,SUMIF('DADOS BRUTOS'!$A$3:$A$500,$C33,'DADOS BRUTOS'!Y$3:Y$500)))</f>
        <v>0</v>
      </c>
      <c r="CZ33" s="133" t="n">
        <f aca="false">IF(OR(CZ$4="",$B33=""),0,SUMIF('DADOS BRUTOS'!$A$3:$A$500,$B33,'DADOS BRUTOS'!Z$3:Z$500)+IF($C33="",0,SUMIF('DADOS BRUTOS'!$A$3:$A$500,$C33,'DADOS BRUTOS'!Z$3:Z$500)))</f>
        <v>0</v>
      </c>
      <c r="DA33" s="133" t="n">
        <f aca="false">IF(OR(DA$4="",$B33=""),0,SUMIF('DADOS BRUTOS'!$A$3:$A$500,$B33,'DADOS BRUTOS'!AA$3:AA$500)+IF($C33="",0,SUMIF('DADOS BRUTOS'!$A$3:$A$500,$C33,'DADOS BRUTOS'!AA$3:AA$500)))</f>
        <v>0</v>
      </c>
      <c r="DB33" s="133" t="n">
        <f aca="false">IF(OR(DB$4="",$B33=""),0,SUMIF('DADOS BRUTOS'!$A$3:$A$500,$B33,'DADOS BRUTOS'!AB$3:AB$500)+IF($C33="",0,SUMIF('DADOS BRUTOS'!$A$3:$A$500,$C33,'DADOS BRUTOS'!AB$3:AB$500)))</f>
        <v>0</v>
      </c>
      <c r="DC33" s="133" t="n">
        <f aca="false">IF(OR(DC$4="",$B33=""),0,SUMIF('DADOS BRUTOS'!$A$3:$A$500,$B33,'DADOS BRUTOS'!AC$3:AC$500)+IF($C33="",0,SUMIF('DADOS BRUTOS'!$A$3:$A$500,$C33,'DADOS BRUTOS'!AC$3:AC$500)))</f>
        <v>0</v>
      </c>
      <c r="DD33" s="133" t="n">
        <f aca="false">IF(OR(DD$4="",$B33=""),0,SUMIF('DADOS BRUTOS'!$A$3:$A$500,$B33,'DADOS BRUTOS'!AD$3:AD$500)+IF($C33="",0,SUMIF('DADOS BRUTOS'!$A$3:$A$500,$C33,'DADOS BRUTOS'!AD$3:AD$500)))</f>
        <v>0</v>
      </c>
      <c r="DE33" s="133" t="n">
        <f aca="false">IF(OR(DE$4="",$B33=""),0,SUMIF('DADOS BRUTOS'!$A$3:$A$500,$B33,'DADOS BRUTOS'!AE$3:AE$500)+IF($C33="",0,SUMIF('DADOS BRUTOS'!$A$3:$A$500,$C33,'DADOS BRUTOS'!AE$3:AE$500)))</f>
        <v>0</v>
      </c>
      <c r="DF33" s="133" t="n">
        <f aca="false">IF(OR(DF$4="",$B33=""),0,SUMIF('DADOS BRUTOS'!$A$3:$A$500,$B33,'DADOS BRUTOS'!AF$3:AF$500)+IF($C33="",0,SUMIF('DADOS BRUTOS'!$A$3:$A$500,$C33,'DADOS BRUTOS'!AF$3:AF$500)))</f>
        <v>0</v>
      </c>
      <c r="DG33" s="133" t="n">
        <f aca="false">IF(OR(DG$4="",$B33=""),0,SUMIF('DADOS BRUTOS'!$A$3:$A$500,$B33,'DADOS BRUTOS'!AG$3:AG$500)+IF($C33="",0,SUMIF('DADOS BRUTOS'!$A$3:$A$500,$C33,'DADOS BRUTOS'!AG$3:AG$500)))</f>
        <v>0</v>
      </c>
      <c r="DH33" s="133" t="n">
        <f aca="false">IF(OR(DH$4="",$B33=""),0,SUMIF('DADOS BRUTOS'!$A$3:$A$500,$B33,'DADOS BRUTOS'!AH$3:AH$500)+IF($C33="",0,SUMIF('DADOS BRUTOS'!$A$3:$A$500,$C33,'DADOS BRUTOS'!AH$3:AH$500)))</f>
        <v>0</v>
      </c>
      <c r="DI33" s="133" t="n">
        <f aca="false">IF(OR(DI$4="",$B33=""),0,SUMIF('DADOS BRUTOS'!$A$3:$A$500,$B33,'DADOS BRUTOS'!AI$3:AI$500)+IF($C33="",0,SUMIF('DADOS BRUTOS'!$A$3:$A$500,$C33,'DADOS BRUTOS'!AI$3:AI$500)))</f>
        <v>0</v>
      </c>
      <c r="DJ33" s="133" t="n">
        <f aca="false">IF(OR(DJ$4="",$B33=""),0,SUMIF('DADOS BRUTOS'!$A$3:$A$500,$B33,'DADOS BRUTOS'!AJ$3:AJ$500)+IF($C33="",0,SUMIF('DADOS BRUTOS'!$A$3:$A$500,$C33,'DADOS BRUTOS'!AJ$3:AJ$500)))</f>
        <v>0</v>
      </c>
      <c r="DK33" s="133" t="n">
        <f aca="false">IF(OR(DK$4="",$B33=""),0,SUMIF('DADOS BRUTOS'!$A$3:$A$500,$B33,'DADOS BRUTOS'!AK$3:AK$500)+IF($C33="",0,SUMIF('DADOS BRUTOS'!$A$3:$A$500,$C33,'DADOS BRUTOS'!AK$3:AK$500)))</f>
        <v>0</v>
      </c>
      <c r="DL33" s="133" t="n">
        <f aca="false">IF(OR(DL$4="",$B33=""),0,SUMIF('DADOS BRUTOS'!$A$3:$A$500,$B33,'DADOS BRUTOS'!AL$3:AL$500)+IF($C33="",0,SUMIF('DADOS BRUTOS'!$A$3:$A$500,$C33,'DADOS BRUTOS'!AL$3:AL$500)))</f>
        <v>0</v>
      </c>
      <c r="DM33" s="133" t="n">
        <f aca="false">IF(OR(DM$4="",$B33=""),0,SUMIF('DADOS BRUTOS'!$A$3:$A$500,$B33,'DADOS BRUTOS'!AM$3:AM$500)+IF($C33="",0,SUMIF('DADOS BRUTOS'!$A$3:$A$500,$C33,'DADOS BRUTOS'!AM$3:AM$500)))</f>
        <v>0</v>
      </c>
      <c r="DN33" s="133" t="n">
        <f aca="false">IF(OR(DN$4="",$B33=""),0,SUMIF('DADOS BRUTOS'!$A$3:$A$500,$B33,'DADOS BRUTOS'!AN$3:AN$500)+IF($C33="",0,SUMIF('DADOS BRUTOS'!$A$3:$A$500,$C33,'DADOS BRUTOS'!AN$3:AN$500)))</f>
        <v>0</v>
      </c>
      <c r="DO33" s="133" t="n">
        <f aca="false">IF(OR(DO$4="",$B33=""),0,SUMIF('DADOS BRUTOS'!$A$3:$A$500,$B33,'DADOS BRUTOS'!AO$3:AO$500)+IF($C33="",0,SUMIF('DADOS BRUTOS'!$A$3:$A$500,$C33,'DADOS BRUTOS'!AO$3:AO$500)))</f>
        <v>0</v>
      </c>
      <c r="DP33" s="133" t="n">
        <f aca="false">IF(OR(DP$4="",$B33=""),0,SUMIF('DADOS BRUTOS'!$A$3:$A$500,$B33,'DADOS BRUTOS'!AP$3:AP$500)+IF($C33="",0,SUMIF('DADOS BRUTOS'!$A$3:$A$500,$C33,'DADOS BRUTOS'!AP$3:AP$500)))</f>
        <v>0</v>
      </c>
      <c r="DQ33" s="133" t="n">
        <f aca="false">IF(OR(DQ$4="",$B33=""),0,SUMIF('DADOS BRUTOS'!$A$3:$A$500,$B33,'DADOS BRUTOS'!AQ$3:AQ$500)+IF($C33="",0,SUMIF('DADOS BRUTOS'!$A$3:$A$500,$C33,'DADOS BRUTOS'!AQ$3:AQ$500)))</f>
        <v>0</v>
      </c>
      <c r="DR33" s="133" t="n">
        <f aca="false">IF(OR(DR$4="",$B33=""),0,SUMIF('DADOS BRUTOS'!$A$3:$A$500,$B33,'DADOS BRUTOS'!AR$3:AR$500)+IF($C33="",0,SUMIF('DADOS BRUTOS'!$A$3:$A$500,$C33,'DADOS BRUTOS'!AR$3:AR$500)))</f>
        <v>0</v>
      </c>
      <c r="DS33" s="133" t="n">
        <f aca="false">IF(OR(DS$4="",$B33=""),0,SUMIF('DADOS BRUTOS'!$A$3:$A$500,$B33,'DADOS BRUTOS'!AS$3:AS$500)+IF($C33="",0,SUMIF('DADOS BRUTOS'!$A$3:$A$500,$C33,'DADOS BRUTOS'!AS$3:AS$500)))</f>
        <v>0</v>
      </c>
      <c r="DT33" s="133" t="n">
        <f aca="false">IF(OR(DT$4="",$B33=""),0,SUMIF('DADOS BRUTOS'!$A$3:$A$500,$B33,'DADOS BRUTOS'!AT$3:AT$500)+IF($C33="",0,SUMIF('DADOS BRUTOS'!$A$3:$A$500,$C33,'DADOS BRUTOS'!AT$3:AT$500)))</f>
        <v>0</v>
      </c>
      <c r="DU33" s="133" t="n">
        <f aca="false">IF(OR(DU$4="",$B33=""),0,SUMIF('DADOS BRUTOS'!$A$3:$A$500,$B33,'DADOS BRUTOS'!AU$3:AU$500)+IF($C33="",0,SUMIF('DADOS BRUTOS'!$A$3:$A$500,$C33,'DADOS BRUTOS'!AU$3:AU$500)))</f>
        <v>0</v>
      </c>
      <c r="DV33" s="133" t="n">
        <f aca="false">IF(OR(DV$4="",$B33=""),0,SUMIF('DADOS BRUTOS'!$A$3:$A$500,$B33,'DADOS BRUTOS'!AV$3:AV$500)+IF($C33="",0,SUMIF('DADOS BRUTOS'!$A$3:$A$500,$C33,'DADOS BRUTOS'!AV$3:AV$500)))</f>
        <v>0</v>
      </c>
      <c r="DW33" s="133" t="n">
        <f aca="false">IF(OR(DW$4="",$B33=""),0,SUMIF('DADOS BRUTOS'!$A$3:$A$500,$B33,'DADOS BRUTOS'!AW$3:AW$500)+IF($C33="",0,SUMIF('DADOS BRUTOS'!$A$3:$A$500,$C33,'DADOS BRUTOS'!AW$3:AW$500)))</f>
        <v>0</v>
      </c>
      <c r="DX33" s="133" t="n">
        <f aca="false">IF(OR(DX$4="",$B33=""),0,SUMIF('DADOS BRUTOS'!$A$3:$A$500,$B33,'DADOS BRUTOS'!AX$3:AX$500)+IF($C33="",0,SUMIF('DADOS BRUTOS'!$A$3:$A$500,$C33,'DADOS BRUTOS'!AX$3:AX$500)))</f>
        <v>0</v>
      </c>
      <c r="DY33" s="133" t="n">
        <f aca="false">IF(OR(DY$4="",$B33=""),0,SUMIF('DADOS BRUTOS'!$A$3:$A$500,$B33,'DADOS BRUTOS'!AY$3:AY$500)+IF($C33="",0,SUMIF('DADOS BRUTOS'!$A$3:$A$500,$C33,'DADOS BRUTOS'!AY$3:AY$500)))</f>
        <v>0</v>
      </c>
      <c r="DZ33" s="133" t="n">
        <f aca="false">IF(OR(DZ$4="",$B33=""),0,SUMIF('DADOS BRUTOS'!$A$3:$A$500,$B33,'DADOS BRUTOS'!AZ$3:AZ$500)+IF($C33="",0,SUMIF('DADOS BRUTOS'!$A$3:$A$500,$C33,'DADOS BRUTOS'!AZ$3:AZ$500)))</f>
        <v>0</v>
      </c>
      <c r="EA33" s="133" t="n">
        <f aca="false">IF(OR(EA$4="",$B33=""),0,SUMIF('DADOS BRUTOS'!$A$3:$A$500,$B33,'DADOS BRUTOS'!BA$3:BA$500)+IF($C33="",0,SUMIF('DADOS BRUTOS'!$A$3:$A$500,$C33,'DADOS BRUTOS'!BA$3:BA$500)))</f>
        <v>0</v>
      </c>
      <c r="EB33" s="133" t="n">
        <f aca="false">IF(OR(EB$4="",$B33=""),0,SUMIF('DADOS BRUTOS'!$A$3:$A$500,$B33,'DADOS BRUTOS'!BB$3:BB$500)+IF($C33="",0,SUMIF('DADOS BRUTOS'!$A$3:$A$500,$C33,'DADOS BRUTOS'!BB$3:BB$500)))</f>
        <v>0</v>
      </c>
      <c r="EC33" s="133" t="n">
        <f aca="false">IF(OR(EC$4="",$B33=""),0,SUMIF('DADOS BRUTOS'!$A$3:$A$500,$B33,'DADOS BRUTOS'!BC$3:BC$500)+IF($C33="",0,SUMIF('DADOS BRUTOS'!$A$3:$A$500,$C33,'DADOS BRUTOS'!BC$3:BC$500)))</f>
        <v>0</v>
      </c>
      <c r="ED33" s="133" t="n">
        <f aca="false">IF(OR(ED$4="",$B33=""),0,SUMIF('DADOS BRUTOS'!$A$3:$A$500,$B33,'DADOS BRUTOS'!BD$3:BD$500)+IF($C33="",0,SUMIF('DADOS BRUTOS'!$A$3:$A$500,$C33,'DADOS BRUTOS'!BD$3:BD$500)))</f>
        <v>0</v>
      </c>
      <c r="EE33" s="133" t="n">
        <f aca="false">IF(OR(EE$4="",$B33=""),0,SUMIF('DADOS BRUTOS'!$A$3:$A$500,$B33,'DADOS BRUTOS'!BE$3:BE$500)+IF($C33="",0,SUMIF('DADOS BRUTOS'!$A$3:$A$500,$C33,'DADOS BRUTOS'!BE$3:BE$500)))</f>
        <v>0</v>
      </c>
      <c r="EF33" s="133" t="n">
        <f aca="false">IF(OR(EF$4="",$B33=""),0,SUMIF('DADOS BRUTOS'!$A$3:$A$500,$B33,'DADOS BRUTOS'!BF$3:BF$500)+IF($C33="",0,SUMIF('DADOS BRUTOS'!$A$3:$A$500,$C33,'DADOS BRUTOS'!BF$3:BF$500)))</f>
        <v>0</v>
      </c>
      <c r="EG33" s="133" t="n">
        <f aca="false">IF(OR(EG$4="",$B33=""),0,SUMIF('DADOS BRUTOS'!$A$3:$A$500,$B33,'DADOS BRUTOS'!BG$3:BG$500)+IF($C33="",0,SUMIF('DADOS BRUTOS'!$A$3:$A$500,$C33,'DADOS BRUTOS'!BG$3:BG$500)))</f>
        <v>0</v>
      </c>
      <c r="EH33" s="133" t="n">
        <f aca="false">IF(OR(EH$4="",$B33=""),0,SUMIF('DADOS BRUTOS'!$A$3:$A$500,$B33,'DADOS BRUTOS'!BH$3:BH$500)+IF($C33="",0,SUMIF('DADOS BRUTOS'!$A$3:$A$500,$C33,'DADOS BRUTOS'!BH$3:BH$500)))</f>
        <v>0</v>
      </c>
      <c r="EI33" s="133" t="n">
        <f aca="false">IF(OR(EI$4="",$B33=""),0,SUMIF('DADOS BRUTOS'!$A$3:$A$500,$B33,'DADOS BRUTOS'!BI$3:BI$500)+IF($C33="",0,SUMIF('DADOS BRUTOS'!$A$3:$A$500,$C33,'DADOS BRUTOS'!BI$3:BI$500)))</f>
        <v>0</v>
      </c>
      <c r="EJ33" s="133" t="n">
        <f aca="false">IF(OR(EJ$4="",$B33=""),0,SUMIF('DADOS BRUTOS'!$A$3:$A$500,$B33,'DADOS BRUTOS'!BJ$3:BJ$500)+IF($C33="",0,SUMIF('DADOS BRUTOS'!$A$3:$A$500,$C33,'DADOS BRUTOS'!BJ$3:BJ$500)))</f>
        <v>0</v>
      </c>
      <c r="EK33" s="133" t="n">
        <f aca="false">IF(OR(EK$4="",$B33=""),0,SUMIF('DADOS BRUTOS'!$A$3:$A$500,$B33,'DADOS BRUTOS'!BK$3:BK$500)+IF($C33="",0,SUMIF('DADOS BRUTOS'!$A$3:$A$500,$C33,'DADOS BRUTOS'!BK$3:BK$500)))</f>
        <v>0</v>
      </c>
      <c r="EL33" s="133" t="n">
        <f aca="false">IF(OR(EL$4="",$B33=""),0,SUMIF('DADOS BRUTOS'!$A$3:$A$500,$B33,'DADOS BRUTOS'!BL$3:BL$500)+IF($C33="",0,SUMIF('DADOS BRUTOS'!$A$3:$A$500,$C33,'DADOS BRUTOS'!BL$3:BL$500)))</f>
        <v>0</v>
      </c>
      <c r="EM33" s="133" t="n">
        <f aca="false">IF(OR(EM$4="",$B33=""),0,SUMIF('DADOS BRUTOS'!$A$3:$A$500,$B33,'DADOS BRUTOS'!BM$3:BM$500)+IF($C33="",0,SUMIF('DADOS BRUTOS'!$A$3:$A$500,$C33,'DADOS BRUTOS'!BM$3:BM$500)))</f>
        <v>0</v>
      </c>
      <c r="EN33" s="133" t="n">
        <f aca="false">IF(OR(EN$4="",$B33=""),0,SUMIF('DADOS BRUTOS'!$A$3:$A$500,$B33,'DADOS BRUTOS'!BN$3:BN$500)+IF($C33="",0,SUMIF('DADOS BRUTOS'!$A$3:$A$500,$C33,'DADOS BRUTOS'!BN$3:BN$500)))</f>
        <v>0</v>
      </c>
      <c r="EO33" s="133" t="n">
        <f aca="false">IF(OR(EO$4="",$B33=""),0,SUMIF('DADOS BRUTOS'!$A$3:$A$500,$B33,'DADOS BRUTOS'!BO$3:BO$500)+IF($C33="",0,SUMIF('DADOS BRUTOS'!$A$3:$A$500,$C33,'DADOS BRUTOS'!BO$3:BO$500)))</f>
        <v>0</v>
      </c>
      <c r="EP33" s="133" t="n">
        <f aca="false">IF(OR(EP$4="",$B33=""),0,SUMIF('DADOS BRUTOS'!$A$3:$A$500,$B33,'DADOS BRUTOS'!BP$3:BP$500)+IF($C33="",0,SUMIF('DADOS BRUTOS'!$A$3:$A$500,$C33,'DADOS BRUTOS'!BP$3:BP$500)))</f>
        <v>0</v>
      </c>
      <c r="EQ33" s="133" t="n">
        <f aca="false">IF(OR(EQ$4="",$B33=""),0,SUMIF('DADOS BRUTOS'!$A$3:$A$500,$B33,'DADOS BRUTOS'!BQ$3:BQ$500)+IF($C33="",0,SUMIF('DADOS BRUTOS'!$A$3:$A$500,$C33,'DADOS BRUTOS'!BQ$3:BQ$500)))</f>
        <v>0</v>
      </c>
      <c r="ER33" s="133" t="n">
        <f aca="false">IF(OR(ER$4="",$B33=""),0,SUMIF('DADOS BRUTOS'!$A$3:$A$500,$B33,'DADOS BRUTOS'!BR$3:BR$500)+IF($C33="",0,SUMIF('DADOS BRUTOS'!$A$3:$A$500,$C33,'DADOS BRUTOS'!BR$3:BR$500)))</f>
        <v>0</v>
      </c>
      <c r="ES33" s="133" t="n">
        <f aca="false">IF(OR(ES$4="",$B33=""),0,SUMIF('DADOS BRUTOS'!$A$3:$A$500,$B33,'DADOS BRUTOS'!BS$3:BS$500)+IF($C33="",0,SUMIF('DADOS BRUTOS'!$A$3:$A$500,$C33,'DADOS BRUTOS'!BS$3:BS$500)))</f>
        <v>0</v>
      </c>
      <c r="ET33" s="133" t="n">
        <f aca="false">IF(OR(ET$4="",$B33=""),0,SUMIF('DADOS BRUTOS'!$A$3:$A$500,$B33,'DADOS BRUTOS'!BT$3:BT$500)+IF($C33="",0,SUMIF('DADOS BRUTOS'!$A$3:$A$500,$C33,'DADOS BRUTOS'!BT$3:BT$500)))</f>
        <v>0</v>
      </c>
      <c r="EU33" s="133" t="n">
        <f aca="false">IF(OR(EU$4="",$B33=""),0,SUMIF('DADOS BRUTOS'!$A$3:$A$500,$B33,'DADOS BRUTOS'!BU$3:BU$500)+IF($C33="",0,SUMIF('DADOS BRUTOS'!$A$3:$A$500,$C33,'DADOS BRUTOS'!BU$3:BU$500)))</f>
        <v>0</v>
      </c>
      <c r="EV33" s="133" t="n">
        <f aca="false">IF(OR(EV$4="",$B33=""),0,SUMIF('DADOS BRUTOS'!$A$3:$A$500,$B33,'DADOS BRUTOS'!BV$3:BV$500)+IF($C33="",0,SUMIF('DADOS BRUTOS'!$A$3:$A$500,$C33,'DADOS BRUTOS'!BV$3:BV$500)))</f>
        <v>0</v>
      </c>
      <c r="EW33" s="133" t="n">
        <f aca="false">IF(OR(EW$4="",$B33=""),0,SUMIF('DADOS BRUTOS'!$A$3:$A$500,$B33,'DADOS BRUTOS'!BW$3:BW$500)+IF($C33="",0,SUMIF('DADOS BRUTOS'!$A$3:$A$500,$C33,'DADOS BRUTOS'!BW$3:BW$500)))</f>
        <v>0</v>
      </c>
      <c r="EX33" s="133" t="n">
        <f aca="false">IF(OR(EX$4="",$B33=""),0,SUMIF('DADOS BRUTOS'!$A$3:$A$500,$B33,'DADOS BRUTOS'!BX$3:BX$500)+IF($C33="",0,SUMIF('DADOS BRUTOS'!$A$3:$A$500,$C33,'DADOS BRUTOS'!BX$3:BX$500)))</f>
        <v>0</v>
      </c>
      <c r="EY33" s="133" t="n">
        <f aca="false">IF(OR(EY$4="",$B33=""),0,SUMIF('DADOS BRUTOS'!$A$3:$A$500,$B33,'DADOS BRUTOS'!BY$3:BY$500)+IF($C33="",0,SUMIF('DADOS BRUTOS'!$A$3:$A$500,$C33,'DADOS BRUTOS'!BY$3:BY$500)))</f>
        <v>0</v>
      </c>
      <c r="EZ33" s="133" t="n">
        <f aca="false">IF(OR(EZ$4="",$B33=""),0,SUMIF('DADOS BRUTOS'!$A$3:$A$500,$B33,'DADOS BRUTOS'!BZ$3:BZ$500)+IF($C33="",0,SUMIF('DADOS BRUTOS'!$A$3:$A$500,$C33,'DADOS BRUTOS'!BZ$3:BZ$500)))</f>
        <v>0</v>
      </c>
      <c r="FA33" s="133" t="n">
        <f aca="false">IF(OR(FA$4="",$B33=""),0,SUMIF('DADOS BRUTOS'!$A$3:$A$500,$B33,'DADOS BRUTOS'!CA$3:CA$500)+IF($C33="",0,SUMIF('DADOS BRUTOS'!$A$3:$A$500,$C33,'DADOS BRUTOS'!CA$3:CA$500)))</f>
        <v>0</v>
      </c>
      <c r="FB33" s="133" t="n">
        <f aca="false">IF(OR(FB$4="",$B33=""),0,SUMIF('DADOS BRUTOS'!$A$3:$A$500,$B33,'DADOS BRUTOS'!CB$3:CB$500)+IF($C33="",0,SUMIF('DADOS BRUTOS'!$A$3:$A$500,$C33,'DADOS BRUTOS'!CB$3:CB$500)))</f>
        <v>0</v>
      </c>
      <c r="FC33" s="133" t="n">
        <f aca="false">IF(OR(FC$4="",$B33=""),0,SUMIF('DADOS BRUTOS'!$A$3:$A$500,$B33,'DADOS BRUTOS'!CC$3:CC$500)+IF($C33="",0,SUMIF('DADOS BRUTOS'!$A$3:$A$500,$C33,'DADOS BRUTOS'!CC$3:CC$500)))</f>
        <v>0</v>
      </c>
      <c r="FD33" s="133" t="n">
        <f aca="false">IF(OR(FD$4="",$B33=""),0,SUMIF('DADOS BRUTOS'!$A$3:$A$500,$B33,'DADOS BRUTOS'!CD$3:CD$500)+IF($C33="",0,SUMIF('DADOS BRUTOS'!$A$3:$A$500,$C33,'DADOS BRUTOS'!CD$3:CD$500)))</f>
        <v>0</v>
      </c>
      <c r="FE33" s="133" t="n">
        <f aca="false">IF(OR(FE$4="",$B33=""),0,SUMIF('DADOS BRUTOS'!$A$3:$A$500,$B33,'DADOS BRUTOS'!CE$3:CE$500)+IF($C33="",0,SUMIF('DADOS BRUTOS'!$A$3:$A$500,$C33,'DADOS BRUTOS'!CE$3:CE$500)))</f>
        <v>0</v>
      </c>
      <c r="FF33" s="133" t="n">
        <f aca="false">IF(OR(FF$4="",$B33=""),0,SUMIF('DADOS BRUTOS'!$A$3:$A$500,$B33,'DADOS BRUTOS'!CF$3:CF$500)+IF($C33="",0,SUMIF('DADOS BRUTOS'!$A$3:$A$500,$C33,'DADOS BRUTOS'!CF$3:CF$500)))</f>
        <v>0</v>
      </c>
      <c r="FG33" s="133" t="n">
        <f aca="false">IF(OR(FG$4="",$B33=""),0,SUMIF('DADOS BRUTOS'!$A$3:$A$500,$B33,'DADOS BRUTOS'!CG$3:CG$500)+IF($C33="",0,SUMIF('DADOS BRUTOS'!$A$3:$A$500,$C33,'DADOS BRUTOS'!CG$3:CG$500)))</f>
        <v>0</v>
      </c>
      <c r="FH33" s="133" t="n">
        <f aca="false">IF(OR(FH$4="",$B33=""),0,SUMIF('DADOS BRUTOS'!$A$3:$A$500,$B33,'DADOS BRUTOS'!CH$3:CH$500)+IF($C33="",0,SUMIF('DADOS BRUTOS'!$A$3:$A$500,$C33,'DADOS BRUTOS'!CH$3:CH$500)))</f>
        <v>0</v>
      </c>
      <c r="FI33" s="133" t="n">
        <f aca="false">IF(OR(FI$4="",$B33=""),0,SUMIF('DADOS BRUTOS'!$A$3:$A$500,$B33,'DADOS BRUTOS'!CI$3:CI$500)+IF($C33="",0,SUMIF('DADOS BRUTOS'!$A$3:$A$500,$C33,'DADOS BRUTOS'!CI$3:CI$500)))</f>
        <v>0</v>
      </c>
      <c r="FJ33" s="133" t="n">
        <f aca="false">IF(OR(FJ$4="",$B33=""),0,SUMIF('DADOS BRUTOS'!$A$3:$A$500,$B33,'DADOS BRUTOS'!CJ$3:CJ$500)+IF($C33="",0,SUMIF('DADOS BRUTOS'!$A$3:$A$500,$C33,'DADOS BRUTOS'!CJ$3:CJ$500)))</f>
        <v>0</v>
      </c>
      <c r="FK33" s="133" t="n">
        <f aca="false">IF(OR(FK$4="",$B33=""),0,SUMIF('DADOS BRUTOS'!$A$3:$A$500,$B33,'DADOS BRUTOS'!CK$3:CK$500)+IF($C33="",0,SUMIF('DADOS BRUTOS'!$A$3:$A$500,$C33,'DADOS BRUTOS'!CK$3:CK$500)))</f>
        <v>0</v>
      </c>
      <c r="FL33" s="133" t="n">
        <f aca="false">IF(OR(FL$4="",$B33=""),0,SUMIF('DADOS BRUTOS'!$A$3:$A$500,$B33,'DADOS BRUTOS'!CL$3:CL$500)+IF($C33="",0,SUMIF('DADOS BRUTOS'!$A$3:$A$500,$C33,'DADOS BRUTOS'!CL$3:CL$500)))</f>
        <v>0</v>
      </c>
      <c r="FM33" s="133" t="n">
        <f aca="false">IF(OR(FM$4="",$B33=""),0,SUMIF('DADOS BRUTOS'!$A$3:$A$500,$B33,'DADOS BRUTOS'!CM$3:CM$500)+IF($C33="",0,SUMIF('DADOS BRUTOS'!$A$3:$A$500,$C33,'DADOS BRUTOS'!CM$3:CM$500)))</f>
        <v>0</v>
      </c>
      <c r="FN33" s="133" t="n">
        <f aca="false">IF(OR(FN$4="",$B33=""),0,SUMIF('DADOS BRUTOS'!$A$3:$A$500,$B33,'DADOS BRUTOS'!CN$3:CN$500)+IF($C33="",0,SUMIF('DADOS BRUTOS'!$A$3:$A$500,$C33,'DADOS BRUTOS'!CN$3:CN$500)))</f>
        <v>0</v>
      </c>
      <c r="FO33" s="133" t="n">
        <f aca="false">IF(OR(FO$4="",$B33=""),0,SUMIF('DADOS BRUTOS'!$A$3:$A$500,$B33,'DADOS BRUTOS'!CO$3:CO$500)+IF($C33="",0,SUMIF('DADOS BRUTOS'!$A$3:$A$500,$C33,'DADOS BRUTOS'!CO$3:CO$500)))</f>
        <v>0</v>
      </c>
      <c r="FP33" s="133" t="n">
        <f aca="false">IF(OR(FP$4="",$B33=""),0,SUMIF('DADOS BRUTOS'!$A$3:$A$500,$B33,'DADOS BRUTOS'!CP$3:CP$500)+IF($C33="",0,SUMIF('DADOS BRUTOS'!$A$3:$A$500,$C33,'DADOS BRUTOS'!CP$3:CP$500)))</f>
        <v>0</v>
      </c>
      <c r="FQ33" s="133" t="n">
        <f aca="false">IF(OR(FQ$4="",$B33=""),0,SUMIF('DADOS BRUTOS'!$A$3:$A$500,$B33,'DADOS BRUTOS'!CQ$3:CQ$500)+IF($C33="",0,SUMIF('DADOS BRUTOS'!$A$3:$A$500,$C33,'DADOS BRUTOS'!CQ$3:CQ$500)))</f>
        <v>0</v>
      </c>
      <c r="FR33" s="133" t="n">
        <f aca="false">IF(OR(FR$4="",$B33=""),0,SUMIF('DADOS BRUTOS'!$A$3:$A$500,$B33,'DADOS BRUTOS'!CR$3:CR$500)+IF($C33="",0,SUMIF('DADOS BRUTOS'!$A$3:$A$500,$C33,'DADOS BRUTOS'!CR$3:CR$500)))</f>
        <v>0</v>
      </c>
      <c r="FS33" s="133" t="n">
        <f aca="false">IF(OR(FS$4="",$B33=""),0,SUMIF('DADOS BRUTOS'!$A$3:$A$500,$B33,'DADOS BRUTOS'!CS$3:CS$500)+IF($C33="",0,SUMIF('DADOS BRUTOS'!$A$3:$A$500,$C33,'DADOS BRUTOS'!CS$3:CS$500)))</f>
        <v>0</v>
      </c>
      <c r="FT33" s="133" t="n">
        <f aca="false">IF(OR(FT$4="",$B33=""),0,SUMIF('DADOS BRUTOS'!$A$3:$A$500,$B33,'DADOS BRUTOS'!CT$3:CT$500)+IF($C33="",0,SUMIF('DADOS BRUTOS'!$A$3:$A$500,$C33,'DADOS BRUTOS'!CT$3:CT$500)))</f>
        <v>0</v>
      </c>
      <c r="FU33" s="133" t="n">
        <f aca="false">IF(OR(FU$4="",$B33=""),0,SUMIF('DADOS BRUTOS'!$A$3:$A$500,$B33,'DADOS BRUTOS'!CU$3:CU$500)+IF($C33="",0,SUMIF('DADOS BRUTOS'!$A$3:$A$500,$C33,'DADOS BRUTOS'!CU$3:CU$500)))</f>
        <v>0</v>
      </c>
      <c r="FV33" s="133" t="n">
        <f aca="false">IF(OR(FV$4="",$B33=""),0,SUMIF('DADOS BRUTOS'!$A$3:$A$500,$B33,'DADOS BRUTOS'!CV$3:CV$500)+IF($C33="",0,SUMIF('DADOS BRUTOS'!$A$3:$A$500,$C33,'DADOS BRUTOS'!CV$3:CV$500)))</f>
        <v>0</v>
      </c>
      <c r="FW33" s="133" t="n">
        <f aca="false">IF(OR(FW$4="",$B33=""),0,SUMIF('DADOS BRUTOS'!$A$3:$A$500,$B33,'DADOS BRUTOS'!CW$3:CW$500)+IF($C33="",0,SUMIF('DADOS BRUTOS'!$A$3:$A$500,$C33,'DADOS BRUTOS'!CW$3:CW$500)))</f>
        <v>0</v>
      </c>
      <c r="FX33" s="133" t="n">
        <f aca="false">IF(OR(FX$4="",$B33=""),0,SUMIF('DADOS BRUTOS'!$A$3:$A$500,$B33,'DADOS BRUTOS'!CX$3:CX$500)+IF($C33="",0,SUMIF('DADOS BRUTOS'!$A$3:$A$500,$C33,'DADOS BRUTOS'!CX$3:CX$500)))</f>
        <v>0</v>
      </c>
      <c r="FY33" s="133" t="n">
        <f aca="false">IF(OR(FY$4="",$B33=""),0,SUMIF('DADOS BRUTOS'!$A$3:$A$500,$B33,'DADOS BRUTOS'!CY$3:CY$500)+IF($C33="",0,SUMIF('DADOS BRUTOS'!$A$3:$A$500,$C33,'DADOS BRUTOS'!CY$3:CY$500)))</f>
        <v>0</v>
      </c>
      <c r="FZ33" s="133" t="n">
        <f aca="false">IF(OR(FZ$4="",$B33=""),0,SUMIF('DADOS BRUTOS'!$A$3:$A$500,$B33,'DADOS BRUTOS'!CZ$3:CZ$500)+IF($C33="",0,SUMIF('DADOS BRUTOS'!$A$3:$A$500,$C33,'DADOS BRUTOS'!CZ$3:CZ$500)))</f>
        <v>0</v>
      </c>
      <c r="GA33" s="133" t="n">
        <f aca="false">IF(OR(GA$4="",$B33=""),0,SUMIF('DADOS BRUTOS'!$A$3:$A$500,$B33,'DADOS BRUTOS'!DA$3:DA$500)+IF($C33="",0,SUMIF('DADOS BRUTOS'!$A$3:$A$500,$C33,'DADOS BRUTOS'!DA$3:DA$500)))</f>
        <v>0</v>
      </c>
      <c r="GB33" s="133" t="n">
        <f aca="false">IF(OR(GB$4="",$B33=""),0,SUMIF('DADOS BRUTOS'!$A$3:$A$500,$B33,'DADOS BRUTOS'!DB$3:DB$500)+IF($C33="",0,SUMIF('DADOS BRUTOS'!$A$3:$A$500,$C33,'DADOS BRUTOS'!DB$3:DB$500)))</f>
        <v>0</v>
      </c>
      <c r="GC33" s="133" t="n">
        <f aca="false">IF(OR(GC$4="",$B33=""),0,SUMIF('DADOS BRUTOS'!$A$3:$A$500,$B33,'DADOS BRUTOS'!DC$3:DC$500)+IF($C33="",0,SUMIF('DADOS BRUTOS'!$A$3:$A$500,$C33,'DADOS BRUTOS'!DC$3:DC$500)))</f>
        <v>0</v>
      </c>
      <c r="GD33" s="133" t="n">
        <f aca="false">IF(OR(GD$4="",$B33=""),0,SUMIF('DADOS BRUTOS'!$A$3:$A$500,$B33,'DADOS BRUTOS'!DD$3:DD$500)+IF($C33="",0,SUMIF('DADOS BRUTOS'!$A$3:$A$500,$C33,'DADOS BRUTOS'!DD$3:DD$500)))</f>
        <v>0</v>
      </c>
      <c r="GE33" s="133" t="n">
        <f aca="false">IF(OR(GE$4="",$B33=""),0,SUMIF('DADOS BRUTOS'!$A$3:$A$500,$B33,'DADOS BRUTOS'!DE$3:DE$500)+IF($C33="",0,SUMIF('DADOS BRUTOS'!$A$3:$A$500,$C33,'DADOS BRUTOS'!DE$3:DE$500)))</f>
        <v>0</v>
      </c>
      <c r="GF33" s="133" t="n">
        <f aca="false">IF(OR(GF$4="",$B33=""),0,SUMIF('DADOS BRUTOS'!$A$3:$A$500,$B33,'DADOS BRUTOS'!DF$3:DF$500)+IF($C33="",0,SUMIF('DADOS BRUTOS'!$A$3:$A$500,$C33,'DADOS BRUTOS'!DF$3:DF$500)))</f>
        <v>0</v>
      </c>
      <c r="GG33" s="133" t="n">
        <f aca="false">IF(OR(GG$4="",$B33=""),0,SUMIF('DADOS BRUTOS'!$A$3:$A$500,$B33,'DADOS BRUTOS'!DG$3:DG$500)+IF($C33="",0,SUMIF('DADOS BRUTOS'!$A$3:$A$500,$C33,'DADOS BRUTOS'!DG$3:DG$500)))</f>
        <v>0</v>
      </c>
      <c r="GH33" s="133" t="n">
        <f aca="false">IF(OR(GH$4="",$B33=""),0,SUMIF('DADOS BRUTOS'!$A$3:$A$500,$B33,'DADOS BRUTOS'!DH$3:DH$500)+IF($C33="",0,SUMIF('DADOS BRUTOS'!$A$3:$A$500,$C33,'DADOS BRUTOS'!DH$3:DH$500)))</f>
        <v>0</v>
      </c>
      <c r="GI33" s="133" t="n">
        <f aca="false">IF(OR(GI$4="",$B33=""),0,SUMIF('DADOS BRUTOS'!$A$3:$A$500,$B33,'DADOS BRUTOS'!DI$3:DI$500)+IF($C33="",0,SUMIF('DADOS BRUTOS'!$A$3:$A$500,$C33,'DADOS BRUTOS'!DI$3:DI$500)))</f>
        <v>0</v>
      </c>
      <c r="GJ33" s="133" t="n">
        <f aca="false">IF(OR(GJ$4="",$B33=""),0,SUMIF('DADOS BRUTOS'!$A$3:$A$500,$B33,'DADOS BRUTOS'!DJ$3:DJ$500)+IF($C33="",0,SUMIF('DADOS BRUTOS'!$A$3:$A$500,$C33,'DADOS BRUTOS'!DJ$3:DJ$500)))</f>
        <v>0</v>
      </c>
      <c r="GK33" s="133" t="n">
        <f aca="false">IF(OR(GK$4="",$B33=""),0,SUMIF('DADOS BRUTOS'!$A$3:$A$500,$B33,'DADOS BRUTOS'!DK$3:DK$500)+IF($C33="",0,SUMIF('DADOS BRUTOS'!$A$3:$A$500,$C33,'DADOS BRUTOS'!DK$3:DK$500)))</f>
        <v>0</v>
      </c>
      <c r="GL33" s="133" t="n">
        <f aca="false">IF(OR(GL$4="",$B33=""),0,SUMIF('DADOS BRUTOS'!$A$3:$A$500,$B33,'DADOS BRUTOS'!DL$3:DL$500)+IF($C33="",0,SUMIF('DADOS BRUTOS'!$A$3:$A$500,$C33,'DADOS BRUTOS'!DL$3:DL$500)))</f>
        <v>0</v>
      </c>
      <c r="GM33" s="133" t="n">
        <f aca="false">IF(OR(GM$4="",$B33=""),0,SUMIF('DADOS BRUTOS'!$A$3:$A$500,$B33,'DADOS BRUTOS'!DM$3:DM$500)+IF($C33="",0,SUMIF('DADOS BRUTOS'!$A$3:$A$500,$C33,'DADOS BRUTOS'!DM$3:DM$500)))</f>
        <v>0</v>
      </c>
      <c r="GN33" s="133" t="n">
        <f aca="false">IF(OR(GN$4="",$B33=""),0,SUMIF('DADOS BRUTOS'!$A$3:$A$500,$B33,'DADOS BRUTOS'!DN$3:DN$500)+IF($C33="",0,SUMIF('DADOS BRUTOS'!$A$3:$A$500,$C33,'DADOS BRUTOS'!DN$3:DN$500)))</f>
        <v>0</v>
      </c>
      <c r="GO33" s="133" t="n">
        <f aca="false">IF(OR(GO$4="",$B33=""),0,SUMIF('DADOS BRUTOS'!$A$3:$A$500,$B33,'DADOS BRUTOS'!DO$3:DO$500)+IF($C33="",0,SUMIF('DADOS BRUTOS'!$A$3:$A$500,$C33,'DADOS BRUTOS'!DO$3:DO$500)))</f>
        <v>0</v>
      </c>
      <c r="GP33" s="133" t="n">
        <f aca="false">IF(OR(GP$4="",$B33=""),0,SUMIF('DADOS BRUTOS'!$A$3:$A$500,$B33,'DADOS BRUTOS'!DP$3:DP$500)+IF($C33="",0,SUMIF('DADOS BRUTOS'!$A$3:$A$500,$C33,'DADOS BRUTOS'!DP$3:DP$500)))</f>
        <v>0</v>
      </c>
      <c r="GQ33" s="133" t="n">
        <f aca="false">IF(OR(GQ$4="",$B33=""),0,SUMIF('DADOS BRUTOS'!$A$3:$A$500,$B33,'DADOS BRUTOS'!DQ$3:DQ$500)+IF($C33="",0,SUMIF('DADOS BRUTOS'!$A$3:$A$500,$C33,'DADOS BRUTOS'!DQ$3:DQ$500)))</f>
        <v>0</v>
      </c>
      <c r="GR33" s="133" t="n">
        <f aca="false">IF(OR(GR$4="",$B33=""),0,SUMIF('DADOS BRUTOS'!$A$3:$A$500,$B33,'DADOS BRUTOS'!DR$3:DR$500)+IF($C33="",0,SUMIF('DADOS BRUTOS'!$A$3:$A$500,$C33,'DADOS BRUTOS'!DR$3:DR$500)))</f>
        <v>0</v>
      </c>
      <c r="GS33" s="133" t="n">
        <f aca="false">IF(OR(GS$4="",$B33=""),0,SUMIF('DADOS BRUTOS'!$A$3:$A$500,$B33,'DADOS BRUTOS'!DS$3:DS$500)+IF($C33="",0,SUMIF('DADOS BRUTOS'!$A$3:$A$500,$C33,'DADOS BRUTOS'!DS$3:DS$500)))</f>
        <v>0</v>
      </c>
      <c r="GT33" s="133" t="n">
        <f aca="false">IF(OR(GT$4="",$B33=""),0,SUMIF('DADOS BRUTOS'!$A$3:$A$500,$B33,'DADOS BRUTOS'!DT$3:DT$500)+IF($C33="",0,SUMIF('DADOS BRUTOS'!$A$3:$A$500,$C33,'DADOS BRUTOS'!DT$3:DT$500)))</f>
        <v>0</v>
      </c>
      <c r="GU33" s="133" t="n">
        <f aca="false">IF(OR(GU$4="",$B33=""),0,SUMIF('DADOS BRUTOS'!$A$3:$A$500,$B33,'DADOS BRUTOS'!DU$3:DU$500)+IF($C33="",0,SUMIF('DADOS BRUTOS'!$A$3:$A$500,$C33,'DADOS BRUTOS'!DU$3:DU$500)))</f>
        <v>0</v>
      </c>
      <c r="GV33" s="133" t="n">
        <f aca="false">IF(OR(GV$4="",$B33=""),0,SUMIF('DADOS BRUTOS'!$A$3:$A$500,$B33,'DADOS BRUTOS'!DV$3:DV$500)+IF($C33="",0,SUMIF('DADOS BRUTOS'!$A$3:$A$500,$C33,'DADOS BRUTOS'!DV$3:DV$500)))</f>
        <v>0</v>
      </c>
      <c r="GW33" s="133" t="n">
        <f aca="false">IF(OR(GW$4="",$B33=""),0,SUMIF('DADOS BRUTOS'!$A$3:$A$500,$B33,'DADOS BRUTOS'!DW$3:DW$500)+IF($C33="",0,SUMIF('DADOS BRUTOS'!$A$3:$A$500,$C33,'DADOS BRUTOS'!DW$3:DW$500)))</f>
        <v>0</v>
      </c>
      <c r="GX33" s="133" t="n">
        <f aca="false">IF(OR(GX$4="",$B33=""),0,SUMIF('DADOS BRUTOS'!$A$3:$A$500,$B33,'DADOS BRUTOS'!DX$3:DX$500)+IF($C33="",0,SUMIF('DADOS BRUTOS'!$A$3:$A$500,$C33,'DADOS BRUTOS'!DX$3:DX$500)))</f>
        <v>0</v>
      </c>
      <c r="GY33" s="133" t="n">
        <f aca="false">IF(OR(GY$4="",$B33=""),0,SUMIF('DADOS BRUTOS'!$A$3:$A$500,$B33,'DADOS BRUTOS'!DY$3:DY$500)+IF($C33="",0,SUMIF('DADOS BRUTOS'!$A$3:$A$500,$C33,'DADOS BRUTOS'!DY$3:DY$500)))</f>
        <v>0</v>
      </c>
      <c r="GZ33" s="133" t="n">
        <f aca="false">IF(OR(GZ$4="",$B33=""),0,SUMIF('DADOS BRUTOS'!$A$3:$A$500,$B33,'DADOS BRUTOS'!DZ$3:DZ$500)+IF($C33="",0,SUMIF('DADOS BRUTOS'!$A$3:$A$500,$C33,'DADOS BRUTOS'!DZ$3:DZ$500)))</f>
        <v>0</v>
      </c>
      <c r="HA33" s="133" t="n">
        <f aca="false">IF(OR(HA$4="",$B33=""),0,SUMIF('DADOS BRUTOS'!$A$3:$A$500,$B33,'DADOS BRUTOS'!EA$3:EA$500)+IF($C33="",0,SUMIF('DADOS BRUTOS'!$A$3:$A$500,$C33,'DADOS BRUTOS'!EA$3:EA$500)))</f>
        <v>0</v>
      </c>
      <c r="HB33" s="133" t="n">
        <f aca="false">IF(OR(HB$4="",$B33=""),0,SUMIF('DADOS BRUTOS'!$A$3:$A$500,$B33,'DADOS BRUTOS'!EB$3:EB$500)+IF($C33="",0,SUMIF('DADOS BRUTOS'!$A$3:$A$500,$C33,'DADOS BRUTOS'!EB$3:EB$500)))</f>
        <v>0</v>
      </c>
      <c r="HC33" s="133" t="n">
        <f aca="false">IF(OR(HC$4="",$B33=""),0,SUMIF('DADOS BRUTOS'!$A$3:$A$500,$B33,'DADOS BRUTOS'!EC$3:EC$500)+IF($C33="",0,SUMIF('DADOS BRUTOS'!$A$3:$A$500,$C33,'DADOS BRUTOS'!EC$3:EC$500)))</f>
        <v>0</v>
      </c>
      <c r="HD33" s="133" t="n">
        <f aca="false">IF(OR(HD$4="",$B33=""),0,SUMIF('DADOS BRUTOS'!$A$3:$A$500,$B33,'DADOS BRUTOS'!ED$3:ED$500)+IF($C33="",0,SUMIF('DADOS BRUTOS'!$A$3:$A$500,$C33,'DADOS BRUTOS'!ED$3:ED$500)))</f>
        <v>0</v>
      </c>
      <c r="HE33" s="133" t="n">
        <f aca="false">IF(OR(HE$4="",$B33=""),0,SUMIF('DADOS BRUTOS'!$A$3:$A$500,$B33,'DADOS BRUTOS'!EE$3:EE$500)+IF($C33="",0,SUMIF('DADOS BRUTOS'!$A$3:$A$500,$C33,'DADOS BRUTOS'!EE$3:EE$500)))</f>
        <v>0</v>
      </c>
      <c r="HF33" s="133" t="n">
        <f aca="false">IF(OR(HF$4="",$B33=""),0,SUMIF('DADOS BRUTOS'!$A$3:$A$500,$B33,'DADOS BRUTOS'!EF$3:EF$500)+IF($C33="",0,SUMIF('DADOS BRUTOS'!$A$3:$A$500,$C33,'DADOS BRUTOS'!EF$3:EF$500)))</f>
        <v>0</v>
      </c>
      <c r="HG33" s="133" t="n">
        <f aca="false">IF(OR(HG$4="",$B33=""),0,SUMIF('DADOS BRUTOS'!$A$3:$A$500,$B33,'DADOS BRUTOS'!EG$3:EG$500)+IF($C33="",0,SUMIF('DADOS BRUTOS'!$A$3:$A$500,$C33,'DADOS BRUTOS'!EG$3:EG$500)))</f>
        <v>0</v>
      </c>
      <c r="HH33" s="133" t="n">
        <f aca="false">IF(OR(HH$4="",$B33=""),0,SUMIF('DADOS BRUTOS'!$A$3:$A$500,$B33,'DADOS BRUTOS'!EH$3:EH$500)+IF($C33="",0,SUMIF('DADOS BRUTOS'!$A$3:$A$500,$C33,'DADOS BRUTOS'!EH$3:EH$500)))</f>
        <v>0</v>
      </c>
      <c r="HI33" s="133" t="n">
        <f aca="false">IF(OR(HI$4="",$B33=""),0,SUMIF('DADOS BRUTOS'!$A$3:$A$500,$B33,'DADOS BRUTOS'!EI$3:EI$500)+IF($C33="",0,SUMIF('DADOS BRUTOS'!$A$3:$A$500,$C33,'DADOS BRUTOS'!EI$3:EI$500)))</f>
        <v>0</v>
      </c>
      <c r="HJ33" s="133" t="n">
        <f aca="false">IF(OR(HJ$4="",$B33=""),0,SUMIF('DADOS BRUTOS'!$A$3:$A$500,$B33,'DADOS BRUTOS'!EJ$3:EJ$500)+IF($C33="",0,SUMIF('DADOS BRUTOS'!$A$3:$A$500,$C33,'DADOS BRUTOS'!EJ$3:EJ$500)))</f>
        <v>0</v>
      </c>
      <c r="HK33" s="133" t="n">
        <f aca="false">IF(OR(HK$4="",$B33=""),0,SUMIF('DADOS BRUTOS'!$A$3:$A$500,$B33,'DADOS BRUTOS'!EK$3:EK$500)+IF($C33="",0,SUMIF('DADOS BRUTOS'!$A$3:$A$500,$C33,'DADOS BRUTOS'!EK$3:EK$500)))</f>
        <v>0</v>
      </c>
      <c r="HL33" s="133" t="n">
        <f aca="false">IF(OR(HL$4="",$B33=""),0,SUMIF('DADOS BRUTOS'!$A$3:$A$500,$B33,'DADOS BRUTOS'!EL$3:EL$500)+IF($C33="",0,SUMIF('DADOS BRUTOS'!$A$3:$A$500,$C33,'DADOS BRUTOS'!EL$3:EL$500)))</f>
        <v>0</v>
      </c>
      <c r="HM33" s="133" t="n">
        <f aca="false">IF(OR(HM$4="",$B33=""),0,SUMIF('DADOS BRUTOS'!$A$3:$A$500,$B33,'DADOS BRUTOS'!EM$3:EM$500)+IF($C33="",0,SUMIF('DADOS BRUTOS'!$A$3:$A$500,$C33,'DADOS BRUTOS'!EM$3:EM$500)))</f>
        <v>0</v>
      </c>
      <c r="HN33" s="133" t="n">
        <f aca="false">IF(OR(HN$4="",$B33=""),0,SUMIF('DADOS BRUTOS'!$A$3:$A$500,$B33,'DADOS BRUTOS'!EN$3:EN$500)+IF($C33="",0,SUMIF('DADOS BRUTOS'!$A$3:$A$500,$C33,'DADOS BRUTOS'!EN$3:EN$500)))</f>
        <v>0</v>
      </c>
      <c r="HO33" s="133" t="n">
        <f aca="false">IF(OR(HO$4="",$B33=""),0,SUMIF('DADOS BRUTOS'!$A$3:$A$500,$B33,'DADOS BRUTOS'!EO$3:EO$500)+IF($C33="",0,SUMIF('DADOS BRUTOS'!$A$3:$A$500,$C33,'DADOS BRUTOS'!EO$3:EO$500)))</f>
        <v>0</v>
      </c>
      <c r="HP33" s="133" t="n">
        <f aca="false">IF(OR(HP$4="",$B33=""),0,SUMIF('DADOS BRUTOS'!$A$3:$A$500,$B33,'DADOS BRUTOS'!EP$3:EP$500)+IF($C33="",0,SUMIF('DADOS BRUTOS'!$A$3:$A$500,$C33,'DADOS BRUTOS'!EP$3:EP$500)))</f>
        <v>0</v>
      </c>
      <c r="HQ33" s="133" t="n">
        <f aca="false">IF(OR(HQ$4="",$B33=""),0,SUMIF('DADOS BRUTOS'!$A$3:$A$500,$B33,'DADOS BRUTOS'!EQ$3:EQ$500)+IF($C33="",0,SUMIF('DADOS BRUTOS'!$A$3:$A$500,$C33,'DADOS BRUTOS'!EQ$3:EQ$500)))</f>
        <v>0</v>
      </c>
      <c r="HR33" s="133" t="n">
        <f aca="false">IF(OR(HR$4="",$B33=""),0,SUMIF('DADOS BRUTOS'!$A$3:$A$500,$B33,'DADOS BRUTOS'!ER$3:ER$500)+IF($C33="",0,SUMIF('DADOS BRUTOS'!$A$3:$A$500,$C33,'DADOS BRUTOS'!ER$3:ER$500)))</f>
        <v>0</v>
      </c>
      <c r="HS33" s="133" t="n">
        <f aca="false">IF(OR(HS$4="",$B33=""),0,SUMIF('DADOS BRUTOS'!$A$3:$A$500,$B33,'DADOS BRUTOS'!ES$3:ES$500)+IF($C33="",0,SUMIF('DADOS BRUTOS'!$A$3:$A$500,$C33,'DADOS BRUTOS'!ES$3:ES$500)))</f>
        <v>0</v>
      </c>
      <c r="HT33" s="133" t="n">
        <f aca="false">IF(OR(HT$4="",$B33=""),0,SUMIF('DADOS BRUTOS'!$A$3:$A$500,$B33,'DADOS BRUTOS'!ET$3:ET$500)+IF($C33="",0,SUMIF('DADOS BRUTOS'!$A$3:$A$500,$C33,'DADOS BRUTOS'!ET$3:ET$500)))</f>
        <v>0</v>
      </c>
      <c r="HU33" s="133" t="n">
        <f aca="false">IF(OR(HU$4="",$B33=""),0,SUMIF('DADOS BRUTOS'!$A$3:$A$500,$B33,'DADOS BRUTOS'!EU$3:EU$500)+IF($C33="",0,SUMIF('DADOS BRUTOS'!$A$3:$A$500,$C33,'DADOS BRUTOS'!EU$3:EU$500)))</f>
        <v>0</v>
      </c>
      <c r="HV33" s="133" t="n">
        <f aca="false">IF(OR(HV$4="",$B33=""),0,SUMIF('DADOS BRUTOS'!$A$3:$A$500,$B33,'DADOS BRUTOS'!EV$3:EV$500)+IF($C33="",0,SUMIF('DADOS BRUTOS'!$A$3:$A$500,$C33,'DADOS BRUTOS'!EV$3:EV$500)))</f>
        <v>0</v>
      </c>
      <c r="HW33" s="133" t="n">
        <f aca="false">IF(OR(HW$4="",$B33=""),0,SUMIF('DADOS BRUTOS'!$A$3:$A$500,$B33,'DADOS BRUTOS'!EW$3:EW$500)+IF($C33="",0,SUMIF('DADOS BRUTOS'!$A$3:$A$500,$C33,'DADOS BRUTOS'!EW$3:EW$500)))</f>
        <v>0</v>
      </c>
      <c r="HX33" s="133" t="n">
        <f aca="false">IF(OR(HX$4="",$B33=""),0,SUMIF('DADOS BRUTOS'!$A$3:$A$500,$B33,'DADOS BRUTOS'!EX$3:EX$500)+IF($C33="",0,SUMIF('DADOS BRUTOS'!$A$3:$A$500,$C33,'DADOS BRUTOS'!EX$3:EX$500)))</f>
        <v>0</v>
      </c>
      <c r="HY33" s="133" t="n">
        <f aca="false">IF(OR(HY$4="",$B33=""),0,SUMIF('DADOS BRUTOS'!$A$3:$A$500,$B33,'DADOS BRUTOS'!EY$3:EY$500)+IF($C33="",0,SUMIF('DADOS BRUTOS'!$A$3:$A$500,$C33,'DADOS BRUTOS'!EY$3:EY$500)))</f>
        <v>0</v>
      </c>
      <c r="HZ33" s="133" t="n">
        <f aca="false">IF(OR(HZ$4="",$B33=""),0,SUMIF('DADOS BRUTOS'!$A$3:$A$500,$B33,'DADOS BRUTOS'!EZ$3:EZ$500)+IF($C33="",0,SUMIF('DADOS BRUTOS'!$A$3:$A$500,$C33,'DADOS BRUTOS'!EZ$3:EZ$500)))</f>
        <v>0</v>
      </c>
      <c r="IA33" s="133" t="n">
        <f aca="false">IF(OR(IA$4="",$B33=""),0,SUMIF('DADOS BRUTOS'!$A$3:$A$500,$B33,'DADOS BRUTOS'!FA$3:FA$500)+IF($C33="",0,SUMIF('DADOS BRUTOS'!$A$3:$A$500,$C33,'DADOS BRUTOS'!FA$3:FA$500)))</f>
        <v>0</v>
      </c>
      <c r="IB33" s="133" t="n">
        <f aca="false">IF(OR(IB$4="",$B33=""),0,SUMIF('DADOS BRUTOS'!$A$3:$A$500,$B33,'DADOS BRUTOS'!FB$3:FB$500)+IF($C33="",0,SUMIF('DADOS BRUTOS'!$A$3:$A$500,$C33,'DADOS BRUTOS'!FB$3:FB$500)))</f>
        <v>0</v>
      </c>
      <c r="IC33" s="133" t="n">
        <f aca="false">IF(OR(IC$4="",$B33=""),0,SUMIF('DADOS BRUTOS'!$A$3:$A$500,$B33,'DADOS BRUTOS'!FC$3:FC$500)+IF($C33="",0,SUMIF('DADOS BRUTOS'!$A$3:$A$500,$C33,'DADOS BRUTOS'!FC$3:FC$500)))</f>
        <v>0</v>
      </c>
      <c r="ID33" s="133" t="n">
        <f aca="false">IF(OR(ID$4="",$B33=""),0,SUMIF('DADOS BRUTOS'!$A$3:$A$500,$B33,'DADOS BRUTOS'!FD$3:FD$500)+IF($C33="",0,SUMIF('DADOS BRUTOS'!$A$3:$A$500,$C33,'DADOS BRUTOS'!FD$3:FD$500)))</f>
        <v>0</v>
      </c>
      <c r="IE33" s="133" t="n">
        <f aca="false">IF(OR(IE$4="",$B33=""),0,SUMIF('DADOS BRUTOS'!$A$3:$A$500,$B33,'DADOS BRUTOS'!FE$3:FE$500)+IF($C33="",0,SUMIF('DADOS BRUTOS'!$A$3:$A$500,$C33,'DADOS BRUTOS'!FE$3:FE$500)))</f>
        <v>0</v>
      </c>
      <c r="IF33" s="133" t="n">
        <f aca="false">IF(OR(IF$4="",$B33=""),0,SUMIF('DADOS BRUTOS'!$A$3:$A$500,$B33,'DADOS BRUTOS'!FF$3:FF$500)+IF($C33="",0,SUMIF('DADOS BRUTOS'!$A$3:$A$500,$C33,'DADOS BRUTOS'!FF$3:FF$500)))</f>
        <v>0</v>
      </c>
      <c r="IG33" s="133" t="n">
        <f aca="false">IF(OR(IG$4="",$B33=""),0,SUMIF('DADOS BRUTOS'!$A$3:$A$500,$B33,'DADOS BRUTOS'!FG$3:FG$500)+IF($C33="",0,SUMIF('DADOS BRUTOS'!$A$3:$A$500,$C33,'DADOS BRUTOS'!FG$3:FG$500)))</f>
        <v>0</v>
      </c>
      <c r="IH33" s="133" t="n">
        <f aca="false">IF(OR(IH$4="",$B33=""),0,SUMIF('DADOS BRUTOS'!$A$3:$A$500,$B33,'DADOS BRUTOS'!FH$3:FH$500)+IF($C33="",0,SUMIF('DADOS BRUTOS'!$A$3:$A$500,$C33,'DADOS BRUTOS'!FH$3:FH$500)))</f>
        <v>0</v>
      </c>
      <c r="II33" s="133" t="n">
        <f aca="false">IF(OR(II$4="",$B33=""),0,SUMIF('DADOS BRUTOS'!$A$3:$A$500,$B33,'DADOS BRUTOS'!FI$3:FI$500)+IF($C33="",0,SUMIF('DADOS BRUTOS'!$A$3:$A$500,$C33,'DADOS BRUTOS'!FI$3:FI$500)))</f>
        <v>0</v>
      </c>
      <c r="IJ33" s="133" t="n">
        <f aca="false">IF(OR(IJ$4="",$B33=""),0,SUMIF('DADOS BRUTOS'!$A$3:$A$500,$B33,'DADOS BRUTOS'!FJ$3:FJ$500)+IF($C33="",0,SUMIF('DADOS BRUTOS'!$A$3:$A$500,$C33,'DADOS BRUTOS'!FJ$3:FJ$500)))</f>
        <v>0</v>
      </c>
      <c r="IK33" s="133" t="n">
        <f aca="false">IF(OR(IK$4="",$B33=""),0,SUMIF('DADOS BRUTOS'!$A$3:$A$500,$B33,'DADOS BRUTOS'!FK$3:FK$500)+IF($C33="",0,SUMIF('DADOS BRUTOS'!$A$3:$A$500,$C33,'DADOS BRUTOS'!FK$3:FK$500)))</f>
        <v>0</v>
      </c>
      <c r="IL33" s="133" t="n">
        <f aca="false">IF(OR(IL$4="",$B33=""),0,SUMIF('DADOS BRUTOS'!$A$3:$A$500,$B33,'DADOS BRUTOS'!FL$3:FL$500)+IF($C33="",0,SUMIF('DADOS BRUTOS'!$A$3:$A$500,$C33,'DADOS BRUTOS'!FL$3:FL$500)))</f>
        <v>0</v>
      </c>
      <c r="IM33" s="133" t="n">
        <f aca="false">IF(OR(IM$4="",$B33=""),0,SUMIF('DADOS BRUTOS'!$A$3:$A$500,$B33,'DADOS BRUTOS'!FM$3:FM$500)+IF($C33="",0,SUMIF('DADOS BRUTOS'!$A$3:$A$500,$C33,'DADOS BRUTOS'!FM$3:FM$500)))</f>
        <v>0</v>
      </c>
      <c r="IN33" s="133" t="n">
        <f aca="false">IF(OR(IN$4="",$B33=""),0,SUMIF('DADOS BRUTOS'!$A$3:$A$500,$B33,'DADOS BRUTOS'!FN$3:FN$500)+IF($C33="",0,SUMIF('DADOS BRUTOS'!$A$3:$A$500,$C33,'DADOS BRUTOS'!FN$3:FN$500)))</f>
        <v>0</v>
      </c>
      <c r="IO33" s="133" t="n">
        <f aca="false">IF(OR(IO$4="",$B33=""),0,SUMIF('DADOS BRUTOS'!$A$3:$A$500,$B33,'DADOS BRUTOS'!FO$3:FO$500)+IF($C33="",0,SUMIF('DADOS BRUTOS'!$A$3:$A$500,$C33,'DADOS BRUTOS'!FO$3:FO$500)))</f>
        <v>0</v>
      </c>
      <c r="IP33" s="133" t="n">
        <f aca="false">IF(OR(IP$4="",$B33=""),0,SUMIF('DADOS BRUTOS'!$A$3:$A$500,$B33,'DADOS BRUTOS'!FP$3:FP$500)+IF($C33="",0,SUMIF('DADOS BRUTOS'!$A$3:$A$500,$C33,'DADOS BRUTOS'!FP$3:FP$500)))</f>
        <v>0</v>
      </c>
      <c r="IQ33" s="133" t="n">
        <f aca="false">IF(OR(IQ$4="",$B33=""),0,SUMIF('DADOS BRUTOS'!$A$3:$A$500,$B33,'DADOS BRUTOS'!FQ$3:FQ$500)+IF($C33="",0,SUMIF('DADOS BRUTOS'!$A$3:$A$500,$C33,'DADOS BRUTOS'!FQ$3:FQ$500)))</f>
        <v>0</v>
      </c>
      <c r="IR33" s="133" t="n">
        <f aca="false">IF(OR(IR$4="",$B33=""),0,SUMIF('DADOS BRUTOS'!$A$3:$A$500,$B33,'DADOS BRUTOS'!FR$3:FR$500)+IF($C33="",0,SUMIF('DADOS BRUTOS'!$A$3:$A$500,$C33,'DADOS BRUTOS'!FR$3:FR$500)))</f>
        <v>0</v>
      </c>
      <c r="IS33" s="133" t="n">
        <f aca="false">IF(OR(IS$4="",$B33=""),0,SUMIF('DADOS BRUTOS'!$A$3:$A$500,$B33,'DADOS BRUTOS'!FS$3:FS$500)+IF($C33="",0,SUMIF('DADOS BRUTOS'!$A$3:$A$500,$C33,'DADOS BRUTOS'!FS$3:FS$500)))</f>
        <v>0</v>
      </c>
      <c r="IT33" s="133" t="n">
        <f aca="false">IF(OR(IT$4="",$B33=""),0,SUMIF('DADOS BRUTOS'!$A$3:$A$500,$B33,'DADOS BRUTOS'!FT$3:FT$500)+IF($C33="",0,SUMIF('DADOS BRUTOS'!$A$3:$A$500,$C33,'DADOS BRUTOS'!FT$3:FT$500)))</f>
        <v>0</v>
      </c>
      <c r="IU33" s="133" t="n">
        <f aca="false">IF(OR(IU$4="",$B33=""),0,SUMIF('DADOS BRUTOS'!$A$3:$A$500,$B33,'DADOS BRUTOS'!FU$3:FU$500)+IF($C33="",0,SUMIF('DADOS BRUTOS'!$A$3:$A$500,$C33,'DADOS BRUTOS'!FU$3:FU$500)))</f>
        <v>0</v>
      </c>
      <c r="IV33" s="133" t="n">
        <f aca="false">IF(OR(IV$4="",$B33=""),0,SUMIF('DADOS BRUTOS'!$A$3:$A$500,$B33,'DADOS BRUTOS'!FV$3:FV$500)+IF($C33="",0,SUMIF('DADOS BRUTOS'!$A$3:$A$500,$C33,'DADOS BRUTOS'!FV$3:FV$500)))</f>
        <v>0</v>
      </c>
      <c r="IW33" s="133" t="n">
        <f aca="false">IF(OR(IW$4="",$B33=""),0,SUMIF('DADOS BRUTOS'!$A$3:$A$500,$B33,'DADOS BRUTOS'!FW$3:FW$500)+IF($C33="",0,SUMIF('DADOS BRUTOS'!$A$3:$A$500,$C33,'DADOS BRUTOS'!FW$3:FW$500)))</f>
        <v>0</v>
      </c>
      <c r="IX33" s="133" t="n">
        <f aca="false">IF(OR(IX$4="",$B33=""),0,SUMIF('DADOS BRUTOS'!$A$3:$A$500,$B33,'DADOS BRUTOS'!FX$3:FX$500)+IF($C33="",0,SUMIF('DADOS BRUTOS'!$A$3:$A$500,$C33,'DADOS BRUTOS'!FX$3:FX$500)))</f>
        <v>0</v>
      </c>
      <c r="IY33" s="133" t="n">
        <f aca="false">IF(OR(IY$4="",$B33=""),0,SUMIF('DADOS BRUTOS'!$A$3:$A$500,$B33,'DADOS BRUTOS'!FY$3:FY$500)+IF($C33="",0,SUMIF('DADOS BRUTOS'!$A$3:$A$500,$C33,'DADOS BRUTOS'!FY$3:FY$500)))</f>
        <v>0</v>
      </c>
      <c r="IZ33" s="133" t="n">
        <f aca="false">IF(OR(IZ$4="",$B33=""),0,SUMIF('DADOS BRUTOS'!$A$3:$A$500,$B33,'DADOS BRUTOS'!FZ$3:FZ$500)+IF($C33="",0,SUMIF('DADOS BRUTOS'!$A$3:$A$500,$C33,'DADOS BRUTOS'!FZ$3:FZ$500)))</f>
        <v>0</v>
      </c>
      <c r="JA33" s="133" t="n">
        <f aca="false">IF(OR(JA$4="",$B33=""),0,SUMIF('DADOS BRUTOS'!$A$3:$A$500,$B33,'DADOS BRUTOS'!GA$3:GA$500)+IF($C33="",0,SUMIF('DADOS BRUTOS'!$A$3:$A$500,$C33,'DADOS BRUTOS'!GA$3:GA$500)))</f>
        <v>0</v>
      </c>
      <c r="JB33" s="133" t="n">
        <f aca="false">IF(OR(JB$4="",$B33=""),0,SUMIF('DADOS BRUTOS'!$A$3:$A$500,$B33,'DADOS BRUTOS'!GB$3:GB$500)+IF($C33="",0,SUMIF('DADOS BRUTOS'!$A$3:$A$500,$C33,'DADOS BRUTOS'!GB$3:GB$500)))</f>
        <v>0</v>
      </c>
      <c r="JC33" s="133" t="n">
        <f aca="false">IF(OR(JC$4="",$B33=""),0,SUMIF('DADOS BRUTOS'!$A$3:$A$500,$B33,'DADOS BRUTOS'!GC$3:GC$500)+IF($C33="",0,SUMIF('DADOS BRUTOS'!$A$3:$A$500,$C33,'DADOS BRUTOS'!GC$3:GC$500)))</f>
        <v>0</v>
      </c>
      <c r="JD33" s="133" t="n">
        <f aca="false">IF(OR(JD$4="",$B33=""),0,SUMIF('DADOS BRUTOS'!$A$3:$A$500,$B33,'DADOS BRUTOS'!GD$3:GD$500)+IF($C33="",0,SUMIF('DADOS BRUTOS'!$A$3:$A$500,$C33,'DADOS BRUTOS'!GD$3:GD$500)))</f>
        <v>0</v>
      </c>
      <c r="JE33" s="133" t="n">
        <f aca="false">IF(OR(JE$4="",$B33=""),0,SUMIF('DADOS BRUTOS'!$A$3:$A$500,$B33,'DADOS BRUTOS'!GE$3:GE$500)+IF($C33="",0,SUMIF('DADOS BRUTOS'!$A$3:$A$500,$C33,'DADOS BRUTOS'!GE$3:GE$500)))</f>
        <v>0</v>
      </c>
      <c r="JF33" s="133" t="n">
        <f aca="false">IF(OR(JF$4="",$B33=""),0,SUMIF('DADOS BRUTOS'!$A$3:$A$500,$B33,'DADOS BRUTOS'!GF$3:GF$500)+IF($C33="",0,SUMIF('DADOS BRUTOS'!$A$3:$A$500,$C33,'DADOS BRUTOS'!GF$3:GF$500)))</f>
        <v>0</v>
      </c>
      <c r="JG33" s="133" t="n">
        <f aca="false">IF(OR(JG$4="",$B33=""),0,SUMIF('DADOS BRUTOS'!$A$3:$A$500,$B33,'DADOS BRUTOS'!GG$3:GG$500)+IF($C33="",0,SUMIF('DADOS BRUTOS'!$A$3:$A$500,$C33,'DADOS BRUTOS'!GG$3:GG$500)))</f>
        <v>0</v>
      </c>
      <c r="JH33" s="133" t="n">
        <f aca="false">IF(OR(JH$4="",$B33=""),0,SUMIF('DADOS BRUTOS'!$A$3:$A$500,$B33,'DADOS BRUTOS'!GH$3:GH$500)+IF($C33="",0,SUMIF('DADOS BRUTOS'!$A$3:$A$500,$C33,'DADOS BRUTOS'!GH$3:GH$500)))</f>
        <v>0</v>
      </c>
      <c r="JI33" s="133" t="n">
        <f aca="false">IF(OR(JI$4="",$B33=""),0,SUMIF('DADOS BRUTOS'!$A$3:$A$500,$B33,'DADOS BRUTOS'!GI$3:GI$500)+IF($C33="",0,SUMIF('DADOS BRUTOS'!$A$3:$A$500,$C33,'DADOS BRUTOS'!GI$3:GI$500)))</f>
        <v>0</v>
      </c>
      <c r="JJ33" s="133" t="n">
        <f aca="false">IF(OR(JJ$4="",$B33=""),0,SUMIF('DADOS BRUTOS'!$A$3:$A$500,$B33,'DADOS BRUTOS'!GJ$3:GJ$500)+IF($C33="",0,SUMIF('DADOS BRUTOS'!$A$3:$A$500,$C33,'DADOS BRUTOS'!GJ$3:GJ$500)))</f>
        <v>0</v>
      </c>
      <c r="JK33" s="133" t="n">
        <f aca="false">IF(OR(JK$4="",$B33=""),0,SUMIF('DADOS BRUTOS'!$A$3:$A$500,$B33,'DADOS BRUTOS'!GK$3:GK$500)+IF($C33="",0,SUMIF('DADOS BRUTOS'!$A$3:$A$500,$C33,'DADOS BRUTOS'!GK$3:GK$500)))</f>
        <v>0</v>
      </c>
      <c r="JL33" s="133" t="n">
        <f aca="false">IF(OR(JL$4="",$B33=""),0,SUMIF('DADOS BRUTOS'!$A$3:$A$500,$B33,'DADOS BRUTOS'!GL$3:GL$500)+IF($C33="",0,SUMIF('DADOS BRUTOS'!$A$3:$A$500,$C33,'DADOS BRUTOS'!GL$3:GL$500)))</f>
        <v>0</v>
      </c>
      <c r="JM33" s="133" t="n">
        <f aca="false">IF(OR(JM$4="",$B33=""),0,SUMIF('DADOS BRUTOS'!$A$3:$A$500,$B33,'DADOS BRUTOS'!GM$3:GM$500)+IF($C33="",0,SUMIF('DADOS BRUTOS'!$A$3:$A$500,$C33,'DADOS BRUTOS'!GM$3:GM$500)))</f>
        <v>0</v>
      </c>
      <c r="JN33" s="133" t="n">
        <f aca="false">IF(OR(JN$4="",$B33=""),0,SUMIF('DADOS BRUTOS'!$A$3:$A$500,$B33,'DADOS BRUTOS'!GN$3:GN$500)+IF($C33="",0,SUMIF('DADOS BRUTOS'!$A$3:$A$500,$C33,'DADOS BRUTOS'!GN$3:GN$500)))</f>
        <v>0</v>
      </c>
      <c r="JO33" s="133" t="n">
        <f aca="false">IF(OR(JO$4="",$B33=""),0,SUMIF('DADOS BRUTOS'!$A$3:$A$500,$B33,'DADOS BRUTOS'!GO$3:GO$500)+IF($C33="",0,SUMIF('DADOS BRUTOS'!$A$3:$A$500,$C33,'DADOS BRUTOS'!GO$3:GO$500)))</f>
        <v>0</v>
      </c>
      <c r="JP33" s="133" t="n">
        <f aca="false">IF(OR(JP$4="",$B33=""),0,SUMIF('DADOS BRUTOS'!$A$3:$A$500,$B33,'DADOS BRUTOS'!GP$3:GP$500)+IF($C33="",0,SUMIF('DADOS BRUTOS'!$A$3:$A$500,$C33,'DADOS BRUTOS'!GP$3:GP$500)))</f>
        <v>0</v>
      </c>
      <c r="JQ33" s="133" t="n">
        <f aca="false">IF(OR(JQ$4="",$B33=""),0,SUMIF('DADOS BRUTOS'!$A$3:$A$500,$B33,'DADOS BRUTOS'!GQ$3:GQ$500)+IF($C33="",0,SUMIF('DADOS BRUTOS'!$A$3:$A$500,$C33,'DADOS BRUTOS'!GQ$3:GQ$500)))</f>
        <v>0</v>
      </c>
      <c r="JR33" s="133" t="n">
        <f aca="false">IF(OR(JR$4="",$B33=""),0,SUMIF('DADOS BRUTOS'!$A$3:$A$500,$B33,'DADOS BRUTOS'!GR$3:GR$500)+IF($C33="",0,SUMIF('DADOS BRUTOS'!$A$3:$A$500,$C33,'DADOS BRUTOS'!GR$3:GR$500)))</f>
        <v>0</v>
      </c>
      <c r="JS33" s="133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2877</v>
      </c>
      <c r="C34" s="55"/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3" t="n">
        <f aca="false">IF(OR(CB$4="",$B34=""),0,SUMIF('DADOS BRUTOS'!$A$3:$A$500,$B34,'DADOS BRUTOS'!B$3:B$500)+IF($C34="",0,SUMIF('DADOS BRUTOS'!$A$3:$A$500,$C34,'DADOS BRUTOS'!B$3:B$500)))</f>
        <v>0</v>
      </c>
      <c r="CC34" s="133" t="n">
        <f aca="false">IF(OR(CC$4="",$B34=""),0,SUMIF('DADOS BRUTOS'!$A$3:$A$500,$B34,'DADOS BRUTOS'!C$3:C$500)+IF($C34="",0,SUMIF('DADOS BRUTOS'!$A$3:$A$500,$C34,'DADOS BRUTOS'!C$3:C$500)))</f>
        <v>0</v>
      </c>
      <c r="CD34" s="133" t="n">
        <f aca="false">IF(OR(CD$4="",$B34=""),0,SUMIF('DADOS BRUTOS'!$A$3:$A$500,$B34,'DADOS BRUTOS'!D$3:D$500)+IF($C34="",0,SUMIF('DADOS BRUTOS'!$A$3:$A$500,$C34,'DADOS BRUTOS'!D$3:D$500)))</f>
        <v>0</v>
      </c>
      <c r="CE34" s="133" t="n">
        <f aca="false">IF(OR(CE$4="",$B34=""),0,SUMIF('DADOS BRUTOS'!$A$3:$A$500,$B34,'DADOS BRUTOS'!E$3:E$500)+IF($C34="",0,SUMIF('DADOS BRUTOS'!$A$3:$A$500,$C34,'DADOS BRUTOS'!E$3:E$500)))</f>
        <v>0</v>
      </c>
      <c r="CF34" s="133" t="n">
        <f aca="false">IF(OR(CF$4="",$B34=""),0,SUMIF('DADOS BRUTOS'!$A$3:$A$500,$B34,'DADOS BRUTOS'!F$3:F$500)+IF($C34="",0,SUMIF('DADOS BRUTOS'!$A$3:$A$500,$C34,'DADOS BRUTOS'!F$3:F$500)))</f>
        <v>0</v>
      </c>
      <c r="CG34" s="133" t="n">
        <f aca="false">IF(OR(CG$4="",$B34=""),0,SUMIF('DADOS BRUTOS'!$A$3:$A$500,$B34,'DADOS BRUTOS'!G$3:G$500)+IF($C34="",0,SUMIF('DADOS BRUTOS'!$A$3:$A$500,$C34,'DADOS BRUTOS'!G$3:G$500)))</f>
        <v>0</v>
      </c>
      <c r="CH34" s="133" t="n">
        <f aca="false">IF(OR(CH$4="",$B34=""),0,SUMIF('DADOS BRUTOS'!$A$3:$A$500,$B34,'DADOS BRUTOS'!H$3:H$500)+IF($C34="",0,SUMIF('DADOS BRUTOS'!$A$3:$A$500,$C34,'DADOS BRUTOS'!H$3:H$500)))</f>
        <v>0</v>
      </c>
      <c r="CI34" s="133" t="n">
        <f aca="false">IF(OR(CI$4="",$B34=""),0,SUMIF('DADOS BRUTOS'!$A$3:$A$500,$B34,'DADOS BRUTOS'!I$3:I$500)+IF($C34="",0,SUMIF('DADOS BRUTOS'!$A$3:$A$500,$C34,'DADOS BRUTOS'!I$3:I$500)))</f>
        <v>0</v>
      </c>
      <c r="CJ34" s="133" t="n">
        <f aca="false">IF(OR(CJ$4="",$B34=""),0,SUMIF('DADOS BRUTOS'!$A$3:$A$500,$B34,'DADOS BRUTOS'!J$3:J$500)+IF($C34="",0,SUMIF('DADOS BRUTOS'!$A$3:$A$500,$C34,'DADOS BRUTOS'!J$3:J$500)))</f>
        <v>0</v>
      </c>
      <c r="CK34" s="133" t="n">
        <f aca="false">IF(OR(CK$4="",$B34=""),0,SUMIF('DADOS BRUTOS'!$A$3:$A$500,$B34,'DADOS BRUTOS'!K$3:K$500)+IF($C34="",0,SUMIF('DADOS BRUTOS'!$A$3:$A$500,$C34,'DADOS BRUTOS'!K$3:K$500)))</f>
        <v>0</v>
      </c>
      <c r="CL34" s="133" t="n">
        <f aca="false">IF(OR(CL$4="",$B34=""),0,SUMIF('DADOS BRUTOS'!$A$3:$A$500,$B34,'DADOS BRUTOS'!L$3:L$500)+IF($C34="",0,SUMIF('DADOS BRUTOS'!$A$3:$A$500,$C34,'DADOS BRUTOS'!L$3:L$500)))</f>
        <v>0</v>
      </c>
      <c r="CM34" s="133" t="n">
        <f aca="false">IF(OR(CM$4="",$B34=""),0,SUMIF('DADOS BRUTOS'!$A$3:$A$500,$B34,'DADOS BRUTOS'!M$3:M$500)+IF($C34="",0,SUMIF('DADOS BRUTOS'!$A$3:$A$500,$C34,'DADOS BRUTOS'!M$3:M$500)))</f>
        <v>0</v>
      </c>
      <c r="CN34" s="133" t="n">
        <f aca="false">IF(OR(CN$4="",$B34=""),0,SUMIF('DADOS BRUTOS'!$A$3:$A$500,$B34,'DADOS BRUTOS'!N$3:N$500)+IF($C34="",0,SUMIF('DADOS BRUTOS'!$A$3:$A$500,$C34,'DADOS BRUTOS'!N$3:N$500)))</f>
        <v>0</v>
      </c>
      <c r="CO34" s="133" t="n">
        <f aca="false">IF(OR(CO$4="",$B34=""),0,SUMIF('DADOS BRUTOS'!$A$3:$A$500,$B34,'DADOS BRUTOS'!O$3:O$500)+IF($C34="",0,SUMIF('DADOS BRUTOS'!$A$3:$A$500,$C34,'DADOS BRUTOS'!O$3:O$500)))</f>
        <v>0</v>
      </c>
      <c r="CP34" s="133" t="n">
        <f aca="false">IF(OR(CP$4="",$B34=""),0,SUMIF('DADOS BRUTOS'!$A$3:$A$500,$B34,'DADOS BRUTOS'!P$3:P$500)+IF($C34="",0,SUMIF('DADOS BRUTOS'!$A$3:$A$500,$C34,'DADOS BRUTOS'!P$3:P$500)))</f>
        <v>0</v>
      </c>
      <c r="CQ34" s="133" t="n">
        <f aca="false">IF(OR(CQ$4="",$B34=""),0,SUMIF('DADOS BRUTOS'!$A$3:$A$500,$B34,'DADOS BRUTOS'!Q$3:Q$500)+IF($C34="",0,SUMIF('DADOS BRUTOS'!$A$3:$A$500,$C34,'DADOS BRUTOS'!Q$3:Q$500)))</f>
        <v>0</v>
      </c>
      <c r="CR34" s="133" t="n">
        <f aca="false">IF(OR(CR$4="",$B34=""),0,SUMIF('DADOS BRUTOS'!$A$3:$A$500,$B34,'DADOS BRUTOS'!R$3:R$500)+IF($C34="",0,SUMIF('DADOS BRUTOS'!$A$3:$A$500,$C34,'DADOS BRUTOS'!R$3:R$500)))</f>
        <v>0</v>
      </c>
      <c r="CS34" s="133" t="n">
        <f aca="false">IF(OR(CS$4="",$B34=""),0,SUMIF('DADOS BRUTOS'!$A$3:$A$500,$B34,'DADOS BRUTOS'!S$3:S$500)+IF($C34="",0,SUMIF('DADOS BRUTOS'!$A$3:$A$500,$C34,'DADOS BRUTOS'!S$3:S$500)))</f>
        <v>0</v>
      </c>
      <c r="CT34" s="133" t="n">
        <f aca="false">IF(OR(CT$4="",$B34=""),0,SUMIF('DADOS BRUTOS'!$A$3:$A$500,$B34,'DADOS BRUTOS'!T$3:T$500)+IF($C34="",0,SUMIF('DADOS BRUTOS'!$A$3:$A$500,$C34,'DADOS BRUTOS'!T$3:T$500)))</f>
        <v>0</v>
      </c>
      <c r="CU34" s="133" t="n">
        <f aca="false">IF(OR(CU$4="",$B34=""),0,SUMIF('DADOS BRUTOS'!$A$3:$A$500,$B34,'DADOS BRUTOS'!U$3:U$500)+IF($C34="",0,SUMIF('DADOS BRUTOS'!$A$3:$A$500,$C34,'DADOS BRUTOS'!U$3:U$500)))</f>
        <v>0</v>
      </c>
      <c r="CV34" s="133" t="n">
        <f aca="false">IF(OR(CV$4="",$B34=""),0,SUMIF('DADOS BRUTOS'!$A$3:$A$500,$B34,'DADOS BRUTOS'!V$3:V$500)+IF($C34="",0,SUMIF('DADOS BRUTOS'!$A$3:$A$500,$C34,'DADOS BRUTOS'!V$3:V$500)))</f>
        <v>0</v>
      </c>
      <c r="CW34" s="133" t="n">
        <f aca="false">IF(OR(CW$4="",$B34=""),0,SUMIF('DADOS BRUTOS'!$A$3:$A$500,$B34,'DADOS BRUTOS'!W$3:W$500)+IF($C34="",0,SUMIF('DADOS BRUTOS'!$A$3:$A$500,$C34,'DADOS BRUTOS'!W$3:W$500)))</f>
        <v>0</v>
      </c>
      <c r="CX34" s="133" t="n">
        <f aca="false">IF(OR(CX$4="",$B34=""),0,SUMIF('DADOS BRUTOS'!$A$3:$A$500,$B34,'DADOS BRUTOS'!X$3:X$500)+IF($C34="",0,SUMIF('DADOS BRUTOS'!$A$3:$A$500,$C34,'DADOS BRUTOS'!X$3:X$500)))</f>
        <v>0</v>
      </c>
      <c r="CY34" s="133" t="n">
        <f aca="false">IF(OR(CY$4="",$B34=""),0,SUMIF('DADOS BRUTOS'!$A$3:$A$500,$B34,'DADOS BRUTOS'!Y$3:Y$500)+IF($C34="",0,SUMIF('DADOS BRUTOS'!$A$3:$A$500,$C34,'DADOS BRUTOS'!Y$3:Y$500)))</f>
        <v>0</v>
      </c>
      <c r="CZ34" s="133" t="n">
        <f aca="false">IF(OR(CZ$4="",$B34=""),0,SUMIF('DADOS BRUTOS'!$A$3:$A$500,$B34,'DADOS BRUTOS'!Z$3:Z$500)+IF($C34="",0,SUMIF('DADOS BRUTOS'!$A$3:$A$500,$C34,'DADOS BRUTOS'!Z$3:Z$500)))</f>
        <v>0</v>
      </c>
      <c r="DA34" s="133" t="n">
        <f aca="false">IF(OR(DA$4="",$B34=""),0,SUMIF('DADOS BRUTOS'!$A$3:$A$500,$B34,'DADOS BRUTOS'!AA$3:AA$500)+IF($C34="",0,SUMIF('DADOS BRUTOS'!$A$3:$A$500,$C34,'DADOS BRUTOS'!AA$3:AA$500)))</f>
        <v>0</v>
      </c>
      <c r="DB34" s="133" t="n">
        <f aca="false">IF(OR(DB$4="",$B34=""),0,SUMIF('DADOS BRUTOS'!$A$3:$A$500,$B34,'DADOS BRUTOS'!AB$3:AB$500)+IF($C34="",0,SUMIF('DADOS BRUTOS'!$A$3:$A$500,$C34,'DADOS BRUTOS'!AB$3:AB$500)))</f>
        <v>0</v>
      </c>
      <c r="DC34" s="133" t="n">
        <f aca="false">IF(OR(DC$4="",$B34=""),0,SUMIF('DADOS BRUTOS'!$A$3:$A$500,$B34,'DADOS BRUTOS'!AC$3:AC$500)+IF($C34="",0,SUMIF('DADOS BRUTOS'!$A$3:$A$500,$C34,'DADOS BRUTOS'!AC$3:AC$500)))</f>
        <v>0</v>
      </c>
      <c r="DD34" s="133" t="n">
        <f aca="false">IF(OR(DD$4="",$B34=""),0,SUMIF('DADOS BRUTOS'!$A$3:$A$500,$B34,'DADOS BRUTOS'!AD$3:AD$500)+IF($C34="",0,SUMIF('DADOS BRUTOS'!$A$3:$A$500,$C34,'DADOS BRUTOS'!AD$3:AD$500)))</f>
        <v>0</v>
      </c>
      <c r="DE34" s="133" t="n">
        <f aca="false">IF(OR(DE$4="",$B34=""),0,SUMIF('DADOS BRUTOS'!$A$3:$A$500,$B34,'DADOS BRUTOS'!AE$3:AE$500)+IF($C34="",0,SUMIF('DADOS BRUTOS'!$A$3:$A$500,$C34,'DADOS BRUTOS'!AE$3:AE$500)))</f>
        <v>0</v>
      </c>
      <c r="DF34" s="133" t="n">
        <f aca="false">IF(OR(DF$4="",$B34=""),0,SUMIF('DADOS BRUTOS'!$A$3:$A$500,$B34,'DADOS BRUTOS'!AF$3:AF$500)+IF($C34="",0,SUMIF('DADOS BRUTOS'!$A$3:$A$500,$C34,'DADOS BRUTOS'!AF$3:AF$500)))</f>
        <v>0</v>
      </c>
      <c r="DG34" s="133" t="n">
        <f aca="false">IF(OR(DG$4="",$B34=""),0,SUMIF('DADOS BRUTOS'!$A$3:$A$500,$B34,'DADOS BRUTOS'!AG$3:AG$500)+IF($C34="",0,SUMIF('DADOS BRUTOS'!$A$3:$A$500,$C34,'DADOS BRUTOS'!AG$3:AG$500)))</f>
        <v>0</v>
      </c>
      <c r="DH34" s="133" t="n">
        <f aca="false">IF(OR(DH$4="",$B34=""),0,SUMIF('DADOS BRUTOS'!$A$3:$A$500,$B34,'DADOS BRUTOS'!AH$3:AH$500)+IF($C34="",0,SUMIF('DADOS BRUTOS'!$A$3:$A$500,$C34,'DADOS BRUTOS'!AH$3:AH$500)))</f>
        <v>0</v>
      </c>
      <c r="DI34" s="133" t="n">
        <f aca="false">IF(OR(DI$4="",$B34=""),0,SUMIF('DADOS BRUTOS'!$A$3:$A$500,$B34,'DADOS BRUTOS'!AI$3:AI$500)+IF($C34="",0,SUMIF('DADOS BRUTOS'!$A$3:$A$500,$C34,'DADOS BRUTOS'!AI$3:AI$500)))</f>
        <v>0</v>
      </c>
      <c r="DJ34" s="133" t="n">
        <f aca="false">IF(OR(DJ$4="",$B34=""),0,SUMIF('DADOS BRUTOS'!$A$3:$A$500,$B34,'DADOS BRUTOS'!AJ$3:AJ$500)+IF($C34="",0,SUMIF('DADOS BRUTOS'!$A$3:$A$500,$C34,'DADOS BRUTOS'!AJ$3:AJ$500)))</f>
        <v>0</v>
      </c>
      <c r="DK34" s="133" t="n">
        <f aca="false">IF(OR(DK$4="",$B34=""),0,SUMIF('DADOS BRUTOS'!$A$3:$A$500,$B34,'DADOS BRUTOS'!AK$3:AK$500)+IF($C34="",0,SUMIF('DADOS BRUTOS'!$A$3:$A$500,$C34,'DADOS BRUTOS'!AK$3:AK$500)))</f>
        <v>0</v>
      </c>
      <c r="DL34" s="133" t="n">
        <f aca="false">IF(OR(DL$4="",$B34=""),0,SUMIF('DADOS BRUTOS'!$A$3:$A$500,$B34,'DADOS BRUTOS'!AL$3:AL$500)+IF($C34="",0,SUMIF('DADOS BRUTOS'!$A$3:$A$500,$C34,'DADOS BRUTOS'!AL$3:AL$500)))</f>
        <v>0</v>
      </c>
      <c r="DM34" s="133" t="n">
        <f aca="false">IF(OR(DM$4="",$B34=""),0,SUMIF('DADOS BRUTOS'!$A$3:$A$500,$B34,'DADOS BRUTOS'!AM$3:AM$500)+IF($C34="",0,SUMIF('DADOS BRUTOS'!$A$3:$A$500,$C34,'DADOS BRUTOS'!AM$3:AM$500)))</f>
        <v>0</v>
      </c>
      <c r="DN34" s="133" t="n">
        <f aca="false">IF(OR(DN$4="",$B34=""),0,SUMIF('DADOS BRUTOS'!$A$3:$A$500,$B34,'DADOS BRUTOS'!AN$3:AN$500)+IF($C34="",0,SUMIF('DADOS BRUTOS'!$A$3:$A$500,$C34,'DADOS BRUTOS'!AN$3:AN$500)))</f>
        <v>0</v>
      </c>
      <c r="DO34" s="133" t="n">
        <f aca="false">IF(OR(DO$4="",$B34=""),0,SUMIF('DADOS BRUTOS'!$A$3:$A$500,$B34,'DADOS BRUTOS'!AO$3:AO$500)+IF($C34="",0,SUMIF('DADOS BRUTOS'!$A$3:$A$500,$C34,'DADOS BRUTOS'!AO$3:AO$500)))</f>
        <v>0</v>
      </c>
      <c r="DP34" s="133" t="n">
        <f aca="false">IF(OR(DP$4="",$B34=""),0,SUMIF('DADOS BRUTOS'!$A$3:$A$500,$B34,'DADOS BRUTOS'!AP$3:AP$500)+IF($C34="",0,SUMIF('DADOS BRUTOS'!$A$3:$A$500,$C34,'DADOS BRUTOS'!AP$3:AP$500)))</f>
        <v>0</v>
      </c>
      <c r="DQ34" s="133" t="n">
        <f aca="false">IF(OR(DQ$4="",$B34=""),0,SUMIF('DADOS BRUTOS'!$A$3:$A$500,$B34,'DADOS BRUTOS'!AQ$3:AQ$500)+IF($C34="",0,SUMIF('DADOS BRUTOS'!$A$3:$A$500,$C34,'DADOS BRUTOS'!AQ$3:AQ$500)))</f>
        <v>0</v>
      </c>
      <c r="DR34" s="133" t="n">
        <f aca="false">IF(OR(DR$4="",$B34=""),0,SUMIF('DADOS BRUTOS'!$A$3:$A$500,$B34,'DADOS BRUTOS'!AR$3:AR$500)+IF($C34="",0,SUMIF('DADOS BRUTOS'!$A$3:$A$500,$C34,'DADOS BRUTOS'!AR$3:AR$500)))</f>
        <v>0</v>
      </c>
      <c r="DS34" s="133" t="n">
        <f aca="false">IF(OR(DS$4="",$B34=""),0,SUMIF('DADOS BRUTOS'!$A$3:$A$500,$B34,'DADOS BRUTOS'!AS$3:AS$500)+IF($C34="",0,SUMIF('DADOS BRUTOS'!$A$3:$A$500,$C34,'DADOS BRUTOS'!AS$3:AS$500)))</f>
        <v>0</v>
      </c>
      <c r="DT34" s="133" t="n">
        <f aca="false">IF(OR(DT$4="",$B34=""),0,SUMIF('DADOS BRUTOS'!$A$3:$A$500,$B34,'DADOS BRUTOS'!AT$3:AT$500)+IF($C34="",0,SUMIF('DADOS BRUTOS'!$A$3:$A$500,$C34,'DADOS BRUTOS'!AT$3:AT$500)))</f>
        <v>0</v>
      </c>
      <c r="DU34" s="133" t="n">
        <f aca="false">IF(OR(DU$4="",$B34=""),0,SUMIF('DADOS BRUTOS'!$A$3:$A$500,$B34,'DADOS BRUTOS'!AU$3:AU$500)+IF($C34="",0,SUMIF('DADOS BRUTOS'!$A$3:$A$500,$C34,'DADOS BRUTOS'!AU$3:AU$500)))</f>
        <v>0</v>
      </c>
      <c r="DV34" s="133" t="n">
        <f aca="false">IF(OR(DV$4="",$B34=""),0,SUMIF('DADOS BRUTOS'!$A$3:$A$500,$B34,'DADOS BRUTOS'!AV$3:AV$500)+IF($C34="",0,SUMIF('DADOS BRUTOS'!$A$3:$A$500,$C34,'DADOS BRUTOS'!AV$3:AV$500)))</f>
        <v>0</v>
      </c>
      <c r="DW34" s="133" t="n">
        <f aca="false">IF(OR(DW$4="",$B34=""),0,SUMIF('DADOS BRUTOS'!$A$3:$A$500,$B34,'DADOS BRUTOS'!AW$3:AW$500)+IF($C34="",0,SUMIF('DADOS BRUTOS'!$A$3:$A$500,$C34,'DADOS BRUTOS'!AW$3:AW$500)))</f>
        <v>0</v>
      </c>
      <c r="DX34" s="133" t="n">
        <f aca="false">IF(OR(DX$4="",$B34=""),0,SUMIF('DADOS BRUTOS'!$A$3:$A$500,$B34,'DADOS BRUTOS'!AX$3:AX$500)+IF($C34="",0,SUMIF('DADOS BRUTOS'!$A$3:$A$500,$C34,'DADOS BRUTOS'!AX$3:AX$500)))</f>
        <v>0</v>
      </c>
      <c r="DY34" s="133" t="n">
        <f aca="false">IF(OR(DY$4="",$B34=""),0,SUMIF('DADOS BRUTOS'!$A$3:$A$500,$B34,'DADOS BRUTOS'!AY$3:AY$500)+IF($C34="",0,SUMIF('DADOS BRUTOS'!$A$3:$A$500,$C34,'DADOS BRUTOS'!AY$3:AY$500)))</f>
        <v>0</v>
      </c>
      <c r="DZ34" s="133" t="n">
        <f aca="false">IF(OR(DZ$4="",$B34=""),0,SUMIF('DADOS BRUTOS'!$A$3:$A$500,$B34,'DADOS BRUTOS'!AZ$3:AZ$500)+IF($C34="",0,SUMIF('DADOS BRUTOS'!$A$3:$A$500,$C34,'DADOS BRUTOS'!AZ$3:AZ$500)))</f>
        <v>0</v>
      </c>
      <c r="EA34" s="133" t="n">
        <f aca="false">IF(OR(EA$4="",$B34=""),0,SUMIF('DADOS BRUTOS'!$A$3:$A$500,$B34,'DADOS BRUTOS'!BA$3:BA$500)+IF($C34="",0,SUMIF('DADOS BRUTOS'!$A$3:$A$500,$C34,'DADOS BRUTOS'!BA$3:BA$500)))</f>
        <v>0</v>
      </c>
      <c r="EB34" s="133" t="n">
        <f aca="false">IF(OR(EB$4="",$B34=""),0,SUMIF('DADOS BRUTOS'!$A$3:$A$500,$B34,'DADOS BRUTOS'!BB$3:BB$500)+IF($C34="",0,SUMIF('DADOS BRUTOS'!$A$3:$A$500,$C34,'DADOS BRUTOS'!BB$3:BB$500)))</f>
        <v>0</v>
      </c>
      <c r="EC34" s="133" t="n">
        <f aca="false">IF(OR(EC$4="",$B34=""),0,SUMIF('DADOS BRUTOS'!$A$3:$A$500,$B34,'DADOS BRUTOS'!BC$3:BC$500)+IF($C34="",0,SUMIF('DADOS BRUTOS'!$A$3:$A$500,$C34,'DADOS BRUTOS'!BC$3:BC$500)))</f>
        <v>0</v>
      </c>
      <c r="ED34" s="133" t="n">
        <f aca="false">IF(OR(ED$4="",$B34=""),0,SUMIF('DADOS BRUTOS'!$A$3:$A$500,$B34,'DADOS BRUTOS'!BD$3:BD$500)+IF($C34="",0,SUMIF('DADOS BRUTOS'!$A$3:$A$500,$C34,'DADOS BRUTOS'!BD$3:BD$500)))</f>
        <v>0</v>
      </c>
      <c r="EE34" s="133" t="n">
        <f aca="false">IF(OR(EE$4="",$B34=""),0,SUMIF('DADOS BRUTOS'!$A$3:$A$500,$B34,'DADOS BRUTOS'!BE$3:BE$500)+IF($C34="",0,SUMIF('DADOS BRUTOS'!$A$3:$A$500,$C34,'DADOS BRUTOS'!BE$3:BE$500)))</f>
        <v>0</v>
      </c>
      <c r="EF34" s="133" t="n">
        <f aca="false">IF(OR(EF$4="",$B34=""),0,SUMIF('DADOS BRUTOS'!$A$3:$A$500,$B34,'DADOS BRUTOS'!BF$3:BF$500)+IF($C34="",0,SUMIF('DADOS BRUTOS'!$A$3:$A$500,$C34,'DADOS BRUTOS'!BF$3:BF$500)))</f>
        <v>0</v>
      </c>
      <c r="EG34" s="133" t="n">
        <f aca="false">IF(OR(EG$4="",$B34=""),0,SUMIF('DADOS BRUTOS'!$A$3:$A$500,$B34,'DADOS BRUTOS'!BG$3:BG$500)+IF($C34="",0,SUMIF('DADOS BRUTOS'!$A$3:$A$500,$C34,'DADOS BRUTOS'!BG$3:BG$500)))</f>
        <v>0</v>
      </c>
      <c r="EH34" s="133" t="n">
        <f aca="false">IF(OR(EH$4="",$B34=""),0,SUMIF('DADOS BRUTOS'!$A$3:$A$500,$B34,'DADOS BRUTOS'!BH$3:BH$500)+IF($C34="",0,SUMIF('DADOS BRUTOS'!$A$3:$A$500,$C34,'DADOS BRUTOS'!BH$3:BH$500)))</f>
        <v>0</v>
      </c>
      <c r="EI34" s="133" t="n">
        <f aca="false">IF(OR(EI$4="",$B34=""),0,SUMIF('DADOS BRUTOS'!$A$3:$A$500,$B34,'DADOS BRUTOS'!BI$3:BI$500)+IF($C34="",0,SUMIF('DADOS BRUTOS'!$A$3:$A$500,$C34,'DADOS BRUTOS'!BI$3:BI$500)))</f>
        <v>0</v>
      </c>
      <c r="EJ34" s="133" t="n">
        <f aca="false">IF(OR(EJ$4="",$B34=""),0,SUMIF('DADOS BRUTOS'!$A$3:$A$500,$B34,'DADOS BRUTOS'!BJ$3:BJ$500)+IF($C34="",0,SUMIF('DADOS BRUTOS'!$A$3:$A$500,$C34,'DADOS BRUTOS'!BJ$3:BJ$500)))</f>
        <v>0</v>
      </c>
      <c r="EK34" s="133" t="n">
        <f aca="false">IF(OR(EK$4="",$B34=""),0,SUMIF('DADOS BRUTOS'!$A$3:$A$500,$B34,'DADOS BRUTOS'!BK$3:BK$500)+IF($C34="",0,SUMIF('DADOS BRUTOS'!$A$3:$A$500,$C34,'DADOS BRUTOS'!BK$3:BK$500)))</f>
        <v>0</v>
      </c>
      <c r="EL34" s="133" t="n">
        <f aca="false">IF(OR(EL$4="",$B34=""),0,SUMIF('DADOS BRUTOS'!$A$3:$A$500,$B34,'DADOS BRUTOS'!BL$3:BL$500)+IF($C34="",0,SUMIF('DADOS BRUTOS'!$A$3:$A$500,$C34,'DADOS BRUTOS'!BL$3:BL$500)))</f>
        <v>0</v>
      </c>
      <c r="EM34" s="133" t="n">
        <f aca="false">IF(OR(EM$4="",$B34=""),0,SUMIF('DADOS BRUTOS'!$A$3:$A$500,$B34,'DADOS BRUTOS'!BM$3:BM$500)+IF($C34="",0,SUMIF('DADOS BRUTOS'!$A$3:$A$500,$C34,'DADOS BRUTOS'!BM$3:BM$500)))</f>
        <v>0</v>
      </c>
      <c r="EN34" s="133" t="n">
        <f aca="false">IF(OR(EN$4="",$B34=""),0,SUMIF('DADOS BRUTOS'!$A$3:$A$500,$B34,'DADOS BRUTOS'!BN$3:BN$500)+IF($C34="",0,SUMIF('DADOS BRUTOS'!$A$3:$A$500,$C34,'DADOS BRUTOS'!BN$3:BN$500)))</f>
        <v>0</v>
      </c>
      <c r="EO34" s="133" t="n">
        <f aca="false">IF(OR(EO$4="",$B34=""),0,SUMIF('DADOS BRUTOS'!$A$3:$A$500,$B34,'DADOS BRUTOS'!BO$3:BO$500)+IF($C34="",0,SUMIF('DADOS BRUTOS'!$A$3:$A$500,$C34,'DADOS BRUTOS'!BO$3:BO$500)))</f>
        <v>0</v>
      </c>
      <c r="EP34" s="133" t="n">
        <f aca="false">IF(OR(EP$4="",$B34=""),0,SUMIF('DADOS BRUTOS'!$A$3:$A$500,$B34,'DADOS BRUTOS'!BP$3:BP$500)+IF($C34="",0,SUMIF('DADOS BRUTOS'!$A$3:$A$500,$C34,'DADOS BRUTOS'!BP$3:BP$500)))</f>
        <v>0</v>
      </c>
      <c r="EQ34" s="133" t="n">
        <f aca="false">IF(OR(EQ$4="",$B34=""),0,SUMIF('DADOS BRUTOS'!$A$3:$A$500,$B34,'DADOS BRUTOS'!BQ$3:BQ$500)+IF($C34="",0,SUMIF('DADOS BRUTOS'!$A$3:$A$500,$C34,'DADOS BRUTOS'!BQ$3:BQ$500)))</f>
        <v>0</v>
      </c>
      <c r="ER34" s="133" t="n">
        <f aca="false">IF(OR(ER$4="",$B34=""),0,SUMIF('DADOS BRUTOS'!$A$3:$A$500,$B34,'DADOS BRUTOS'!BR$3:BR$500)+IF($C34="",0,SUMIF('DADOS BRUTOS'!$A$3:$A$500,$C34,'DADOS BRUTOS'!BR$3:BR$500)))</f>
        <v>0</v>
      </c>
      <c r="ES34" s="133" t="n">
        <f aca="false">IF(OR(ES$4="",$B34=""),0,SUMIF('DADOS BRUTOS'!$A$3:$A$500,$B34,'DADOS BRUTOS'!BS$3:BS$500)+IF($C34="",0,SUMIF('DADOS BRUTOS'!$A$3:$A$500,$C34,'DADOS BRUTOS'!BS$3:BS$500)))</f>
        <v>0</v>
      </c>
      <c r="ET34" s="133" t="n">
        <f aca="false">IF(OR(ET$4="",$B34=""),0,SUMIF('DADOS BRUTOS'!$A$3:$A$500,$B34,'DADOS BRUTOS'!BT$3:BT$500)+IF($C34="",0,SUMIF('DADOS BRUTOS'!$A$3:$A$500,$C34,'DADOS BRUTOS'!BT$3:BT$500)))</f>
        <v>0</v>
      </c>
      <c r="EU34" s="133" t="n">
        <f aca="false">IF(OR(EU$4="",$B34=""),0,SUMIF('DADOS BRUTOS'!$A$3:$A$500,$B34,'DADOS BRUTOS'!BU$3:BU$500)+IF($C34="",0,SUMIF('DADOS BRUTOS'!$A$3:$A$500,$C34,'DADOS BRUTOS'!BU$3:BU$500)))</f>
        <v>0</v>
      </c>
      <c r="EV34" s="133" t="n">
        <f aca="false">IF(OR(EV$4="",$B34=""),0,SUMIF('DADOS BRUTOS'!$A$3:$A$500,$B34,'DADOS BRUTOS'!BV$3:BV$500)+IF($C34="",0,SUMIF('DADOS BRUTOS'!$A$3:$A$500,$C34,'DADOS BRUTOS'!BV$3:BV$500)))</f>
        <v>0</v>
      </c>
      <c r="EW34" s="133" t="n">
        <f aca="false">IF(OR(EW$4="",$B34=""),0,SUMIF('DADOS BRUTOS'!$A$3:$A$500,$B34,'DADOS BRUTOS'!BW$3:BW$500)+IF($C34="",0,SUMIF('DADOS BRUTOS'!$A$3:$A$500,$C34,'DADOS BRUTOS'!BW$3:BW$500)))</f>
        <v>0</v>
      </c>
      <c r="EX34" s="133" t="n">
        <f aca="false">IF(OR(EX$4="",$B34=""),0,SUMIF('DADOS BRUTOS'!$A$3:$A$500,$B34,'DADOS BRUTOS'!BX$3:BX$500)+IF($C34="",0,SUMIF('DADOS BRUTOS'!$A$3:$A$500,$C34,'DADOS BRUTOS'!BX$3:BX$500)))</f>
        <v>0</v>
      </c>
      <c r="EY34" s="133" t="n">
        <f aca="false">IF(OR(EY$4="",$B34=""),0,SUMIF('DADOS BRUTOS'!$A$3:$A$500,$B34,'DADOS BRUTOS'!BY$3:BY$500)+IF($C34="",0,SUMIF('DADOS BRUTOS'!$A$3:$A$500,$C34,'DADOS BRUTOS'!BY$3:BY$500)))</f>
        <v>0</v>
      </c>
      <c r="EZ34" s="133" t="n">
        <f aca="false">IF(OR(EZ$4="",$B34=""),0,SUMIF('DADOS BRUTOS'!$A$3:$A$500,$B34,'DADOS BRUTOS'!BZ$3:BZ$500)+IF($C34="",0,SUMIF('DADOS BRUTOS'!$A$3:$A$500,$C34,'DADOS BRUTOS'!BZ$3:BZ$500)))</f>
        <v>0</v>
      </c>
      <c r="FA34" s="133" t="n">
        <f aca="false">IF(OR(FA$4="",$B34=""),0,SUMIF('DADOS BRUTOS'!$A$3:$A$500,$B34,'DADOS BRUTOS'!CA$3:CA$500)+IF($C34="",0,SUMIF('DADOS BRUTOS'!$A$3:$A$500,$C34,'DADOS BRUTOS'!CA$3:CA$500)))</f>
        <v>0</v>
      </c>
      <c r="FB34" s="133" t="n">
        <f aca="false">IF(OR(FB$4="",$B34=""),0,SUMIF('DADOS BRUTOS'!$A$3:$A$500,$B34,'DADOS BRUTOS'!CB$3:CB$500)+IF($C34="",0,SUMIF('DADOS BRUTOS'!$A$3:$A$500,$C34,'DADOS BRUTOS'!CB$3:CB$500)))</f>
        <v>0</v>
      </c>
      <c r="FC34" s="133" t="n">
        <f aca="false">IF(OR(FC$4="",$B34=""),0,SUMIF('DADOS BRUTOS'!$A$3:$A$500,$B34,'DADOS BRUTOS'!CC$3:CC$500)+IF($C34="",0,SUMIF('DADOS BRUTOS'!$A$3:$A$500,$C34,'DADOS BRUTOS'!CC$3:CC$500)))</f>
        <v>0</v>
      </c>
      <c r="FD34" s="133" t="n">
        <f aca="false">IF(OR(FD$4="",$B34=""),0,SUMIF('DADOS BRUTOS'!$A$3:$A$500,$B34,'DADOS BRUTOS'!CD$3:CD$500)+IF($C34="",0,SUMIF('DADOS BRUTOS'!$A$3:$A$500,$C34,'DADOS BRUTOS'!CD$3:CD$500)))</f>
        <v>0</v>
      </c>
      <c r="FE34" s="133" t="n">
        <f aca="false">IF(OR(FE$4="",$B34=""),0,SUMIF('DADOS BRUTOS'!$A$3:$A$500,$B34,'DADOS BRUTOS'!CE$3:CE$500)+IF($C34="",0,SUMIF('DADOS BRUTOS'!$A$3:$A$500,$C34,'DADOS BRUTOS'!CE$3:CE$500)))</f>
        <v>0</v>
      </c>
      <c r="FF34" s="133" t="n">
        <f aca="false">IF(OR(FF$4="",$B34=""),0,SUMIF('DADOS BRUTOS'!$A$3:$A$500,$B34,'DADOS BRUTOS'!CF$3:CF$500)+IF($C34="",0,SUMIF('DADOS BRUTOS'!$A$3:$A$500,$C34,'DADOS BRUTOS'!CF$3:CF$500)))</f>
        <v>0</v>
      </c>
      <c r="FG34" s="133" t="n">
        <f aca="false">IF(OR(FG$4="",$B34=""),0,SUMIF('DADOS BRUTOS'!$A$3:$A$500,$B34,'DADOS BRUTOS'!CG$3:CG$500)+IF($C34="",0,SUMIF('DADOS BRUTOS'!$A$3:$A$500,$C34,'DADOS BRUTOS'!CG$3:CG$500)))</f>
        <v>0</v>
      </c>
      <c r="FH34" s="133" t="n">
        <f aca="false">IF(OR(FH$4="",$B34=""),0,SUMIF('DADOS BRUTOS'!$A$3:$A$500,$B34,'DADOS BRUTOS'!CH$3:CH$500)+IF($C34="",0,SUMIF('DADOS BRUTOS'!$A$3:$A$500,$C34,'DADOS BRUTOS'!CH$3:CH$500)))</f>
        <v>0</v>
      </c>
      <c r="FI34" s="133" t="n">
        <f aca="false">IF(OR(FI$4="",$B34=""),0,SUMIF('DADOS BRUTOS'!$A$3:$A$500,$B34,'DADOS BRUTOS'!CI$3:CI$500)+IF($C34="",0,SUMIF('DADOS BRUTOS'!$A$3:$A$500,$C34,'DADOS BRUTOS'!CI$3:CI$500)))</f>
        <v>0</v>
      </c>
      <c r="FJ34" s="133" t="n">
        <f aca="false">IF(OR(FJ$4="",$B34=""),0,SUMIF('DADOS BRUTOS'!$A$3:$A$500,$B34,'DADOS BRUTOS'!CJ$3:CJ$500)+IF($C34="",0,SUMIF('DADOS BRUTOS'!$A$3:$A$500,$C34,'DADOS BRUTOS'!CJ$3:CJ$500)))</f>
        <v>0</v>
      </c>
      <c r="FK34" s="133" t="n">
        <f aca="false">IF(OR(FK$4="",$B34=""),0,SUMIF('DADOS BRUTOS'!$A$3:$A$500,$B34,'DADOS BRUTOS'!CK$3:CK$500)+IF($C34="",0,SUMIF('DADOS BRUTOS'!$A$3:$A$500,$C34,'DADOS BRUTOS'!CK$3:CK$500)))</f>
        <v>0</v>
      </c>
      <c r="FL34" s="133" t="n">
        <f aca="false">IF(OR(FL$4="",$B34=""),0,SUMIF('DADOS BRUTOS'!$A$3:$A$500,$B34,'DADOS BRUTOS'!CL$3:CL$500)+IF($C34="",0,SUMIF('DADOS BRUTOS'!$A$3:$A$500,$C34,'DADOS BRUTOS'!CL$3:CL$500)))</f>
        <v>0</v>
      </c>
      <c r="FM34" s="133" t="n">
        <f aca="false">IF(OR(FM$4="",$B34=""),0,SUMIF('DADOS BRUTOS'!$A$3:$A$500,$B34,'DADOS BRUTOS'!CM$3:CM$500)+IF($C34="",0,SUMIF('DADOS BRUTOS'!$A$3:$A$500,$C34,'DADOS BRUTOS'!CM$3:CM$500)))</f>
        <v>0</v>
      </c>
      <c r="FN34" s="133" t="n">
        <f aca="false">IF(OR(FN$4="",$B34=""),0,SUMIF('DADOS BRUTOS'!$A$3:$A$500,$B34,'DADOS BRUTOS'!CN$3:CN$500)+IF($C34="",0,SUMIF('DADOS BRUTOS'!$A$3:$A$500,$C34,'DADOS BRUTOS'!CN$3:CN$500)))</f>
        <v>0</v>
      </c>
      <c r="FO34" s="133" t="n">
        <f aca="false">IF(OR(FO$4="",$B34=""),0,SUMIF('DADOS BRUTOS'!$A$3:$A$500,$B34,'DADOS BRUTOS'!CO$3:CO$500)+IF($C34="",0,SUMIF('DADOS BRUTOS'!$A$3:$A$500,$C34,'DADOS BRUTOS'!CO$3:CO$500)))</f>
        <v>0</v>
      </c>
      <c r="FP34" s="133" t="n">
        <f aca="false">IF(OR(FP$4="",$B34=""),0,SUMIF('DADOS BRUTOS'!$A$3:$A$500,$B34,'DADOS BRUTOS'!CP$3:CP$500)+IF($C34="",0,SUMIF('DADOS BRUTOS'!$A$3:$A$500,$C34,'DADOS BRUTOS'!CP$3:CP$500)))</f>
        <v>0</v>
      </c>
      <c r="FQ34" s="133" t="n">
        <f aca="false">IF(OR(FQ$4="",$B34=""),0,SUMIF('DADOS BRUTOS'!$A$3:$A$500,$B34,'DADOS BRUTOS'!CQ$3:CQ$500)+IF($C34="",0,SUMIF('DADOS BRUTOS'!$A$3:$A$500,$C34,'DADOS BRUTOS'!CQ$3:CQ$500)))</f>
        <v>0</v>
      </c>
      <c r="FR34" s="133" t="n">
        <f aca="false">IF(OR(FR$4="",$B34=""),0,SUMIF('DADOS BRUTOS'!$A$3:$A$500,$B34,'DADOS BRUTOS'!CR$3:CR$500)+IF($C34="",0,SUMIF('DADOS BRUTOS'!$A$3:$A$500,$C34,'DADOS BRUTOS'!CR$3:CR$500)))</f>
        <v>0</v>
      </c>
      <c r="FS34" s="133" t="n">
        <f aca="false">IF(OR(FS$4="",$B34=""),0,SUMIF('DADOS BRUTOS'!$A$3:$A$500,$B34,'DADOS BRUTOS'!CS$3:CS$500)+IF($C34="",0,SUMIF('DADOS BRUTOS'!$A$3:$A$500,$C34,'DADOS BRUTOS'!CS$3:CS$500)))</f>
        <v>0</v>
      </c>
      <c r="FT34" s="133" t="n">
        <f aca="false">IF(OR(FT$4="",$B34=""),0,SUMIF('DADOS BRUTOS'!$A$3:$A$500,$B34,'DADOS BRUTOS'!CT$3:CT$500)+IF($C34="",0,SUMIF('DADOS BRUTOS'!$A$3:$A$500,$C34,'DADOS BRUTOS'!CT$3:CT$500)))</f>
        <v>0</v>
      </c>
      <c r="FU34" s="133" t="n">
        <f aca="false">IF(OR(FU$4="",$B34=""),0,SUMIF('DADOS BRUTOS'!$A$3:$A$500,$B34,'DADOS BRUTOS'!CU$3:CU$500)+IF($C34="",0,SUMIF('DADOS BRUTOS'!$A$3:$A$500,$C34,'DADOS BRUTOS'!CU$3:CU$500)))</f>
        <v>0</v>
      </c>
      <c r="FV34" s="133" t="n">
        <f aca="false">IF(OR(FV$4="",$B34=""),0,SUMIF('DADOS BRUTOS'!$A$3:$A$500,$B34,'DADOS BRUTOS'!CV$3:CV$500)+IF($C34="",0,SUMIF('DADOS BRUTOS'!$A$3:$A$500,$C34,'DADOS BRUTOS'!CV$3:CV$500)))</f>
        <v>0</v>
      </c>
      <c r="FW34" s="133" t="n">
        <f aca="false">IF(OR(FW$4="",$B34=""),0,SUMIF('DADOS BRUTOS'!$A$3:$A$500,$B34,'DADOS BRUTOS'!CW$3:CW$500)+IF($C34="",0,SUMIF('DADOS BRUTOS'!$A$3:$A$500,$C34,'DADOS BRUTOS'!CW$3:CW$500)))</f>
        <v>0</v>
      </c>
      <c r="FX34" s="133" t="n">
        <f aca="false">IF(OR(FX$4="",$B34=""),0,SUMIF('DADOS BRUTOS'!$A$3:$A$500,$B34,'DADOS BRUTOS'!CX$3:CX$500)+IF($C34="",0,SUMIF('DADOS BRUTOS'!$A$3:$A$500,$C34,'DADOS BRUTOS'!CX$3:CX$500)))</f>
        <v>0</v>
      </c>
      <c r="FY34" s="133" t="n">
        <f aca="false">IF(OR(FY$4="",$B34=""),0,SUMIF('DADOS BRUTOS'!$A$3:$A$500,$B34,'DADOS BRUTOS'!CY$3:CY$500)+IF($C34="",0,SUMIF('DADOS BRUTOS'!$A$3:$A$500,$C34,'DADOS BRUTOS'!CY$3:CY$500)))</f>
        <v>0</v>
      </c>
      <c r="FZ34" s="133" t="n">
        <f aca="false">IF(OR(FZ$4="",$B34=""),0,SUMIF('DADOS BRUTOS'!$A$3:$A$500,$B34,'DADOS BRUTOS'!CZ$3:CZ$500)+IF($C34="",0,SUMIF('DADOS BRUTOS'!$A$3:$A$500,$C34,'DADOS BRUTOS'!CZ$3:CZ$500)))</f>
        <v>0</v>
      </c>
      <c r="GA34" s="133" t="n">
        <f aca="false">IF(OR(GA$4="",$B34=""),0,SUMIF('DADOS BRUTOS'!$A$3:$A$500,$B34,'DADOS BRUTOS'!DA$3:DA$500)+IF($C34="",0,SUMIF('DADOS BRUTOS'!$A$3:$A$500,$C34,'DADOS BRUTOS'!DA$3:DA$500)))</f>
        <v>0</v>
      </c>
      <c r="GB34" s="133" t="n">
        <f aca="false">IF(OR(GB$4="",$B34=""),0,SUMIF('DADOS BRUTOS'!$A$3:$A$500,$B34,'DADOS BRUTOS'!DB$3:DB$500)+IF($C34="",0,SUMIF('DADOS BRUTOS'!$A$3:$A$500,$C34,'DADOS BRUTOS'!DB$3:DB$500)))</f>
        <v>0</v>
      </c>
      <c r="GC34" s="133" t="n">
        <f aca="false">IF(OR(GC$4="",$B34=""),0,SUMIF('DADOS BRUTOS'!$A$3:$A$500,$B34,'DADOS BRUTOS'!DC$3:DC$500)+IF($C34="",0,SUMIF('DADOS BRUTOS'!$A$3:$A$500,$C34,'DADOS BRUTOS'!DC$3:DC$500)))</f>
        <v>0</v>
      </c>
      <c r="GD34" s="133" t="n">
        <f aca="false">IF(OR(GD$4="",$B34=""),0,SUMIF('DADOS BRUTOS'!$A$3:$A$500,$B34,'DADOS BRUTOS'!DD$3:DD$500)+IF($C34="",0,SUMIF('DADOS BRUTOS'!$A$3:$A$500,$C34,'DADOS BRUTOS'!DD$3:DD$500)))</f>
        <v>0</v>
      </c>
      <c r="GE34" s="133" t="n">
        <f aca="false">IF(OR(GE$4="",$B34=""),0,SUMIF('DADOS BRUTOS'!$A$3:$A$500,$B34,'DADOS BRUTOS'!DE$3:DE$500)+IF($C34="",0,SUMIF('DADOS BRUTOS'!$A$3:$A$500,$C34,'DADOS BRUTOS'!DE$3:DE$500)))</f>
        <v>0</v>
      </c>
      <c r="GF34" s="133" t="n">
        <f aca="false">IF(OR(GF$4="",$B34=""),0,SUMIF('DADOS BRUTOS'!$A$3:$A$500,$B34,'DADOS BRUTOS'!DF$3:DF$500)+IF($C34="",0,SUMIF('DADOS BRUTOS'!$A$3:$A$500,$C34,'DADOS BRUTOS'!DF$3:DF$500)))</f>
        <v>0</v>
      </c>
      <c r="GG34" s="133" t="n">
        <f aca="false">IF(OR(GG$4="",$B34=""),0,SUMIF('DADOS BRUTOS'!$A$3:$A$500,$B34,'DADOS BRUTOS'!DG$3:DG$500)+IF($C34="",0,SUMIF('DADOS BRUTOS'!$A$3:$A$500,$C34,'DADOS BRUTOS'!DG$3:DG$500)))</f>
        <v>0</v>
      </c>
      <c r="GH34" s="133" t="n">
        <f aca="false">IF(OR(GH$4="",$B34=""),0,SUMIF('DADOS BRUTOS'!$A$3:$A$500,$B34,'DADOS BRUTOS'!DH$3:DH$500)+IF($C34="",0,SUMIF('DADOS BRUTOS'!$A$3:$A$500,$C34,'DADOS BRUTOS'!DH$3:DH$500)))</f>
        <v>0</v>
      </c>
      <c r="GI34" s="133" t="n">
        <f aca="false">IF(OR(GI$4="",$B34=""),0,SUMIF('DADOS BRUTOS'!$A$3:$A$500,$B34,'DADOS BRUTOS'!DI$3:DI$500)+IF($C34="",0,SUMIF('DADOS BRUTOS'!$A$3:$A$500,$C34,'DADOS BRUTOS'!DI$3:DI$500)))</f>
        <v>0</v>
      </c>
      <c r="GJ34" s="133" t="n">
        <f aca="false">IF(OR(GJ$4="",$B34=""),0,SUMIF('DADOS BRUTOS'!$A$3:$A$500,$B34,'DADOS BRUTOS'!DJ$3:DJ$500)+IF($C34="",0,SUMIF('DADOS BRUTOS'!$A$3:$A$500,$C34,'DADOS BRUTOS'!DJ$3:DJ$500)))</f>
        <v>0</v>
      </c>
      <c r="GK34" s="133" t="n">
        <f aca="false">IF(OR(GK$4="",$B34=""),0,SUMIF('DADOS BRUTOS'!$A$3:$A$500,$B34,'DADOS BRUTOS'!DK$3:DK$500)+IF($C34="",0,SUMIF('DADOS BRUTOS'!$A$3:$A$500,$C34,'DADOS BRUTOS'!DK$3:DK$500)))</f>
        <v>0</v>
      </c>
      <c r="GL34" s="133" t="n">
        <f aca="false">IF(OR(GL$4="",$B34=""),0,SUMIF('DADOS BRUTOS'!$A$3:$A$500,$B34,'DADOS BRUTOS'!DL$3:DL$500)+IF($C34="",0,SUMIF('DADOS BRUTOS'!$A$3:$A$500,$C34,'DADOS BRUTOS'!DL$3:DL$500)))</f>
        <v>0</v>
      </c>
      <c r="GM34" s="133" t="n">
        <f aca="false">IF(OR(GM$4="",$B34=""),0,SUMIF('DADOS BRUTOS'!$A$3:$A$500,$B34,'DADOS BRUTOS'!DM$3:DM$500)+IF($C34="",0,SUMIF('DADOS BRUTOS'!$A$3:$A$500,$C34,'DADOS BRUTOS'!DM$3:DM$500)))</f>
        <v>0</v>
      </c>
      <c r="GN34" s="133" t="n">
        <f aca="false">IF(OR(GN$4="",$B34=""),0,SUMIF('DADOS BRUTOS'!$A$3:$A$500,$B34,'DADOS BRUTOS'!DN$3:DN$500)+IF($C34="",0,SUMIF('DADOS BRUTOS'!$A$3:$A$500,$C34,'DADOS BRUTOS'!DN$3:DN$500)))</f>
        <v>0</v>
      </c>
      <c r="GO34" s="133" t="n">
        <f aca="false">IF(OR(GO$4="",$B34=""),0,SUMIF('DADOS BRUTOS'!$A$3:$A$500,$B34,'DADOS BRUTOS'!DO$3:DO$500)+IF($C34="",0,SUMIF('DADOS BRUTOS'!$A$3:$A$500,$C34,'DADOS BRUTOS'!DO$3:DO$500)))</f>
        <v>0</v>
      </c>
      <c r="GP34" s="133" t="n">
        <f aca="false">IF(OR(GP$4="",$B34=""),0,SUMIF('DADOS BRUTOS'!$A$3:$A$500,$B34,'DADOS BRUTOS'!DP$3:DP$500)+IF($C34="",0,SUMIF('DADOS BRUTOS'!$A$3:$A$500,$C34,'DADOS BRUTOS'!DP$3:DP$500)))</f>
        <v>0</v>
      </c>
      <c r="GQ34" s="133" t="n">
        <f aca="false">IF(OR(GQ$4="",$B34=""),0,SUMIF('DADOS BRUTOS'!$A$3:$A$500,$B34,'DADOS BRUTOS'!DQ$3:DQ$500)+IF($C34="",0,SUMIF('DADOS BRUTOS'!$A$3:$A$500,$C34,'DADOS BRUTOS'!DQ$3:DQ$500)))</f>
        <v>0</v>
      </c>
      <c r="GR34" s="133" t="n">
        <f aca="false">IF(OR(GR$4="",$B34=""),0,SUMIF('DADOS BRUTOS'!$A$3:$A$500,$B34,'DADOS BRUTOS'!DR$3:DR$500)+IF($C34="",0,SUMIF('DADOS BRUTOS'!$A$3:$A$500,$C34,'DADOS BRUTOS'!DR$3:DR$500)))</f>
        <v>0</v>
      </c>
      <c r="GS34" s="133" t="n">
        <f aca="false">IF(OR(GS$4="",$B34=""),0,SUMIF('DADOS BRUTOS'!$A$3:$A$500,$B34,'DADOS BRUTOS'!DS$3:DS$500)+IF($C34="",0,SUMIF('DADOS BRUTOS'!$A$3:$A$500,$C34,'DADOS BRUTOS'!DS$3:DS$500)))</f>
        <v>0</v>
      </c>
      <c r="GT34" s="133" t="n">
        <f aca="false">IF(OR(GT$4="",$B34=""),0,SUMIF('DADOS BRUTOS'!$A$3:$A$500,$B34,'DADOS BRUTOS'!DT$3:DT$500)+IF($C34="",0,SUMIF('DADOS BRUTOS'!$A$3:$A$500,$C34,'DADOS BRUTOS'!DT$3:DT$500)))</f>
        <v>0</v>
      </c>
      <c r="GU34" s="133" t="n">
        <f aca="false">IF(OR(GU$4="",$B34=""),0,SUMIF('DADOS BRUTOS'!$A$3:$A$500,$B34,'DADOS BRUTOS'!DU$3:DU$500)+IF($C34="",0,SUMIF('DADOS BRUTOS'!$A$3:$A$500,$C34,'DADOS BRUTOS'!DU$3:DU$500)))</f>
        <v>0</v>
      </c>
      <c r="GV34" s="133" t="n">
        <f aca="false">IF(OR(GV$4="",$B34=""),0,SUMIF('DADOS BRUTOS'!$A$3:$A$500,$B34,'DADOS BRUTOS'!DV$3:DV$500)+IF($C34="",0,SUMIF('DADOS BRUTOS'!$A$3:$A$500,$C34,'DADOS BRUTOS'!DV$3:DV$500)))</f>
        <v>0</v>
      </c>
      <c r="GW34" s="133" t="n">
        <f aca="false">IF(OR(GW$4="",$B34=""),0,SUMIF('DADOS BRUTOS'!$A$3:$A$500,$B34,'DADOS BRUTOS'!DW$3:DW$500)+IF($C34="",0,SUMIF('DADOS BRUTOS'!$A$3:$A$500,$C34,'DADOS BRUTOS'!DW$3:DW$500)))</f>
        <v>0</v>
      </c>
      <c r="GX34" s="133" t="n">
        <f aca="false">IF(OR(GX$4="",$B34=""),0,SUMIF('DADOS BRUTOS'!$A$3:$A$500,$B34,'DADOS BRUTOS'!DX$3:DX$500)+IF($C34="",0,SUMIF('DADOS BRUTOS'!$A$3:$A$500,$C34,'DADOS BRUTOS'!DX$3:DX$500)))</f>
        <v>0</v>
      </c>
      <c r="GY34" s="133" t="n">
        <f aca="false">IF(OR(GY$4="",$B34=""),0,SUMIF('DADOS BRUTOS'!$A$3:$A$500,$B34,'DADOS BRUTOS'!DY$3:DY$500)+IF($C34="",0,SUMIF('DADOS BRUTOS'!$A$3:$A$500,$C34,'DADOS BRUTOS'!DY$3:DY$500)))</f>
        <v>0</v>
      </c>
      <c r="GZ34" s="133" t="n">
        <f aca="false">IF(OR(GZ$4="",$B34=""),0,SUMIF('DADOS BRUTOS'!$A$3:$A$500,$B34,'DADOS BRUTOS'!DZ$3:DZ$500)+IF($C34="",0,SUMIF('DADOS BRUTOS'!$A$3:$A$500,$C34,'DADOS BRUTOS'!DZ$3:DZ$500)))</f>
        <v>0</v>
      </c>
      <c r="HA34" s="133" t="n">
        <f aca="false">IF(OR(HA$4="",$B34=""),0,SUMIF('DADOS BRUTOS'!$A$3:$A$500,$B34,'DADOS BRUTOS'!EA$3:EA$500)+IF($C34="",0,SUMIF('DADOS BRUTOS'!$A$3:$A$500,$C34,'DADOS BRUTOS'!EA$3:EA$500)))</f>
        <v>0</v>
      </c>
      <c r="HB34" s="133" t="n">
        <f aca="false">IF(OR(HB$4="",$B34=""),0,SUMIF('DADOS BRUTOS'!$A$3:$A$500,$B34,'DADOS BRUTOS'!EB$3:EB$500)+IF($C34="",0,SUMIF('DADOS BRUTOS'!$A$3:$A$500,$C34,'DADOS BRUTOS'!EB$3:EB$500)))</f>
        <v>0</v>
      </c>
      <c r="HC34" s="133" t="n">
        <f aca="false">IF(OR(HC$4="",$B34=""),0,SUMIF('DADOS BRUTOS'!$A$3:$A$500,$B34,'DADOS BRUTOS'!EC$3:EC$500)+IF($C34="",0,SUMIF('DADOS BRUTOS'!$A$3:$A$500,$C34,'DADOS BRUTOS'!EC$3:EC$500)))</f>
        <v>0</v>
      </c>
      <c r="HD34" s="133" t="n">
        <f aca="false">IF(OR(HD$4="",$B34=""),0,SUMIF('DADOS BRUTOS'!$A$3:$A$500,$B34,'DADOS BRUTOS'!ED$3:ED$500)+IF($C34="",0,SUMIF('DADOS BRUTOS'!$A$3:$A$500,$C34,'DADOS BRUTOS'!ED$3:ED$500)))</f>
        <v>0</v>
      </c>
      <c r="HE34" s="133" t="n">
        <f aca="false">IF(OR(HE$4="",$B34=""),0,SUMIF('DADOS BRUTOS'!$A$3:$A$500,$B34,'DADOS BRUTOS'!EE$3:EE$500)+IF($C34="",0,SUMIF('DADOS BRUTOS'!$A$3:$A$500,$C34,'DADOS BRUTOS'!EE$3:EE$500)))</f>
        <v>0</v>
      </c>
      <c r="HF34" s="133" t="n">
        <f aca="false">IF(OR(HF$4="",$B34=""),0,SUMIF('DADOS BRUTOS'!$A$3:$A$500,$B34,'DADOS BRUTOS'!EF$3:EF$500)+IF($C34="",0,SUMIF('DADOS BRUTOS'!$A$3:$A$500,$C34,'DADOS BRUTOS'!EF$3:EF$500)))</f>
        <v>0</v>
      </c>
      <c r="HG34" s="133" t="n">
        <f aca="false">IF(OR(HG$4="",$B34=""),0,SUMIF('DADOS BRUTOS'!$A$3:$A$500,$B34,'DADOS BRUTOS'!EG$3:EG$500)+IF($C34="",0,SUMIF('DADOS BRUTOS'!$A$3:$A$500,$C34,'DADOS BRUTOS'!EG$3:EG$500)))</f>
        <v>0</v>
      </c>
      <c r="HH34" s="133" t="n">
        <f aca="false">IF(OR(HH$4="",$B34=""),0,SUMIF('DADOS BRUTOS'!$A$3:$A$500,$B34,'DADOS BRUTOS'!EH$3:EH$500)+IF($C34="",0,SUMIF('DADOS BRUTOS'!$A$3:$A$500,$C34,'DADOS BRUTOS'!EH$3:EH$500)))</f>
        <v>0</v>
      </c>
      <c r="HI34" s="133" t="n">
        <f aca="false">IF(OR(HI$4="",$B34=""),0,SUMIF('DADOS BRUTOS'!$A$3:$A$500,$B34,'DADOS BRUTOS'!EI$3:EI$500)+IF($C34="",0,SUMIF('DADOS BRUTOS'!$A$3:$A$500,$C34,'DADOS BRUTOS'!EI$3:EI$500)))</f>
        <v>0</v>
      </c>
      <c r="HJ34" s="133" t="n">
        <f aca="false">IF(OR(HJ$4="",$B34=""),0,SUMIF('DADOS BRUTOS'!$A$3:$A$500,$B34,'DADOS BRUTOS'!EJ$3:EJ$500)+IF($C34="",0,SUMIF('DADOS BRUTOS'!$A$3:$A$500,$C34,'DADOS BRUTOS'!EJ$3:EJ$500)))</f>
        <v>0</v>
      </c>
      <c r="HK34" s="133" t="n">
        <f aca="false">IF(OR(HK$4="",$B34=""),0,SUMIF('DADOS BRUTOS'!$A$3:$A$500,$B34,'DADOS BRUTOS'!EK$3:EK$500)+IF($C34="",0,SUMIF('DADOS BRUTOS'!$A$3:$A$500,$C34,'DADOS BRUTOS'!EK$3:EK$500)))</f>
        <v>0</v>
      </c>
      <c r="HL34" s="133" t="n">
        <f aca="false">IF(OR(HL$4="",$B34=""),0,SUMIF('DADOS BRUTOS'!$A$3:$A$500,$B34,'DADOS BRUTOS'!EL$3:EL$500)+IF($C34="",0,SUMIF('DADOS BRUTOS'!$A$3:$A$500,$C34,'DADOS BRUTOS'!EL$3:EL$500)))</f>
        <v>0</v>
      </c>
      <c r="HM34" s="133" t="n">
        <f aca="false">IF(OR(HM$4="",$B34=""),0,SUMIF('DADOS BRUTOS'!$A$3:$A$500,$B34,'DADOS BRUTOS'!EM$3:EM$500)+IF($C34="",0,SUMIF('DADOS BRUTOS'!$A$3:$A$500,$C34,'DADOS BRUTOS'!EM$3:EM$500)))</f>
        <v>0</v>
      </c>
      <c r="HN34" s="133" t="n">
        <f aca="false">IF(OR(HN$4="",$B34=""),0,SUMIF('DADOS BRUTOS'!$A$3:$A$500,$B34,'DADOS BRUTOS'!EN$3:EN$500)+IF($C34="",0,SUMIF('DADOS BRUTOS'!$A$3:$A$500,$C34,'DADOS BRUTOS'!EN$3:EN$500)))</f>
        <v>0</v>
      </c>
      <c r="HO34" s="133" t="n">
        <f aca="false">IF(OR(HO$4="",$B34=""),0,SUMIF('DADOS BRUTOS'!$A$3:$A$500,$B34,'DADOS BRUTOS'!EO$3:EO$500)+IF($C34="",0,SUMIF('DADOS BRUTOS'!$A$3:$A$500,$C34,'DADOS BRUTOS'!EO$3:EO$500)))</f>
        <v>0</v>
      </c>
      <c r="HP34" s="133" t="n">
        <f aca="false">IF(OR(HP$4="",$B34=""),0,SUMIF('DADOS BRUTOS'!$A$3:$A$500,$B34,'DADOS BRUTOS'!EP$3:EP$500)+IF($C34="",0,SUMIF('DADOS BRUTOS'!$A$3:$A$500,$C34,'DADOS BRUTOS'!EP$3:EP$500)))</f>
        <v>0</v>
      </c>
      <c r="HQ34" s="133" t="n">
        <f aca="false">IF(OR(HQ$4="",$B34=""),0,SUMIF('DADOS BRUTOS'!$A$3:$A$500,$B34,'DADOS BRUTOS'!EQ$3:EQ$500)+IF($C34="",0,SUMIF('DADOS BRUTOS'!$A$3:$A$500,$C34,'DADOS BRUTOS'!EQ$3:EQ$500)))</f>
        <v>0</v>
      </c>
      <c r="HR34" s="133" t="n">
        <f aca="false">IF(OR(HR$4="",$B34=""),0,SUMIF('DADOS BRUTOS'!$A$3:$A$500,$B34,'DADOS BRUTOS'!ER$3:ER$500)+IF($C34="",0,SUMIF('DADOS BRUTOS'!$A$3:$A$500,$C34,'DADOS BRUTOS'!ER$3:ER$500)))</f>
        <v>0</v>
      </c>
      <c r="HS34" s="133" t="n">
        <f aca="false">IF(OR(HS$4="",$B34=""),0,SUMIF('DADOS BRUTOS'!$A$3:$A$500,$B34,'DADOS BRUTOS'!ES$3:ES$500)+IF($C34="",0,SUMIF('DADOS BRUTOS'!$A$3:$A$500,$C34,'DADOS BRUTOS'!ES$3:ES$500)))</f>
        <v>0</v>
      </c>
      <c r="HT34" s="133" t="n">
        <f aca="false">IF(OR(HT$4="",$B34=""),0,SUMIF('DADOS BRUTOS'!$A$3:$A$500,$B34,'DADOS BRUTOS'!ET$3:ET$500)+IF($C34="",0,SUMIF('DADOS BRUTOS'!$A$3:$A$500,$C34,'DADOS BRUTOS'!ET$3:ET$500)))</f>
        <v>0</v>
      </c>
      <c r="HU34" s="133" t="n">
        <f aca="false">IF(OR(HU$4="",$B34=""),0,SUMIF('DADOS BRUTOS'!$A$3:$A$500,$B34,'DADOS BRUTOS'!EU$3:EU$500)+IF($C34="",0,SUMIF('DADOS BRUTOS'!$A$3:$A$500,$C34,'DADOS BRUTOS'!EU$3:EU$500)))</f>
        <v>0</v>
      </c>
      <c r="HV34" s="133" t="n">
        <f aca="false">IF(OR(HV$4="",$B34=""),0,SUMIF('DADOS BRUTOS'!$A$3:$A$500,$B34,'DADOS BRUTOS'!EV$3:EV$500)+IF($C34="",0,SUMIF('DADOS BRUTOS'!$A$3:$A$500,$C34,'DADOS BRUTOS'!EV$3:EV$500)))</f>
        <v>0</v>
      </c>
      <c r="HW34" s="133" t="n">
        <f aca="false">IF(OR(HW$4="",$B34=""),0,SUMIF('DADOS BRUTOS'!$A$3:$A$500,$B34,'DADOS BRUTOS'!EW$3:EW$500)+IF($C34="",0,SUMIF('DADOS BRUTOS'!$A$3:$A$500,$C34,'DADOS BRUTOS'!EW$3:EW$500)))</f>
        <v>0</v>
      </c>
      <c r="HX34" s="133" t="n">
        <f aca="false">IF(OR(HX$4="",$B34=""),0,SUMIF('DADOS BRUTOS'!$A$3:$A$500,$B34,'DADOS BRUTOS'!EX$3:EX$500)+IF($C34="",0,SUMIF('DADOS BRUTOS'!$A$3:$A$500,$C34,'DADOS BRUTOS'!EX$3:EX$500)))</f>
        <v>0</v>
      </c>
      <c r="HY34" s="133" t="n">
        <f aca="false">IF(OR(HY$4="",$B34=""),0,SUMIF('DADOS BRUTOS'!$A$3:$A$500,$B34,'DADOS BRUTOS'!EY$3:EY$500)+IF($C34="",0,SUMIF('DADOS BRUTOS'!$A$3:$A$500,$C34,'DADOS BRUTOS'!EY$3:EY$500)))</f>
        <v>0</v>
      </c>
      <c r="HZ34" s="133" t="n">
        <f aca="false">IF(OR(HZ$4="",$B34=""),0,SUMIF('DADOS BRUTOS'!$A$3:$A$500,$B34,'DADOS BRUTOS'!EZ$3:EZ$500)+IF($C34="",0,SUMIF('DADOS BRUTOS'!$A$3:$A$500,$C34,'DADOS BRUTOS'!EZ$3:EZ$500)))</f>
        <v>0</v>
      </c>
      <c r="IA34" s="133" t="n">
        <f aca="false">IF(OR(IA$4="",$B34=""),0,SUMIF('DADOS BRUTOS'!$A$3:$A$500,$B34,'DADOS BRUTOS'!FA$3:FA$500)+IF($C34="",0,SUMIF('DADOS BRUTOS'!$A$3:$A$500,$C34,'DADOS BRUTOS'!FA$3:FA$500)))</f>
        <v>0</v>
      </c>
      <c r="IB34" s="133" t="n">
        <f aca="false">IF(OR(IB$4="",$B34=""),0,SUMIF('DADOS BRUTOS'!$A$3:$A$500,$B34,'DADOS BRUTOS'!FB$3:FB$500)+IF($C34="",0,SUMIF('DADOS BRUTOS'!$A$3:$A$500,$C34,'DADOS BRUTOS'!FB$3:FB$500)))</f>
        <v>0</v>
      </c>
      <c r="IC34" s="133" t="n">
        <f aca="false">IF(OR(IC$4="",$B34=""),0,SUMIF('DADOS BRUTOS'!$A$3:$A$500,$B34,'DADOS BRUTOS'!FC$3:FC$500)+IF($C34="",0,SUMIF('DADOS BRUTOS'!$A$3:$A$500,$C34,'DADOS BRUTOS'!FC$3:FC$500)))</f>
        <v>0</v>
      </c>
      <c r="ID34" s="133" t="n">
        <f aca="false">IF(OR(ID$4="",$B34=""),0,SUMIF('DADOS BRUTOS'!$A$3:$A$500,$B34,'DADOS BRUTOS'!FD$3:FD$500)+IF($C34="",0,SUMIF('DADOS BRUTOS'!$A$3:$A$500,$C34,'DADOS BRUTOS'!FD$3:FD$500)))</f>
        <v>0</v>
      </c>
      <c r="IE34" s="133" t="n">
        <f aca="false">IF(OR(IE$4="",$B34=""),0,SUMIF('DADOS BRUTOS'!$A$3:$A$500,$B34,'DADOS BRUTOS'!FE$3:FE$500)+IF($C34="",0,SUMIF('DADOS BRUTOS'!$A$3:$A$500,$C34,'DADOS BRUTOS'!FE$3:FE$500)))</f>
        <v>0</v>
      </c>
      <c r="IF34" s="133" t="n">
        <f aca="false">IF(OR(IF$4="",$B34=""),0,SUMIF('DADOS BRUTOS'!$A$3:$A$500,$B34,'DADOS BRUTOS'!FF$3:FF$500)+IF($C34="",0,SUMIF('DADOS BRUTOS'!$A$3:$A$500,$C34,'DADOS BRUTOS'!FF$3:FF$500)))</f>
        <v>0</v>
      </c>
      <c r="IG34" s="133" t="n">
        <f aca="false">IF(OR(IG$4="",$B34=""),0,SUMIF('DADOS BRUTOS'!$A$3:$A$500,$B34,'DADOS BRUTOS'!FG$3:FG$500)+IF($C34="",0,SUMIF('DADOS BRUTOS'!$A$3:$A$500,$C34,'DADOS BRUTOS'!FG$3:FG$500)))</f>
        <v>0</v>
      </c>
      <c r="IH34" s="133" t="n">
        <f aca="false">IF(OR(IH$4="",$B34=""),0,SUMIF('DADOS BRUTOS'!$A$3:$A$500,$B34,'DADOS BRUTOS'!FH$3:FH$500)+IF($C34="",0,SUMIF('DADOS BRUTOS'!$A$3:$A$500,$C34,'DADOS BRUTOS'!FH$3:FH$500)))</f>
        <v>0</v>
      </c>
      <c r="II34" s="133" t="n">
        <f aca="false">IF(OR(II$4="",$B34=""),0,SUMIF('DADOS BRUTOS'!$A$3:$A$500,$B34,'DADOS BRUTOS'!FI$3:FI$500)+IF($C34="",0,SUMIF('DADOS BRUTOS'!$A$3:$A$500,$C34,'DADOS BRUTOS'!FI$3:FI$500)))</f>
        <v>0</v>
      </c>
      <c r="IJ34" s="133" t="n">
        <f aca="false">IF(OR(IJ$4="",$B34=""),0,SUMIF('DADOS BRUTOS'!$A$3:$A$500,$B34,'DADOS BRUTOS'!FJ$3:FJ$500)+IF($C34="",0,SUMIF('DADOS BRUTOS'!$A$3:$A$500,$C34,'DADOS BRUTOS'!FJ$3:FJ$500)))</f>
        <v>0</v>
      </c>
      <c r="IK34" s="133" t="n">
        <f aca="false">IF(OR(IK$4="",$B34=""),0,SUMIF('DADOS BRUTOS'!$A$3:$A$500,$B34,'DADOS BRUTOS'!FK$3:FK$500)+IF($C34="",0,SUMIF('DADOS BRUTOS'!$A$3:$A$500,$C34,'DADOS BRUTOS'!FK$3:FK$500)))</f>
        <v>0</v>
      </c>
      <c r="IL34" s="133" t="n">
        <f aca="false">IF(OR(IL$4="",$B34=""),0,SUMIF('DADOS BRUTOS'!$A$3:$A$500,$B34,'DADOS BRUTOS'!FL$3:FL$500)+IF($C34="",0,SUMIF('DADOS BRUTOS'!$A$3:$A$500,$C34,'DADOS BRUTOS'!FL$3:FL$500)))</f>
        <v>0</v>
      </c>
      <c r="IM34" s="133" t="n">
        <f aca="false">IF(OR(IM$4="",$B34=""),0,SUMIF('DADOS BRUTOS'!$A$3:$A$500,$B34,'DADOS BRUTOS'!FM$3:FM$500)+IF($C34="",0,SUMIF('DADOS BRUTOS'!$A$3:$A$500,$C34,'DADOS BRUTOS'!FM$3:FM$500)))</f>
        <v>0</v>
      </c>
      <c r="IN34" s="133" t="n">
        <f aca="false">IF(OR(IN$4="",$B34=""),0,SUMIF('DADOS BRUTOS'!$A$3:$A$500,$B34,'DADOS BRUTOS'!FN$3:FN$500)+IF($C34="",0,SUMIF('DADOS BRUTOS'!$A$3:$A$500,$C34,'DADOS BRUTOS'!FN$3:FN$500)))</f>
        <v>0</v>
      </c>
      <c r="IO34" s="133" t="n">
        <f aca="false">IF(OR(IO$4="",$B34=""),0,SUMIF('DADOS BRUTOS'!$A$3:$A$500,$B34,'DADOS BRUTOS'!FO$3:FO$500)+IF($C34="",0,SUMIF('DADOS BRUTOS'!$A$3:$A$500,$C34,'DADOS BRUTOS'!FO$3:FO$500)))</f>
        <v>0</v>
      </c>
      <c r="IP34" s="133" t="n">
        <f aca="false">IF(OR(IP$4="",$B34=""),0,SUMIF('DADOS BRUTOS'!$A$3:$A$500,$B34,'DADOS BRUTOS'!FP$3:FP$500)+IF($C34="",0,SUMIF('DADOS BRUTOS'!$A$3:$A$500,$C34,'DADOS BRUTOS'!FP$3:FP$500)))</f>
        <v>0</v>
      </c>
      <c r="IQ34" s="133" t="n">
        <f aca="false">IF(OR(IQ$4="",$B34=""),0,SUMIF('DADOS BRUTOS'!$A$3:$A$500,$B34,'DADOS BRUTOS'!FQ$3:FQ$500)+IF($C34="",0,SUMIF('DADOS BRUTOS'!$A$3:$A$500,$C34,'DADOS BRUTOS'!FQ$3:FQ$500)))</f>
        <v>0</v>
      </c>
      <c r="IR34" s="133" t="n">
        <f aca="false">IF(OR(IR$4="",$B34=""),0,SUMIF('DADOS BRUTOS'!$A$3:$A$500,$B34,'DADOS BRUTOS'!FR$3:FR$500)+IF($C34="",0,SUMIF('DADOS BRUTOS'!$A$3:$A$500,$C34,'DADOS BRUTOS'!FR$3:FR$500)))</f>
        <v>0</v>
      </c>
      <c r="IS34" s="133" t="n">
        <f aca="false">IF(OR(IS$4="",$B34=""),0,SUMIF('DADOS BRUTOS'!$A$3:$A$500,$B34,'DADOS BRUTOS'!FS$3:FS$500)+IF($C34="",0,SUMIF('DADOS BRUTOS'!$A$3:$A$500,$C34,'DADOS BRUTOS'!FS$3:FS$500)))</f>
        <v>0</v>
      </c>
      <c r="IT34" s="133" t="n">
        <f aca="false">IF(OR(IT$4="",$B34=""),0,SUMIF('DADOS BRUTOS'!$A$3:$A$500,$B34,'DADOS BRUTOS'!FT$3:FT$500)+IF($C34="",0,SUMIF('DADOS BRUTOS'!$A$3:$A$500,$C34,'DADOS BRUTOS'!FT$3:FT$500)))</f>
        <v>0</v>
      </c>
      <c r="IU34" s="133" t="n">
        <f aca="false">IF(OR(IU$4="",$B34=""),0,SUMIF('DADOS BRUTOS'!$A$3:$A$500,$B34,'DADOS BRUTOS'!FU$3:FU$500)+IF($C34="",0,SUMIF('DADOS BRUTOS'!$A$3:$A$500,$C34,'DADOS BRUTOS'!FU$3:FU$500)))</f>
        <v>0</v>
      </c>
      <c r="IV34" s="133" t="n">
        <f aca="false">IF(OR(IV$4="",$B34=""),0,SUMIF('DADOS BRUTOS'!$A$3:$A$500,$B34,'DADOS BRUTOS'!FV$3:FV$500)+IF($C34="",0,SUMIF('DADOS BRUTOS'!$A$3:$A$500,$C34,'DADOS BRUTOS'!FV$3:FV$500)))</f>
        <v>0</v>
      </c>
      <c r="IW34" s="133" t="n">
        <f aca="false">IF(OR(IW$4="",$B34=""),0,SUMIF('DADOS BRUTOS'!$A$3:$A$500,$B34,'DADOS BRUTOS'!FW$3:FW$500)+IF($C34="",0,SUMIF('DADOS BRUTOS'!$A$3:$A$500,$C34,'DADOS BRUTOS'!FW$3:FW$500)))</f>
        <v>0</v>
      </c>
      <c r="IX34" s="133" t="n">
        <f aca="false">IF(OR(IX$4="",$B34=""),0,SUMIF('DADOS BRUTOS'!$A$3:$A$500,$B34,'DADOS BRUTOS'!FX$3:FX$500)+IF($C34="",0,SUMIF('DADOS BRUTOS'!$A$3:$A$500,$C34,'DADOS BRUTOS'!FX$3:FX$500)))</f>
        <v>0</v>
      </c>
      <c r="IY34" s="133" t="n">
        <f aca="false">IF(OR(IY$4="",$B34=""),0,SUMIF('DADOS BRUTOS'!$A$3:$A$500,$B34,'DADOS BRUTOS'!FY$3:FY$500)+IF($C34="",0,SUMIF('DADOS BRUTOS'!$A$3:$A$500,$C34,'DADOS BRUTOS'!FY$3:FY$500)))</f>
        <v>0</v>
      </c>
      <c r="IZ34" s="133" t="n">
        <f aca="false">IF(OR(IZ$4="",$B34=""),0,SUMIF('DADOS BRUTOS'!$A$3:$A$500,$B34,'DADOS BRUTOS'!FZ$3:FZ$500)+IF($C34="",0,SUMIF('DADOS BRUTOS'!$A$3:$A$500,$C34,'DADOS BRUTOS'!FZ$3:FZ$500)))</f>
        <v>0</v>
      </c>
      <c r="JA34" s="133" t="n">
        <f aca="false">IF(OR(JA$4="",$B34=""),0,SUMIF('DADOS BRUTOS'!$A$3:$A$500,$B34,'DADOS BRUTOS'!GA$3:GA$500)+IF($C34="",0,SUMIF('DADOS BRUTOS'!$A$3:$A$500,$C34,'DADOS BRUTOS'!GA$3:GA$500)))</f>
        <v>0</v>
      </c>
      <c r="JB34" s="133" t="n">
        <f aca="false">IF(OR(JB$4="",$B34=""),0,SUMIF('DADOS BRUTOS'!$A$3:$A$500,$B34,'DADOS BRUTOS'!GB$3:GB$500)+IF($C34="",0,SUMIF('DADOS BRUTOS'!$A$3:$A$500,$C34,'DADOS BRUTOS'!GB$3:GB$500)))</f>
        <v>0</v>
      </c>
      <c r="JC34" s="133" t="n">
        <f aca="false">IF(OR(JC$4="",$B34=""),0,SUMIF('DADOS BRUTOS'!$A$3:$A$500,$B34,'DADOS BRUTOS'!GC$3:GC$500)+IF($C34="",0,SUMIF('DADOS BRUTOS'!$A$3:$A$500,$C34,'DADOS BRUTOS'!GC$3:GC$500)))</f>
        <v>0</v>
      </c>
      <c r="JD34" s="133" t="n">
        <f aca="false">IF(OR(JD$4="",$B34=""),0,SUMIF('DADOS BRUTOS'!$A$3:$A$500,$B34,'DADOS BRUTOS'!GD$3:GD$500)+IF($C34="",0,SUMIF('DADOS BRUTOS'!$A$3:$A$500,$C34,'DADOS BRUTOS'!GD$3:GD$500)))</f>
        <v>0</v>
      </c>
      <c r="JE34" s="133" t="n">
        <f aca="false">IF(OR(JE$4="",$B34=""),0,SUMIF('DADOS BRUTOS'!$A$3:$A$500,$B34,'DADOS BRUTOS'!GE$3:GE$500)+IF($C34="",0,SUMIF('DADOS BRUTOS'!$A$3:$A$500,$C34,'DADOS BRUTOS'!GE$3:GE$500)))</f>
        <v>0</v>
      </c>
      <c r="JF34" s="133" t="n">
        <f aca="false">IF(OR(JF$4="",$B34=""),0,SUMIF('DADOS BRUTOS'!$A$3:$A$500,$B34,'DADOS BRUTOS'!GF$3:GF$500)+IF($C34="",0,SUMIF('DADOS BRUTOS'!$A$3:$A$500,$C34,'DADOS BRUTOS'!GF$3:GF$500)))</f>
        <v>0</v>
      </c>
      <c r="JG34" s="133" t="n">
        <f aca="false">IF(OR(JG$4="",$B34=""),0,SUMIF('DADOS BRUTOS'!$A$3:$A$500,$B34,'DADOS BRUTOS'!GG$3:GG$500)+IF($C34="",0,SUMIF('DADOS BRUTOS'!$A$3:$A$500,$C34,'DADOS BRUTOS'!GG$3:GG$500)))</f>
        <v>0</v>
      </c>
      <c r="JH34" s="133" t="n">
        <f aca="false">IF(OR(JH$4="",$B34=""),0,SUMIF('DADOS BRUTOS'!$A$3:$A$500,$B34,'DADOS BRUTOS'!GH$3:GH$500)+IF($C34="",0,SUMIF('DADOS BRUTOS'!$A$3:$A$500,$C34,'DADOS BRUTOS'!GH$3:GH$500)))</f>
        <v>0</v>
      </c>
      <c r="JI34" s="133" t="n">
        <f aca="false">IF(OR(JI$4="",$B34=""),0,SUMIF('DADOS BRUTOS'!$A$3:$A$500,$B34,'DADOS BRUTOS'!GI$3:GI$500)+IF($C34="",0,SUMIF('DADOS BRUTOS'!$A$3:$A$500,$C34,'DADOS BRUTOS'!GI$3:GI$500)))</f>
        <v>0</v>
      </c>
      <c r="JJ34" s="133" t="n">
        <f aca="false">IF(OR(JJ$4="",$B34=""),0,SUMIF('DADOS BRUTOS'!$A$3:$A$500,$B34,'DADOS BRUTOS'!GJ$3:GJ$500)+IF($C34="",0,SUMIF('DADOS BRUTOS'!$A$3:$A$500,$C34,'DADOS BRUTOS'!GJ$3:GJ$500)))</f>
        <v>0</v>
      </c>
      <c r="JK34" s="133" t="n">
        <f aca="false">IF(OR(JK$4="",$B34=""),0,SUMIF('DADOS BRUTOS'!$A$3:$A$500,$B34,'DADOS BRUTOS'!GK$3:GK$500)+IF($C34="",0,SUMIF('DADOS BRUTOS'!$A$3:$A$500,$C34,'DADOS BRUTOS'!GK$3:GK$500)))</f>
        <v>0</v>
      </c>
      <c r="JL34" s="133" t="n">
        <f aca="false">IF(OR(JL$4="",$B34=""),0,SUMIF('DADOS BRUTOS'!$A$3:$A$500,$B34,'DADOS BRUTOS'!GL$3:GL$500)+IF($C34="",0,SUMIF('DADOS BRUTOS'!$A$3:$A$500,$C34,'DADOS BRUTOS'!GL$3:GL$500)))</f>
        <v>0</v>
      </c>
      <c r="JM34" s="133" t="n">
        <f aca="false">IF(OR(JM$4="",$B34=""),0,SUMIF('DADOS BRUTOS'!$A$3:$A$500,$B34,'DADOS BRUTOS'!GM$3:GM$500)+IF($C34="",0,SUMIF('DADOS BRUTOS'!$A$3:$A$500,$C34,'DADOS BRUTOS'!GM$3:GM$500)))</f>
        <v>0</v>
      </c>
      <c r="JN34" s="133" t="n">
        <f aca="false">IF(OR(JN$4="",$B34=""),0,SUMIF('DADOS BRUTOS'!$A$3:$A$500,$B34,'DADOS BRUTOS'!GN$3:GN$500)+IF($C34="",0,SUMIF('DADOS BRUTOS'!$A$3:$A$500,$C34,'DADOS BRUTOS'!GN$3:GN$500)))</f>
        <v>0</v>
      </c>
      <c r="JO34" s="133" t="n">
        <f aca="false">IF(OR(JO$4="",$B34=""),0,SUMIF('DADOS BRUTOS'!$A$3:$A$500,$B34,'DADOS BRUTOS'!GO$3:GO$500)+IF($C34="",0,SUMIF('DADOS BRUTOS'!$A$3:$A$500,$C34,'DADOS BRUTOS'!GO$3:GO$500)))</f>
        <v>0</v>
      </c>
      <c r="JP34" s="133" t="n">
        <f aca="false">IF(OR(JP$4="",$B34=""),0,SUMIF('DADOS BRUTOS'!$A$3:$A$500,$B34,'DADOS BRUTOS'!GP$3:GP$500)+IF($C34="",0,SUMIF('DADOS BRUTOS'!$A$3:$A$500,$C34,'DADOS BRUTOS'!GP$3:GP$500)))</f>
        <v>0</v>
      </c>
      <c r="JQ34" s="133" t="n">
        <f aca="false">IF(OR(JQ$4="",$B34=""),0,SUMIF('DADOS BRUTOS'!$A$3:$A$500,$B34,'DADOS BRUTOS'!GQ$3:GQ$500)+IF($C34="",0,SUMIF('DADOS BRUTOS'!$A$3:$A$500,$C34,'DADOS BRUTOS'!GQ$3:GQ$500)))</f>
        <v>0</v>
      </c>
      <c r="JR34" s="133" t="n">
        <f aca="false">IF(OR(JR$4="",$B34=""),0,SUMIF('DADOS BRUTOS'!$A$3:$A$500,$B34,'DADOS BRUTOS'!GR$3:GR$500)+IF($C34="",0,SUMIF('DADOS BRUTOS'!$A$3:$A$500,$C34,'DADOS BRUTOS'!GR$3:GR$500)))</f>
        <v>0</v>
      </c>
      <c r="JS34" s="133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PAVIMENTAÇÃO</v>
      </c>
      <c r="B35" s="55" t="s">
        <v>209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3" t="n">
        <f aca="false">IF(OR(CB$4="",$B35=""),0,SUMIF('DADOS BRUTOS'!$A$3:$A$500,$B35,'DADOS BRUTOS'!B$3:B$500)+IF($C35="",0,SUMIF('DADOS BRUTOS'!$A$3:$A$500,$C35,'DADOS BRUTOS'!B$3:B$500)))</f>
        <v>0</v>
      </c>
      <c r="CC35" s="133" t="n">
        <f aca="false">IF(OR(CC$4="",$B35=""),0,SUMIF('DADOS BRUTOS'!$A$3:$A$500,$B35,'DADOS BRUTOS'!C$3:C$500)+IF($C35="",0,SUMIF('DADOS BRUTOS'!$A$3:$A$500,$C35,'DADOS BRUTOS'!C$3:C$500)))</f>
        <v>0</v>
      </c>
      <c r="CD35" s="133" t="n">
        <f aca="false">IF(OR(CD$4="",$B35=""),0,SUMIF('DADOS BRUTOS'!$A$3:$A$500,$B35,'DADOS BRUTOS'!D$3:D$500)+IF($C35="",0,SUMIF('DADOS BRUTOS'!$A$3:$A$500,$C35,'DADOS BRUTOS'!D$3:D$500)))</f>
        <v>0</v>
      </c>
      <c r="CE35" s="133" t="n">
        <f aca="false">IF(OR(CE$4="",$B35=""),0,SUMIF('DADOS BRUTOS'!$A$3:$A$500,$B35,'DADOS BRUTOS'!E$3:E$500)+IF($C35="",0,SUMIF('DADOS BRUTOS'!$A$3:$A$500,$C35,'DADOS BRUTOS'!E$3:E$500)))</f>
        <v>0</v>
      </c>
      <c r="CF35" s="133" t="n">
        <f aca="false">IF(OR(CF$4="",$B35=""),0,SUMIF('DADOS BRUTOS'!$A$3:$A$500,$B35,'DADOS BRUTOS'!F$3:F$500)+IF($C35="",0,SUMIF('DADOS BRUTOS'!$A$3:$A$500,$C35,'DADOS BRUTOS'!F$3:F$500)))</f>
        <v>0</v>
      </c>
      <c r="CG35" s="133" t="n">
        <f aca="false">IF(OR(CG$4="",$B35=""),0,SUMIF('DADOS BRUTOS'!$A$3:$A$500,$B35,'DADOS BRUTOS'!G$3:G$500)+IF($C35="",0,SUMIF('DADOS BRUTOS'!$A$3:$A$500,$C35,'DADOS BRUTOS'!G$3:G$500)))</f>
        <v>0</v>
      </c>
      <c r="CH35" s="133" t="n">
        <f aca="false">IF(OR(CH$4="",$B35=""),0,SUMIF('DADOS BRUTOS'!$A$3:$A$500,$B35,'DADOS BRUTOS'!H$3:H$500)+IF($C35="",0,SUMIF('DADOS BRUTOS'!$A$3:$A$500,$C35,'DADOS BRUTOS'!H$3:H$500)))</f>
        <v>0</v>
      </c>
      <c r="CI35" s="133" t="n">
        <f aca="false">IF(OR(CI$4="",$B35=""),0,SUMIF('DADOS BRUTOS'!$A$3:$A$500,$B35,'DADOS BRUTOS'!I$3:I$500)+IF($C35="",0,SUMIF('DADOS BRUTOS'!$A$3:$A$500,$C35,'DADOS BRUTOS'!I$3:I$500)))</f>
        <v>0</v>
      </c>
      <c r="CJ35" s="133" t="n">
        <f aca="false">IF(OR(CJ$4="",$B35=""),0,SUMIF('DADOS BRUTOS'!$A$3:$A$500,$B35,'DADOS BRUTOS'!J$3:J$500)+IF($C35="",0,SUMIF('DADOS BRUTOS'!$A$3:$A$500,$C35,'DADOS BRUTOS'!J$3:J$500)))</f>
        <v>0</v>
      </c>
      <c r="CK35" s="133" t="n">
        <f aca="false">IF(OR(CK$4="",$B35=""),0,SUMIF('DADOS BRUTOS'!$A$3:$A$500,$B35,'DADOS BRUTOS'!K$3:K$500)+IF($C35="",0,SUMIF('DADOS BRUTOS'!$A$3:$A$500,$C35,'DADOS BRUTOS'!K$3:K$500)))</f>
        <v>0</v>
      </c>
      <c r="CL35" s="133" t="n">
        <f aca="false">IF(OR(CL$4="",$B35=""),0,SUMIF('DADOS BRUTOS'!$A$3:$A$500,$B35,'DADOS BRUTOS'!L$3:L$500)+IF($C35="",0,SUMIF('DADOS BRUTOS'!$A$3:$A$500,$C35,'DADOS BRUTOS'!L$3:L$500)))</f>
        <v>0</v>
      </c>
      <c r="CM35" s="133" t="n">
        <f aca="false">IF(OR(CM$4="",$B35=""),0,SUMIF('DADOS BRUTOS'!$A$3:$A$500,$B35,'DADOS BRUTOS'!M$3:M$500)+IF($C35="",0,SUMIF('DADOS BRUTOS'!$A$3:$A$500,$C35,'DADOS BRUTOS'!M$3:M$500)))</f>
        <v>0</v>
      </c>
      <c r="CN35" s="133" t="n">
        <f aca="false">IF(OR(CN$4="",$B35=""),0,SUMIF('DADOS BRUTOS'!$A$3:$A$500,$B35,'DADOS BRUTOS'!N$3:N$500)+IF($C35="",0,SUMIF('DADOS BRUTOS'!$A$3:$A$500,$C35,'DADOS BRUTOS'!N$3:N$500)))</f>
        <v>0</v>
      </c>
      <c r="CO35" s="133" t="n">
        <f aca="false">IF(OR(CO$4="",$B35=""),0,SUMIF('DADOS BRUTOS'!$A$3:$A$500,$B35,'DADOS BRUTOS'!O$3:O$500)+IF($C35="",0,SUMIF('DADOS BRUTOS'!$A$3:$A$500,$C35,'DADOS BRUTOS'!O$3:O$500)))</f>
        <v>0</v>
      </c>
      <c r="CP35" s="133" t="n">
        <f aca="false">IF(OR(CP$4="",$B35=""),0,SUMIF('DADOS BRUTOS'!$A$3:$A$500,$B35,'DADOS BRUTOS'!P$3:P$500)+IF($C35="",0,SUMIF('DADOS BRUTOS'!$A$3:$A$500,$C35,'DADOS BRUTOS'!P$3:P$500)))</f>
        <v>0</v>
      </c>
      <c r="CQ35" s="133" t="n">
        <f aca="false">IF(OR(CQ$4="",$B35=""),0,SUMIF('DADOS BRUTOS'!$A$3:$A$500,$B35,'DADOS BRUTOS'!Q$3:Q$500)+IF($C35="",0,SUMIF('DADOS BRUTOS'!$A$3:$A$500,$C35,'DADOS BRUTOS'!Q$3:Q$500)))</f>
        <v>0</v>
      </c>
      <c r="CR35" s="133" t="n">
        <f aca="false">IF(OR(CR$4="",$B35=""),0,SUMIF('DADOS BRUTOS'!$A$3:$A$500,$B35,'DADOS BRUTOS'!R$3:R$500)+IF($C35="",0,SUMIF('DADOS BRUTOS'!$A$3:$A$500,$C35,'DADOS BRUTOS'!R$3:R$500)))</f>
        <v>0</v>
      </c>
      <c r="CS35" s="133" t="n">
        <f aca="false">IF(OR(CS$4="",$B35=""),0,SUMIF('DADOS BRUTOS'!$A$3:$A$500,$B35,'DADOS BRUTOS'!S$3:S$500)+IF($C35="",0,SUMIF('DADOS BRUTOS'!$A$3:$A$500,$C35,'DADOS BRUTOS'!S$3:S$500)))</f>
        <v>0</v>
      </c>
      <c r="CT35" s="133" t="n">
        <f aca="false">IF(OR(CT$4="",$B35=""),0,SUMIF('DADOS BRUTOS'!$A$3:$A$500,$B35,'DADOS BRUTOS'!T$3:T$500)+IF($C35="",0,SUMIF('DADOS BRUTOS'!$A$3:$A$500,$C35,'DADOS BRUTOS'!T$3:T$500)))</f>
        <v>0</v>
      </c>
      <c r="CU35" s="133" t="n">
        <f aca="false">IF(OR(CU$4="",$B35=""),0,SUMIF('DADOS BRUTOS'!$A$3:$A$500,$B35,'DADOS BRUTOS'!U$3:U$500)+IF($C35="",0,SUMIF('DADOS BRUTOS'!$A$3:$A$500,$C35,'DADOS BRUTOS'!U$3:U$500)))</f>
        <v>0</v>
      </c>
      <c r="CV35" s="133" t="n">
        <f aca="false">IF(OR(CV$4="",$B35=""),0,SUMIF('DADOS BRUTOS'!$A$3:$A$500,$B35,'DADOS BRUTOS'!V$3:V$500)+IF($C35="",0,SUMIF('DADOS BRUTOS'!$A$3:$A$500,$C35,'DADOS BRUTOS'!V$3:V$500)))</f>
        <v>0</v>
      </c>
      <c r="CW35" s="133" t="n">
        <f aca="false">IF(OR(CW$4="",$B35=""),0,SUMIF('DADOS BRUTOS'!$A$3:$A$500,$B35,'DADOS BRUTOS'!W$3:W$500)+IF($C35="",0,SUMIF('DADOS BRUTOS'!$A$3:$A$500,$C35,'DADOS BRUTOS'!W$3:W$500)))</f>
        <v>0</v>
      </c>
      <c r="CX35" s="133" t="n">
        <f aca="false">IF(OR(CX$4="",$B35=""),0,SUMIF('DADOS BRUTOS'!$A$3:$A$500,$B35,'DADOS BRUTOS'!X$3:X$500)+IF($C35="",0,SUMIF('DADOS BRUTOS'!$A$3:$A$500,$C35,'DADOS BRUTOS'!X$3:X$500)))</f>
        <v>0</v>
      </c>
      <c r="CY35" s="133" t="n">
        <f aca="false">IF(OR(CY$4="",$B35=""),0,SUMIF('DADOS BRUTOS'!$A$3:$A$500,$B35,'DADOS BRUTOS'!Y$3:Y$500)+IF($C35="",0,SUMIF('DADOS BRUTOS'!$A$3:$A$500,$C35,'DADOS BRUTOS'!Y$3:Y$500)))</f>
        <v>0</v>
      </c>
      <c r="CZ35" s="133" t="n">
        <f aca="false">IF(OR(CZ$4="",$B35=""),0,SUMIF('DADOS BRUTOS'!$A$3:$A$500,$B35,'DADOS BRUTOS'!Z$3:Z$500)+IF($C35="",0,SUMIF('DADOS BRUTOS'!$A$3:$A$500,$C35,'DADOS BRUTOS'!Z$3:Z$500)))</f>
        <v>0</v>
      </c>
      <c r="DA35" s="133" t="n">
        <f aca="false">IF(OR(DA$4="",$B35=""),0,SUMIF('DADOS BRUTOS'!$A$3:$A$500,$B35,'DADOS BRUTOS'!AA$3:AA$500)+IF($C35="",0,SUMIF('DADOS BRUTOS'!$A$3:$A$500,$C35,'DADOS BRUTOS'!AA$3:AA$500)))</f>
        <v>0</v>
      </c>
      <c r="DB35" s="133" t="n">
        <f aca="false">IF(OR(DB$4="",$B35=""),0,SUMIF('DADOS BRUTOS'!$A$3:$A$500,$B35,'DADOS BRUTOS'!AB$3:AB$500)+IF($C35="",0,SUMIF('DADOS BRUTOS'!$A$3:$A$500,$C35,'DADOS BRUTOS'!AB$3:AB$500)))</f>
        <v>0</v>
      </c>
      <c r="DC35" s="133" t="n">
        <f aca="false">IF(OR(DC$4="",$B35=""),0,SUMIF('DADOS BRUTOS'!$A$3:$A$500,$B35,'DADOS BRUTOS'!AC$3:AC$500)+IF($C35="",0,SUMIF('DADOS BRUTOS'!$A$3:$A$500,$C35,'DADOS BRUTOS'!AC$3:AC$500)))</f>
        <v>0</v>
      </c>
      <c r="DD35" s="133" t="n">
        <f aca="false">IF(OR(DD$4="",$B35=""),0,SUMIF('DADOS BRUTOS'!$A$3:$A$500,$B35,'DADOS BRUTOS'!AD$3:AD$500)+IF($C35="",0,SUMIF('DADOS BRUTOS'!$A$3:$A$500,$C35,'DADOS BRUTOS'!AD$3:AD$500)))</f>
        <v>0</v>
      </c>
      <c r="DE35" s="133" t="n">
        <f aca="false">IF(OR(DE$4="",$B35=""),0,SUMIF('DADOS BRUTOS'!$A$3:$A$500,$B35,'DADOS BRUTOS'!AE$3:AE$500)+IF($C35="",0,SUMIF('DADOS BRUTOS'!$A$3:$A$500,$C35,'DADOS BRUTOS'!AE$3:AE$500)))</f>
        <v>0</v>
      </c>
      <c r="DF35" s="133" t="n">
        <f aca="false">IF(OR(DF$4="",$B35=""),0,SUMIF('DADOS BRUTOS'!$A$3:$A$500,$B35,'DADOS BRUTOS'!AF$3:AF$500)+IF($C35="",0,SUMIF('DADOS BRUTOS'!$A$3:$A$500,$C35,'DADOS BRUTOS'!AF$3:AF$500)))</f>
        <v>0</v>
      </c>
      <c r="DG35" s="133" t="n">
        <f aca="false">IF(OR(DG$4="",$B35=""),0,SUMIF('DADOS BRUTOS'!$A$3:$A$500,$B35,'DADOS BRUTOS'!AG$3:AG$500)+IF($C35="",0,SUMIF('DADOS BRUTOS'!$A$3:$A$500,$C35,'DADOS BRUTOS'!AG$3:AG$500)))</f>
        <v>0</v>
      </c>
      <c r="DH35" s="133" t="n">
        <f aca="false">IF(OR(DH$4="",$B35=""),0,SUMIF('DADOS BRUTOS'!$A$3:$A$500,$B35,'DADOS BRUTOS'!AH$3:AH$500)+IF($C35="",0,SUMIF('DADOS BRUTOS'!$A$3:$A$500,$C35,'DADOS BRUTOS'!AH$3:AH$500)))</f>
        <v>0</v>
      </c>
      <c r="DI35" s="133" t="n">
        <f aca="false">IF(OR(DI$4="",$B35=""),0,SUMIF('DADOS BRUTOS'!$A$3:$A$500,$B35,'DADOS BRUTOS'!AI$3:AI$500)+IF($C35="",0,SUMIF('DADOS BRUTOS'!$A$3:$A$500,$C35,'DADOS BRUTOS'!AI$3:AI$500)))</f>
        <v>0</v>
      </c>
      <c r="DJ35" s="133" t="n">
        <f aca="false">IF(OR(DJ$4="",$B35=""),0,SUMIF('DADOS BRUTOS'!$A$3:$A$500,$B35,'DADOS BRUTOS'!AJ$3:AJ$500)+IF($C35="",0,SUMIF('DADOS BRUTOS'!$A$3:$A$500,$C35,'DADOS BRUTOS'!AJ$3:AJ$500)))</f>
        <v>0</v>
      </c>
      <c r="DK35" s="133" t="n">
        <f aca="false">IF(OR(DK$4="",$B35=""),0,SUMIF('DADOS BRUTOS'!$A$3:$A$500,$B35,'DADOS BRUTOS'!AK$3:AK$500)+IF($C35="",0,SUMIF('DADOS BRUTOS'!$A$3:$A$500,$C35,'DADOS BRUTOS'!AK$3:AK$500)))</f>
        <v>0</v>
      </c>
      <c r="DL35" s="133" t="n">
        <f aca="false">IF(OR(DL$4="",$B35=""),0,SUMIF('DADOS BRUTOS'!$A$3:$A$500,$B35,'DADOS BRUTOS'!AL$3:AL$500)+IF($C35="",0,SUMIF('DADOS BRUTOS'!$A$3:$A$500,$C35,'DADOS BRUTOS'!AL$3:AL$500)))</f>
        <v>0</v>
      </c>
      <c r="DM35" s="133" t="n">
        <f aca="false">IF(OR(DM$4="",$B35=""),0,SUMIF('DADOS BRUTOS'!$A$3:$A$500,$B35,'DADOS BRUTOS'!AM$3:AM$500)+IF($C35="",0,SUMIF('DADOS BRUTOS'!$A$3:$A$500,$C35,'DADOS BRUTOS'!AM$3:AM$500)))</f>
        <v>0</v>
      </c>
      <c r="DN35" s="133" t="n">
        <f aca="false">IF(OR(DN$4="",$B35=""),0,SUMIF('DADOS BRUTOS'!$A$3:$A$500,$B35,'DADOS BRUTOS'!AN$3:AN$500)+IF($C35="",0,SUMIF('DADOS BRUTOS'!$A$3:$A$500,$C35,'DADOS BRUTOS'!AN$3:AN$500)))</f>
        <v>0</v>
      </c>
      <c r="DO35" s="133" t="n">
        <f aca="false">IF(OR(DO$4="",$B35=""),0,SUMIF('DADOS BRUTOS'!$A$3:$A$500,$B35,'DADOS BRUTOS'!AO$3:AO$500)+IF($C35="",0,SUMIF('DADOS BRUTOS'!$A$3:$A$500,$C35,'DADOS BRUTOS'!AO$3:AO$500)))</f>
        <v>0</v>
      </c>
      <c r="DP35" s="133" t="n">
        <f aca="false">IF(OR(DP$4="",$B35=""),0,SUMIF('DADOS BRUTOS'!$A$3:$A$500,$B35,'DADOS BRUTOS'!AP$3:AP$500)+IF($C35="",0,SUMIF('DADOS BRUTOS'!$A$3:$A$500,$C35,'DADOS BRUTOS'!AP$3:AP$500)))</f>
        <v>0</v>
      </c>
      <c r="DQ35" s="133" t="n">
        <f aca="false">IF(OR(DQ$4="",$B35=""),0,SUMIF('DADOS BRUTOS'!$A$3:$A$500,$B35,'DADOS BRUTOS'!AQ$3:AQ$500)+IF($C35="",0,SUMIF('DADOS BRUTOS'!$A$3:$A$500,$C35,'DADOS BRUTOS'!AQ$3:AQ$500)))</f>
        <v>0</v>
      </c>
      <c r="DR35" s="133" t="n">
        <f aca="false">IF(OR(DR$4="",$B35=""),0,SUMIF('DADOS BRUTOS'!$A$3:$A$500,$B35,'DADOS BRUTOS'!AR$3:AR$500)+IF($C35="",0,SUMIF('DADOS BRUTOS'!$A$3:$A$500,$C35,'DADOS BRUTOS'!AR$3:AR$500)))</f>
        <v>0</v>
      </c>
      <c r="DS35" s="133" t="n">
        <f aca="false">IF(OR(DS$4="",$B35=""),0,SUMIF('DADOS BRUTOS'!$A$3:$A$500,$B35,'DADOS BRUTOS'!AS$3:AS$500)+IF($C35="",0,SUMIF('DADOS BRUTOS'!$A$3:$A$500,$C35,'DADOS BRUTOS'!AS$3:AS$500)))</f>
        <v>0</v>
      </c>
      <c r="DT35" s="133" t="n">
        <f aca="false">IF(OR(DT$4="",$B35=""),0,SUMIF('DADOS BRUTOS'!$A$3:$A$500,$B35,'DADOS BRUTOS'!AT$3:AT$500)+IF($C35="",0,SUMIF('DADOS BRUTOS'!$A$3:$A$500,$C35,'DADOS BRUTOS'!AT$3:AT$500)))</f>
        <v>0</v>
      </c>
      <c r="DU35" s="133" t="n">
        <f aca="false">IF(OR(DU$4="",$B35=""),0,SUMIF('DADOS BRUTOS'!$A$3:$A$500,$B35,'DADOS BRUTOS'!AU$3:AU$500)+IF($C35="",0,SUMIF('DADOS BRUTOS'!$A$3:$A$500,$C35,'DADOS BRUTOS'!AU$3:AU$500)))</f>
        <v>0</v>
      </c>
      <c r="DV35" s="133" t="n">
        <f aca="false">IF(OR(DV$4="",$B35=""),0,SUMIF('DADOS BRUTOS'!$A$3:$A$500,$B35,'DADOS BRUTOS'!AV$3:AV$500)+IF($C35="",0,SUMIF('DADOS BRUTOS'!$A$3:$A$500,$C35,'DADOS BRUTOS'!AV$3:AV$500)))</f>
        <v>0</v>
      </c>
      <c r="DW35" s="133" t="n">
        <f aca="false">IF(OR(DW$4="",$B35=""),0,SUMIF('DADOS BRUTOS'!$A$3:$A$500,$B35,'DADOS BRUTOS'!AW$3:AW$500)+IF($C35="",0,SUMIF('DADOS BRUTOS'!$A$3:$A$500,$C35,'DADOS BRUTOS'!AW$3:AW$500)))</f>
        <v>0</v>
      </c>
      <c r="DX35" s="133" t="n">
        <f aca="false">IF(OR(DX$4="",$B35=""),0,SUMIF('DADOS BRUTOS'!$A$3:$A$500,$B35,'DADOS BRUTOS'!AX$3:AX$500)+IF($C35="",0,SUMIF('DADOS BRUTOS'!$A$3:$A$500,$C35,'DADOS BRUTOS'!AX$3:AX$500)))</f>
        <v>0</v>
      </c>
      <c r="DY35" s="133" t="n">
        <f aca="false">IF(OR(DY$4="",$B35=""),0,SUMIF('DADOS BRUTOS'!$A$3:$A$500,$B35,'DADOS BRUTOS'!AY$3:AY$500)+IF($C35="",0,SUMIF('DADOS BRUTOS'!$A$3:$A$500,$C35,'DADOS BRUTOS'!AY$3:AY$500)))</f>
        <v>0</v>
      </c>
      <c r="DZ35" s="133" t="n">
        <f aca="false">IF(OR(DZ$4="",$B35=""),0,SUMIF('DADOS BRUTOS'!$A$3:$A$500,$B35,'DADOS BRUTOS'!AZ$3:AZ$500)+IF($C35="",0,SUMIF('DADOS BRUTOS'!$A$3:$A$500,$C35,'DADOS BRUTOS'!AZ$3:AZ$500)))</f>
        <v>0</v>
      </c>
      <c r="EA35" s="133" t="n">
        <f aca="false">IF(OR(EA$4="",$B35=""),0,SUMIF('DADOS BRUTOS'!$A$3:$A$500,$B35,'DADOS BRUTOS'!BA$3:BA$500)+IF($C35="",0,SUMIF('DADOS BRUTOS'!$A$3:$A$500,$C35,'DADOS BRUTOS'!BA$3:BA$500)))</f>
        <v>0</v>
      </c>
      <c r="EB35" s="133" t="n">
        <f aca="false">IF(OR(EB$4="",$B35=""),0,SUMIF('DADOS BRUTOS'!$A$3:$A$500,$B35,'DADOS BRUTOS'!BB$3:BB$500)+IF($C35="",0,SUMIF('DADOS BRUTOS'!$A$3:$A$500,$C35,'DADOS BRUTOS'!BB$3:BB$500)))</f>
        <v>0</v>
      </c>
      <c r="EC35" s="133" t="n">
        <f aca="false">IF(OR(EC$4="",$B35=""),0,SUMIF('DADOS BRUTOS'!$A$3:$A$500,$B35,'DADOS BRUTOS'!BC$3:BC$500)+IF($C35="",0,SUMIF('DADOS BRUTOS'!$A$3:$A$500,$C35,'DADOS BRUTOS'!BC$3:BC$500)))</f>
        <v>0</v>
      </c>
      <c r="ED35" s="133" t="n">
        <f aca="false">IF(OR(ED$4="",$B35=""),0,SUMIF('DADOS BRUTOS'!$A$3:$A$500,$B35,'DADOS BRUTOS'!BD$3:BD$500)+IF($C35="",0,SUMIF('DADOS BRUTOS'!$A$3:$A$500,$C35,'DADOS BRUTOS'!BD$3:BD$500)))</f>
        <v>0</v>
      </c>
      <c r="EE35" s="133" t="n">
        <f aca="false">IF(OR(EE$4="",$B35=""),0,SUMIF('DADOS BRUTOS'!$A$3:$A$500,$B35,'DADOS BRUTOS'!BE$3:BE$500)+IF($C35="",0,SUMIF('DADOS BRUTOS'!$A$3:$A$500,$C35,'DADOS BRUTOS'!BE$3:BE$500)))</f>
        <v>0</v>
      </c>
      <c r="EF35" s="133" t="n">
        <f aca="false">IF(OR(EF$4="",$B35=""),0,SUMIF('DADOS BRUTOS'!$A$3:$A$500,$B35,'DADOS BRUTOS'!BF$3:BF$500)+IF($C35="",0,SUMIF('DADOS BRUTOS'!$A$3:$A$500,$C35,'DADOS BRUTOS'!BF$3:BF$500)))</f>
        <v>0</v>
      </c>
      <c r="EG35" s="133" t="n">
        <f aca="false">IF(OR(EG$4="",$B35=""),0,SUMIF('DADOS BRUTOS'!$A$3:$A$500,$B35,'DADOS BRUTOS'!BG$3:BG$500)+IF($C35="",0,SUMIF('DADOS BRUTOS'!$A$3:$A$500,$C35,'DADOS BRUTOS'!BG$3:BG$500)))</f>
        <v>0</v>
      </c>
      <c r="EH35" s="133" t="n">
        <f aca="false">IF(OR(EH$4="",$B35=""),0,SUMIF('DADOS BRUTOS'!$A$3:$A$500,$B35,'DADOS BRUTOS'!BH$3:BH$500)+IF($C35="",0,SUMIF('DADOS BRUTOS'!$A$3:$A$500,$C35,'DADOS BRUTOS'!BH$3:BH$500)))</f>
        <v>0</v>
      </c>
      <c r="EI35" s="133" t="n">
        <f aca="false">IF(OR(EI$4="",$B35=""),0,SUMIF('DADOS BRUTOS'!$A$3:$A$500,$B35,'DADOS BRUTOS'!BI$3:BI$500)+IF($C35="",0,SUMIF('DADOS BRUTOS'!$A$3:$A$500,$C35,'DADOS BRUTOS'!BI$3:BI$500)))</f>
        <v>0</v>
      </c>
      <c r="EJ35" s="133" t="n">
        <f aca="false">IF(OR(EJ$4="",$B35=""),0,SUMIF('DADOS BRUTOS'!$A$3:$A$500,$B35,'DADOS BRUTOS'!BJ$3:BJ$500)+IF($C35="",0,SUMIF('DADOS BRUTOS'!$A$3:$A$500,$C35,'DADOS BRUTOS'!BJ$3:BJ$500)))</f>
        <v>0</v>
      </c>
      <c r="EK35" s="133" t="n">
        <f aca="false">IF(OR(EK$4="",$B35=""),0,SUMIF('DADOS BRUTOS'!$A$3:$A$500,$B35,'DADOS BRUTOS'!BK$3:BK$500)+IF($C35="",0,SUMIF('DADOS BRUTOS'!$A$3:$A$500,$C35,'DADOS BRUTOS'!BK$3:BK$500)))</f>
        <v>0</v>
      </c>
      <c r="EL35" s="133" t="n">
        <f aca="false">IF(OR(EL$4="",$B35=""),0,SUMIF('DADOS BRUTOS'!$A$3:$A$500,$B35,'DADOS BRUTOS'!BL$3:BL$500)+IF($C35="",0,SUMIF('DADOS BRUTOS'!$A$3:$A$500,$C35,'DADOS BRUTOS'!BL$3:BL$500)))</f>
        <v>0</v>
      </c>
      <c r="EM35" s="133" t="n">
        <f aca="false">IF(OR(EM$4="",$B35=""),0,SUMIF('DADOS BRUTOS'!$A$3:$A$500,$B35,'DADOS BRUTOS'!BM$3:BM$500)+IF($C35="",0,SUMIF('DADOS BRUTOS'!$A$3:$A$500,$C35,'DADOS BRUTOS'!BM$3:BM$500)))</f>
        <v>0</v>
      </c>
      <c r="EN35" s="133" t="n">
        <f aca="false">IF(OR(EN$4="",$B35=""),0,SUMIF('DADOS BRUTOS'!$A$3:$A$500,$B35,'DADOS BRUTOS'!BN$3:BN$500)+IF($C35="",0,SUMIF('DADOS BRUTOS'!$A$3:$A$500,$C35,'DADOS BRUTOS'!BN$3:BN$500)))</f>
        <v>0</v>
      </c>
      <c r="EO35" s="133" t="n">
        <f aca="false">IF(OR(EO$4="",$B35=""),0,SUMIF('DADOS BRUTOS'!$A$3:$A$500,$B35,'DADOS BRUTOS'!BO$3:BO$500)+IF($C35="",0,SUMIF('DADOS BRUTOS'!$A$3:$A$500,$C35,'DADOS BRUTOS'!BO$3:BO$500)))</f>
        <v>0</v>
      </c>
      <c r="EP35" s="133" t="n">
        <f aca="false">IF(OR(EP$4="",$B35=""),0,SUMIF('DADOS BRUTOS'!$A$3:$A$500,$B35,'DADOS BRUTOS'!BP$3:BP$500)+IF($C35="",0,SUMIF('DADOS BRUTOS'!$A$3:$A$500,$C35,'DADOS BRUTOS'!BP$3:BP$500)))</f>
        <v>0</v>
      </c>
      <c r="EQ35" s="133" t="n">
        <f aca="false">IF(OR(EQ$4="",$B35=""),0,SUMIF('DADOS BRUTOS'!$A$3:$A$500,$B35,'DADOS BRUTOS'!BQ$3:BQ$500)+IF($C35="",0,SUMIF('DADOS BRUTOS'!$A$3:$A$500,$C35,'DADOS BRUTOS'!BQ$3:BQ$500)))</f>
        <v>0</v>
      </c>
      <c r="ER35" s="133" t="n">
        <f aca="false">IF(OR(ER$4="",$B35=""),0,SUMIF('DADOS BRUTOS'!$A$3:$A$500,$B35,'DADOS BRUTOS'!BR$3:BR$500)+IF($C35="",0,SUMIF('DADOS BRUTOS'!$A$3:$A$500,$C35,'DADOS BRUTOS'!BR$3:BR$500)))</f>
        <v>0</v>
      </c>
      <c r="ES35" s="133" t="n">
        <f aca="false">IF(OR(ES$4="",$B35=""),0,SUMIF('DADOS BRUTOS'!$A$3:$A$500,$B35,'DADOS BRUTOS'!BS$3:BS$500)+IF($C35="",0,SUMIF('DADOS BRUTOS'!$A$3:$A$500,$C35,'DADOS BRUTOS'!BS$3:BS$500)))</f>
        <v>0</v>
      </c>
      <c r="ET35" s="133" t="n">
        <f aca="false">IF(OR(ET$4="",$B35=""),0,SUMIF('DADOS BRUTOS'!$A$3:$A$500,$B35,'DADOS BRUTOS'!BT$3:BT$500)+IF($C35="",0,SUMIF('DADOS BRUTOS'!$A$3:$A$500,$C35,'DADOS BRUTOS'!BT$3:BT$500)))</f>
        <v>0</v>
      </c>
      <c r="EU35" s="133" t="n">
        <f aca="false">IF(OR(EU$4="",$B35=""),0,SUMIF('DADOS BRUTOS'!$A$3:$A$500,$B35,'DADOS BRUTOS'!BU$3:BU$500)+IF($C35="",0,SUMIF('DADOS BRUTOS'!$A$3:$A$500,$C35,'DADOS BRUTOS'!BU$3:BU$500)))</f>
        <v>0</v>
      </c>
      <c r="EV35" s="133" t="n">
        <f aca="false">IF(OR(EV$4="",$B35=""),0,SUMIF('DADOS BRUTOS'!$A$3:$A$500,$B35,'DADOS BRUTOS'!BV$3:BV$500)+IF($C35="",0,SUMIF('DADOS BRUTOS'!$A$3:$A$500,$C35,'DADOS BRUTOS'!BV$3:BV$500)))</f>
        <v>0</v>
      </c>
      <c r="EW35" s="133" t="n">
        <f aca="false">IF(OR(EW$4="",$B35=""),0,SUMIF('DADOS BRUTOS'!$A$3:$A$500,$B35,'DADOS BRUTOS'!BW$3:BW$500)+IF($C35="",0,SUMIF('DADOS BRUTOS'!$A$3:$A$500,$C35,'DADOS BRUTOS'!BW$3:BW$500)))</f>
        <v>0</v>
      </c>
      <c r="EX35" s="133" t="n">
        <f aca="false">IF(OR(EX$4="",$B35=""),0,SUMIF('DADOS BRUTOS'!$A$3:$A$500,$B35,'DADOS BRUTOS'!BX$3:BX$500)+IF($C35="",0,SUMIF('DADOS BRUTOS'!$A$3:$A$500,$C35,'DADOS BRUTOS'!BX$3:BX$500)))</f>
        <v>0</v>
      </c>
      <c r="EY35" s="133" t="n">
        <f aca="false">IF(OR(EY$4="",$B35=""),0,SUMIF('DADOS BRUTOS'!$A$3:$A$500,$B35,'DADOS BRUTOS'!BY$3:BY$500)+IF($C35="",0,SUMIF('DADOS BRUTOS'!$A$3:$A$500,$C35,'DADOS BRUTOS'!BY$3:BY$500)))</f>
        <v>0</v>
      </c>
      <c r="EZ35" s="133" t="n">
        <f aca="false">IF(OR(EZ$4="",$B35=""),0,SUMIF('DADOS BRUTOS'!$A$3:$A$500,$B35,'DADOS BRUTOS'!BZ$3:BZ$500)+IF($C35="",0,SUMIF('DADOS BRUTOS'!$A$3:$A$500,$C35,'DADOS BRUTOS'!BZ$3:BZ$500)))</f>
        <v>0</v>
      </c>
      <c r="FA35" s="133" t="n">
        <f aca="false">IF(OR(FA$4="",$B35=""),0,SUMIF('DADOS BRUTOS'!$A$3:$A$500,$B35,'DADOS BRUTOS'!CA$3:CA$500)+IF($C35="",0,SUMIF('DADOS BRUTOS'!$A$3:$A$500,$C35,'DADOS BRUTOS'!CA$3:CA$500)))</f>
        <v>0</v>
      </c>
      <c r="FB35" s="133" t="n">
        <f aca="false">IF(OR(FB$4="",$B35=""),0,SUMIF('DADOS BRUTOS'!$A$3:$A$500,$B35,'DADOS BRUTOS'!CB$3:CB$500)+IF($C35="",0,SUMIF('DADOS BRUTOS'!$A$3:$A$500,$C35,'DADOS BRUTOS'!CB$3:CB$500)))</f>
        <v>0</v>
      </c>
      <c r="FC35" s="133" t="n">
        <f aca="false">IF(OR(FC$4="",$B35=""),0,SUMIF('DADOS BRUTOS'!$A$3:$A$500,$B35,'DADOS BRUTOS'!CC$3:CC$500)+IF($C35="",0,SUMIF('DADOS BRUTOS'!$A$3:$A$500,$C35,'DADOS BRUTOS'!CC$3:CC$500)))</f>
        <v>0</v>
      </c>
      <c r="FD35" s="133" t="n">
        <f aca="false">IF(OR(FD$4="",$B35=""),0,SUMIF('DADOS BRUTOS'!$A$3:$A$500,$B35,'DADOS BRUTOS'!CD$3:CD$500)+IF($C35="",0,SUMIF('DADOS BRUTOS'!$A$3:$A$500,$C35,'DADOS BRUTOS'!CD$3:CD$500)))</f>
        <v>0</v>
      </c>
      <c r="FE35" s="133" t="n">
        <f aca="false">IF(OR(FE$4="",$B35=""),0,SUMIF('DADOS BRUTOS'!$A$3:$A$500,$B35,'DADOS BRUTOS'!CE$3:CE$500)+IF($C35="",0,SUMIF('DADOS BRUTOS'!$A$3:$A$500,$C35,'DADOS BRUTOS'!CE$3:CE$500)))</f>
        <v>0</v>
      </c>
      <c r="FF35" s="133" t="n">
        <f aca="false">IF(OR(FF$4="",$B35=""),0,SUMIF('DADOS BRUTOS'!$A$3:$A$500,$B35,'DADOS BRUTOS'!CF$3:CF$500)+IF($C35="",0,SUMIF('DADOS BRUTOS'!$A$3:$A$500,$C35,'DADOS BRUTOS'!CF$3:CF$500)))</f>
        <v>0</v>
      </c>
      <c r="FG35" s="133" t="n">
        <f aca="false">IF(OR(FG$4="",$B35=""),0,SUMIF('DADOS BRUTOS'!$A$3:$A$500,$B35,'DADOS BRUTOS'!CG$3:CG$500)+IF($C35="",0,SUMIF('DADOS BRUTOS'!$A$3:$A$500,$C35,'DADOS BRUTOS'!CG$3:CG$500)))</f>
        <v>0</v>
      </c>
      <c r="FH35" s="133" t="n">
        <f aca="false">IF(OR(FH$4="",$B35=""),0,SUMIF('DADOS BRUTOS'!$A$3:$A$500,$B35,'DADOS BRUTOS'!CH$3:CH$500)+IF($C35="",0,SUMIF('DADOS BRUTOS'!$A$3:$A$500,$C35,'DADOS BRUTOS'!CH$3:CH$500)))</f>
        <v>0</v>
      </c>
      <c r="FI35" s="133" t="n">
        <f aca="false">IF(OR(FI$4="",$B35=""),0,SUMIF('DADOS BRUTOS'!$A$3:$A$500,$B35,'DADOS BRUTOS'!CI$3:CI$500)+IF($C35="",0,SUMIF('DADOS BRUTOS'!$A$3:$A$500,$C35,'DADOS BRUTOS'!CI$3:CI$500)))</f>
        <v>0</v>
      </c>
      <c r="FJ35" s="133" t="n">
        <f aca="false">IF(OR(FJ$4="",$B35=""),0,SUMIF('DADOS BRUTOS'!$A$3:$A$500,$B35,'DADOS BRUTOS'!CJ$3:CJ$500)+IF($C35="",0,SUMIF('DADOS BRUTOS'!$A$3:$A$500,$C35,'DADOS BRUTOS'!CJ$3:CJ$500)))</f>
        <v>0</v>
      </c>
      <c r="FK35" s="133" t="n">
        <f aca="false">IF(OR(FK$4="",$B35=""),0,SUMIF('DADOS BRUTOS'!$A$3:$A$500,$B35,'DADOS BRUTOS'!CK$3:CK$500)+IF($C35="",0,SUMIF('DADOS BRUTOS'!$A$3:$A$500,$C35,'DADOS BRUTOS'!CK$3:CK$500)))</f>
        <v>0</v>
      </c>
      <c r="FL35" s="133" t="n">
        <f aca="false">IF(OR(FL$4="",$B35=""),0,SUMIF('DADOS BRUTOS'!$A$3:$A$500,$B35,'DADOS BRUTOS'!CL$3:CL$500)+IF($C35="",0,SUMIF('DADOS BRUTOS'!$A$3:$A$500,$C35,'DADOS BRUTOS'!CL$3:CL$500)))</f>
        <v>0</v>
      </c>
      <c r="FM35" s="133" t="n">
        <f aca="false">IF(OR(FM$4="",$B35=""),0,SUMIF('DADOS BRUTOS'!$A$3:$A$500,$B35,'DADOS BRUTOS'!CM$3:CM$500)+IF($C35="",0,SUMIF('DADOS BRUTOS'!$A$3:$A$500,$C35,'DADOS BRUTOS'!CM$3:CM$500)))</f>
        <v>0</v>
      </c>
      <c r="FN35" s="133" t="n">
        <f aca="false">IF(OR(FN$4="",$B35=""),0,SUMIF('DADOS BRUTOS'!$A$3:$A$500,$B35,'DADOS BRUTOS'!CN$3:CN$500)+IF($C35="",0,SUMIF('DADOS BRUTOS'!$A$3:$A$500,$C35,'DADOS BRUTOS'!CN$3:CN$500)))</f>
        <v>0</v>
      </c>
      <c r="FO35" s="133" t="n">
        <f aca="false">IF(OR(FO$4="",$B35=""),0,SUMIF('DADOS BRUTOS'!$A$3:$A$500,$B35,'DADOS BRUTOS'!CO$3:CO$500)+IF($C35="",0,SUMIF('DADOS BRUTOS'!$A$3:$A$500,$C35,'DADOS BRUTOS'!CO$3:CO$500)))</f>
        <v>0</v>
      </c>
      <c r="FP35" s="133" t="n">
        <f aca="false">IF(OR(FP$4="",$B35=""),0,SUMIF('DADOS BRUTOS'!$A$3:$A$500,$B35,'DADOS BRUTOS'!CP$3:CP$500)+IF($C35="",0,SUMIF('DADOS BRUTOS'!$A$3:$A$500,$C35,'DADOS BRUTOS'!CP$3:CP$500)))</f>
        <v>0</v>
      </c>
      <c r="FQ35" s="133" t="n">
        <f aca="false">IF(OR(FQ$4="",$B35=""),0,SUMIF('DADOS BRUTOS'!$A$3:$A$500,$B35,'DADOS BRUTOS'!CQ$3:CQ$500)+IF($C35="",0,SUMIF('DADOS BRUTOS'!$A$3:$A$500,$C35,'DADOS BRUTOS'!CQ$3:CQ$500)))</f>
        <v>0</v>
      </c>
      <c r="FR35" s="133" t="n">
        <f aca="false">IF(OR(FR$4="",$B35=""),0,SUMIF('DADOS BRUTOS'!$A$3:$A$500,$B35,'DADOS BRUTOS'!CR$3:CR$500)+IF($C35="",0,SUMIF('DADOS BRUTOS'!$A$3:$A$500,$C35,'DADOS BRUTOS'!CR$3:CR$500)))</f>
        <v>0</v>
      </c>
      <c r="FS35" s="133" t="n">
        <f aca="false">IF(OR(FS$4="",$B35=""),0,SUMIF('DADOS BRUTOS'!$A$3:$A$500,$B35,'DADOS BRUTOS'!CS$3:CS$500)+IF($C35="",0,SUMIF('DADOS BRUTOS'!$A$3:$A$500,$C35,'DADOS BRUTOS'!CS$3:CS$500)))</f>
        <v>0</v>
      </c>
      <c r="FT35" s="133" t="n">
        <f aca="false">IF(OR(FT$4="",$B35=""),0,SUMIF('DADOS BRUTOS'!$A$3:$A$500,$B35,'DADOS BRUTOS'!CT$3:CT$500)+IF($C35="",0,SUMIF('DADOS BRUTOS'!$A$3:$A$500,$C35,'DADOS BRUTOS'!CT$3:CT$500)))</f>
        <v>0</v>
      </c>
      <c r="FU35" s="133" t="n">
        <f aca="false">IF(OR(FU$4="",$B35=""),0,SUMIF('DADOS BRUTOS'!$A$3:$A$500,$B35,'DADOS BRUTOS'!CU$3:CU$500)+IF($C35="",0,SUMIF('DADOS BRUTOS'!$A$3:$A$500,$C35,'DADOS BRUTOS'!CU$3:CU$500)))</f>
        <v>0</v>
      </c>
      <c r="FV35" s="133" t="n">
        <f aca="false">IF(OR(FV$4="",$B35=""),0,SUMIF('DADOS BRUTOS'!$A$3:$A$500,$B35,'DADOS BRUTOS'!CV$3:CV$500)+IF($C35="",0,SUMIF('DADOS BRUTOS'!$A$3:$A$500,$C35,'DADOS BRUTOS'!CV$3:CV$500)))</f>
        <v>0</v>
      </c>
      <c r="FW35" s="133" t="n">
        <f aca="false">IF(OR(FW$4="",$B35=""),0,SUMIF('DADOS BRUTOS'!$A$3:$A$500,$B35,'DADOS BRUTOS'!CW$3:CW$500)+IF($C35="",0,SUMIF('DADOS BRUTOS'!$A$3:$A$500,$C35,'DADOS BRUTOS'!CW$3:CW$500)))</f>
        <v>0</v>
      </c>
      <c r="FX35" s="133" t="n">
        <f aca="false">IF(OR(FX$4="",$B35=""),0,SUMIF('DADOS BRUTOS'!$A$3:$A$500,$B35,'DADOS BRUTOS'!CX$3:CX$500)+IF($C35="",0,SUMIF('DADOS BRUTOS'!$A$3:$A$500,$C35,'DADOS BRUTOS'!CX$3:CX$500)))</f>
        <v>0</v>
      </c>
      <c r="FY35" s="133" t="n">
        <f aca="false">IF(OR(FY$4="",$B35=""),0,SUMIF('DADOS BRUTOS'!$A$3:$A$500,$B35,'DADOS BRUTOS'!CY$3:CY$500)+IF($C35="",0,SUMIF('DADOS BRUTOS'!$A$3:$A$500,$C35,'DADOS BRUTOS'!CY$3:CY$500)))</f>
        <v>0</v>
      </c>
      <c r="FZ35" s="133" t="n">
        <f aca="false">IF(OR(FZ$4="",$B35=""),0,SUMIF('DADOS BRUTOS'!$A$3:$A$500,$B35,'DADOS BRUTOS'!CZ$3:CZ$500)+IF($C35="",0,SUMIF('DADOS BRUTOS'!$A$3:$A$500,$C35,'DADOS BRUTOS'!CZ$3:CZ$500)))</f>
        <v>0</v>
      </c>
      <c r="GA35" s="133" t="n">
        <f aca="false">IF(OR(GA$4="",$B35=""),0,SUMIF('DADOS BRUTOS'!$A$3:$A$500,$B35,'DADOS BRUTOS'!DA$3:DA$500)+IF($C35="",0,SUMIF('DADOS BRUTOS'!$A$3:$A$500,$C35,'DADOS BRUTOS'!DA$3:DA$500)))</f>
        <v>0</v>
      </c>
      <c r="GB35" s="133" t="n">
        <f aca="false">IF(OR(GB$4="",$B35=""),0,SUMIF('DADOS BRUTOS'!$A$3:$A$500,$B35,'DADOS BRUTOS'!DB$3:DB$500)+IF($C35="",0,SUMIF('DADOS BRUTOS'!$A$3:$A$500,$C35,'DADOS BRUTOS'!DB$3:DB$500)))</f>
        <v>0</v>
      </c>
      <c r="GC35" s="133" t="n">
        <f aca="false">IF(OR(GC$4="",$B35=""),0,SUMIF('DADOS BRUTOS'!$A$3:$A$500,$B35,'DADOS BRUTOS'!DC$3:DC$500)+IF($C35="",0,SUMIF('DADOS BRUTOS'!$A$3:$A$500,$C35,'DADOS BRUTOS'!DC$3:DC$500)))</f>
        <v>0</v>
      </c>
      <c r="GD35" s="133" t="n">
        <f aca="false">IF(OR(GD$4="",$B35=""),0,SUMIF('DADOS BRUTOS'!$A$3:$A$500,$B35,'DADOS BRUTOS'!DD$3:DD$500)+IF($C35="",0,SUMIF('DADOS BRUTOS'!$A$3:$A$500,$C35,'DADOS BRUTOS'!DD$3:DD$500)))</f>
        <v>0</v>
      </c>
      <c r="GE35" s="133" t="n">
        <f aca="false">IF(OR(GE$4="",$B35=""),0,SUMIF('DADOS BRUTOS'!$A$3:$A$500,$B35,'DADOS BRUTOS'!DE$3:DE$500)+IF($C35="",0,SUMIF('DADOS BRUTOS'!$A$3:$A$500,$C35,'DADOS BRUTOS'!DE$3:DE$500)))</f>
        <v>0</v>
      </c>
      <c r="GF35" s="133" t="n">
        <f aca="false">IF(OR(GF$4="",$B35=""),0,SUMIF('DADOS BRUTOS'!$A$3:$A$500,$B35,'DADOS BRUTOS'!DF$3:DF$500)+IF($C35="",0,SUMIF('DADOS BRUTOS'!$A$3:$A$500,$C35,'DADOS BRUTOS'!DF$3:DF$500)))</f>
        <v>0</v>
      </c>
      <c r="GG35" s="133" t="n">
        <f aca="false">IF(OR(GG$4="",$B35=""),0,SUMIF('DADOS BRUTOS'!$A$3:$A$500,$B35,'DADOS BRUTOS'!DG$3:DG$500)+IF($C35="",0,SUMIF('DADOS BRUTOS'!$A$3:$A$500,$C35,'DADOS BRUTOS'!DG$3:DG$500)))</f>
        <v>0</v>
      </c>
      <c r="GH35" s="133" t="n">
        <f aca="false">IF(OR(GH$4="",$B35=""),0,SUMIF('DADOS BRUTOS'!$A$3:$A$500,$B35,'DADOS BRUTOS'!DH$3:DH$500)+IF($C35="",0,SUMIF('DADOS BRUTOS'!$A$3:$A$500,$C35,'DADOS BRUTOS'!DH$3:DH$500)))</f>
        <v>0</v>
      </c>
      <c r="GI35" s="133" t="n">
        <f aca="false">IF(OR(GI$4="",$B35=""),0,SUMIF('DADOS BRUTOS'!$A$3:$A$500,$B35,'DADOS BRUTOS'!DI$3:DI$500)+IF($C35="",0,SUMIF('DADOS BRUTOS'!$A$3:$A$500,$C35,'DADOS BRUTOS'!DI$3:DI$500)))</f>
        <v>0</v>
      </c>
      <c r="GJ35" s="133" t="n">
        <f aca="false">IF(OR(GJ$4="",$B35=""),0,SUMIF('DADOS BRUTOS'!$A$3:$A$500,$B35,'DADOS BRUTOS'!DJ$3:DJ$500)+IF($C35="",0,SUMIF('DADOS BRUTOS'!$A$3:$A$500,$C35,'DADOS BRUTOS'!DJ$3:DJ$500)))</f>
        <v>0</v>
      </c>
      <c r="GK35" s="133" t="n">
        <f aca="false">IF(OR(GK$4="",$B35=""),0,SUMIF('DADOS BRUTOS'!$A$3:$A$500,$B35,'DADOS BRUTOS'!DK$3:DK$500)+IF($C35="",0,SUMIF('DADOS BRUTOS'!$A$3:$A$500,$C35,'DADOS BRUTOS'!DK$3:DK$500)))</f>
        <v>0</v>
      </c>
      <c r="GL35" s="133" t="n">
        <f aca="false">IF(OR(GL$4="",$B35=""),0,SUMIF('DADOS BRUTOS'!$A$3:$A$500,$B35,'DADOS BRUTOS'!DL$3:DL$500)+IF($C35="",0,SUMIF('DADOS BRUTOS'!$A$3:$A$500,$C35,'DADOS BRUTOS'!DL$3:DL$500)))</f>
        <v>0</v>
      </c>
      <c r="GM35" s="133" t="n">
        <f aca="false">IF(OR(GM$4="",$B35=""),0,SUMIF('DADOS BRUTOS'!$A$3:$A$500,$B35,'DADOS BRUTOS'!DM$3:DM$500)+IF($C35="",0,SUMIF('DADOS BRUTOS'!$A$3:$A$500,$C35,'DADOS BRUTOS'!DM$3:DM$500)))</f>
        <v>0</v>
      </c>
      <c r="GN35" s="133" t="n">
        <f aca="false">IF(OR(GN$4="",$B35=""),0,SUMIF('DADOS BRUTOS'!$A$3:$A$500,$B35,'DADOS BRUTOS'!DN$3:DN$500)+IF($C35="",0,SUMIF('DADOS BRUTOS'!$A$3:$A$500,$C35,'DADOS BRUTOS'!DN$3:DN$500)))</f>
        <v>0</v>
      </c>
      <c r="GO35" s="133" t="n">
        <f aca="false">IF(OR(GO$4="",$B35=""),0,SUMIF('DADOS BRUTOS'!$A$3:$A$500,$B35,'DADOS BRUTOS'!DO$3:DO$500)+IF($C35="",0,SUMIF('DADOS BRUTOS'!$A$3:$A$500,$C35,'DADOS BRUTOS'!DO$3:DO$500)))</f>
        <v>0</v>
      </c>
      <c r="GP35" s="133" t="n">
        <f aca="false">IF(OR(GP$4="",$B35=""),0,SUMIF('DADOS BRUTOS'!$A$3:$A$500,$B35,'DADOS BRUTOS'!DP$3:DP$500)+IF($C35="",0,SUMIF('DADOS BRUTOS'!$A$3:$A$500,$C35,'DADOS BRUTOS'!DP$3:DP$500)))</f>
        <v>0</v>
      </c>
      <c r="GQ35" s="133" t="n">
        <f aca="false">IF(OR(GQ$4="",$B35=""),0,SUMIF('DADOS BRUTOS'!$A$3:$A$500,$B35,'DADOS BRUTOS'!DQ$3:DQ$500)+IF($C35="",0,SUMIF('DADOS BRUTOS'!$A$3:$A$500,$C35,'DADOS BRUTOS'!DQ$3:DQ$500)))</f>
        <v>0</v>
      </c>
      <c r="GR35" s="133" t="n">
        <f aca="false">IF(OR(GR$4="",$B35=""),0,SUMIF('DADOS BRUTOS'!$A$3:$A$500,$B35,'DADOS BRUTOS'!DR$3:DR$500)+IF($C35="",0,SUMIF('DADOS BRUTOS'!$A$3:$A$500,$C35,'DADOS BRUTOS'!DR$3:DR$500)))</f>
        <v>0</v>
      </c>
      <c r="GS35" s="133" t="n">
        <f aca="false">IF(OR(GS$4="",$B35=""),0,SUMIF('DADOS BRUTOS'!$A$3:$A$500,$B35,'DADOS BRUTOS'!DS$3:DS$500)+IF($C35="",0,SUMIF('DADOS BRUTOS'!$A$3:$A$500,$C35,'DADOS BRUTOS'!DS$3:DS$500)))</f>
        <v>0</v>
      </c>
      <c r="GT35" s="133" t="n">
        <f aca="false">IF(OR(GT$4="",$B35=""),0,SUMIF('DADOS BRUTOS'!$A$3:$A$500,$B35,'DADOS BRUTOS'!DT$3:DT$500)+IF($C35="",0,SUMIF('DADOS BRUTOS'!$A$3:$A$500,$C35,'DADOS BRUTOS'!DT$3:DT$500)))</f>
        <v>0</v>
      </c>
      <c r="GU35" s="133" t="n">
        <f aca="false">IF(OR(GU$4="",$B35=""),0,SUMIF('DADOS BRUTOS'!$A$3:$A$500,$B35,'DADOS BRUTOS'!DU$3:DU$500)+IF($C35="",0,SUMIF('DADOS BRUTOS'!$A$3:$A$500,$C35,'DADOS BRUTOS'!DU$3:DU$500)))</f>
        <v>0</v>
      </c>
      <c r="GV35" s="133" t="n">
        <f aca="false">IF(OR(GV$4="",$B35=""),0,SUMIF('DADOS BRUTOS'!$A$3:$A$500,$B35,'DADOS BRUTOS'!DV$3:DV$500)+IF($C35="",0,SUMIF('DADOS BRUTOS'!$A$3:$A$500,$C35,'DADOS BRUTOS'!DV$3:DV$500)))</f>
        <v>0</v>
      </c>
      <c r="GW35" s="133" t="n">
        <f aca="false">IF(OR(GW$4="",$B35=""),0,SUMIF('DADOS BRUTOS'!$A$3:$A$500,$B35,'DADOS BRUTOS'!DW$3:DW$500)+IF($C35="",0,SUMIF('DADOS BRUTOS'!$A$3:$A$500,$C35,'DADOS BRUTOS'!DW$3:DW$500)))</f>
        <v>0</v>
      </c>
      <c r="GX35" s="133" t="n">
        <f aca="false">IF(OR(GX$4="",$B35=""),0,SUMIF('DADOS BRUTOS'!$A$3:$A$500,$B35,'DADOS BRUTOS'!DX$3:DX$500)+IF($C35="",0,SUMIF('DADOS BRUTOS'!$A$3:$A$500,$C35,'DADOS BRUTOS'!DX$3:DX$500)))</f>
        <v>0</v>
      </c>
      <c r="GY35" s="133" t="n">
        <f aca="false">IF(OR(GY$4="",$B35=""),0,SUMIF('DADOS BRUTOS'!$A$3:$A$500,$B35,'DADOS BRUTOS'!DY$3:DY$500)+IF($C35="",0,SUMIF('DADOS BRUTOS'!$A$3:$A$500,$C35,'DADOS BRUTOS'!DY$3:DY$500)))</f>
        <v>0</v>
      </c>
      <c r="GZ35" s="133" t="n">
        <f aca="false">IF(OR(GZ$4="",$B35=""),0,SUMIF('DADOS BRUTOS'!$A$3:$A$500,$B35,'DADOS BRUTOS'!DZ$3:DZ$500)+IF($C35="",0,SUMIF('DADOS BRUTOS'!$A$3:$A$500,$C35,'DADOS BRUTOS'!DZ$3:DZ$500)))</f>
        <v>0</v>
      </c>
      <c r="HA35" s="133" t="n">
        <f aca="false">IF(OR(HA$4="",$B35=""),0,SUMIF('DADOS BRUTOS'!$A$3:$A$500,$B35,'DADOS BRUTOS'!EA$3:EA$500)+IF($C35="",0,SUMIF('DADOS BRUTOS'!$A$3:$A$500,$C35,'DADOS BRUTOS'!EA$3:EA$500)))</f>
        <v>0</v>
      </c>
      <c r="HB35" s="133" t="n">
        <f aca="false">IF(OR(HB$4="",$B35=""),0,SUMIF('DADOS BRUTOS'!$A$3:$A$500,$B35,'DADOS BRUTOS'!EB$3:EB$500)+IF($C35="",0,SUMIF('DADOS BRUTOS'!$A$3:$A$500,$C35,'DADOS BRUTOS'!EB$3:EB$500)))</f>
        <v>0</v>
      </c>
      <c r="HC35" s="133" t="n">
        <f aca="false">IF(OR(HC$4="",$B35=""),0,SUMIF('DADOS BRUTOS'!$A$3:$A$500,$B35,'DADOS BRUTOS'!EC$3:EC$500)+IF($C35="",0,SUMIF('DADOS BRUTOS'!$A$3:$A$500,$C35,'DADOS BRUTOS'!EC$3:EC$500)))</f>
        <v>0</v>
      </c>
      <c r="HD35" s="133" t="n">
        <f aca="false">IF(OR(HD$4="",$B35=""),0,SUMIF('DADOS BRUTOS'!$A$3:$A$500,$B35,'DADOS BRUTOS'!ED$3:ED$500)+IF($C35="",0,SUMIF('DADOS BRUTOS'!$A$3:$A$500,$C35,'DADOS BRUTOS'!ED$3:ED$500)))</f>
        <v>0</v>
      </c>
      <c r="HE35" s="133" t="n">
        <f aca="false">IF(OR(HE$4="",$B35=""),0,SUMIF('DADOS BRUTOS'!$A$3:$A$500,$B35,'DADOS BRUTOS'!EE$3:EE$500)+IF($C35="",0,SUMIF('DADOS BRUTOS'!$A$3:$A$500,$C35,'DADOS BRUTOS'!EE$3:EE$500)))</f>
        <v>0</v>
      </c>
      <c r="HF35" s="133" t="n">
        <f aca="false">IF(OR(HF$4="",$B35=""),0,SUMIF('DADOS BRUTOS'!$A$3:$A$500,$B35,'DADOS BRUTOS'!EF$3:EF$500)+IF($C35="",0,SUMIF('DADOS BRUTOS'!$A$3:$A$500,$C35,'DADOS BRUTOS'!EF$3:EF$500)))</f>
        <v>0</v>
      </c>
      <c r="HG35" s="133" t="n">
        <f aca="false">IF(OR(HG$4="",$B35=""),0,SUMIF('DADOS BRUTOS'!$A$3:$A$500,$B35,'DADOS BRUTOS'!EG$3:EG$500)+IF($C35="",0,SUMIF('DADOS BRUTOS'!$A$3:$A$500,$C35,'DADOS BRUTOS'!EG$3:EG$500)))</f>
        <v>0</v>
      </c>
      <c r="HH35" s="133" t="n">
        <f aca="false">IF(OR(HH$4="",$B35=""),0,SUMIF('DADOS BRUTOS'!$A$3:$A$500,$B35,'DADOS BRUTOS'!EH$3:EH$500)+IF($C35="",0,SUMIF('DADOS BRUTOS'!$A$3:$A$500,$C35,'DADOS BRUTOS'!EH$3:EH$500)))</f>
        <v>0</v>
      </c>
      <c r="HI35" s="133" t="n">
        <f aca="false">IF(OR(HI$4="",$B35=""),0,SUMIF('DADOS BRUTOS'!$A$3:$A$500,$B35,'DADOS BRUTOS'!EI$3:EI$500)+IF($C35="",0,SUMIF('DADOS BRUTOS'!$A$3:$A$500,$C35,'DADOS BRUTOS'!EI$3:EI$500)))</f>
        <v>0</v>
      </c>
      <c r="HJ35" s="133" t="n">
        <f aca="false">IF(OR(HJ$4="",$B35=""),0,SUMIF('DADOS BRUTOS'!$A$3:$A$500,$B35,'DADOS BRUTOS'!EJ$3:EJ$500)+IF($C35="",0,SUMIF('DADOS BRUTOS'!$A$3:$A$500,$C35,'DADOS BRUTOS'!EJ$3:EJ$500)))</f>
        <v>0</v>
      </c>
      <c r="HK35" s="133" t="n">
        <f aca="false">IF(OR(HK$4="",$B35=""),0,SUMIF('DADOS BRUTOS'!$A$3:$A$500,$B35,'DADOS BRUTOS'!EK$3:EK$500)+IF($C35="",0,SUMIF('DADOS BRUTOS'!$A$3:$A$500,$C35,'DADOS BRUTOS'!EK$3:EK$500)))</f>
        <v>0</v>
      </c>
      <c r="HL35" s="133" t="n">
        <f aca="false">IF(OR(HL$4="",$B35=""),0,SUMIF('DADOS BRUTOS'!$A$3:$A$500,$B35,'DADOS BRUTOS'!EL$3:EL$500)+IF($C35="",0,SUMIF('DADOS BRUTOS'!$A$3:$A$500,$C35,'DADOS BRUTOS'!EL$3:EL$500)))</f>
        <v>0</v>
      </c>
      <c r="HM35" s="133" t="n">
        <f aca="false">IF(OR(HM$4="",$B35=""),0,SUMIF('DADOS BRUTOS'!$A$3:$A$500,$B35,'DADOS BRUTOS'!EM$3:EM$500)+IF($C35="",0,SUMIF('DADOS BRUTOS'!$A$3:$A$500,$C35,'DADOS BRUTOS'!EM$3:EM$500)))</f>
        <v>0</v>
      </c>
      <c r="HN35" s="133" t="n">
        <f aca="false">IF(OR(HN$4="",$B35=""),0,SUMIF('DADOS BRUTOS'!$A$3:$A$500,$B35,'DADOS BRUTOS'!EN$3:EN$500)+IF($C35="",0,SUMIF('DADOS BRUTOS'!$A$3:$A$500,$C35,'DADOS BRUTOS'!EN$3:EN$500)))</f>
        <v>0</v>
      </c>
      <c r="HO35" s="133" t="n">
        <f aca="false">IF(OR(HO$4="",$B35=""),0,SUMIF('DADOS BRUTOS'!$A$3:$A$500,$B35,'DADOS BRUTOS'!EO$3:EO$500)+IF($C35="",0,SUMIF('DADOS BRUTOS'!$A$3:$A$500,$C35,'DADOS BRUTOS'!EO$3:EO$500)))</f>
        <v>0</v>
      </c>
      <c r="HP35" s="133" t="n">
        <f aca="false">IF(OR(HP$4="",$B35=""),0,SUMIF('DADOS BRUTOS'!$A$3:$A$500,$B35,'DADOS BRUTOS'!EP$3:EP$500)+IF($C35="",0,SUMIF('DADOS BRUTOS'!$A$3:$A$500,$C35,'DADOS BRUTOS'!EP$3:EP$500)))</f>
        <v>0</v>
      </c>
      <c r="HQ35" s="133" t="n">
        <f aca="false">IF(OR(HQ$4="",$B35=""),0,SUMIF('DADOS BRUTOS'!$A$3:$A$500,$B35,'DADOS BRUTOS'!EQ$3:EQ$500)+IF($C35="",0,SUMIF('DADOS BRUTOS'!$A$3:$A$500,$C35,'DADOS BRUTOS'!EQ$3:EQ$500)))</f>
        <v>0</v>
      </c>
      <c r="HR35" s="133" t="n">
        <f aca="false">IF(OR(HR$4="",$B35=""),0,SUMIF('DADOS BRUTOS'!$A$3:$A$500,$B35,'DADOS BRUTOS'!ER$3:ER$500)+IF($C35="",0,SUMIF('DADOS BRUTOS'!$A$3:$A$500,$C35,'DADOS BRUTOS'!ER$3:ER$500)))</f>
        <v>0</v>
      </c>
      <c r="HS35" s="133" t="n">
        <f aca="false">IF(OR(HS$4="",$B35=""),0,SUMIF('DADOS BRUTOS'!$A$3:$A$500,$B35,'DADOS BRUTOS'!ES$3:ES$500)+IF($C35="",0,SUMIF('DADOS BRUTOS'!$A$3:$A$500,$C35,'DADOS BRUTOS'!ES$3:ES$500)))</f>
        <v>0</v>
      </c>
      <c r="HT35" s="133" t="n">
        <f aca="false">IF(OR(HT$4="",$B35=""),0,SUMIF('DADOS BRUTOS'!$A$3:$A$500,$B35,'DADOS BRUTOS'!ET$3:ET$500)+IF($C35="",0,SUMIF('DADOS BRUTOS'!$A$3:$A$500,$C35,'DADOS BRUTOS'!ET$3:ET$500)))</f>
        <v>0</v>
      </c>
      <c r="HU35" s="133" t="n">
        <f aca="false">IF(OR(HU$4="",$B35=""),0,SUMIF('DADOS BRUTOS'!$A$3:$A$500,$B35,'DADOS BRUTOS'!EU$3:EU$500)+IF($C35="",0,SUMIF('DADOS BRUTOS'!$A$3:$A$500,$C35,'DADOS BRUTOS'!EU$3:EU$500)))</f>
        <v>0</v>
      </c>
      <c r="HV35" s="133" t="n">
        <f aca="false">IF(OR(HV$4="",$B35=""),0,SUMIF('DADOS BRUTOS'!$A$3:$A$500,$B35,'DADOS BRUTOS'!EV$3:EV$500)+IF($C35="",0,SUMIF('DADOS BRUTOS'!$A$3:$A$500,$C35,'DADOS BRUTOS'!EV$3:EV$500)))</f>
        <v>0</v>
      </c>
      <c r="HW35" s="133" t="n">
        <f aca="false">IF(OR(HW$4="",$B35=""),0,SUMIF('DADOS BRUTOS'!$A$3:$A$500,$B35,'DADOS BRUTOS'!EW$3:EW$500)+IF($C35="",0,SUMIF('DADOS BRUTOS'!$A$3:$A$500,$C35,'DADOS BRUTOS'!EW$3:EW$500)))</f>
        <v>0</v>
      </c>
      <c r="HX35" s="133" t="n">
        <f aca="false">IF(OR(HX$4="",$B35=""),0,SUMIF('DADOS BRUTOS'!$A$3:$A$500,$B35,'DADOS BRUTOS'!EX$3:EX$500)+IF($C35="",0,SUMIF('DADOS BRUTOS'!$A$3:$A$500,$C35,'DADOS BRUTOS'!EX$3:EX$500)))</f>
        <v>0</v>
      </c>
      <c r="HY35" s="133" t="n">
        <f aca="false">IF(OR(HY$4="",$B35=""),0,SUMIF('DADOS BRUTOS'!$A$3:$A$500,$B35,'DADOS BRUTOS'!EY$3:EY$500)+IF($C35="",0,SUMIF('DADOS BRUTOS'!$A$3:$A$500,$C35,'DADOS BRUTOS'!EY$3:EY$500)))</f>
        <v>0</v>
      </c>
      <c r="HZ35" s="133" t="n">
        <f aca="false">IF(OR(HZ$4="",$B35=""),0,SUMIF('DADOS BRUTOS'!$A$3:$A$500,$B35,'DADOS BRUTOS'!EZ$3:EZ$500)+IF($C35="",0,SUMIF('DADOS BRUTOS'!$A$3:$A$500,$C35,'DADOS BRUTOS'!EZ$3:EZ$500)))</f>
        <v>0</v>
      </c>
      <c r="IA35" s="133" t="n">
        <f aca="false">IF(OR(IA$4="",$B35=""),0,SUMIF('DADOS BRUTOS'!$A$3:$A$500,$B35,'DADOS BRUTOS'!FA$3:FA$500)+IF($C35="",0,SUMIF('DADOS BRUTOS'!$A$3:$A$500,$C35,'DADOS BRUTOS'!FA$3:FA$500)))</f>
        <v>0</v>
      </c>
      <c r="IB35" s="133" t="n">
        <f aca="false">IF(OR(IB$4="",$B35=""),0,SUMIF('DADOS BRUTOS'!$A$3:$A$500,$B35,'DADOS BRUTOS'!FB$3:FB$500)+IF($C35="",0,SUMIF('DADOS BRUTOS'!$A$3:$A$500,$C35,'DADOS BRUTOS'!FB$3:FB$500)))</f>
        <v>0</v>
      </c>
      <c r="IC35" s="133" t="n">
        <f aca="false">IF(OR(IC$4="",$B35=""),0,SUMIF('DADOS BRUTOS'!$A$3:$A$500,$B35,'DADOS BRUTOS'!FC$3:FC$500)+IF($C35="",0,SUMIF('DADOS BRUTOS'!$A$3:$A$500,$C35,'DADOS BRUTOS'!FC$3:FC$500)))</f>
        <v>0</v>
      </c>
      <c r="ID35" s="133" t="n">
        <f aca="false">IF(OR(ID$4="",$B35=""),0,SUMIF('DADOS BRUTOS'!$A$3:$A$500,$B35,'DADOS BRUTOS'!FD$3:FD$500)+IF($C35="",0,SUMIF('DADOS BRUTOS'!$A$3:$A$500,$C35,'DADOS BRUTOS'!FD$3:FD$500)))</f>
        <v>0</v>
      </c>
      <c r="IE35" s="133" t="n">
        <f aca="false">IF(OR(IE$4="",$B35=""),0,SUMIF('DADOS BRUTOS'!$A$3:$A$500,$B35,'DADOS BRUTOS'!FE$3:FE$500)+IF($C35="",0,SUMIF('DADOS BRUTOS'!$A$3:$A$500,$C35,'DADOS BRUTOS'!FE$3:FE$500)))</f>
        <v>0</v>
      </c>
      <c r="IF35" s="133" t="n">
        <f aca="false">IF(OR(IF$4="",$B35=""),0,SUMIF('DADOS BRUTOS'!$A$3:$A$500,$B35,'DADOS BRUTOS'!FF$3:FF$500)+IF($C35="",0,SUMIF('DADOS BRUTOS'!$A$3:$A$500,$C35,'DADOS BRUTOS'!FF$3:FF$500)))</f>
        <v>0</v>
      </c>
      <c r="IG35" s="133" t="n">
        <f aca="false">IF(OR(IG$4="",$B35=""),0,SUMIF('DADOS BRUTOS'!$A$3:$A$500,$B35,'DADOS BRUTOS'!FG$3:FG$500)+IF($C35="",0,SUMIF('DADOS BRUTOS'!$A$3:$A$500,$C35,'DADOS BRUTOS'!FG$3:FG$500)))</f>
        <v>0</v>
      </c>
      <c r="IH35" s="133" t="n">
        <f aca="false">IF(OR(IH$4="",$B35=""),0,SUMIF('DADOS BRUTOS'!$A$3:$A$500,$B35,'DADOS BRUTOS'!FH$3:FH$500)+IF($C35="",0,SUMIF('DADOS BRUTOS'!$A$3:$A$500,$C35,'DADOS BRUTOS'!FH$3:FH$500)))</f>
        <v>0</v>
      </c>
      <c r="II35" s="133" t="n">
        <f aca="false">IF(OR(II$4="",$B35=""),0,SUMIF('DADOS BRUTOS'!$A$3:$A$500,$B35,'DADOS BRUTOS'!FI$3:FI$500)+IF($C35="",0,SUMIF('DADOS BRUTOS'!$A$3:$A$500,$C35,'DADOS BRUTOS'!FI$3:FI$500)))</f>
        <v>0</v>
      </c>
      <c r="IJ35" s="133" t="n">
        <f aca="false">IF(OR(IJ$4="",$B35=""),0,SUMIF('DADOS BRUTOS'!$A$3:$A$500,$B35,'DADOS BRUTOS'!FJ$3:FJ$500)+IF($C35="",0,SUMIF('DADOS BRUTOS'!$A$3:$A$500,$C35,'DADOS BRUTOS'!FJ$3:FJ$500)))</f>
        <v>0</v>
      </c>
      <c r="IK35" s="133" t="n">
        <f aca="false">IF(OR(IK$4="",$B35=""),0,SUMIF('DADOS BRUTOS'!$A$3:$A$500,$B35,'DADOS BRUTOS'!FK$3:FK$500)+IF($C35="",0,SUMIF('DADOS BRUTOS'!$A$3:$A$500,$C35,'DADOS BRUTOS'!FK$3:FK$500)))</f>
        <v>0</v>
      </c>
      <c r="IL35" s="133" t="n">
        <f aca="false">IF(OR(IL$4="",$B35=""),0,SUMIF('DADOS BRUTOS'!$A$3:$A$500,$B35,'DADOS BRUTOS'!FL$3:FL$500)+IF($C35="",0,SUMIF('DADOS BRUTOS'!$A$3:$A$500,$C35,'DADOS BRUTOS'!FL$3:FL$500)))</f>
        <v>0</v>
      </c>
      <c r="IM35" s="133" t="n">
        <f aca="false">IF(OR(IM$4="",$B35=""),0,SUMIF('DADOS BRUTOS'!$A$3:$A$500,$B35,'DADOS BRUTOS'!FM$3:FM$500)+IF($C35="",0,SUMIF('DADOS BRUTOS'!$A$3:$A$500,$C35,'DADOS BRUTOS'!FM$3:FM$500)))</f>
        <v>0</v>
      </c>
      <c r="IN35" s="133" t="n">
        <f aca="false">IF(OR(IN$4="",$B35=""),0,SUMIF('DADOS BRUTOS'!$A$3:$A$500,$B35,'DADOS BRUTOS'!FN$3:FN$500)+IF($C35="",0,SUMIF('DADOS BRUTOS'!$A$3:$A$500,$C35,'DADOS BRUTOS'!FN$3:FN$500)))</f>
        <v>0</v>
      </c>
      <c r="IO35" s="133" t="n">
        <f aca="false">IF(OR(IO$4="",$B35=""),0,SUMIF('DADOS BRUTOS'!$A$3:$A$500,$B35,'DADOS BRUTOS'!FO$3:FO$500)+IF($C35="",0,SUMIF('DADOS BRUTOS'!$A$3:$A$500,$C35,'DADOS BRUTOS'!FO$3:FO$500)))</f>
        <v>0</v>
      </c>
      <c r="IP35" s="133" t="n">
        <f aca="false">IF(OR(IP$4="",$B35=""),0,SUMIF('DADOS BRUTOS'!$A$3:$A$500,$B35,'DADOS BRUTOS'!FP$3:FP$500)+IF($C35="",0,SUMIF('DADOS BRUTOS'!$A$3:$A$500,$C35,'DADOS BRUTOS'!FP$3:FP$500)))</f>
        <v>0</v>
      </c>
      <c r="IQ35" s="133" t="n">
        <f aca="false">IF(OR(IQ$4="",$B35=""),0,SUMIF('DADOS BRUTOS'!$A$3:$A$500,$B35,'DADOS BRUTOS'!FQ$3:FQ$500)+IF($C35="",0,SUMIF('DADOS BRUTOS'!$A$3:$A$500,$C35,'DADOS BRUTOS'!FQ$3:FQ$500)))</f>
        <v>0</v>
      </c>
      <c r="IR35" s="133" t="n">
        <f aca="false">IF(OR(IR$4="",$B35=""),0,SUMIF('DADOS BRUTOS'!$A$3:$A$500,$B35,'DADOS BRUTOS'!FR$3:FR$500)+IF($C35="",0,SUMIF('DADOS BRUTOS'!$A$3:$A$500,$C35,'DADOS BRUTOS'!FR$3:FR$500)))</f>
        <v>0</v>
      </c>
      <c r="IS35" s="133" t="n">
        <f aca="false">IF(OR(IS$4="",$B35=""),0,SUMIF('DADOS BRUTOS'!$A$3:$A$500,$B35,'DADOS BRUTOS'!FS$3:FS$500)+IF($C35="",0,SUMIF('DADOS BRUTOS'!$A$3:$A$500,$C35,'DADOS BRUTOS'!FS$3:FS$500)))</f>
        <v>0</v>
      </c>
      <c r="IT35" s="133" t="n">
        <f aca="false">IF(OR(IT$4="",$B35=""),0,SUMIF('DADOS BRUTOS'!$A$3:$A$500,$B35,'DADOS BRUTOS'!FT$3:FT$500)+IF($C35="",0,SUMIF('DADOS BRUTOS'!$A$3:$A$500,$C35,'DADOS BRUTOS'!FT$3:FT$500)))</f>
        <v>0</v>
      </c>
      <c r="IU35" s="133" t="n">
        <f aca="false">IF(OR(IU$4="",$B35=""),0,SUMIF('DADOS BRUTOS'!$A$3:$A$500,$B35,'DADOS BRUTOS'!FU$3:FU$500)+IF($C35="",0,SUMIF('DADOS BRUTOS'!$A$3:$A$500,$C35,'DADOS BRUTOS'!FU$3:FU$500)))</f>
        <v>0</v>
      </c>
      <c r="IV35" s="133" t="n">
        <f aca="false">IF(OR(IV$4="",$B35=""),0,SUMIF('DADOS BRUTOS'!$A$3:$A$500,$B35,'DADOS BRUTOS'!FV$3:FV$500)+IF($C35="",0,SUMIF('DADOS BRUTOS'!$A$3:$A$500,$C35,'DADOS BRUTOS'!FV$3:FV$500)))</f>
        <v>0</v>
      </c>
      <c r="IW35" s="133" t="n">
        <f aca="false">IF(OR(IW$4="",$B35=""),0,SUMIF('DADOS BRUTOS'!$A$3:$A$500,$B35,'DADOS BRUTOS'!FW$3:FW$500)+IF($C35="",0,SUMIF('DADOS BRUTOS'!$A$3:$A$500,$C35,'DADOS BRUTOS'!FW$3:FW$500)))</f>
        <v>0</v>
      </c>
      <c r="IX35" s="133" t="n">
        <f aca="false">IF(OR(IX$4="",$B35=""),0,SUMIF('DADOS BRUTOS'!$A$3:$A$500,$B35,'DADOS BRUTOS'!FX$3:FX$500)+IF($C35="",0,SUMIF('DADOS BRUTOS'!$A$3:$A$500,$C35,'DADOS BRUTOS'!FX$3:FX$500)))</f>
        <v>0</v>
      </c>
      <c r="IY35" s="133" t="n">
        <f aca="false">IF(OR(IY$4="",$B35=""),0,SUMIF('DADOS BRUTOS'!$A$3:$A$500,$B35,'DADOS BRUTOS'!FY$3:FY$500)+IF($C35="",0,SUMIF('DADOS BRUTOS'!$A$3:$A$500,$C35,'DADOS BRUTOS'!FY$3:FY$500)))</f>
        <v>0</v>
      </c>
      <c r="IZ35" s="133" t="n">
        <f aca="false">IF(OR(IZ$4="",$B35=""),0,SUMIF('DADOS BRUTOS'!$A$3:$A$500,$B35,'DADOS BRUTOS'!FZ$3:FZ$500)+IF($C35="",0,SUMIF('DADOS BRUTOS'!$A$3:$A$500,$C35,'DADOS BRUTOS'!FZ$3:FZ$500)))</f>
        <v>0</v>
      </c>
      <c r="JA35" s="133" t="n">
        <f aca="false">IF(OR(JA$4="",$B35=""),0,SUMIF('DADOS BRUTOS'!$A$3:$A$500,$B35,'DADOS BRUTOS'!GA$3:GA$500)+IF($C35="",0,SUMIF('DADOS BRUTOS'!$A$3:$A$500,$C35,'DADOS BRUTOS'!GA$3:GA$500)))</f>
        <v>0</v>
      </c>
      <c r="JB35" s="133" t="n">
        <f aca="false">IF(OR(JB$4="",$B35=""),0,SUMIF('DADOS BRUTOS'!$A$3:$A$500,$B35,'DADOS BRUTOS'!GB$3:GB$500)+IF($C35="",0,SUMIF('DADOS BRUTOS'!$A$3:$A$500,$C35,'DADOS BRUTOS'!GB$3:GB$500)))</f>
        <v>0</v>
      </c>
      <c r="JC35" s="133" t="n">
        <f aca="false">IF(OR(JC$4="",$B35=""),0,SUMIF('DADOS BRUTOS'!$A$3:$A$500,$B35,'DADOS BRUTOS'!GC$3:GC$500)+IF($C35="",0,SUMIF('DADOS BRUTOS'!$A$3:$A$500,$C35,'DADOS BRUTOS'!GC$3:GC$500)))</f>
        <v>0</v>
      </c>
      <c r="JD35" s="133" t="n">
        <f aca="false">IF(OR(JD$4="",$B35=""),0,SUMIF('DADOS BRUTOS'!$A$3:$A$500,$B35,'DADOS BRUTOS'!GD$3:GD$500)+IF($C35="",0,SUMIF('DADOS BRUTOS'!$A$3:$A$500,$C35,'DADOS BRUTOS'!GD$3:GD$500)))</f>
        <v>0</v>
      </c>
      <c r="JE35" s="133" t="n">
        <f aca="false">IF(OR(JE$4="",$B35=""),0,SUMIF('DADOS BRUTOS'!$A$3:$A$500,$B35,'DADOS BRUTOS'!GE$3:GE$500)+IF($C35="",0,SUMIF('DADOS BRUTOS'!$A$3:$A$500,$C35,'DADOS BRUTOS'!GE$3:GE$500)))</f>
        <v>0</v>
      </c>
      <c r="JF35" s="133" t="n">
        <f aca="false">IF(OR(JF$4="",$B35=""),0,SUMIF('DADOS BRUTOS'!$A$3:$A$500,$B35,'DADOS BRUTOS'!GF$3:GF$500)+IF($C35="",0,SUMIF('DADOS BRUTOS'!$A$3:$A$500,$C35,'DADOS BRUTOS'!GF$3:GF$500)))</f>
        <v>0</v>
      </c>
      <c r="JG35" s="133" t="n">
        <f aca="false">IF(OR(JG$4="",$B35=""),0,SUMIF('DADOS BRUTOS'!$A$3:$A$500,$B35,'DADOS BRUTOS'!GG$3:GG$500)+IF($C35="",0,SUMIF('DADOS BRUTOS'!$A$3:$A$500,$C35,'DADOS BRUTOS'!GG$3:GG$500)))</f>
        <v>0</v>
      </c>
      <c r="JH35" s="133" t="n">
        <f aca="false">IF(OR(JH$4="",$B35=""),0,SUMIF('DADOS BRUTOS'!$A$3:$A$500,$B35,'DADOS BRUTOS'!GH$3:GH$500)+IF($C35="",0,SUMIF('DADOS BRUTOS'!$A$3:$A$500,$C35,'DADOS BRUTOS'!GH$3:GH$500)))</f>
        <v>0</v>
      </c>
      <c r="JI35" s="133" t="n">
        <f aca="false">IF(OR(JI$4="",$B35=""),0,SUMIF('DADOS BRUTOS'!$A$3:$A$500,$B35,'DADOS BRUTOS'!GI$3:GI$500)+IF($C35="",0,SUMIF('DADOS BRUTOS'!$A$3:$A$500,$C35,'DADOS BRUTOS'!GI$3:GI$500)))</f>
        <v>0</v>
      </c>
      <c r="JJ35" s="133" t="n">
        <f aca="false">IF(OR(JJ$4="",$B35=""),0,SUMIF('DADOS BRUTOS'!$A$3:$A$500,$B35,'DADOS BRUTOS'!GJ$3:GJ$500)+IF($C35="",0,SUMIF('DADOS BRUTOS'!$A$3:$A$500,$C35,'DADOS BRUTOS'!GJ$3:GJ$500)))</f>
        <v>0</v>
      </c>
      <c r="JK35" s="133" t="n">
        <f aca="false">IF(OR(JK$4="",$B35=""),0,SUMIF('DADOS BRUTOS'!$A$3:$A$500,$B35,'DADOS BRUTOS'!GK$3:GK$500)+IF($C35="",0,SUMIF('DADOS BRUTOS'!$A$3:$A$500,$C35,'DADOS BRUTOS'!GK$3:GK$500)))</f>
        <v>0</v>
      </c>
      <c r="JL35" s="133" t="n">
        <f aca="false">IF(OR(JL$4="",$B35=""),0,SUMIF('DADOS BRUTOS'!$A$3:$A$500,$B35,'DADOS BRUTOS'!GL$3:GL$500)+IF($C35="",0,SUMIF('DADOS BRUTOS'!$A$3:$A$500,$C35,'DADOS BRUTOS'!GL$3:GL$500)))</f>
        <v>0</v>
      </c>
      <c r="JM35" s="133" t="n">
        <f aca="false">IF(OR(JM$4="",$B35=""),0,SUMIF('DADOS BRUTOS'!$A$3:$A$500,$B35,'DADOS BRUTOS'!GM$3:GM$500)+IF($C35="",0,SUMIF('DADOS BRUTOS'!$A$3:$A$500,$C35,'DADOS BRUTOS'!GM$3:GM$500)))</f>
        <v>0</v>
      </c>
      <c r="JN35" s="133" t="n">
        <f aca="false">IF(OR(JN$4="",$B35=""),0,SUMIF('DADOS BRUTOS'!$A$3:$A$500,$B35,'DADOS BRUTOS'!GN$3:GN$500)+IF($C35="",0,SUMIF('DADOS BRUTOS'!$A$3:$A$500,$C35,'DADOS BRUTOS'!GN$3:GN$500)))</f>
        <v>0</v>
      </c>
      <c r="JO35" s="133" t="n">
        <f aca="false">IF(OR(JO$4="",$B35=""),0,SUMIF('DADOS BRUTOS'!$A$3:$A$500,$B35,'DADOS BRUTOS'!GO$3:GO$500)+IF($C35="",0,SUMIF('DADOS BRUTOS'!$A$3:$A$500,$C35,'DADOS BRUTOS'!GO$3:GO$500)))</f>
        <v>0</v>
      </c>
      <c r="JP35" s="133" t="n">
        <f aca="false">IF(OR(JP$4="",$B35=""),0,SUMIF('DADOS BRUTOS'!$A$3:$A$500,$B35,'DADOS BRUTOS'!GP$3:GP$500)+IF($C35="",0,SUMIF('DADOS BRUTOS'!$A$3:$A$500,$C35,'DADOS BRUTOS'!GP$3:GP$500)))</f>
        <v>0</v>
      </c>
      <c r="JQ35" s="133" t="n">
        <f aca="false">IF(OR(JQ$4="",$B35=""),0,SUMIF('DADOS BRUTOS'!$A$3:$A$500,$B35,'DADOS BRUTOS'!GQ$3:GQ$500)+IF($C35="",0,SUMIF('DADOS BRUTOS'!$A$3:$A$500,$C35,'DADOS BRUTOS'!GQ$3:GQ$500)))</f>
        <v>0</v>
      </c>
      <c r="JR35" s="133" t="n">
        <f aca="false">IF(OR(JR$4="",$B35=""),0,SUMIF('DADOS BRUTOS'!$A$3:$A$500,$B35,'DADOS BRUTOS'!GR$3:GR$500)+IF($C35="",0,SUMIF('DADOS BRUTOS'!$A$3:$A$500,$C35,'DADOS BRUTOS'!GR$3:GR$500)))</f>
        <v>0</v>
      </c>
      <c r="JS35" s="133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- FACHADA</v>
      </c>
      <c r="B36" s="55" t="s">
        <v>2878</v>
      </c>
      <c r="C36" s="55" t="s">
        <v>213</v>
      </c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0</v>
      </c>
      <c r="M36" s="50" t="n">
        <f aca="false">SUMIF($CB$4:$JS$4,M$4,$CB36:$JS36)</f>
        <v>0</v>
      </c>
      <c r="N36" s="50" t="n">
        <f aca="false">SUMIF($CB$4:$JS$4,N$4,$CB36:$JS36)</f>
        <v>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0</v>
      </c>
      <c r="Y36" s="50" t="n">
        <f aca="false">SUMIF($CB$4:$JS$4,Y$4,$CB36:$JS36)</f>
        <v>0</v>
      </c>
      <c r="Z36" s="50" t="n">
        <f aca="false">SUMIF($CB$4:$JS$4,Z$4,$CB36:$JS36)</f>
        <v>0</v>
      </c>
      <c r="AA36" s="50" t="n">
        <f aca="false">SUMIF($CB$4:$JS$4,AA$4,$CB36:$JS36)</f>
        <v>0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0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0</v>
      </c>
      <c r="BZ36" s="45" t="n">
        <f aca="false">SUMPRODUCT(($CB$4:$JS$4&lt;&gt;"")*($CB$4:$JS$4&lt;=$D$4),$CB36:$JS36,$CB$1:$JS$1)</f>
        <v>0</v>
      </c>
      <c r="CB36" s="133" t="n">
        <f aca="false">IF(OR(CB$4="",$B36=""),0,SUMIF('DADOS BRUTOS'!$A$3:$A$500,$B36,'DADOS BRUTOS'!B$3:B$500)+IF($C36="",0,SUMIF('DADOS BRUTOS'!$A$3:$A$500,$C36,'DADOS BRUTOS'!B$3:B$500)))</f>
        <v>0</v>
      </c>
      <c r="CC36" s="133" t="n">
        <f aca="false">IF(OR(CC$4="",$B36=""),0,SUMIF('DADOS BRUTOS'!$A$3:$A$500,$B36,'DADOS BRUTOS'!C$3:C$500)+IF($C36="",0,SUMIF('DADOS BRUTOS'!$A$3:$A$500,$C36,'DADOS BRUTOS'!C$3:C$500)))</f>
        <v>0</v>
      </c>
      <c r="CD36" s="133" t="n">
        <f aca="false">IF(OR(CD$4="",$B36=""),0,SUMIF('DADOS BRUTOS'!$A$3:$A$500,$B36,'DADOS BRUTOS'!D$3:D$500)+IF($C36="",0,SUMIF('DADOS BRUTOS'!$A$3:$A$500,$C36,'DADOS BRUTOS'!D$3:D$500)))</f>
        <v>0</v>
      </c>
      <c r="CE36" s="133" t="n">
        <f aca="false">IF(OR(CE$4="",$B36=""),0,SUMIF('DADOS BRUTOS'!$A$3:$A$500,$B36,'DADOS BRUTOS'!E$3:E$500)+IF($C36="",0,SUMIF('DADOS BRUTOS'!$A$3:$A$500,$C36,'DADOS BRUTOS'!E$3:E$500)))</f>
        <v>0</v>
      </c>
      <c r="CF36" s="133" t="n">
        <f aca="false">IF(OR(CF$4="",$B36=""),0,SUMIF('DADOS BRUTOS'!$A$3:$A$500,$B36,'DADOS BRUTOS'!F$3:F$500)+IF($C36="",0,SUMIF('DADOS BRUTOS'!$A$3:$A$500,$C36,'DADOS BRUTOS'!F$3:F$500)))</f>
        <v>0</v>
      </c>
      <c r="CG36" s="133" t="n">
        <f aca="false">IF(OR(CG$4="",$B36=""),0,SUMIF('DADOS BRUTOS'!$A$3:$A$500,$B36,'DADOS BRUTOS'!G$3:G$500)+IF($C36="",0,SUMIF('DADOS BRUTOS'!$A$3:$A$500,$C36,'DADOS BRUTOS'!G$3:G$500)))</f>
        <v>0</v>
      </c>
      <c r="CH36" s="133" t="n">
        <f aca="false">IF(OR(CH$4="",$B36=""),0,SUMIF('DADOS BRUTOS'!$A$3:$A$500,$B36,'DADOS BRUTOS'!H$3:H$500)+IF($C36="",0,SUMIF('DADOS BRUTOS'!$A$3:$A$500,$C36,'DADOS BRUTOS'!H$3:H$500)))</f>
        <v>0</v>
      </c>
      <c r="CI36" s="133" t="n">
        <f aca="false">IF(OR(CI$4="",$B36=""),0,SUMIF('DADOS BRUTOS'!$A$3:$A$500,$B36,'DADOS BRUTOS'!I$3:I$500)+IF($C36="",0,SUMIF('DADOS BRUTOS'!$A$3:$A$500,$C36,'DADOS BRUTOS'!I$3:I$500)))</f>
        <v>0</v>
      </c>
      <c r="CJ36" s="133" t="n">
        <f aca="false">IF(OR(CJ$4="",$B36=""),0,SUMIF('DADOS BRUTOS'!$A$3:$A$500,$B36,'DADOS BRUTOS'!J$3:J$500)+IF($C36="",0,SUMIF('DADOS BRUTOS'!$A$3:$A$500,$C36,'DADOS BRUTOS'!J$3:J$500)))</f>
        <v>0</v>
      </c>
      <c r="CK36" s="133" t="n">
        <f aca="false">IF(OR(CK$4="",$B36=""),0,SUMIF('DADOS BRUTOS'!$A$3:$A$500,$B36,'DADOS BRUTOS'!K$3:K$500)+IF($C36="",0,SUMIF('DADOS BRUTOS'!$A$3:$A$500,$C36,'DADOS BRUTOS'!K$3:K$500)))</f>
        <v>0</v>
      </c>
      <c r="CL36" s="133" t="n">
        <f aca="false">IF(OR(CL$4="",$B36=""),0,SUMIF('DADOS BRUTOS'!$A$3:$A$500,$B36,'DADOS BRUTOS'!L$3:L$500)+IF($C36="",0,SUMIF('DADOS BRUTOS'!$A$3:$A$500,$C36,'DADOS BRUTOS'!L$3:L$500)))</f>
        <v>0</v>
      </c>
      <c r="CM36" s="133" t="n">
        <f aca="false">IF(OR(CM$4="",$B36=""),0,SUMIF('DADOS BRUTOS'!$A$3:$A$500,$B36,'DADOS BRUTOS'!M$3:M$500)+IF($C36="",0,SUMIF('DADOS BRUTOS'!$A$3:$A$500,$C36,'DADOS BRUTOS'!M$3:M$500)))</f>
        <v>0</v>
      </c>
      <c r="CN36" s="133" t="n">
        <f aca="false">IF(OR(CN$4="",$B36=""),0,SUMIF('DADOS BRUTOS'!$A$3:$A$500,$B36,'DADOS BRUTOS'!N$3:N$500)+IF($C36="",0,SUMIF('DADOS BRUTOS'!$A$3:$A$500,$C36,'DADOS BRUTOS'!N$3:N$500)))</f>
        <v>0</v>
      </c>
      <c r="CO36" s="133" t="n">
        <f aca="false">IF(OR(CO$4="",$B36=""),0,SUMIF('DADOS BRUTOS'!$A$3:$A$500,$B36,'DADOS BRUTOS'!O$3:O$500)+IF($C36="",0,SUMIF('DADOS BRUTOS'!$A$3:$A$500,$C36,'DADOS BRUTOS'!O$3:O$500)))</f>
        <v>0</v>
      </c>
      <c r="CP36" s="133" t="n">
        <f aca="false">IF(OR(CP$4="",$B36=""),0,SUMIF('DADOS BRUTOS'!$A$3:$A$500,$B36,'DADOS BRUTOS'!P$3:P$500)+IF($C36="",0,SUMIF('DADOS BRUTOS'!$A$3:$A$500,$C36,'DADOS BRUTOS'!P$3:P$500)))</f>
        <v>0</v>
      </c>
      <c r="CQ36" s="133" t="n">
        <f aca="false">IF(OR(CQ$4="",$B36=""),0,SUMIF('DADOS BRUTOS'!$A$3:$A$500,$B36,'DADOS BRUTOS'!Q$3:Q$500)+IF($C36="",0,SUMIF('DADOS BRUTOS'!$A$3:$A$500,$C36,'DADOS BRUTOS'!Q$3:Q$500)))</f>
        <v>0</v>
      </c>
      <c r="CR36" s="133" t="n">
        <f aca="false">IF(OR(CR$4="",$B36=""),0,SUMIF('DADOS BRUTOS'!$A$3:$A$500,$B36,'DADOS BRUTOS'!R$3:R$500)+IF($C36="",0,SUMIF('DADOS BRUTOS'!$A$3:$A$500,$C36,'DADOS BRUTOS'!R$3:R$500)))</f>
        <v>0</v>
      </c>
      <c r="CS36" s="133" t="n">
        <f aca="false">IF(OR(CS$4="",$B36=""),0,SUMIF('DADOS BRUTOS'!$A$3:$A$500,$B36,'DADOS BRUTOS'!S$3:S$500)+IF($C36="",0,SUMIF('DADOS BRUTOS'!$A$3:$A$500,$C36,'DADOS BRUTOS'!S$3:S$500)))</f>
        <v>0</v>
      </c>
      <c r="CT36" s="133" t="n">
        <f aca="false">IF(OR(CT$4="",$B36=""),0,SUMIF('DADOS BRUTOS'!$A$3:$A$500,$B36,'DADOS BRUTOS'!T$3:T$500)+IF($C36="",0,SUMIF('DADOS BRUTOS'!$A$3:$A$500,$C36,'DADOS BRUTOS'!T$3:T$500)))</f>
        <v>0</v>
      </c>
      <c r="CU36" s="133" t="n">
        <f aca="false">IF(OR(CU$4="",$B36=""),0,SUMIF('DADOS BRUTOS'!$A$3:$A$500,$B36,'DADOS BRUTOS'!U$3:U$500)+IF($C36="",0,SUMIF('DADOS BRUTOS'!$A$3:$A$500,$C36,'DADOS BRUTOS'!U$3:U$500)))</f>
        <v>0</v>
      </c>
      <c r="CV36" s="133" t="n">
        <f aca="false">IF(OR(CV$4="",$B36=""),0,SUMIF('DADOS BRUTOS'!$A$3:$A$500,$B36,'DADOS BRUTOS'!V$3:V$500)+IF($C36="",0,SUMIF('DADOS BRUTOS'!$A$3:$A$500,$C36,'DADOS BRUTOS'!V$3:V$500)))</f>
        <v>0</v>
      </c>
      <c r="CW36" s="133" t="n">
        <f aca="false">IF(OR(CW$4="",$B36=""),0,SUMIF('DADOS BRUTOS'!$A$3:$A$500,$B36,'DADOS BRUTOS'!W$3:W$500)+IF($C36="",0,SUMIF('DADOS BRUTOS'!$A$3:$A$500,$C36,'DADOS BRUTOS'!W$3:W$500)))</f>
        <v>0</v>
      </c>
      <c r="CX36" s="133" t="n">
        <f aca="false">IF(OR(CX$4="",$B36=""),0,SUMIF('DADOS BRUTOS'!$A$3:$A$500,$B36,'DADOS BRUTOS'!X$3:X$500)+IF($C36="",0,SUMIF('DADOS BRUTOS'!$A$3:$A$500,$C36,'DADOS BRUTOS'!X$3:X$500)))</f>
        <v>0</v>
      </c>
      <c r="CY36" s="133" t="n">
        <f aca="false">IF(OR(CY$4="",$B36=""),0,SUMIF('DADOS BRUTOS'!$A$3:$A$500,$B36,'DADOS BRUTOS'!Y$3:Y$500)+IF($C36="",0,SUMIF('DADOS BRUTOS'!$A$3:$A$500,$C36,'DADOS BRUTOS'!Y$3:Y$500)))</f>
        <v>0</v>
      </c>
      <c r="CZ36" s="133" t="n">
        <f aca="false">IF(OR(CZ$4="",$B36=""),0,SUMIF('DADOS BRUTOS'!$A$3:$A$500,$B36,'DADOS BRUTOS'!Z$3:Z$500)+IF($C36="",0,SUMIF('DADOS BRUTOS'!$A$3:$A$500,$C36,'DADOS BRUTOS'!Z$3:Z$500)))</f>
        <v>0</v>
      </c>
      <c r="DA36" s="133" t="n">
        <f aca="false">IF(OR(DA$4="",$B36=""),0,SUMIF('DADOS BRUTOS'!$A$3:$A$500,$B36,'DADOS BRUTOS'!AA$3:AA$500)+IF($C36="",0,SUMIF('DADOS BRUTOS'!$A$3:$A$500,$C36,'DADOS BRUTOS'!AA$3:AA$500)))</f>
        <v>0</v>
      </c>
      <c r="DB36" s="133" t="n">
        <f aca="false">IF(OR(DB$4="",$B36=""),0,SUMIF('DADOS BRUTOS'!$A$3:$A$500,$B36,'DADOS BRUTOS'!AB$3:AB$500)+IF($C36="",0,SUMIF('DADOS BRUTOS'!$A$3:$A$500,$C36,'DADOS BRUTOS'!AB$3:AB$500)))</f>
        <v>0</v>
      </c>
      <c r="DC36" s="133" t="n">
        <f aca="false">IF(OR(DC$4="",$B36=""),0,SUMIF('DADOS BRUTOS'!$A$3:$A$500,$B36,'DADOS BRUTOS'!AC$3:AC$500)+IF($C36="",0,SUMIF('DADOS BRUTOS'!$A$3:$A$500,$C36,'DADOS BRUTOS'!AC$3:AC$500)))</f>
        <v>0</v>
      </c>
      <c r="DD36" s="133" t="n">
        <f aca="false">IF(OR(DD$4="",$B36=""),0,SUMIF('DADOS BRUTOS'!$A$3:$A$500,$B36,'DADOS BRUTOS'!AD$3:AD$500)+IF($C36="",0,SUMIF('DADOS BRUTOS'!$A$3:$A$500,$C36,'DADOS BRUTOS'!AD$3:AD$500)))</f>
        <v>0</v>
      </c>
      <c r="DE36" s="133" t="n">
        <f aca="false">IF(OR(DE$4="",$B36=""),0,SUMIF('DADOS BRUTOS'!$A$3:$A$500,$B36,'DADOS BRUTOS'!AE$3:AE$500)+IF($C36="",0,SUMIF('DADOS BRUTOS'!$A$3:$A$500,$C36,'DADOS BRUTOS'!AE$3:AE$500)))</f>
        <v>0</v>
      </c>
      <c r="DF36" s="133" t="n">
        <f aca="false">IF(OR(DF$4="",$B36=""),0,SUMIF('DADOS BRUTOS'!$A$3:$A$500,$B36,'DADOS BRUTOS'!AF$3:AF$500)+IF($C36="",0,SUMIF('DADOS BRUTOS'!$A$3:$A$500,$C36,'DADOS BRUTOS'!AF$3:AF$500)))</f>
        <v>0</v>
      </c>
      <c r="DG36" s="133" t="n">
        <f aca="false">IF(OR(DG$4="",$B36=""),0,SUMIF('DADOS BRUTOS'!$A$3:$A$500,$B36,'DADOS BRUTOS'!AG$3:AG$500)+IF($C36="",0,SUMIF('DADOS BRUTOS'!$A$3:$A$500,$C36,'DADOS BRUTOS'!AG$3:AG$500)))</f>
        <v>0</v>
      </c>
      <c r="DH36" s="133" t="n">
        <f aca="false">IF(OR(DH$4="",$B36=""),0,SUMIF('DADOS BRUTOS'!$A$3:$A$500,$B36,'DADOS BRUTOS'!AH$3:AH$500)+IF($C36="",0,SUMIF('DADOS BRUTOS'!$A$3:$A$500,$C36,'DADOS BRUTOS'!AH$3:AH$500)))</f>
        <v>0</v>
      </c>
      <c r="DI36" s="133" t="n">
        <f aca="false">IF(OR(DI$4="",$B36=""),0,SUMIF('DADOS BRUTOS'!$A$3:$A$500,$B36,'DADOS BRUTOS'!AI$3:AI$500)+IF($C36="",0,SUMIF('DADOS BRUTOS'!$A$3:$A$500,$C36,'DADOS BRUTOS'!AI$3:AI$500)))</f>
        <v>0</v>
      </c>
      <c r="DJ36" s="133" t="n">
        <f aca="false">IF(OR(DJ$4="",$B36=""),0,SUMIF('DADOS BRUTOS'!$A$3:$A$500,$B36,'DADOS BRUTOS'!AJ$3:AJ$500)+IF($C36="",0,SUMIF('DADOS BRUTOS'!$A$3:$A$500,$C36,'DADOS BRUTOS'!AJ$3:AJ$500)))</f>
        <v>0</v>
      </c>
      <c r="DK36" s="133" t="n">
        <f aca="false">IF(OR(DK$4="",$B36=""),0,SUMIF('DADOS BRUTOS'!$A$3:$A$500,$B36,'DADOS BRUTOS'!AK$3:AK$500)+IF($C36="",0,SUMIF('DADOS BRUTOS'!$A$3:$A$500,$C36,'DADOS BRUTOS'!AK$3:AK$500)))</f>
        <v>0</v>
      </c>
      <c r="DL36" s="133" t="n">
        <f aca="false">IF(OR(DL$4="",$B36=""),0,SUMIF('DADOS BRUTOS'!$A$3:$A$500,$B36,'DADOS BRUTOS'!AL$3:AL$500)+IF($C36="",0,SUMIF('DADOS BRUTOS'!$A$3:$A$500,$C36,'DADOS BRUTOS'!AL$3:AL$500)))</f>
        <v>0</v>
      </c>
      <c r="DM36" s="133" t="n">
        <f aca="false">IF(OR(DM$4="",$B36=""),0,SUMIF('DADOS BRUTOS'!$A$3:$A$500,$B36,'DADOS BRUTOS'!AM$3:AM$500)+IF($C36="",0,SUMIF('DADOS BRUTOS'!$A$3:$A$500,$C36,'DADOS BRUTOS'!AM$3:AM$500)))</f>
        <v>0</v>
      </c>
      <c r="DN36" s="133" t="n">
        <f aca="false">IF(OR(DN$4="",$B36=""),0,SUMIF('DADOS BRUTOS'!$A$3:$A$500,$B36,'DADOS BRUTOS'!AN$3:AN$500)+IF($C36="",0,SUMIF('DADOS BRUTOS'!$A$3:$A$500,$C36,'DADOS BRUTOS'!AN$3:AN$500)))</f>
        <v>0</v>
      </c>
      <c r="DO36" s="133" t="n">
        <f aca="false">IF(OR(DO$4="",$B36=""),0,SUMIF('DADOS BRUTOS'!$A$3:$A$500,$B36,'DADOS BRUTOS'!AO$3:AO$500)+IF($C36="",0,SUMIF('DADOS BRUTOS'!$A$3:$A$500,$C36,'DADOS BRUTOS'!AO$3:AO$500)))</f>
        <v>0</v>
      </c>
      <c r="DP36" s="133" t="n">
        <f aca="false">IF(OR(DP$4="",$B36=""),0,SUMIF('DADOS BRUTOS'!$A$3:$A$500,$B36,'DADOS BRUTOS'!AP$3:AP$500)+IF($C36="",0,SUMIF('DADOS BRUTOS'!$A$3:$A$500,$C36,'DADOS BRUTOS'!AP$3:AP$500)))</f>
        <v>0</v>
      </c>
      <c r="DQ36" s="133" t="n">
        <f aca="false">IF(OR(DQ$4="",$B36=""),0,SUMIF('DADOS BRUTOS'!$A$3:$A$500,$B36,'DADOS BRUTOS'!AQ$3:AQ$500)+IF($C36="",0,SUMIF('DADOS BRUTOS'!$A$3:$A$500,$C36,'DADOS BRUTOS'!AQ$3:AQ$500)))</f>
        <v>0</v>
      </c>
      <c r="DR36" s="133" t="n">
        <f aca="false">IF(OR(DR$4="",$B36=""),0,SUMIF('DADOS BRUTOS'!$A$3:$A$500,$B36,'DADOS BRUTOS'!AR$3:AR$500)+IF($C36="",0,SUMIF('DADOS BRUTOS'!$A$3:$A$500,$C36,'DADOS BRUTOS'!AR$3:AR$500)))</f>
        <v>0</v>
      </c>
      <c r="DS36" s="133" t="n">
        <f aca="false">IF(OR(DS$4="",$B36=""),0,SUMIF('DADOS BRUTOS'!$A$3:$A$500,$B36,'DADOS BRUTOS'!AS$3:AS$500)+IF($C36="",0,SUMIF('DADOS BRUTOS'!$A$3:$A$500,$C36,'DADOS BRUTOS'!AS$3:AS$500)))</f>
        <v>0</v>
      </c>
      <c r="DT36" s="133" t="n">
        <f aca="false">IF(OR(DT$4="",$B36=""),0,SUMIF('DADOS BRUTOS'!$A$3:$A$500,$B36,'DADOS BRUTOS'!AT$3:AT$500)+IF($C36="",0,SUMIF('DADOS BRUTOS'!$A$3:$A$500,$C36,'DADOS BRUTOS'!AT$3:AT$500)))</f>
        <v>0</v>
      </c>
      <c r="DU36" s="133" t="n">
        <f aca="false">IF(OR(DU$4="",$B36=""),0,SUMIF('DADOS BRUTOS'!$A$3:$A$500,$B36,'DADOS BRUTOS'!AU$3:AU$500)+IF($C36="",0,SUMIF('DADOS BRUTOS'!$A$3:$A$500,$C36,'DADOS BRUTOS'!AU$3:AU$500)))</f>
        <v>0</v>
      </c>
      <c r="DV36" s="133" t="n">
        <f aca="false">IF(OR(DV$4="",$B36=""),0,SUMIF('DADOS BRUTOS'!$A$3:$A$500,$B36,'DADOS BRUTOS'!AV$3:AV$500)+IF($C36="",0,SUMIF('DADOS BRUTOS'!$A$3:$A$500,$C36,'DADOS BRUTOS'!AV$3:AV$500)))</f>
        <v>0</v>
      </c>
      <c r="DW36" s="133" t="n">
        <f aca="false">IF(OR(DW$4="",$B36=""),0,SUMIF('DADOS BRUTOS'!$A$3:$A$500,$B36,'DADOS BRUTOS'!AW$3:AW$500)+IF($C36="",0,SUMIF('DADOS BRUTOS'!$A$3:$A$500,$C36,'DADOS BRUTOS'!AW$3:AW$500)))</f>
        <v>0</v>
      </c>
      <c r="DX36" s="133" t="n">
        <f aca="false">IF(OR(DX$4="",$B36=""),0,SUMIF('DADOS BRUTOS'!$A$3:$A$500,$B36,'DADOS BRUTOS'!AX$3:AX$500)+IF($C36="",0,SUMIF('DADOS BRUTOS'!$A$3:$A$500,$C36,'DADOS BRUTOS'!AX$3:AX$500)))</f>
        <v>0</v>
      </c>
      <c r="DY36" s="133" t="n">
        <f aca="false">IF(OR(DY$4="",$B36=""),0,SUMIF('DADOS BRUTOS'!$A$3:$A$500,$B36,'DADOS BRUTOS'!AY$3:AY$500)+IF($C36="",0,SUMIF('DADOS BRUTOS'!$A$3:$A$500,$C36,'DADOS BRUTOS'!AY$3:AY$500)))</f>
        <v>0</v>
      </c>
      <c r="DZ36" s="133" t="n">
        <f aca="false">IF(OR(DZ$4="",$B36=""),0,SUMIF('DADOS BRUTOS'!$A$3:$A$500,$B36,'DADOS BRUTOS'!AZ$3:AZ$500)+IF($C36="",0,SUMIF('DADOS BRUTOS'!$A$3:$A$500,$C36,'DADOS BRUTOS'!AZ$3:AZ$500)))</f>
        <v>0</v>
      </c>
      <c r="EA36" s="133" t="n">
        <f aca="false">IF(OR(EA$4="",$B36=""),0,SUMIF('DADOS BRUTOS'!$A$3:$A$500,$B36,'DADOS BRUTOS'!BA$3:BA$500)+IF($C36="",0,SUMIF('DADOS BRUTOS'!$A$3:$A$500,$C36,'DADOS BRUTOS'!BA$3:BA$500)))</f>
        <v>0</v>
      </c>
      <c r="EB36" s="133" t="n">
        <f aca="false">IF(OR(EB$4="",$B36=""),0,SUMIF('DADOS BRUTOS'!$A$3:$A$500,$B36,'DADOS BRUTOS'!BB$3:BB$500)+IF($C36="",0,SUMIF('DADOS BRUTOS'!$A$3:$A$500,$C36,'DADOS BRUTOS'!BB$3:BB$500)))</f>
        <v>0</v>
      </c>
      <c r="EC36" s="133" t="n">
        <f aca="false">IF(OR(EC$4="",$B36=""),0,SUMIF('DADOS BRUTOS'!$A$3:$A$500,$B36,'DADOS BRUTOS'!BC$3:BC$500)+IF($C36="",0,SUMIF('DADOS BRUTOS'!$A$3:$A$500,$C36,'DADOS BRUTOS'!BC$3:BC$500)))</f>
        <v>0</v>
      </c>
      <c r="ED36" s="133" t="n">
        <f aca="false">IF(OR(ED$4="",$B36=""),0,SUMIF('DADOS BRUTOS'!$A$3:$A$500,$B36,'DADOS BRUTOS'!BD$3:BD$500)+IF($C36="",0,SUMIF('DADOS BRUTOS'!$A$3:$A$500,$C36,'DADOS BRUTOS'!BD$3:BD$500)))</f>
        <v>0</v>
      </c>
      <c r="EE36" s="133" t="n">
        <f aca="false">IF(OR(EE$4="",$B36=""),0,SUMIF('DADOS BRUTOS'!$A$3:$A$500,$B36,'DADOS BRUTOS'!BE$3:BE$500)+IF($C36="",0,SUMIF('DADOS BRUTOS'!$A$3:$A$500,$C36,'DADOS BRUTOS'!BE$3:BE$500)))</f>
        <v>0</v>
      </c>
      <c r="EF36" s="133" t="n">
        <f aca="false">IF(OR(EF$4="",$B36=""),0,SUMIF('DADOS BRUTOS'!$A$3:$A$500,$B36,'DADOS BRUTOS'!BF$3:BF$500)+IF($C36="",0,SUMIF('DADOS BRUTOS'!$A$3:$A$500,$C36,'DADOS BRUTOS'!BF$3:BF$500)))</f>
        <v>0</v>
      </c>
      <c r="EG36" s="133" t="n">
        <f aca="false">IF(OR(EG$4="",$B36=""),0,SUMIF('DADOS BRUTOS'!$A$3:$A$500,$B36,'DADOS BRUTOS'!BG$3:BG$500)+IF($C36="",0,SUMIF('DADOS BRUTOS'!$A$3:$A$500,$C36,'DADOS BRUTOS'!BG$3:BG$500)))</f>
        <v>0</v>
      </c>
      <c r="EH36" s="133" t="n">
        <f aca="false">IF(OR(EH$4="",$B36=""),0,SUMIF('DADOS BRUTOS'!$A$3:$A$500,$B36,'DADOS BRUTOS'!BH$3:BH$500)+IF($C36="",0,SUMIF('DADOS BRUTOS'!$A$3:$A$500,$C36,'DADOS BRUTOS'!BH$3:BH$500)))</f>
        <v>0</v>
      </c>
      <c r="EI36" s="133" t="n">
        <f aca="false">IF(OR(EI$4="",$B36=""),0,SUMIF('DADOS BRUTOS'!$A$3:$A$500,$B36,'DADOS BRUTOS'!BI$3:BI$500)+IF($C36="",0,SUMIF('DADOS BRUTOS'!$A$3:$A$500,$C36,'DADOS BRUTOS'!BI$3:BI$500)))</f>
        <v>0</v>
      </c>
      <c r="EJ36" s="133" t="n">
        <f aca="false">IF(OR(EJ$4="",$B36=""),0,SUMIF('DADOS BRUTOS'!$A$3:$A$500,$B36,'DADOS BRUTOS'!BJ$3:BJ$500)+IF($C36="",0,SUMIF('DADOS BRUTOS'!$A$3:$A$500,$C36,'DADOS BRUTOS'!BJ$3:BJ$500)))</f>
        <v>0</v>
      </c>
      <c r="EK36" s="133" t="n">
        <f aca="false">IF(OR(EK$4="",$B36=""),0,SUMIF('DADOS BRUTOS'!$A$3:$A$500,$B36,'DADOS BRUTOS'!BK$3:BK$500)+IF($C36="",0,SUMIF('DADOS BRUTOS'!$A$3:$A$500,$C36,'DADOS BRUTOS'!BK$3:BK$500)))</f>
        <v>0</v>
      </c>
      <c r="EL36" s="133" t="n">
        <f aca="false">IF(OR(EL$4="",$B36=""),0,SUMIF('DADOS BRUTOS'!$A$3:$A$500,$B36,'DADOS BRUTOS'!BL$3:BL$500)+IF($C36="",0,SUMIF('DADOS BRUTOS'!$A$3:$A$500,$C36,'DADOS BRUTOS'!BL$3:BL$500)))</f>
        <v>0</v>
      </c>
      <c r="EM36" s="133" t="n">
        <f aca="false">IF(OR(EM$4="",$B36=""),0,SUMIF('DADOS BRUTOS'!$A$3:$A$500,$B36,'DADOS BRUTOS'!BM$3:BM$500)+IF($C36="",0,SUMIF('DADOS BRUTOS'!$A$3:$A$500,$C36,'DADOS BRUTOS'!BM$3:BM$500)))</f>
        <v>0</v>
      </c>
      <c r="EN36" s="133" t="n">
        <f aca="false">IF(OR(EN$4="",$B36=""),0,SUMIF('DADOS BRUTOS'!$A$3:$A$500,$B36,'DADOS BRUTOS'!BN$3:BN$500)+IF($C36="",0,SUMIF('DADOS BRUTOS'!$A$3:$A$500,$C36,'DADOS BRUTOS'!BN$3:BN$500)))</f>
        <v>0</v>
      </c>
      <c r="EO36" s="133" t="n">
        <f aca="false">IF(OR(EO$4="",$B36=""),0,SUMIF('DADOS BRUTOS'!$A$3:$A$500,$B36,'DADOS BRUTOS'!BO$3:BO$500)+IF($C36="",0,SUMIF('DADOS BRUTOS'!$A$3:$A$500,$C36,'DADOS BRUTOS'!BO$3:BO$500)))</f>
        <v>0</v>
      </c>
      <c r="EP36" s="133" t="n">
        <f aca="false">IF(OR(EP$4="",$B36=""),0,SUMIF('DADOS BRUTOS'!$A$3:$A$500,$B36,'DADOS BRUTOS'!BP$3:BP$500)+IF($C36="",0,SUMIF('DADOS BRUTOS'!$A$3:$A$500,$C36,'DADOS BRUTOS'!BP$3:BP$500)))</f>
        <v>0</v>
      </c>
      <c r="EQ36" s="133" t="n">
        <f aca="false">IF(OR(EQ$4="",$B36=""),0,SUMIF('DADOS BRUTOS'!$A$3:$A$500,$B36,'DADOS BRUTOS'!BQ$3:BQ$500)+IF($C36="",0,SUMIF('DADOS BRUTOS'!$A$3:$A$500,$C36,'DADOS BRUTOS'!BQ$3:BQ$500)))</f>
        <v>0</v>
      </c>
      <c r="ER36" s="133" t="n">
        <f aca="false">IF(OR(ER$4="",$B36=""),0,SUMIF('DADOS BRUTOS'!$A$3:$A$500,$B36,'DADOS BRUTOS'!BR$3:BR$500)+IF($C36="",0,SUMIF('DADOS BRUTOS'!$A$3:$A$500,$C36,'DADOS BRUTOS'!BR$3:BR$500)))</f>
        <v>0</v>
      </c>
      <c r="ES36" s="133" t="n">
        <f aca="false">IF(OR(ES$4="",$B36=""),0,SUMIF('DADOS BRUTOS'!$A$3:$A$500,$B36,'DADOS BRUTOS'!BS$3:BS$500)+IF($C36="",0,SUMIF('DADOS BRUTOS'!$A$3:$A$500,$C36,'DADOS BRUTOS'!BS$3:BS$500)))</f>
        <v>0</v>
      </c>
      <c r="ET36" s="133" t="n">
        <f aca="false">IF(OR(ET$4="",$B36=""),0,SUMIF('DADOS BRUTOS'!$A$3:$A$500,$B36,'DADOS BRUTOS'!BT$3:BT$500)+IF($C36="",0,SUMIF('DADOS BRUTOS'!$A$3:$A$500,$C36,'DADOS BRUTOS'!BT$3:BT$500)))</f>
        <v>0</v>
      </c>
      <c r="EU36" s="133" t="n">
        <f aca="false">IF(OR(EU$4="",$B36=""),0,SUMIF('DADOS BRUTOS'!$A$3:$A$500,$B36,'DADOS BRUTOS'!BU$3:BU$500)+IF($C36="",0,SUMIF('DADOS BRUTOS'!$A$3:$A$500,$C36,'DADOS BRUTOS'!BU$3:BU$500)))</f>
        <v>0</v>
      </c>
      <c r="EV36" s="133" t="n">
        <f aca="false">IF(OR(EV$4="",$B36=""),0,SUMIF('DADOS BRUTOS'!$A$3:$A$500,$B36,'DADOS BRUTOS'!BV$3:BV$500)+IF($C36="",0,SUMIF('DADOS BRUTOS'!$A$3:$A$500,$C36,'DADOS BRUTOS'!BV$3:BV$500)))</f>
        <v>0</v>
      </c>
      <c r="EW36" s="133" t="n">
        <f aca="false">IF(OR(EW$4="",$B36=""),0,SUMIF('DADOS BRUTOS'!$A$3:$A$500,$B36,'DADOS BRUTOS'!BW$3:BW$500)+IF($C36="",0,SUMIF('DADOS BRUTOS'!$A$3:$A$500,$C36,'DADOS BRUTOS'!BW$3:BW$500)))</f>
        <v>0</v>
      </c>
      <c r="EX36" s="133" t="n">
        <f aca="false">IF(OR(EX$4="",$B36=""),0,SUMIF('DADOS BRUTOS'!$A$3:$A$500,$B36,'DADOS BRUTOS'!BX$3:BX$500)+IF($C36="",0,SUMIF('DADOS BRUTOS'!$A$3:$A$500,$C36,'DADOS BRUTOS'!BX$3:BX$500)))</f>
        <v>0</v>
      </c>
      <c r="EY36" s="133" t="n">
        <f aca="false">IF(OR(EY$4="",$B36=""),0,SUMIF('DADOS BRUTOS'!$A$3:$A$500,$B36,'DADOS BRUTOS'!BY$3:BY$500)+IF($C36="",0,SUMIF('DADOS BRUTOS'!$A$3:$A$500,$C36,'DADOS BRUTOS'!BY$3:BY$500)))</f>
        <v>0</v>
      </c>
      <c r="EZ36" s="133" t="n">
        <f aca="false">IF(OR(EZ$4="",$B36=""),0,SUMIF('DADOS BRUTOS'!$A$3:$A$500,$B36,'DADOS BRUTOS'!BZ$3:BZ$500)+IF($C36="",0,SUMIF('DADOS BRUTOS'!$A$3:$A$500,$C36,'DADOS BRUTOS'!BZ$3:BZ$500)))</f>
        <v>0</v>
      </c>
      <c r="FA36" s="133" t="n">
        <f aca="false">IF(OR(FA$4="",$B36=""),0,SUMIF('DADOS BRUTOS'!$A$3:$A$500,$B36,'DADOS BRUTOS'!CA$3:CA$500)+IF($C36="",0,SUMIF('DADOS BRUTOS'!$A$3:$A$500,$C36,'DADOS BRUTOS'!CA$3:CA$500)))</f>
        <v>0</v>
      </c>
      <c r="FB36" s="133" t="n">
        <f aca="false">IF(OR(FB$4="",$B36=""),0,SUMIF('DADOS BRUTOS'!$A$3:$A$500,$B36,'DADOS BRUTOS'!CB$3:CB$500)+IF($C36="",0,SUMIF('DADOS BRUTOS'!$A$3:$A$500,$C36,'DADOS BRUTOS'!CB$3:CB$500)))</f>
        <v>0</v>
      </c>
      <c r="FC36" s="133" t="n">
        <f aca="false">IF(OR(FC$4="",$B36=""),0,SUMIF('DADOS BRUTOS'!$A$3:$A$500,$B36,'DADOS BRUTOS'!CC$3:CC$500)+IF($C36="",0,SUMIF('DADOS BRUTOS'!$A$3:$A$500,$C36,'DADOS BRUTOS'!CC$3:CC$500)))</f>
        <v>0</v>
      </c>
      <c r="FD36" s="133" t="n">
        <f aca="false">IF(OR(FD$4="",$B36=""),0,SUMIF('DADOS BRUTOS'!$A$3:$A$500,$B36,'DADOS BRUTOS'!CD$3:CD$500)+IF($C36="",0,SUMIF('DADOS BRUTOS'!$A$3:$A$500,$C36,'DADOS BRUTOS'!CD$3:CD$500)))</f>
        <v>0</v>
      </c>
      <c r="FE36" s="133" t="n">
        <f aca="false">IF(OR(FE$4="",$B36=""),0,SUMIF('DADOS BRUTOS'!$A$3:$A$500,$B36,'DADOS BRUTOS'!CE$3:CE$500)+IF($C36="",0,SUMIF('DADOS BRUTOS'!$A$3:$A$500,$C36,'DADOS BRUTOS'!CE$3:CE$500)))</f>
        <v>0</v>
      </c>
      <c r="FF36" s="133" t="n">
        <f aca="false">IF(OR(FF$4="",$B36=""),0,SUMIF('DADOS BRUTOS'!$A$3:$A$500,$B36,'DADOS BRUTOS'!CF$3:CF$500)+IF($C36="",0,SUMIF('DADOS BRUTOS'!$A$3:$A$500,$C36,'DADOS BRUTOS'!CF$3:CF$500)))</f>
        <v>0</v>
      </c>
      <c r="FG36" s="133" t="n">
        <f aca="false">IF(OR(FG$4="",$B36=""),0,SUMIF('DADOS BRUTOS'!$A$3:$A$500,$B36,'DADOS BRUTOS'!CG$3:CG$500)+IF($C36="",0,SUMIF('DADOS BRUTOS'!$A$3:$A$500,$C36,'DADOS BRUTOS'!CG$3:CG$500)))</f>
        <v>0</v>
      </c>
      <c r="FH36" s="133" t="n">
        <f aca="false">IF(OR(FH$4="",$B36=""),0,SUMIF('DADOS BRUTOS'!$A$3:$A$500,$B36,'DADOS BRUTOS'!CH$3:CH$500)+IF($C36="",0,SUMIF('DADOS BRUTOS'!$A$3:$A$500,$C36,'DADOS BRUTOS'!CH$3:CH$500)))</f>
        <v>0</v>
      </c>
      <c r="FI36" s="133" t="n">
        <f aca="false">IF(OR(FI$4="",$B36=""),0,SUMIF('DADOS BRUTOS'!$A$3:$A$500,$B36,'DADOS BRUTOS'!CI$3:CI$500)+IF($C36="",0,SUMIF('DADOS BRUTOS'!$A$3:$A$500,$C36,'DADOS BRUTOS'!CI$3:CI$500)))</f>
        <v>0</v>
      </c>
      <c r="FJ36" s="133" t="n">
        <f aca="false">IF(OR(FJ$4="",$B36=""),0,SUMIF('DADOS BRUTOS'!$A$3:$A$500,$B36,'DADOS BRUTOS'!CJ$3:CJ$500)+IF($C36="",0,SUMIF('DADOS BRUTOS'!$A$3:$A$500,$C36,'DADOS BRUTOS'!CJ$3:CJ$500)))</f>
        <v>0</v>
      </c>
      <c r="FK36" s="133" t="n">
        <f aca="false">IF(OR(FK$4="",$B36=""),0,SUMIF('DADOS BRUTOS'!$A$3:$A$500,$B36,'DADOS BRUTOS'!CK$3:CK$500)+IF($C36="",0,SUMIF('DADOS BRUTOS'!$A$3:$A$500,$C36,'DADOS BRUTOS'!CK$3:CK$500)))</f>
        <v>0</v>
      </c>
      <c r="FL36" s="133" t="n">
        <f aca="false">IF(OR(FL$4="",$B36=""),0,SUMIF('DADOS BRUTOS'!$A$3:$A$500,$B36,'DADOS BRUTOS'!CL$3:CL$500)+IF($C36="",0,SUMIF('DADOS BRUTOS'!$A$3:$A$500,$C36,'DADOS BRUTOS'!CL$3:CL$500)))</f>
        <v>0</v>
      </c>
      <c r="FM36" s="133" t="n">
        <f aca="false">IF(OR(FM$4="",$B36=""),0,SUMIF('DADOS BRUTOS'!$A$3:$A$500,$B36,'DADOS BRUTOS'!CM$3:CM$500)+IF($C36="",0,SUMIF('DADOS BRUTOS'!$A$3:$A$500,$C36,'DADOS BRUTOS'!CM$3:CM$500)))</f>
        <v>0</v>
      </c>
      <c r="FN36" s="133" t="n">
        <f aca="false">IF(OR(FN$4="",$B36=""),0,SUMIF('DADOS BRUTOS'!$A$3:$A$500,$B36,'DADOS BRUTOS'!CN$3:CN$500)+IF($C36="",0,SUMIF('DADOS BRUTOS'!$A$3:$A$500,$C36,'DADOS BRUTOS'!CN$3:CN$500)))</f>
        <v>0</v>
      </c>
      <c r="FO36" s="133" t="n">
        <f aca="false">IF(OR(FO$4="",$B36=""),0,SUMIF('DADOS BRUTOS'!$A$3:$A$500,$B36,'DADOS BRUTOS'!CO$3:CO$500)+IF($C36="",0,SUMIF('DADOS BRUTOS'!$A$3:$A$500,$C36,'DADOS BRUTOS'!CO$3:CO$500)))</f>
        <v>0</v>
      </c>
      <c r="FP36" s="133" t="n">
        <f aca="false">IF(OR(FP$4="",$B36=""),0,SUMIF('DADOS BRUTOS'!$A$3:$A$500,$B36,'DADOS BRUTOS'!CP$3:CP$500)+IF($C36="",0,SUMIF('DADOS BRUTOS'!$A$3:$A$500,$C36,'DADOS BRUTOS'!CP$3:CP$500)))</f>
        <v>0</v>
      </c>
      <c r="FQ36" s="133" t="n">
        <f aca="false">IF(OR(FQ$4="",$B36=""),0,SUMIF('DADOS BRUTOS'!$A$3:$A$500,$B36,'DADOS BRUTOS'!CQ$3:CQ$500)+IF($C36="",0,SUMIF('DADOS BRUTOS'!$A$3:$A$500,$C36,'DADOS BRUTOS'!CQ$3:CQ$500)))</f>
        <v>0</v>
      </c>
      <c r="FR36" s="133" t="n">
        <f aca="false">IF(OR(FR$4="",$B36=""),0,SUMIF('DADOS BRUTOS'!$A$3:$A$500,$B36,'DADOS BRUTOS'!CR$3:CR$500)+IF($C36="",0,SUMIF('DADOS BRUTOS'!$A$3:$A$500,$C36,'DADOS BRUTOS'!CR$3:CR$500)))</f>
        <v>0</v>
      </c>
      <c r="FS36" s="133" t="n">
        <f aca="false">IF(OR(FS$4="",$B36=""),0,SUMIF('DADOS BRUTOS'!$A$3:$A$500,$B36,'DADOS BRUTOS'!CS$3:CS$500)+IF($C36="",0,SUMIF('DADOS BRUTOS'!$A$3:$A$500,$C36,'DADOS BRUTOS'!CS$3:CS$500)))</f>
        <v>0</v>
      </c>
      <c r="FT36" s="133" t="n">
        <f aca="false">IF(OR(FT$4="",$B36=""),0,SUMIF('DADOS BRUTOS'!$A$3:$A$500,$B36,'DADOS BRUTOS'!CT$3:CT$500)+IF($C36="",0,SUMIF('DADOS BRUTOS'!$A$3:$A$500,$C36,'DADOS BRUTOS'!CT$3:CT$500)))</f>
        <v>0</v>
      </c>
      <c r="FU36" s="133" t="n">
        <f aca="false">IF(OR(FU$4="",$B36=""),0,SUMIF('DADOS BRUTOS'!$A$3:$A$500,$B36,'DADOS BRUTOS'!CU$3:CU$500)+IF($C36="",0,SUMIF('DADOS BRUTOS'!$A$3:$A$500,$C36,'DADOS BRUTOS'!CU$3:CU$500)))</f>
        <v>0</v>
      </c>
      <c r="FV36" s="133" t="n">
        <f aca="false">IF(OR(FV$4="",$B36=""),0,SUMIF('DADOS BRUTOS'!$A$3:$A$500,$B36,'DADOS BRUTOS'!CV$3:CV$500)+IF($C36="",0,SUMIF('DADOS BRUTOS'!$A$3:$A$500,$C36,'DADOS BRUTOS'!CV$3:CV$500)))</f>
        <v>0</v>
      </c>
      <c r="FW36" s="133" t="n">
        <f aca="false">IF(OR(FW$4="",$B36=""),0,SUMIF('DADOS BRUTOS'!$A$3:$A$500,$B36,'DADOS BRUTOS'!CW$3:CW$500)+IF($C36="",0,SUMIF('DADOS BRUTOS'!$A$3:$A$500,$C36,'DADOS BRUTOS'!CW$3:CW$500)))</f>
        <v>0</v>
      </c>
      <c r="FX36" s="133" t="n">
        <f aca="false">IF(OR(FX$4="",$B36=""),0,SUMIF('DADOS BRUTOS'!$A$3:$A$500,$B36,'DADOS BRUTOS'!CX$3:CX$500)+IF($C36="",0,SUMIF('DADOS BRUTOS'!$A$3:$A$500,$C36,'DADOS BRUTOS'!CX$3:CX$500)))</f>
        <v>0</v>
      </c>
      <c r="FY36" s="133" t="n">
        <f aca="false">IF(OR(FY$4="",$B36=""),0,SUMIF('DADOS BRUTOS'!$A$3:$A$500,$B36,'DADOS BRUTOS'!CY$3:CY$500)+IF($C36="",0,SUMIF('DADOS BRUTOS'!$A$3:$A$500,$C36,'DADOS BRUTOS'!CY$3:CY$500)))</f>
        <v>0</v>
      </c>
      <c r="FZ36" s="133" t="n">
        <f aca="false">IF(OR(FZ$4="",$B36=""),0,SUMIF('DADOS BRUTOS'!$A$3:$A$500,$B36,'DADOS BRUTOS'!CZ$3:CZ$500)+IF($C36="",0,SUMIF('DADOS BRUTOS'!$A$3:$A$500,$C36,'DADOS BRUTOS'!CZ$3:CZ$500)))</f>
        <v>0</v>
      </c>
      <c r="GA36" s="133" t="n">
        <f aca="false">IF(OR(GA$4="",$B36=""),0,SUMIF('DADOS BRUTOS'!$A$3:$A$500,$B36,'DADOS BRUTOS'!DA$3:DA$500)+IF($C36="",0,SUMIF('DADOS BRUTOS'!$A$3:$A$500,$C36,'DADOS BRUTOS'!DA$3:DA$500)))</f>
        <v>0</v>
      </c>
      <c r="GB36" s="133" t="n">
        <f aca="false">IF(OR(GB$4="",$B36=""),0,SUMIF('DADOS BRUTOS'!$A$3:$A$500,$B36,'DADOS BRUTOS'!DB$3:DB$500)+IF($C36="",0,SUMIF('DADOS BRUTOS'!$A$3:$A$500,$C36,'DADOS BRUTOS'!DB$3:DB$500)))</f>
        <v>0</v>
      </c>
      <c r="GC36" s="133" t="n">
        <f aca="false">IF(OR(GC$4="",$B36=""),0,SUMIF('DADOS BRUTOS'!$A$3:$A$500,$B36,'DADOS BRUTOS'!DC$3:DC$500)+IF($C36="",0,SUMIF('DADOS BRUTOS'!$A$3:$A$500,$C36,'DADOS BRUTOS'!DC$3:DC$500)))</f>
        <v>0</v>
      </c>
      <c r="GD36" s="133" t="n">
        <f aca="false">IF(OR(GD$4="",$B36=""),0,SUMIF('DADOS BRUTOS'!$A$3:$A$500,$B36,'DADOS BRUTOS'!DD$3:DD$500)+IF($C36="",0,SUMIF('DADOS BRUTOS'!$A$3:$A$500,$C36,'DADOS BRUTOS'!DD$3:DD$500)))</f>
        <v>0</v>
      </c>
      <c r="GE36" s="133" t="n">
        <f aca="false">IF(OR(GE$4="",$B36=""),0,SUMIF('DADOS BRUTOS'!$A$3:$A$500,$B36,'DADOS BRUTOS'!DE$3:DE$500)+IF($C36="",0,SUMIF('DADOS BRUTOS'!$A$3:$A$500,$C36,'DADOS BRUTOS'!DE$3:DE$500)))</f>
        <v>0</v>
      </c>
      <c r="GF36" s="133" t="n">
        <f aca="false">IF(OR(GF$4="",$B36=""),0,SUMIF('DADOS BRUTOS'!$A$3:$A$500,$B36,'DADOS BRUTOS'!DF$3:DF$500)+IF($C36="",0,SUMIF('DADOS BRUTOS'!$A$3:$A$500,$C36,'DADOS BRUTOS'!DF$3:DF$500)))</f>
        <v>0</v>
      </c>
      <c r="GG36" s="133" t="n">
        <f aca="false">IF(OR(GG$4="",$B36=""),0,SUMIF('DADOS BRUTOS'!$A$3:$A$500,$B36,'DADOS BRUTOS'!DG$3:DG$500)+IF($C36="",0,SUMIF('DADOS BRUTOS'!$A$3:$A$500,$C36,'DADOS BRUTOS'!DG$3:DG$500)))</f>
        <v>0</v>
      </c>
      <c r="GH36" s="133" t="n">
        <f aca="false">IF(OR(GH$4="",$B36=""),0,SUMIF('DADOS BRUTOS'!$A$3:$A$500,$B36,'DADOS BRUTOS'!DH$3:DH$500)+IF($C36="",0,SUMIF('DADOS BRUTOS'!$A$3:$A$500,$C36,'DADOS BRUTOS'!DH$3:DH$500)))</f>
        <v>0</v>
      </c>
      <c r="GI36" s="133" t="n">
        <f aca="false">IF(OR(GI$4="",$B36=""),0,SUMIF('DADOS BRUTOS'!$A$3:$A$500,$B36,'DADOS BRUTOS'!DI$3:DI$500)+IF($C36="",0,SUMIF('DADOS BRUTOS'!$A$3:$A$500,$C36,'DADOS BRUTOS'!DI$3:DI$500)))</f>
        <v>0</v>
      </c>
      <c r="GJ36" s="133" t="n">
        <f aca="false">IF(OR(GJ$4="",$B36=""),0,SUMIF('DADOS BRUTOS'!$A$3:$A$500,$B36,'DADOS BRUTOS'!DJ$3:DJ$500)+IF($C36="",0,SUMIF('DADOS BRUTOS'!$A$3:$A$500,$C36,'DADOS BRUTOS'!DJ$3:DJ$500)))</f>
        <v>0</v>
      </c>
      <c r="GK36" s="133" t="n">
        <f aca="false">IF(OR(GK$4="",$B36=""),0,SUMIF('DADOS BRUTOS'!$A$3:$A$500,$B36,'DADOS BRUTOS'!DK$3:DK$500)+IF($C36="",0,SUMIF('DADOS BRUTOS'!$A$3:$A$500,$C36,'DADOS BRUTOS'!DK$3:DK$500)))</f>
        <v>0</v>
      </c>
      <c r="GL36" s="133" t="n">
        <f aca="false">IF(OR(GL$4="",$B36=""),0,SUMIF('DADOS BRUTOS'!$A$3:$A$500,$B36,'DADOS BRUTOS'!DL$3:DL$500)+IF($C36="",0,SUMIF('DADOS BRUTOS'!$A$3:$A$500,$C36,'DADOS BRUTOS'!DL$3:DL$500)))</f>
        <v>0</v>
      </c>
      <c r="GM36" s="133" t="n">
        <f aca="false">IF(OR(GM$4="",$B36=""),0,SUMIF('DADOS BRUTOS'!$A$3:$A$500,$B36,'DADOS BRUTOS'!DM$3:DM$500)+IF($C36="",0,SUMIF('DADOS BRUTOS'!$A$3:$A$500,$C36,'DADOS BRUTOS'!DM$3:DM$500)))</f>
        <v>0</v>
      </c>
      <c r="GN36" s="133" t="n">
        <f aca="false">IF(OR(GN$4="",$B36=""),0,SUMIF('DADOS BRUTOS'!$A$3:$A$500,$B36,'DADOS BRUTOS'!DN$3:DN$500)+IF($C36="",0,SUMIF('DADOS BRUTOS'!$A$3:$A$500,$C36,'DADOS BRUTOS'!DN$3:DN$500)))</f>
        <v>0</v>
      </c>
      <c r="GO36" s="133" t="n">
        <f aca="false">IF(OR(GO$4="",$B36=""),0,SUMIF('DADOS BRUTOS'!$A$3:$A$500,$B36,'DADOS BRUTOS'!DO$3:DO$500)+IF($C36="",0,SUMIF('DADOS BRUTOS'!$A$3:$A$500,$C36,'DADOS BRUTOS'!DO$3:DO$500)))</f>
        <v>0</v>
      </c>
      <c r="GP36" s="133" t="n">
        <f aca="false">IF(OR(GP$4="",$B36=""),0,SUMIF('DADOS BRUTOS'!$A$3:$A$500,$B36,'DADOS BRUTOS'!DP$3:DP$500)+IF($C36="",0,SUMIF('DADOS BRUTOS'!$A$3:$A$500,$C36,'DADOS BRUTOS'!DP$3:DP$500)))</f>
        <v>0</v>
      </c>
      <c r="GQ36" s="133" t="n">
        <f aca="false">IF(OR(GQ$4="",$B36=""),0,SUMIF('DADOS BRUTOS'!$A$3:$A$500,$B36,'DADOS BRUTOS'!DQ$3:DQ$500)+IF($C36="",0,SUMIF('DADOS BRUTOS'!$A$3:$A$500,$C36,'DADOS BRUTOS'!DQ$3:DQ$500)))</f>
        <v>0</v>
      </c>
      <c r="GR36" s="133" t="n">
        <f aca="false">IF(OR(GR$4="",$B36=""),0,SUMIF('DADOS BRUTOS'!$A$3:$A$500,$B36,'DADOS BRUTOS'!DR$3:DR$500)+IF($C36="",0,SUMIF('DADOS BRUTOS'!$A$3:$A$500,$C36,'DADOS BRUTOS'!DR$3:DR$500)))</f>
        <v>0</v>
      </c>
      <c r="GS36" s="133" t="n">
        <f aca="false">IF(OR(GS$4="",$B36=""),0,SUMIF('DADOS BRUTOS'!$A$3:$A$500,$B36,'DADOS BRUTOS'!DS$3:DS$500)+IF($C36="",0,SUMIF('DADOS BRUTOS'!$A$3:$A$500,$C36,'DADOS BRUTOS'!DS$3:DS$500)))</f>
        <v>0</v>
      </c>
      <c r="GT36" s="133" t="n">
        <f aca="false">IF(OR(GT$4="",$B36=""),0,SUMIF('DADOS BRUTOS'!$A$3:$A$500,$B36,'DADOS BRUTOS'!DT$3:DT$500)+IF($C36="",0,SUMIF('DADOS BRUTOS'!$A$3:$A$500,$C36,'DADOS BRUTOS'!DT$3:DT$500)))</f>
        <v>0</v>
      </c>
      <c r="GU36" s="133" t="n">
        <f aca="false">IF(OR(GU$4="",$B36=""),0,SUMIF('DADOS BRUTOS'!$A$3:$A$500,$B36,'DADOS BRUTOS'!DU$3:DU$500)+IF($C36="",0,SUMIF('DADOS BRUTOS'!$A$3:$A$500,$C36,'DADOS BRUTOS'!DU$3:DU$500)))</f>
        <v>0</v>
      </c>
      <c r="GV36" s="133" t="n">
        <f aca="false">IF(OR(GV$4="",$B36=""),0,SUMIF('DADOS BRUTOS'!$A$3:$A$500,$B36,'DADOS BRUTOS'!DV$3:DV$500)+IF($C36="",0,SUMIF('DADOS BRUTOS'!$A$3:$A$500,$C36,'DADOS BRUTOS'!DV$3:DV$500)))</f>
        <v>0</v>
      </c>
      <c r="GW36" s="133" t="n">
        <f aca="false">IF(OR(GW$4="",$B36=""),0,SUMIF('DADOS BRUTOS'!$A$3:$A$500,$B36,'DADOS BRUTOS'!DW$3:DW$500)+IF($C36="",0,SUMIF('DADOS BRUTOS'!$A$3:$A$500,$C36,'DADOS BRUTOS'!DW$3:DW$500)))</f>
        <v>0</v>
      </c>
      <c r="GX36" s="133" t="n">
        <f aca="false">IF(OR(GX$4="",$B36=""),0,SUMIF('DADOS BRUTOS'!$A$3:$A$500,$B36,'DADOS BRUTOS'!DX$3:DX$500)+IF($C36="",0,SUMIF('DADOS BRUTOS'!$A$3:$A$500,$C36,'DADOS BRUTOS'!DX$3:DX$500)))</f>
        <v>0</v>
      </c>
      <c r="GY36" s="133" t="n">
        <f aca="false">IF(OR(GY$4="",$B36=""),0,SUMIF('DADOS BRUTOS'!$A$3:$A$500,$B36,'DADOS BRUTOS'!DY$3:DY$500)+IF($C36="",0,SUMIF('DADOS BRUTOS'!$A$3:$A$500,$C36,'DADOS BRUTOS'!DY$3:DY$500)))</f>
        <v>0</v>
      </c>
      <c r="GZ36" s="133" t="n">
        <f aca="false">IF(OR(GZ$4="",$B36=""),0,SUMIF('DADOS BRUTOS'!$A$3:$A$500,$B36,'DADOS BRUTOS'!DZ$3:DZ$500)+IF($C36="",0,SUMIF('DADOS BRUTOS'!$A$3:$A$500,$C36,'DADOS BRUTOS'!DZ$3:DZ$500)))</f>
        <v>0</v>
      </c>
      <c r="HA36" s="133" t="n">
        <f aca="false">IF(OR(HA$4="",$B36=""),0,SUMIF('DADOS BRUTOS'!$A$3:$A$500,$B36,'DADOS BRUTOS'!EA$3:EA$500)+IF($C36="",0,SUMIF('DADOS BRUTOS'!$A$3:$A$500,$C36,'DADOS BRUTOS'!EA$3:EA$500)))</f>
        <v>0</v>
      </c>
      <c r="HB36" s="133" t="n">
        <f aca="false">IF(OR(HB$4="",$B36=""),0,SUMIF('DADOS BRUTOS'!$A$3:$A$500,$B36,'DADOS BRUTOS'!EB$3:EB$500)+IF($C36="",0,SUMIF('DADOS BRUTOS'!$A$3:$A$500,$C36,'DADOS BRUTOS'!EB$3:EB$500)))</f>
        <v>0</v>
      </c>
      <c r="HC36" s="133" t="n">
        <f aca="false">IF(OR(HC$4="",$B36=""),0,SUMIF('DADOS BRUTOS'!$A$3:$A$500,$B36,'DADOS BRUTOS'!EC$3:EC$500)+IF($C36="",0,SUMIF('DADOS BRUTOS'!$A$3:$A$500,$C36,'DADOS BRUTOS'!EC$3:EC$500)))</f>
        <v>0</v>
      </c>
      <c r="HD36" s="133" t="n">
        <f aca="false">IF(OR(HD$4="",$B36=""),0,SUMIF('DADOS BRUTOS'!$A$3:$A$500,$B36,'DADOS BRUTOS'!ED$3:ED$500)+IF($C36="",0,SUMIF('DADOS BRUTOS'!$A$3:$A$500,$C36,'DADOS BRUTOS'!ED$3:ED$500)))</f>
        <v>0</v>
      </c>
      <c r="HE36" s="133" t="n">
        <f aca="false">IF(OR(HE$4="",$B36=""),0,SUMIF('DADOS BRUTOS'!$A$3:$A$500,$B36,'DADOS BRUTOS'!EE$3:EE$500)+IF($C36="",0,SUMIF('DADOS BRUTOS'!$A$3:$A$500,$C36,'DADOS BRUTOS'!EE$3:EE$500)))</f>
        <v>0</v>
      </c>
      <c r="HF36" s="133" t="n">
        <f aca="false">IF(OR(HF$4="",$B36=""),0,SUMIF('DADOS BRUTOS'!$A$3:$A$500,$B36,'DADOS BRUTOS'!EF$3:EF$500)+IF($C36="",0,SUMIF('DADOS BRUTOS'!$A$3:$A$500,$C36,'DADOS BRUTOS'!EF$3:EF$500)))</f>
        <v>0</v>
      </c>
      <c r="HG36" s="133" t="n">
        <f aca="false">IF(OR(HG$4="",$B36=""),0,SUMIF('DADOS BRUTOS'!$A$3:$A$500,$B36,'DADOS BRUTOS'!EG$3:EG$500)+IF($C36="",0,SUMIF('DADOS BRUTOS'!$A$3:$A$500,$C36,'DADOS BRUTOS'!EG$3:EG$500)))</f>
        <v>0</v>
      </c>
      <c r="HH36" s="133" t="n">
        <f aca="false">IF(OR(HH$4="",$B36=""),0,SUMIF('DADOS BRUTOS'!$A$3:$A$500,$B36,'DADOS BRUTOS'!EH$3:EH$500)+IF($C36="",0,SUMIF('DADOS BRUTOS'!$A$3:$A$500,$C36,'DADOS BRUTOS'!EH$3:EH$500)))</f>
        <v>0</v>
      </c>
      <c r="HI36" s="133" t="n">
        <f aca="false">IF(OR(HI$4="",$B36=""),0,SUMIF('DADOS BRUTOS'!$A$3:$A$500,$B36,'DADOS BRUTOS'!EI$3:EI$500)+IF($C36="",0,SUMIF('DADOS BRUTOS'!$A$3:$A$500,$C36,'DADOS BRUTOS'!EI$3:EI$500)))</f>
        <v>0</v>
      </c>
      <c r="HJ36" s="133" t="n">
        <f aca="false">IF(OR(HJ$4="",$B36=""),0,SUMIF('DADOS BRUTOS'!$A$3:$A$500,$B36,'DADOS BRUTOS'!EJ$3:EJ$500)+IF($C36="",0,SUMIF('DADOS BRUTOS'!$A$3:$A$500,$C36,'DADOS BRUTOS'!EJ$3:EJ$500)))</f>
        <v>0</v>
      </c>
      <c r="HK36" s="133" t="n">
        <f aca="false">IF(OR(HK$4="",$B36=""),0,SUMIF('DADOS BRUTOS'!$A$3:$A$500,$B36,'DADOS BRUTOS'!EK$3:EK$500)+IF($C36="",0,SUMIF('DADOS BRUTOS'!$A$3:$A$500,$C36,'DADOS BRUTOS'!EK$3:EK$500)))</f>
        <v>0</v>
      </c>
      <c r="HL36" s="133" t="n">
        <f aca="false">IF(OR(HL$4="",$B36=""),0,SUMIF('DADOS BRUTOS'!$A$3:$A$500,$B36,'DADOS BRUTOS'!EL$3:EL$500)+IF($C36="",0,SUMIF('DADOS BRUTOS'!$A$3:$A$500,$C36,'DADOS BRUTOS'!EL$3:EL$500)))</f>
        <v>0</v>
      </c>
      <c r="HM36" s="133" t="n">
        <f aca="false">IF(OR(HM$4="",$B36=""),0,SUMIF('DADOS BRUTOS'!$A$3:$A$500,$B36,'DADOS BRUTOS'!EM$3:EM$500)+IF($C36="",0,SUMIF('DADOS BRUTOS'!$A$3:$A$500,$C36,'DADOS BRUTOS'!EM$3:EM$500)))</f>
        <v>0</v>
      </c>
      <c r="HN36" s="133" t="n">
        <f aca="false">IF(OR(HN$4="",$B36=""),0,SUMIF('DADOS BRUTOS'!$A$3:$A$500,$B36,'DADOS BRUTOS'!EN$3:EN$500)+IF($C36="",0,SUMIF('DADOS BRUTOS'!$A$3:$A$500,$C36,'DADOS BRUTOS'!EN$3:EN$500)))</f>
        <v>0</v>
      </c>
      <c r="HO36" s="133" t="n">
        <f aca="false">IF(OR(HO$4="",$B36=""),0,SUMIF('DADOS BRUTOS'!$A$3:$A$500,$B36,'DADOS BRUTOS'!EO$3:EO$500)+IF($C36="",0,SUMIF('DADOS BRUTOS'!$A$3:$A$500,$C36,'DADOS BRUTOS'!EO$3:EO$500)))</f>
        <v>0</v>
      </c>
      <c r="HP36" s="133" t="n">
        <f aca="false">IF(OR(HP$4="",$B36=""),0,SUMIF('DADOS BRUTOS'!$A$3:$A$500,$B36,'DADOS BRUTOS'!EP$3:EP$500)+IF($C36="",0,SUMIF('DADOS BRUTOS'!$A$3:$A$500,$C36,'DADOS BRUTOS'!EP$3:EP$500)))</f>
        <v>0</v>
      </c>
      <c r="HQ36" s="133" t="n">
        <f aca="false">IF(OR(HQ$4="",$B36=""),0,SUMIF('DADOS BRUTOS'!$A$3:$A$500,$B36,'DADOS BRUTOS'!EQ$3:EQ$500)+IF($C36="",0,SUMIF('DADOS BRUTOS'!$A$3:$A$500,$C36,'DADOS BRUTOS'!EQ$3:EQ$500)))</f>
        <v>0</v>
      </c>
      <c r="HR36" s="133" t="n">
        <f aca="false">IF(OR(HR$4="",$B36=""),0,SUMIF('DADOS BRUTOS'!$A$3:$A$500,$B36,'DADOS BRUTOS'!ER$3:ER$500)+IF($C36="",0,SUMIF('DADOS BRUTOS'!$A$3:$A$500,$C36,'DADOS BRUTOS'!ER$3:ER$500)))</f>
        <v>0</v>
      </c>
      <c r="HS36" s="133" t="n">
        <f aca="false">IF(OR(HS$4="",$B36=""),0,SUMIF('DADOS BRUTOS'!$A$3:$A$500,$B36,'DADOS BRUTOS'!ES$3:ES$500)+IF($C36="",0,SUMIF('DADOS BRUTOS'!$A$3:$A$500,$C36,'DADOS BRUTOS'!ES$3:ES$500)))</f>
        <v>0</v>
      </c>
      <c r="HT36" s="133" t="n">
        <f aca="false">IF(OR(HT$4="",$B36=""),0,SUMIF('DADOS BRUTOS'!$A$3:$A$500,$B36,'DADOS BRUTOS'!ET$3:ET$500)+IF($C36="",0,SUMIF('DADOS BRUTOS'!$A$3:$A$500,$C36,'DADOS BRUTOS'!ET$3:ET$500)))</f>
        <v>0</v>
      </c>
      <c r="HU36" s="133" t="n">
        <f aca="false">IF(OR(HU$4="",$B36=""),0,SUMIF('DADOS BRUTOS'!$A$3:$A$500,$B36,'DADOS BRUTOS'!EU$3:EU$500)+IF($C36="",0,SUMIF('DADOS BRUTOS'!$A$3:$A$500,$C36,'DADOS BRUTOS'!EU$3:EU$500)))</f>
        <v>0</v>
      </c>
      <c r="HV36" s="133" t="n">
        <f aca="false">IF(OR(HV$4="",$B36=""),0,SUMIF('DADOS BRUTOS'!$A$3:$A$500,$B36,'DADOS BRUTOS'!EV$3:EV$500)+IF($C36="",0,SUMIF('DADOS BRUTOS'!$A$3:$A$500,$C36,'DADOS BRUTOS'!EV$3:EV$500)))</f>
        <v>0</v>
      </c>
      <c r="HW36" s="133" t="n">
        <f aca="false">IF(OR(HW$4="",$B36=""),0,SUMIF('DADOS BRUTOS'!$A$3:$A$500,$B36,'DADOS BRUTOS'!EW$3:EW$500)+IF($C36="",0,SUMIF('DADOS BRUTOS'!$A$3:$A$500,$C36,'DADOS BRUTOS'!EW$3:EW$500)))</f>
        <v>0</v>
      </c>
      <c r="HX36" s="133" t="n">
        <f aca="false">IF(OR(HX$4="",$B36=""),0,SUMIF('DADOS BRUTOS'!$A$3:$A$500,$B36,'DADOS BRUTOS'!EX$3:EX$500)+IF($C36="",0,SUMIF('DADOS BRUTOS'!$A$3:$A$500,$C36,'DADOS BRUTOS'!EX$3:EX$500)))</f>
        <v>0</v>
      </c>
      <c r="HY36" s="133" t="n">
        <f aca="false">IF(OR(HY$4="",$B36=""),0,SUMIF('DADOS BRUTOS'!$A$3:$A$500,$B36,'DADOS BRUTOS'!EY$3:EY$500)+IF($C36="",0,SUMIF('DADOS BRUTOS'!$A$3:$A$500,$C36,'DADOS BRUTOS'!EY$3:EY$500)))</f>
        <v>0</v>
      </c>
      <c r="HZ36" s="133" t="n">
        <f aca="false">IF(OR(HZ$4="",$B36=""),0,SUMIF('DADOS BRUTOS'!$A$3:$A$500,$B36,'DADOS BRUTOS'!EZ$3:EZ$500)+IF($C36="",0,SUMIF('DADOS BRUTOS'!$A$3:$A$500,$C36,'DADOS BRUTOS'!EZ$3:EZ$500)))</f>
        <v>0</v>
      </c>
      <c r="IA36" s="133" t="n">
        <f aca="false">IF(OR(IA$4="",$B36=""),0,SUMIF('DADOS BRUTOS'!$A$3:$A$500,$B36,'DADOS BRUTOS'!FA$3:FA$500)+IF($C36="",0,SUMIF('DADOS BRUTOS'!$A$3:$A$500,$C36,'DADOS BRUTOS'!FA$3:FA$500)))</f>
        <v>0</v>
      </c>
      <c r="IB36" s="133" t="n">
        <f aca="false">IF(OR(IB$4="",$B36=""),0,SUMIF('DADOS BRUTOS'!$A$3:$A$500,$B36,'DADOS BRUTOS'!FB$3:FB$500)+IF($C36="",0,SUMIF('DADOS BRUTOS'!$A$3:$A$500,$C36,'DADOS BRUTOS'!FB$3:FB$500)))</f>
        <v>0</v>
      </c>
      <c r="IC36" s="133" t="n">
        <f aca="false">IF(OR(IC$4="",$B36=""),0,SUMIF('DADOS BRUTOS'!$A$3:$A$500,$B36,'DADOS BRUTOS'!FC$3:FC$500)+IF($C36="",0,SUMIF('DADOS BRUTOS'!$A$3:$A$500,$C36,'DADOS BRUTOS'!FC$3:FC$500)))</f>
        <v>0</v>
      </c>
      <c r="ID36" s="133" t="n">
        <f aca="false">IF(OR(ID$4="",$B36=""),0,SUMIF('DADOS BRUTOS'!$A$3:$A$500,$B36,'DADOS BRUTOS'!FD$3:FD$500)+IF($C36="",0,SUMIF('DADOS BRUTOS'!$A$3:$A$500,$C36,'DADOS BRUTOS'!FD$3:FD$500)))</f>
        <v>0</v>
      </c>
      <c r="IE36" s="133" t="n">
        <f aca="false">IF(OR(IE$4="",$B36=""),0,SUMIF('DADOS BRUTOS'!$A$3:$A$500,$B36,'DADOS BRUTOS'!FE$3:FE$500)+IF($C36="",0,SUMIF('DADOS BRUTOS'!$A$3:$A$500,$C36,'DADOS BRUTOS'!FE$3:FE$500)))</f>
        <v>0</v>
      </c>
      <c r="IF36" s="133" t="n">
        <f aca="false">IF(OR(IF$4="",$B36=""),0,SUMIF('DADOS BRUTOS'!$A$3:$A$500,$B36,'DADOS BRUTOS'!FF$3:FF$500)+IF($C36="",0,SUMIF('DADOS BRUTOS'!$A$3:$A$500,$C36,'DADOS BRUTOS'!FF$3:FF$500)))</f>
        <v>0</v>
      </c>
      <c r="IG36" s="133" t="n">
        <f aca="false">IF(OR(IG$4="",$B36=""),0,SUMIF('DADOS BRUTOS'!$A$3:$A$500,$B36,'DADOS BRUTOS'!FG$3:FG$500)+IF($C36="",0,SUMIF('DADOS BRUTOS'!$A$3:$A$500,$C36,'DADOS BRUTOS'!FG$3:FG$500)))</f>
        <v>0</v>
      </c>
      <c r="IH36" s="133" t="n">
        <f aca="false">IF(OR(IH$4="",$B36=""),0,SUMIF('DADOS BRUTOS'!$A$3:$A$500,$B36,'DADOS BRUTOS'!FH$3:FH$500)+IF($C36="",0,SUMIF('DADOS BRUTOS'!$A$3:$A$500,$C36,'DADOS BRUTOS'!FH$3:FH$500)))</f>
        <v>0</v>
      </c>
      <c r="II36" s="133" t="n">
        <f aca="false">IF(OR(II$4="",$B36=""),0,SUMIF('DADOS BRUTOS'!$A$3:$A$500,$B36,'DADOS BRUTOS'!FI$3:FI$500)+IF($C36="",0,SUMIF('DADOS BRUTOS'!$A$3:$A$500,$C36,'DADOS BRUTOS'!FI$3:FI$500)))</f>
        <v>0</v>
      </c>
      <c r="IJ36" s="133" t="n">
        <f aca="false">IF(OR(IJ$4="",$B36=""),0,SUMIF('DADOS BRUTOS'!$A$3:$A$500,$B36,'DADOS BRUTOS'!FJ$3:FJ$500)+IF($C36="",0,SUMIF('DADOS BRUTOS'!$A$3:$A$500,$C36,'DADOS BRUTOS'!FJ$3:FJ$500)))</f>
        <v>0</v>
      </c>
      <c r="IK36" s="133" t="n">
        <f aca="false">IF(OR(IK$4="",$B36=""),0,SUMIF('DADOS BRUTOS'!$A$3:$A$500,$B36,'DADOS BRUTOS'!FK$3:FK$500)+IF($C36="",0,SUMIF('DADOS BRUTOS'!$A$3:$A$500,$C36,'DADOS BRUTOS'!FK$3:FK$500)))</f>
        <v>0</v>
      </c>
      <c r="IL36" s="133" t="n">
        <f aca="false">IF(OR(IL$4="",$B36=""),0,SUMIF('DADOS BRUTOS'!$A$3:$A$500,$B36,'DADOS BRUTOS'!FL$3:FL$500)+IF($C36="",0,SUMIF('DADOS BRUTOS'!$A$3:$A$500,$C36,'DADOS BRUTOS'!FL$3:FL$500)))</f>
        <v>0</v>
      </c>
      <c r="IM36" s="133" t="n">
        <f aca="false">IF(OR(IM$4="",$B36=""),0,SUMIF('DADOS BRUTOS'!$A$3:$A$500,$B36,'DADOS BRUTOS'!FM$3:FM$500)+IF($C36="",0,SUMIF('DADOS BRUTOS'!$A$3:$A$500,$C36,'DADOS BRUTOS'!FM$3:FM$500)))</f>
        <v>0</v>
      </c>
      <c r="IN36" s="133" t="n">
        <f aca="false">IF(OR(IN$4="",$B36=""),0,SUMIF('DADOS BRUTOS'!$A$3:$A$500,$B36,'DADOS BRUTOS'!FN$3:FN$500)+IF($C36="",0,SUMIF('DADOS BRUTOS'!$A$3:$A$500,$C36,'DADOS BRUTOS'!FN$3:FN$500)))</f>
        <v>0</v>
      </c>
      <c r="IO36" s="133" t="n">
        <f aca="false">IF(OR(IO$4="",$B36=""),0,SUMIF('DADOS BRUTOS'!$A$3:$A$500,$B36,'DADOS BRUTOS'!FO$3:FO$500)+IF($C36="",0,SUMIF('DADOS BRUTOS'!$A$3:$A$500,$C36,'DADOS BRUTOS'!FO$3:FO$500)))</f>
        <v>0</v>
      </c>
      <c r="IP36" s="133" t="n">
        <f aca="false">IF(OR(IP$4="",$B36=""),0,SUMIF('DADOS BRUTOS'!$A$3:$A$500,$B36,'DADOS BRUTOS'!FP$3:FP$500)+IF($C36="",0,SUMIF('DADOS BRUTOS'!$A$3:$A$500,$C36,'DADOS BRUTOS'!FP$3:FP$500)))</f>
        <v>0</v>
      </c>
      <c r="IQ36" s="133" t="n">
        <f aca="false">IF(OR(IQ$4="",$B36=""),0,SUMIF('DADOS BRUTOS'!$A$3:$A$500,$B36,'DADOS BRUTOS'!FQ$3:FQ$500)+IF($C36="",0,SUMIF('DADOS BRUTOS'!$A$3:$A$500,$C36,'DADOS BRUTOS'!FQ$3:FQ$500)))</f>
        <v>0</v>
      </c>
      <c r="IR36" s="133" t="n">
        <f aca="false">IF(OR(IR$4="",$B36=""),0,SUMIF('DADOS BRUTOS'!$A$3:$A$500,$B36,'DADOS BRUTOS'!FR$3:FR$500)+IF($C36="",0,SUMIF('DADOS BRUTOS'!$A$3:$A$500,$C36,'DADOS BRUTOS'!FR$3:FR$500)))</f>
        <v>0</v>
      </c>
      <c r="IS36" s="133" t="n">
        <f aca="false">IF(OR(IS$4="",$B36=""),0,SUMIF('DADOS BRUTOS'!$A$3:$A$500,$B36,'DADOS BRUTOS'!FS$3:FS$500)+IF($C36="",0,SUMIF('DADOS BRUTOS'!$A$3:$A$500,$C36,'DADOS BRUTOS'!FS$3:FS$500)))</f>
        <v>0</v>
      </c>
      <c r="IT36" s="133" t="n">
        <f aca="false">IF(OR(IT$4="",$B36=""),0,SUMIF('DADOS BRUTOS'!$A$3:$A$500,$B36,'DADOS BRUTOS'!FT$3:FT$500)+IF($C36="",0,SUMIF('DADOS BRUTOS'!$A$3:$A$500,$C36,'DADOS BRUTOS'!FT$3:FT$500)))</f>
        <v>0</v>
      </c>
      <c r="IU36" s="133" t="n">
        <f aca="false">IF(OR(IU$4="",$B36=""),0,SUMIF('DADOS BRUTOS'!$A$3:$A$500,$B36,'DADOS BRUTOS'!FU$3:FU$500)+IF($C36="",0,SUMIF('DADOS BRUTOS'!$A$3:$A$500,$C36,'DADOS BRUTOS'!FU$3:FU$500)))</f>
        <v>0</v>
      </c>
      <c r="IV36" s="133" t="n">
        <f aca="false">IF(OR(IV$4="",$B36=""),0,SUMIF('DADOS BRUTOS'!$A$3:$A$500,$B36,'DADOS BRUTOS'!FV$3:FV$500)+IF($C36="",0,SUMIF('DADOS BRUTOS'!$A$3:$A$500,$C36,'DADOS BRUTOS'!FV$3:FV$500)))</f>
        <v>0</v>
      </c>
      <c r="IW36" s="133" t="n">
        <f aca="false">IF(OR(IW$4="",$B36=""),0,SUMIF('DADOS BRUTOS'!$A$3:$A$500,$B36,'DADOS BRUTOS'!FW$3:FW$500)+IF($C36="",0,SUMIF('DADOS BRUTOS'!$A$3:$A$500,$C36,'DADOS BRUTOS'!FW$3:FW$500)))</f>
        <v>0</v>
      </c>
      <c r="IX36" s="133" t="n">
        <f aca="false">IF(OR(IX$4="",$B36=""),0,SUMIF('DADOS BRUTOS'!$A$3:$A$500,$B36,'DADOS BRUTOS'!FX$3:FX$500)+IF($C36="",0,SUMIF('DADOS BRUTOS'!$A$3:$A$500,$C36,'DADOS BRUTOS'!FX$3:FX$500)))</f>
        <v>0</v>
      </c>
      <c r="IY36" s="133" t="n">
        <f aca="false">IF(OR(IY$4="",$B36=""),0,SUMIF('DADOS BRUTOS'!$A$3:$A$500,$B36,'DADOS BRUTOS'!FY$3:FY$500)+IF($C36="",0,SUMIF('DADOS BRUTOS'!$A$3:$A$500,$C36,'DADOS BRUTOS'!FY$3:FY$500)))</f>
        <v>0</v>
      </c>
      <c r="IZ36" s="133" t="n">
        <f aca="false">IF(OR(IZ$4="",$B36=""),0,SUMIF('DADOS BRUTOS'!$A$3:$A$500,$B36,'DADOS BRUTOS'!FZ$3:FZ$500)+IF($C36="",0,SUMIF('DADOS BRUTOS'!$A$3:$A$500,$C36,'DADOS BRUTOS'!FZ$3:FZ$500)))</f>
        <v>0</v>
      </c>
      <c r="JA36" s="133" t="n">
        <f aca="false">IF(OR(JA$4="",$B36=""),0,SUMIF('DADOS BRUTOS'!$A$3:$A$500,$B36,'DADOS BRUTOS'!GA$3:GA$500)+IF($C36="",0,SUMIF('DADOS BRUTOS'!$A$3:$A$500,$C36,'DADOS BRUTOS'!GA$3:GA$500)))</f>
        <v>0</v>
      </c>
      <c r="JB36" s="133" t="n">
        <f aca="false">IF(OR(JB$4="",$B36=""),0,SUMIF('DADOS BRUTOS'!$A$3:$A$500,$B36,'DADOS BRUTOS'!GB$3:GB$500)+IF($C36="",0,SUMIF('DADOS BRUTOS'!$A$3:$A$500,$C36,'DADOS BRUTOS'!GB$3:GB$500)))</f>
        <v>0</v>
      </c>
      <c r="JC36" s="133" t="n">
        <f aca="false">IF(OR(JC$4="",$B36=""),0,SUMIF('DADOS BRUTOS'!$A$3:$A$500,$B36,'DADOS BRUTOS'!GC$3:GC$500)+IF($C36="",0,SUMIF('DADOS BRUTOS'!$A$3:$A$500,$C36,'DADOS BRUTOS'!GC$3:GC$500)))</f>
        <v>0</v>
      </c>
      <c r="JD36" s="133" t="n">
        <f aca="false">IF(OR(JD$4="",$B36=""),0,SUMIF('DADOS BRUTOS'!$A$3:$A$500,$B36,'DADOS BRUTOS'!GD$3:GD$500)+IF($C36="",0,SUMIF('DADOS BRUTOS'!$A$3:$A$500,$C36,'DADOS BRUTOS'!GD$3:GD$500)))</f>
        <v>0</v>
      </c>
      <c r="JE36" s="133" t="n">
        <f aca="false">IF(OR(JE$4="",$B36=""),0,SUMIF('DADOS BRUTOS'!$A$3:$A$500,$B36,'DADOS BRUTOS'!GE$3:GE$500)+IF($C36="",0,SUMIF('DADOS BRUTOS'!$A$3:$A$500,$C36,'DADOS BRUTOS'!GE$3:GE$500)))</f>
        <v>0</v>
      </c>
      <c r="JF36" s="133" t="n">
        <f aca="false">IF(OR(JF$4="",$B36=""),0,SUMIF('DADOS BRUTOS'!$A$3:$A$500,$B36,'DADOS BRUTOS'!GF$3:GF$500)+IF($C36="",0,SUMIF('DADOS BRUTOS'!$A$3:$A$500,$C36,'DADOS BRUTOS'!GF$3:GF$500)))</f>
        <v>0</v>
      </c>
      <c r="JG36" s="133" t="n">
        <f aca="false">IF(OR(JG$4="",$B36=""),0,SUMIF('DADOS BRUTOS'!$A$3:$A$500,$B36,'DADOS BRUTOS'!GG$3:GG$500)+IF($C36="",0,SUMIF('DADOS BRUTOS'!$A$3:$A$500,$C36,'DADOS BRUTOS'!GG$3:GG$500)))</f>
        <v>0</v>
      </c>
      <c r="JH36" s="133" t="n">
        <f aca="false">IF(OR(JH$4="",$B36=""),0,SUMIF('DADOS BRUTOS'!$A$3:$A$500,$B36,'DADOS BRUTOS'!GH$3:GH$500)+IF($C36="",0,SUMIF('DADOS BRUTOS'!$A$3:$A$500,$C36,'DADOS BRUTOS'!GH$3:GH$500)))</f>
        <v>0</v>
      </c>
      <c r="JI36" s="133" t="n">
        <f aca="false">IF(OR(JI$4="",$B36=""),0,SUMIF('DADOS BRUTOS'!$A$3:$A$500,$B36,'DADOS BRUTOS'!GI$3:GI$500)+IF($C36="",0,SUMIF('DADOS BRUTOS'!$A$3:$A$500,$C36,'DADOS BRUTOS'!GI$3:GI$500)))</f>
        <v>0</v>
      </c>
      <c r="JJ36" s="133" t="n">
        <f aca="false">IF(OR(JJ$4="",$B36=""),0,SUMIF('DADOS BRUTOS'!$A$3:$A$500,$B36,'DADOS BRUTOS'!GJ$3:GJ$500)+IF($C36="",0,SUMIF('DADOS BRUTOS'!$A$3:$A$500,$C36,'DADOS BRUTOS'!GJ$3:GJ$500)))</f>
        <v>0</v>
      </c>
      <c r="JK36" s="133" t="n">
        <f aca="false">IF(OR(JK$4="",$B36=""),0,SUMIF('DADOS BRUTOS'!$A$3:$A$500,$B36,'DADOS BRUTOS'!GK$3:GK$500)+IF($C36="",0,SUMIF('DADOS BRUTOS'!$A$3:$A$500,$C36,'DADOS BRUTOS'!GK$3:GK$500)))</f>
        <v>0</v>
      </c>
      <c r="JL36" s="133" t="n">
        <f aca="false">IF(OR(JL$4="",$B36=""),0,SUMIF('DADOS BRUTOS'!$A$3:$A$500,$B36,'DADOS BRUTOS'!GL$3:GL$500)+IF($C36="",0,SUMIF('DADOS BRUTOS'!$A$3:$A$500,$C36,'DADOS BRUTOS'!GL$3:GL$500)))</f>
        <v>0</v>
      </c>
      <c r="JM36" s="133" t="n">
        <f aca="false">IF(OR(JM$4="",$B36=""),0,SUMIF('DADOS BRUTOS'!$A$3:$A$500,$B36,'DADOS BRUTOS'!GM$3:GM$500)+IF($C36="",0,SUMIF('DADOS BRUTOS'!$A$3:$A$500,$C36,'DADOS BRUTOS'!GM$3:GM$500)))</f>
        <v>0</v>
      </c>
      <c r="JN36" s="133" t="n">
        <f aca="false">IF(OR(JN$4="",$B36=""),0,SUMIF('DADOS BRUTOS'!$A$3:$A$500,$B36,'DADOS BRUTOS'!GN$3:GN$500)+IF($C36="",0,SUMIF('DADOS BRUTOS'!$A$3:$A$500,$C36,'DADOS BRUTOS'!GN$3:GN$500)))</f>
        <v>0</v>
      </c>
      <c r="JO36" s="133" t="n">
        <f aca="false">IF(OR(JO$4="",$B36=""),0,SUMIF('DADOS BRUTOS'!$A$3:$A$500,$B36,'DADOS BRUTOS'!GO$3:GO$500)+IF($C36="",0,SUMIF('DADOS BRUTOS'!$A$3:$A$500,$C36,'DADOS BRUTOS'!GO$3:GO$500)))</f>
        <v>0</v>
      </c>
      <c r="JP36" s="133" t="n">
        <f aca="false">IF(OR(JP$4="",$B36=""),0,SUMIF('DADOS BRUTOS'!$A$3:$A$500,$B36,'DADOS BRUTOS'!GP$3:GP$500)+IF($C36="",0,SUMIF('DADOS BRUTOS'!$A$3:$A$500,$C36,'DADOS BRUTOS'!GP$3:GP$500)))</f>
        <v>0</v>
      </c>
      <c r="JQ36" s="133" t="n">
        <f aca="false">IF(OR(JQ$4="",$B36=""),0,SUMIF('DADOS BRUTOS'!$A$3:$A$500,$B36,'DADOS BRUTOS'!GQ$3:GQ$500)+IF($C36="",0,SUMIF('DADOS BRUTOS'!$A$3:$A$500,$C36,'DADOS BRUTOS'!GQ$3:GQ$500)))</f>
        <v>0</v>
      </c>
      <c r="JR36" s="133" t="n">
        <f aca="false">IF(OR(JR$4="",$B36=""),0,SUMIF('DADOS BRUTOS'!$A$3:$A$500,$B36,'DADOS BRUTOS'!GR$3:GR$500)+IF($C36="",0,SUMIF('DADOS BRUTOS'!$A$3:$A$500,$C36,'DADOS BRUTOS'!GR$3:GR$500)))</f>
        <v>0</v>
      </c>
      <c r="JS36" s="133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216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3" t="n">
        <f aca="false">IF(OR(CB$4="",$B37=""),0,SUMIF('DADOS BRUTOS'!$A$3:$A$500,$B37,'DADOS BRUTOS'!B$3:B$500)+IF($C37="",0,SUMIF('DADOS BRUTOS'!$A$3:$A$500,$C37,'DADOS BRUTOS'!B$3:B$500)))</f>
        <v>0</v>
      </c>
      <c r="CC37" s="133" t="n">
        <f aca="false">IF(OR(CC$4="",$B37=""),0,SUMIF('DADOS BRUTOS'!$A$3:$A$500,$B37,'DADOS BRUTOS'!C$3:C$500)+IF($C37="",0,SUMIF('DADOS BRUTOS'!$A$3:$A$500,$C37,'DADOS BRUTOS'!C$3:C$500)))</f>
        <v>0</v>
      </c>
      <c r="CD37" s="133" t="n">
        <f aca="false">IF(OR(CD$4="",$B37=""),0,SUMIF('DADOS BRUTOS'!$A$3:$A$500,$B37,'DADOS BRUTOS'!D$3:D$500)+IF($C37="",0,SUMIF('DADOS BRUTOS'!$A$3:$A$500,$C37,'DADOS BRUTOS'!D$3:D$500)))</f>
        <v>0</v>
      </c>
      <c r="CE37" s="133" t="n">
        <f aca="false">IF(OR(CE$4="",$B37=""),0,SUMIF('DADOS BRUTOS'!$A$3:$A$500,$B37,'DADOS BRUTOS'!E$3:E$500)+IF($C37="",0,SUMIF('DADOS BRUTOS'!$A$3:$A$500,$C37,'DADOS BRUTOS'!E$3:E$500)))</f>
        <v>0</v>
      </c>
      <c r="CF37" s="133" t="n">
        <f aca="false">IF(OR(CF$4="",$B37=""),0,SUMIF('DADOS BRUTOS'!$A$3:$A$500,$B37,'DADOS BRUTOS'!F$3:F$500)+IF($C37="",0,SUMIF('DADOS BRUTOS'!$A$3:$A$500,$C37,'DADOS BRUTOS'!F$3:F$500)))</f>
        <v>0</v>
      </c>
      <c r="CG37" s="133" t="n">
        <f aca="false">IF(OR(CG$4="",$B37=""),0,SUMIF('DADOS BRUTOS'!$A$3:$A$500,$B37,'DADOS BRUTOS'!G$3:G$500)+IF($C37="",0,SUMIF('DADOS BRUTOS'!$A$3:$A$500,$C37,'DADOS BRUTOS'!G$3:G$500)))</f>
        <v>0</v>
      </c>
      <c r="CH37" s="133" t="n">
        <f aca="false">IF(OR(CH$4="",$B37=""),0,SUMIF('DADOS BRUTOS'!$A$3:$A$500,$B37,'DADOS BRUTOS'!H$3:H$500)+IF($C37="",0,SUMIF('DADOS BRUTOS'!$A$3:$A$500,$C37,'DADOS BRUTOS'!H$3:H$500)))</f>
        <v>0</v>
      </c>
      <c r="CI37" s="133" t="n">
        <f aca="false">IF(OR(CI$4="",$B37=""),0,SUMIF('DADOS BRUTOS'!$A$3:$A$500,$B37,'DADOS BRUTOS'!I$3:I$500)+IF($C37="",0,SUMIF('DADOS BRUTOS'!$A$3:$A$500,$C37,'DADOS BRUTOS'!I$3:I$500)))</f>
        <v>0</v>
      </c>
      <c r="CJ37" s="133" t="n">
        <f aca="false">IF(OR(CJ$4="",$B37=""),0,SUMIF('DADOS BRUTOS'!$A$3:$A$500,$B37,'DADOS BRUTOS'!J$3:J$500)+IF($C37="",0,SUMIF('DADOS BRUTOS'!$A$3:$A$500,$C37,'DADOS BRUTOS'!J$3:J$500)))</f>
        <v>0</v>
      </c>
      <c r="CK37" s="133" t="n">
        <f aca="false">IF(OR(CK$4="",$B37=""),0,SUMIF('DADOS BRUTOS'!$A$3:$A$500,$B37,'DADOS BRUTOS'!K$3:K$500)+IF($C37="",0,SUMIF('DADOS BRUTOS'!$A$3:$A$500,$C37,'DADOS BRUTOS'!K$3:K$500)))</f>
        <v>0</v>
      </c>
      <c r="CL37" s="133" t="n">
        <f aca="false">IF(OR(CL$4="",$B37=""),0,SUMIF('DADOS BRUTOS'!$A$3:$A$500,$B37,'DADOS BRUTOS'!L$3:L$500)+IF($C37="",0,SUMIF('DADOS BRUTOS'!$A$3:$A$500,$C37,'DADOS BRUTOS'!L$3:L$500)))</f>
        <v>0</v>
      </c>
      <c r="CM37" s="133" t="n">
        <f aca="false">IF(OR(CM$4="",$B37=""),0,SUMIF('DADOS BRUTOS'!$A$3:$A$500,$B37,'DADOS BRUTOS'!M$3:M$500)+IF($C37="",0,SUMIF('DADOS BRUTOS'!$A$3:$A$500,$C37,'DADOS BRUTOS'!M$3:M$500)))</f>
        <v>0</v>
      </c>
      <c r="CN37" s="133" t="n">
        <f aca="false">IF(OR(CN$4="",$B37=""),0,SUMIF('DADOS BRUTOS'!$A$3:$A$500,$B37,'DADOS BRUTOS'!N$3:N$500)+IF($C37="",0,SUMIF('DADOS BRUTOS'!$A$3:$A$500,$C37,'DADOS BRUTOS'!N$3:N$500)))</f>
        <v>0</v>
      </c>
      <c r="CO37" s="133" t="n">
        <f aca="false">IF(OR(CO$4="",$B37=""),0,SUMIF('DADOS BRUTOS'!$A$3:$A$500,$B37,'DADOS BRUTOS'!O$3:O$500)+IF($C37="",0,SUMIF('DADOS BRUTOS'!$A$3:$A$500,$C37,'DADOS BRUTOS'!O$3:O$500)))</f>
        <v>0</v>
      </c>
      <c r="CP37" s="133" t="n">
        <f aca="false">IF(OR(CP$4="",$B37=""),0,SUMIF('DADOS BRUTOS'!$A$3:$A$500,$B37,'DADOS BRUTOS'!P$3:P$500)+IF($C37="",0,SUMIF('DADOS BRUTOS'!$A$3:$A$500,$C37,'DADOS BRUTOS'!P$3:P$500)))</f>
        <v>0</v>
      </c>
      <c r="CQ37" s="133" t="n">
        <f aca="false">IF(OR(CQ$4="",$B37=""),0,SUMIF('DADOS BRUTOS'!$A$3:$A$500,$B37,'DADOS BRUTOS'!Q$3:Q$500)+IF($C37="",0,SUMIF('DADOS BRUTOS'!$A$3:$A$500,$C37,'DADOS BRUTOS'!Q$3:Q$500)))</f>
        <v>0</v>
      </c>
      <c r="CR37" s="133" t="n">
        <f aca="false">IF(OR(CR$4="",$B37=""),0,SUMIF('DADOS BRUTOS'!$A$3:$A$500,$B37,'DADOS BRUTOS'!R$3:R$500)+IF($C37="",0,SUMIF('DADOS BRUTOS'!$A$3:$A$500,$C37,'DADOS BRUTOS'!R$3:R$500)))</f>
        <v>0</v>
      </c>
      <c r="CS37" s="133" t="n">
        <f aca="false">IF(OR(CS$4="",$B37=""),0,SUMIF('DADOS BRUTOS'!$A$3:$A$500,$B37,'DADOS BRUTOS'!S$3:S$500)+IF($C37="",0,SUMIF('DADOS BRUTOS'!$A$3:$A$500,$C37,'DADOS BRUTOS'!S$3:S$500)))</f>
        <v>0</v>
      </c>
      <c r="CT37" s="133" t="n">
        <f aca="false">IF(OR(CT$4="",$B37=""),0,SUMIF('DADOS BRUTOS'!$A$3:$A$500,$B37,'DADOS BRUTOS'!T$3:T$500)+IF($C37="",0,SUMIF('DADOS BRUTOS'!$A$3:$A$500,$C37,'DADOS BRUTOS'!T$3:T$500)))</f>
        <v>0</v>
      </c>
      <c r="CU37" s="133" t="n">
        <f aca="false">IF(OR(CU$4="",$B37=""),0,SUMIF('DADOS BRUTOS'!$A$3:$A$500,$B37,'DADOS BRUTOS'!U$3:U$500)+IF($C37="",0,SUMIF('DADOS BRUTOS'!$A$3:$A$500,$C37,'DADOS BRUTOS'!U$3:U$500)))</f>
        <v>0</v>
      </c>
      <c r="CV37" s="133" t="n">
        <f aca="false">IF(OR(CV$4="",$B37=""),0,SUMIF('DADOS BRUTOS'!$A$3:$A$500,$B37,'DADOS BRUTOS'!V$3:V$500)+IF($C37="",0,SUMIF('DADOS BRUTOS'!$A$3:$A$500,$C37,'DADOS BRUTOS'!V$3:V$500)))</f>
        <v>0</v>
      </c>
      <c r="CW37" s="133" t="n">
        <f aca="false">IF(OR(CW$4="",$B37=""),0,SUMIF('DADOS BRUTOS'!$A$3:$A$500,$B37,'DADOS BRUTOS'!W$3:W$500)+IF($C37="",0,SUMIF('DADOS BRUTOS'!$A$3:$A$500,$C37,'DADOS BRUTOS'!W$3:W$500)))</f>
        <v>0</v>
      </c>
      <c r="CX37" s="133" t="n">
        <f aca="false">IF(OR(CX$4="",$B37=""),0,SUMIF('DADOS BRUTOS'!$A$3:$A$500,$B37,'DADOS BRUTOS'!X$3:X$500)+IF($C37="",0,SUMIF('DADOS BRUTOS'!$A$3:$A$500,$C37,'DADOS BRUTOS'!X$3:X$500)))</f>
        <v>0</v>
      </c>
      <c r="CY37" s="133" t="n">
        <f aca="false">IF(OR(CY$4="",$B37=""),0,SUMIF('DADOS BRUTOS'!$A$3:$A$500,$B37,'DADOS BRUTOS'!Y$3:Y$500)+IF($C37="",0,SUMIF('DADOS BRUTOS'!$A$3:$A$500,$C37,'DADOS BRUTOS'!Y$3:Y$500)))</f>
        <v>0</v>
      </c>
      <c r="CZ37" s="133" t="n">
        <f aca="false">IF(OR(CZ$4="",$B37=""),0,SUMIF('DADOS BRUTOS'!$A$3:$A$500,$B37,'DADOS BRUTOS'!Z$3:Z$500)+IF($C37="",0,SUMIF('DADOS BRUTOS'!$A$3:$A$500,$C37,'DADOS BRUTOS'!Z$3:Z$500)))</f>
        <v>0</v>
      </c>
      <c r="DA37" s="133" t="n">
        <f aca="false">IF(OR(DA$4="",$B37=""),0,SUMIF('DADOS BRUTOS'!$A$3:$A$500,$B37,'DADOS BRUTOS'!AA$3:AA$500)+IF($C37="",0,SUMIF('DADOS BRUTOS'!$A$3:$A$500,$C37,'DADOS BRUTOS'!AA$3:AA$500)))</f>
        <v>0</v>
      </c>
      <c r="DB37" s="133" t="n">
        <f aca="false">IF(OR(DB$4="",$B37=""),0,SUMIF('DADOS BRUTOS'!$A$3:$A$500,$B37,'DADOS BRUTOS'!AB$3:AB$500)+IF($C37="",0,SUMIF('DADOS BRUTOS'!$A$3:$A$500,$C37,'DADOS BRUTOS'!AB$3:AB$500)))</f>
        <v>0</v>
      </c>
      <c r="DC37" s="133" t="n">
        <f aca="false">IF(OR(DC$4="",$B37=""),0,SUMIF('DADOS BRUTOS'!$A$3:$A$500,$B37,'DADOS BRUTOS'!AC$3:AC$500)+IF($C37="",0,SUMIF('DADOS BRUTOS'!$A$3:$A$500,$C37,'DADOS BRUTOS'!AC$3:AC$500)))</f>
        <v>0</v>
      </c>
      <c r="DD37" s="133" t="n">
        <f aca="false">IF(OR(DD$4="",$B37=""),0,SUMIF('DADOS BRUTOS'!$A$3:$A$500,$B37,'DADOS BRUTOS'!AD$3:AD$500)+IF($C37="",0,SUMIF('DADOS BRUTOS'!$A$3:$A$500,$C37,'DADOS BRUTOS'!AD$3:AD$500)))</f>
        <v>0</v>
      </c>
      <c r="DE37" s="133" t="n">
        <f aca="false">IF(OR(DE$4="",$B37=""),0,SUMIF('DADOS BRUTOS'!$A$3:$A$500,$B37,'DADOS BRUTOS'!AE$3:AE$500)+IF($C37="",0,SUMIF('DADOS BRUTOS'!$A$3:$A$500,$C37,'DADOS BRUTOS'!AE$3:AE$500)))</f>
        <v>0</v>
      </c>
      <c r="DF37" s="133" t="n">
        <f aca="false">IF(OR(DF$4="",$B37=""),0,SUMIF('DADOS BRUTOS'!$A$3:$A$500,$B37,'DADOS BRUTOS'!AF$3:AF$500)+IF($C37="",0,SUMIF('DADOS BRUTOS'!$A$3:$A$500,$C37,'DADOS BRUTOS'!AF$3:AF$500)))</f>
        <v>0</v>
      </c>
      <c r="DG37" s="133" t="n">
        <f aca="false">IF(OR(DG$4="",$B37=""),0,SUMIF('DADOS BRUTOS'!$A$3:$A$500,$B37,'DADOS BRUTOS'!AG$3:AG$500)+IF($C37="",0,SUMIF('DADOS BRUTOS'!$A$3:$A$500,$C37,'DADOS BRUTOS'!AG$3:AG$500)))</f>
        <v>0</v>
      </c>
      <c r="DH37" s="133" t="n">
        <f aca="false">IF(OR(DH$4="",$B37=""),0,SUMIF('DADOS BRUTOS'!$A$3:$A$500,$B37,'DADOS BRUTOS'!AH$3:AH$500)+IF($C37="",0,SUMIF('DADOS BRUTOS'!$A$3:$A$500,$C37,'DADOS BRUTOS'!AH$3:AH$500)))</f>
        <v>0</v>
      </c>
      <c r="DI37" s="133" t="n">
        <f aca="false">IF(OR(DI$4="",$B37=""),0,SUMIF('DADOS BRUTOS'!$A$3:$A$500,$B37,'DADOS BRUTOS'!AI$3:AI$500)+IF($C37="",0,SUMIF('DADOS BRUTOS'!$A$3:$A$500,$C37,'DADOS BRUTOS'!AI$3:AI$500)))</f>
        <v>0</v>
      </c>
      <c r="DJ37" s="133" t="n">
        <f aca="false">IF(OR(DJ$4="",$B37=""),0,SUMIF('DADOS BRUTOS'!$A$3:$A$500,$B37,'DADOS BRUTOS'!AJ$3:AJ$500)+IF($C37="",0,SUMIF('DADOS BRUTOS'!$A$3:$A$500,$C37,'DADOS BRUTOS'!AJ$3:AJ$500)))</f>
        <v>0</v>
      </c>
      <c r="DK37" s="133" t="n">
        <f aca="false">IF(OR(DK$4="",$B37=""),0,SUMIF('DADOS BRUTOS'!$A$3:$A$500,$B37,'DADOS BRUTOS'!AK$3:AK$500)+IF($C37="",0,SUMIF('DADOS BRUTOS'!$A$3:$A$500,$C37,'DADOS BRUTOS'!AK$3:AK$500)))</f>
        <v>0</v>
      </c>
      <c r="DL37" s="133" t="n">
        <f aca="false">IF(OR(DL$4="",$B37=""),0,SUMIF('DADOS BRUTOS'!$A$3:$A$500,$B37,'DADOS BRUTOS'!AL$3:AL$500)+IF($C37="",0,SUMIF('DADOS BRUTOS'!$A$3:$A$500,$C37,'DADOS BRUTOS'!AL$3:AL$500)))</f>
        <v>0</v>
      </c>
      <c r="DM37" s="133" t="n">
        <f aca="false">IF(OR(DM$4="",$B37=""),0,SUMIF('DADOS BRUTOS'!$A$3:$A$500,$B37,'DADOS BRUTOS'!AM$3:AM$500)+IF($C37="",0,SUMIF('DADOS BRUTOS'!$A$3:$A$500,$C37,'DADOS BRUTOS'!AM$3:AM$500)))</f>
        <v>0</v>
      </c>
      <c r="DN37" s="133" t="n">
        <f aca="false">IF(OR(DN$4="",$B37=""),0,SUMIF('DADOS BRUTOS'!$A$3:$A$500,$B37,'DADOS BRUTOS'!AN$3:AN$500)+IF($C37="",0,SUMIF('DADOS BRUTOS'!$A$3:$A$500,$C37,'DADOS BRUTOS'!AN$3:AN$500)))</f>
        <v>0</v>
      </c>
      <c r="DO37" s="133" t="n">
        <f aca="false">IF(OR(DO$4="",$B37=""),0,SUMIF('DADOS BRUTOS'!$A$3:$A$500,$B37,'DADOS BRUTOS'!AO$3:AO$500)+IF($C37="",0,SUMIF('DADOS BRUTOS'!$A$3:$A$500,$C37,'DADOS BRUTOS'!AO$3:AO$500)))</f>
        <v>0</v>
      </c>
      <c r="DP37" s="133" t="n">
        <f aca="false">IF(OR(DP$4="",$B37=""),0,SUMIF('DADOS BRUTOS'!$A$3:$A$500,$B37,'DADOS BRUTOS'!AP$3:AP$500)+IF($C37="",0,SUMIF('DADOS BRUTOS'!$A$3:$A$500,$C37,'DADOS BRUTOS'!AP$3:AP$500)))</f>
        <v>0</v>
      </c>
      <c r="DQ37" s="133" t="n">
        <f aca="false">IF(OR(DQ$4="",$B37=""),0,SUMIF('DADOS BRUTOS'!$A$3:$A$500,$B37,'DADOS BRUTOS'!AQ$3:AQ$500)+IF($C37="",0,SUMIF('DADOS BRUTOS'!$A$3:$A$500,$C37,'DADOS BRUTOS'!AQ$3:AQ$500)))</f>
        <v>0</v>
      </c>
      <c r="DR37" s="133" t="n">
        <f aca="false">IF(OR(DR$4="",$B37=""),0,SUMIF('DADOS BRUTOS'!$A$3:$A$500,$B37,'DADOS BRUTOS'!AR$3:AR$500)+IF($C37="",0,SUMIF('DADOS BRUTOS'!$A$3:$A$500,$C37,'DADOS BRUTOS'!AR$3:AR$500)))</f>
        <v>0</v>
      </c>
      <c r="DS37" s="133" t="n">
        <f aca="false">IF(OR(DS$4="",$B37=""),0,SUMIF('DADOS BRUTOS'!$A$3:$A$500,$B37,'DADOS BRUTOS'!AS$3:AS$500)+IF($C37="",0,SUMIF('DADOS BRUTOS'!$A$3:$A$500,$C37,'DADOS BRUTOS'!AS$3:AS$500)))</f>
        <v>0</v>
      </c>
      <c r="DT37" s="133" t="n">
        <f aca="false">IF(OR(DT$4="",$B37=""),0,SUMIF('DADOS BRUTOS'!$A$3:$A$500,$B37,'DADOS BRUTOS'!AT$3:AT$500)+IF($C37="",0,SUMIF('DADOS BRUTOS'!$A$3:$A$500,$C37,'DADOS BRUTOS'!AT$3:AT$500)))</f>
        <v>0</v>
      </c>
      <c r="DU37" s="133" t="n">
        <f aca="false">IF(OR(DU$4="",$B37=""),0,SUMIF('DADOS BRUTOS'!$A$3:$A$500,$B37,'DADOS BRUTOS'!AU$3:AU$500)+IF($C37="",0,SUMIF('DADOS BRUTOS'!$A$3:$A$500,$C37,'DADOS BRUTOS'!AU$3:AU$500)))</f>
        <v>0</v>
      </c>
      <c r="DV37" s="133" t="n">
        <f aca="false">IF(OR(DV$4="",$B37=""),0,SUMIF('DADOS BRUTOS'!$A$3:$A$500,$B37,'DADOS BRUTOS'!AV$3:AV$500)+IF($C37="",0,SUMIF('DADOS BRUTOS'!$A$3:$A$500,$C37,'DADOS BRUTOS'!AV$3:AV$500)))</f>
        <v>0</v>
      </c>
      <c r="DW37" s="133" t="n">
        <f aca="false">IF(OR(DW$4="",$B37=""),0,SUMIF('DADOS BRUTOS'!$A$3:$A$500,$B37,'DADOS BRUTOS'!AW$3:AW$500)+IF($C37="",0,SUMIF('DADOS BRUTOS'!$A$3:$A$500,$C37,'DADOS BRUTOS'!AW$3:AW$500)))</f>
        <v>0</v>
      </c>
      <c r="DX37" s="133" t="n">
        <f aca="false">IF(OR(DX$4="",$B37=""),0,SUMIF('DADOS BRUTOS'!$A$3:$A$500,$B37,'DADOS BRUTOS'!AX$3:AX$500)+IF($C37="",0,SUMIF('DADOS BRUTOS'!$A$3:$A$500,$C37,'DADOS BRUTOS'!AX$3:AX$500)))</f>
        <v>0</v>
      </c>
      <c r="DY37" s="133" t="n">
        <f aca="false">IF(OR(DY$4="",$B37=""),0,SUMIF('DADOS BRUTOS'!$A$3:$A$500,$B37,'DADOS BRUTOS'!AY$3:AY$500)+IF($C37="",0,SUMIF('DADOS BRUTOS'!$A$3:$A$500,$C37,'DADOS BRUTOS'!AY$3:AY$500)))</f>
        <v>0</v>
      </c>
      <c r="DZ37" s="133" t="n">
        <f aca="false">IF(OR(DZ$4="",$B37=""),0,SUMIF('DADOS BRUTOS'!$A$3:$A$500,$B37,'DADOS BRUTOS'!AZ$3:AZ$500)+IF($C37="",0,SUMIF('DADOS BRUTOS'!$A$3:$A$500,$C37,'DADOS BRUTOS'!AZ$3:AZ$500)))</f>
        <v>0</v>
      </c>
      <c r="EA37" s="133" t="n">
        <f aca="false">IF(OR(EA$4="",$B37=""),0,SUMIF('DADOS BRUTOS'!$A$3:$A$500,$B37,'DADOS BRUTOS'!BA$3:BA$500)+IF($C37="",0,SUMIF('DADOS BRUTOS'!$A$3:$A$500,$C37,'DADOS BRUTOS'!BA$3:BA$500)))</f>
        <v>0</v>
      </c>
      <c r="EB37" s="133" t="n">
        <f aca="false">IF(OR(EB$4="",$B37=""),0,SUMIF('DADOS BRUTOS'!$A$3:$A$500,$B37,'DADOS BRUTOS'!BB$3:BB$500)+IF($C37="",0,SUMIF('DADOS BRUTOS'!$A$3:$A$500,$C37,'DADOS BRUTOS'!BB$3:BB$500)))</f>
        <v>0</v>
      </c>
      <c r="EC37" s="133" t="n">
        <f aca="false">IF(OR(EC$4="",$B37=""),0,SUMIF('DADOS BRUTOS'!$A$3:$A$500,$B37,'DADOS BRUTOS'!BC$3:BC$500)+IF($C37="",0,SUMIF('DADOS BRUTOS'!$A$3:$A$500,$C37,'DADOS BRUTOS'!BC$3:BC$500)))</f>
        <v>0</v>
      </c>
      <c r="ED37" s="133" t="n">
        <f aca="false">IF(OR(ED$4="",$B37=""),0,SUMIF('DADOS BRUTOS'!$A$3:$A$500,$B37,'DADOS BRUTOS'!BD$3:BD$500)+IF($C37="",0,SUMIF('DADOS BRUTOS'!$A$3:$A$500,$C37,'DADOS BRUTOS'!BD$3:BD$500)))</f>
        <v>0</v>
      </c>
      <c r="EE37" s="133" t="n">
        <f aca="false">IF(OR(EE$4="",$B37=""),0,SUMIF('DADOS BRUTOS'!$A$3:$A$500,$B37,'DADOS BRUTOS'!BE$3:BE$500)+IF($C37="",0,SUMIF('DADOS BRUTOS'!$A$3:$A$500,$C37,'DADOS BRUTOS'!BE$3:BE$500)))</f>
        <v>0</v>
      </c>
      <c r="EF37" s="133" t="n">
        <f aca="false">IF(OR(EF$4="",$B37=""),0,SUMIF('DADOS BRUTOS'!$A$3:$A$500,$B37,'DADOS BRUTOS'!BF$3:BF$500)+IF($C37="",0,SUMIF('DADOS BRUTOS'!$A$3:$A$500,$C37,'DADOS BRUTOS'!BF$3:BF$500)))</f>
        <v>0</v>
      </c>
      <c r="EG37" s="133" t="n">
        <f aca="false">IF(OR(EG$4="",$B37=""),0,SUMIF('DADOS BRUTOS'!$A$3:$A$500,$B37,'DADOS BRUTOS'!BG$3:BG$500)+IF($C37="",0,SUMIF('DADOS BRUTOS'!$A$3:$A$500,$C37,'DADOS BRUTOS'!BG$3:BG$500)))</f>
        <v>0</v>
      </c>
      <c r="EH37" s="133" t="n">
        <f aca="false">IF(OR(EH$4="",$B37=""),0,SUMIF('DADOS BRUTOS'!$A$3:$A$500,$B37,'DADOS BRUTOS'!BH$3:BH$500)+IF($C37="",0,SUMIF('DADOS BRUTOS'!$A$3:$A$500,$C37,'DADOS BRUTOS'!BH$3:BH$500)))</f>
        <v>0</v>
      </c>
      <c r="EI37" s="133" t="n">
        <f aca="false">IF(OR(EI$4="",$B37=""),0,SUMIF('DADOS BRUTOS'!$A$3:$A$500,$B37,'DADOS BRUTOS'!BI$3:BI$500)+IF($C37="",0,SUMIF('DADOS BRUTOS'!$A$3:$A$500,$C37,'DADOS BRUTOS'!BI$3:BI$500)))</f>
        <v>0</v>
      </c>
      <c r="EJ37" s="133" t="n">
        <f aca="false">IF(OR(EJ$4="",$B37=""),0,SUMIF('DADOS BRUTOS'!$A$3:$A$500,$B37,'DADOS BRUTOS'!BJ$3:BJ$500)+IF($C37="",0,SUMIF('DADOS BRUTOS'!$A$3:$A$500,$C37,'DADOS BRUTOS'!BJ$3:BJ$500)))</f>
        <v>0</v>
      </c>
      <c r="EK37" s="133" t="n">
        <f aca="false">IF(OR(EK$4="",$B37=""),0,SUMIF('DADOS BRUTOS'!$A$3:$A$500,$B37,'DADOS BRUTOS'!BK$3:BK$500)+IF($C37="",0,SUMIF('DADOS BRUTOS'!$A$3:$A$500,$C37,'DADOS BRUTOS'!BK$3:BK$500)))</f>
        <v>0</v>
      </c>
      <c r="EL37" s="133" t="n">
        <f aca="false">IF(OR(EL$4="",$B37=""),0,SUMIF('DADOS BRUTOS'!$A$3:$A$500,$B37,'DADOS BRUTOS'!BL$3:BL$500)+IF($C37="",0,SUMIF('DADOS BRUTOS'!$A$3:$A$500,$C37,'DADOS BRUTOS'!BL$3:BL$500)))</f>
        <v>0</v>
      </c>
      <c r="EM37" s="133" t="n">
        <f aca="false">IF(OR(EM$4="",$B37=""),0,SUMIF('DADOS BRUTOS'!$A$3:$A$500,$B37,'DADOS BRUTOS'!BM$3:BM$500)+IF($C37="",0,SUMIF('DADOS BRUTOS'!$A$3:$A$500,$C37,'DADOS BRUTOS'!BM$3:BM$500)))</f>
        <v>0</v>
      </c>
      <c r="EN37" s="133" t="n">
        <f aca="false">IF(OR(EN$4="",$B37=""),0,SUMIF('DADOS BRUTOS'!$A$3:$A$500,$B37,'DADOS BRUTOS'!BN$3:BN$500)+IF($C37="",0,SUMIF('DADOS BRUTOS'!$A$3:$A$500,$C37,'DADOS BRUTOS'!BN$3:BN$500)))</f>
        <v>0</v>
      </c>
      <c r="EO37" s="133" t="n">
        <f aca="false">IF(OR(EO$4="",$B37=""),0,SUMIF('DADOS BRUTOS'!$A$3:$A$500,$B37,'DADOS BRUTOS'!BO$3:BO$500)+IF($C37="",0,SUMIF('DADOS BRUTOS'!$A$3:$A$500,$C37,'DADOS BRUTOS'!BO$3:BO$500)))</f>
        <v>0</v>
      </c>
      <c r="EP37" s="133" t="n">
        <f aca="false">IF(OR(EP$4="",$B37=""),0,SUMIF('DADOS BRUTOS'!$A$3:$A$500,$B37,'DADOS BRUTOS'!BP$3:BP$500)+IF($C37="",0,SUMIF('DADOS BRUTOS'!$A$3:$A$500,$C37,'DADOS BRUTOS'!BP$3:BP$500)))</f>
        <v>0</v>
      </c>
      <c r="EQ37" s="133" t="n">
        <f aca="false">IF(OR(EQ$4="",$B37=""),0,SUMIF('DADOS BRUTOS'!$A$3:$A$500,$B37,'DADOS BRUTOS'!BQ$3:BQ$500)+IF($C37="",0,SUMIF('DADOS BRUTOS'!$A$3:$A$500,$C37,'DADOS BRUTOS'!BQ$3:BQ$500)))</f>
        <v>0</v>
      </c>
      <c r="ER37" s="133" t="n">
        <f aca="false">IF(OR(ER$4="",$B37=""),0,SUMIF('DADOS BRUTOS'!$A$3:$A$500,$B37,'DADOS BRUTOS'!BR$3:BR$500)+IF($C37="",0,SUMIF('DADOS BRUTOS'!$A$3:$A$500,$C37,'DADOS BRUTOS'!BR$3:BR$500)))</f>
        <v>0</v>
      </c>
      <c r="ES37" s="133" t="n">
        <f aca="false">IF(OR(ES$4="",$B37=""),0,SUMIF('DADOS BRUTOS'!$A$3:$A$500,$B37,'DADOS BRUTOS'!BS$3:BS$500)+IF($C37="",0,SUMIF('DADOS BRUTOS'!$A$3:$A$500,$C37,'DADOS BRUTOS'!BS$3:BS$500)))</f>
        <v>0</v>
      </c>
      <c r="ET37" s="133" t="n">
        <f aca="false">IF(OR(ET$4="",$B37=""),0,SUMIF('DADOS BRUTOS'!$A$3:$A$500,$B37,'DADOS BRUTOS'!BT$3:BT$500)+IF($C37="",0,SUMIF('DADOS BRUTOS'!$A$3:$A$500,$C37,'DADOS BRUTOS'!BT$3:BT$500)))</f>
        <v>0</v>
      </c>
      <c r="EU37" s="133" t="n">
        <f aca="false">IF(OR(EU$4="",$B37=""),0,SUMIF('DADOS BRUTOS'!$A$3:$A$500,$B37,'DADOS BRUTOS'!BU$3:BU$500)+IF($C37="",0,SUMIF('DADOS BRUTOS'!$A$3:$A$500,$C37,'DADOS BRUTOS'!BU$3:BU$500)))</f>
        <v>0</v>
      </c>
      <c r="EV37" s="133" t="n">
        <f aca="false">IF(OR(EV$4="",$B37=""),0,SUMIF('DADOS BRUTOS'!$A$3:$A$500,$B37,'DADOS BRUTOS'!BV$3:BV$500)+IF($C37="",0,SUMIF('DADOS BRUTOS'!$A$3:$A$500,$C37,'DADOS BRUTOS'!BV$3:BV$500)))</f>
        <v>0</v>
      </c>
      <c r="EW37" s="133" t="n">
        <f aca="false">IF(OR(EW$4="",$B37=""),0,SUMIF('DADOS BRUTOS'!$A$3:$A$500,$B37,'DADOS BRUTOS'!BW$3:BW$500)+IF($C37="",0,SUMIF('DADOS BRUTOS'!$A$3:$A$500,$C37,'DADOS BRUTOS'!BW$3:BW$500)))</f>
        <v>0</v>
      </c>
      <c r="EX37" s="133" t="n">
        <f aca="false">IF(OR(EX$4="",$B37=""),0,SUMIF('DADOS BRUTOS'!$A$3:$A$500,$B37,'DADOS BRUTOS'!BX$3:BX$500)+IF($C37="",0,SUMIF('DADOS BRUTOS'!$A$3:$A$500,$C37,'DADOS BRUTOS'!BX$3:BX$500)))</f>
        <v>0</v>
      </c>
      <c r="EY37" s="133" t="n">
        <f aca="false">IF(OR(EY$4="",$B37=""),0,SUMIF('DADOS BRUTOS'!$A$3:$A$500,$B37,'DADOS BRUTOS'!BY$3:BY$500)+IF($C37="",0,SUMIF('DADOS BRUTOS'!$A$3:$A$500,$C37,'DADOS BRUTOS'!BY$3:BY$500)))</f>
        <v>0</v>
      </c>
      <c r="EZ37" s="133" t="n">
        <f aca="false">IF(OR(EZ$4="",$B37=""),0,SUMIF('DADOS BRUTOS'!$A$3:$A$500,$B37,'DADOS BRUTOS'!BZ$3:BZ$500)+IF($C37="",0,SUMIF('DADOS BRUTOS'!$A$3:$A$500,$C37,'DADOS BRUTOS'!BZ$3:BZ$500)))</f>
        <v>0</v>
      </c>
      <c r="FA37" s="133" t="n">
        <f aca="false">IF(OR(FA$4="",$B37=""),0,SUMIF('DADOS BRUTOS'!$A$3:$A$500,$B37,'DADOS BRUTOS'!CA$3:CA$500)+IF($C37="",0,SUMIF('DADOS BRUTOS'!$A$3:$A$500,$C37,'DADOS BRUTOS'!CA$3:CA$500)))</f>
        <v>0</v>
      </c>
      <c r="FB37" s="133" t="n">
        <f aca="false">IF(OR(FB$4="",$B37=""),0,SUMIF('DADOS BRUTOS'!$A$3:$A$500,$B37,'DADOS BRUTOS'!CB$3:CB$500)+IF($C37="",0,SUMIF('DADOS BRUTOS'!$A$3:$A$500,$C37,'DADOS BRUTOS'!CB$3:CB$500)))</f>
        <v>0</v>
      </c>
      <c r="FC37" s="133" t="n">
        <f aca="false">IF(OR(FC$4="",$B37=""),0,SUMIF('DADOS BRUTOS'!$A$3:$A$500,$B37,'DADOS BRUTOS'!CC$3:CC$500)+IF($C37="",0,SUMIF('DADOS BRUTOS'!$A$3:$A$500,$C37,'DADOS BRUTOS'!CC$3:CC$500)))</f>
        <v>0</v>
      </c>
      <c r="FD37" s="133" t="n">
        <f aca="false">IF(OR(FD$4="",$B37=""),0,SUMIF('DADOS BRUTOS'!$A$3:$A$500,$B37,'DADOS BRUTOS'!CD$3:CD$500)+IF($C37="",0,SUMIF('DADOS BRUTOS'!$A$3:$A$500,$C37,'DADOS BRUTOS'!CD$3:CD$500)))</f>
        <v>0</v>
      </c>
      <c r="FE37" s="133" t="n">
        <f aca="false">IF(OR(FE$4="",$B37=""),0,SUMIF('DADOS BRUTOS'!$A$3:$A$500,$B37,'DADOS BRUTOS'!CE$3:CE$500)+IF($C37="",0,SUMIF('DADOS BRUTOS'!$A$3:$A$500,$C37,'DADOS BRUTOS'!CE$3:CE$500)))</f>
        <v>0</v>
      </c>
      <c r="FF37" s="133" t="n">
        <f aca="false">IF(OR(FF$4="",$B37=""),0,SUMIF('DADOS BRUTOS'!$A$3:$A$500,$B37,'DADOS BRUTOS'!CF$3:CF$500)+IF($C37="",0,SUMIF('DADOS BRUTOS'!$A$3:$A$500,$C37,'DADOS BRUTOS'!CF$3:CF$500)))</f>
        <v>0</v>
      </c>
      <c r="FG37" s="133" t="n">
        <f aca="false">IF(OR(FG$4="",$B37=""),0,SUMIF('DADOS BRUTOS'!$A$3:$A$500,$B37,'DADOS BRUTOS'!CG$3:CG$500)+IF($C37="",0,SUMIF('DADOS BRUTOS'!$A$3:$A$500,$C37,'DADOS BRUTOS'!CG$3:CG$500)))</f>
        <v>0</v>
      </c>
      <c r="FH37" s="133" t="n">
        <f aca="false">IF(OR(FH$4="",$B37=""),0,SUMIF('DADOS BRUTOS'!$A$3:$A$500,$B37,'DADOS BRUTOS'!CH$3:CH$500)+IF($C37="",0,SUMIF('DADOS BRUTOS'!$A$3:$A$500,$C37,'DADOS BRUTOS'!CH$3:CH$500)))</f>
        <v>0</v>
      </c>
      <c r="FI37" s="133" t="n">
        <f aca="false">IF(OR(FI$4="",$B37=""),0,SUMIF('DADOS BRUTOS'!$A$3:$A$500,$B37,'DADOS BRUTOS'!CI$3:CI$500)+IF($C37="",0,SUMIF('DADOS BRUTOS'!$A$3:$A$500,$C37,'DADOS BRUTOS'!CI$3:CI$500)))</f>
        <v>0</v>
      </c>
      <c r="FJ37" s="133" t="n">
        <f aca="false">IF(OR(FJ$4="",$B37=""),0,SUMIF('DADOS BRUTOS'!$A$3:$A$500,$B37,'DADOS BRUTOS'!CJ$3:CJ$500)+IF($C37="",0,SUMIF('DADOS BRUTOS'!$A$3:$A$500,$C37,'DADOS BRUTOS'!CJ$3:CJ$500)))</f>
        <v>0</v>
      </c>
      <c r="FK37" s="133" t="n">
        <f aca="false">IF(OR(FK$4="",$B37=""),0,SUMIF('DADOS BRUTOS'!$A$3:$A$500,$B37,'DADOS BRUTOS'!CK$3:CK$500)+IF($C37="",0,SUMIF('DADOS BRUTOS'!$A$3:$A$500,$C37,'DADOS BRUTOS'!CK$3:CK$500)))</f>
        <v>0</v>
      </c>
      <c r="FL37" s="133" t="n">
        <f aca="false">IF(OR(FL$4="",$B37=""),0,SUMIF('DADOS BRUTOS'!$A$3:$A$500,$B37,'DADOS BRUTOS'!CL$3:CL$500)+IF($C37="",0,SUMIF('DADOS BRUTOS'!$A$3:$A$500,$C37,'DADOS BRUTOS'!CL$3:CL$500)))</f>
        <v>0</v>
      </c>
      <c r="FM37" s="133" t="n">
        <f aca="false">IF(OR(FM$4="",$B37=""),0,SUMIF('DADOS BRUTOS'!$A$3:$A$500,$B37,'DADOS BRUTOS'!CM$3:CM$500)+IF($C37="",0,SUMIF('DADOS BRUTOS'!$A$3:$A$500,$C37,'DADOS BRUTOS'!CM$3:CM$500)))</f>
        <v>0</v>
      </c>
      <c r="FN37" s="133" t="n">
        <f aca="false">IF(OR(FN$4="",$B37=""),0,SUMIF('DADOS BRUTOS'!$A$3:$A$500,$B37,'DADOS BRUTOS'!CN$3:CN$500)+IF($C37="",0,SUMIF('DADOS BRUTOS'!$A$3:$A$500,$C37,'DADOS BRUTOS'!CN$3:CN$500)))</f>
        <v>0</v>
      </c>
      <c r="FO37" s="133" t="n">
        <f aca="false">IF(OR(FO$4="",$B37=""),0,SUMIF('DADOS BRUTOS'!$A$3:$A$500,$B37,'DADOS BRUTOS'!CO$3:CO$500)+IF($C37="",0,SUMIF('DADOS BRUTOS'!$A$3:$A$500,$C37,'DADOS BRUTOS'!CO$3:CO$500)))</f>
        <v>0</v>
      </c>
      <c r="FP37" s="133" t="n">
        <f aca="false">IF(OR(FP$4="",$B37=""),0,SUMIF('DADOS BRUTOS'!$A$3:$A$500,$B37,'DADOS BRUTOS'!CP$3:CP$500)+IF($C37="",0,SUMIF('DADOS BRUTOS'!$A$3:$A$500,$C37,'DADOS BRUTOS'!CP$3:CP$500)))</f>
        <v>0</v>
      </c>
      <c r="FQ37" s="133" t="n">
        <f aca="false">IF(OR(FQ$4="",$B37=""),0,SUMIF('DADOS BRUTOS'!$A$3:$A$500,$B37,'DADOS BRUTOS'!CQ$3:CQ$500)+IF($C37="",0,SUMIF('DADOS BRUTOS'!$A$3:$A$500,$C37,'DADOS BRUTOS'!CQ$3:CQ$500)))</f>
        <v>0</v>
      </c>
      <c r="FR37" s="133" t="n">
        <f aca="false">IF(OR(FR$4="",$B37=""),0,SUMIF('DADOS BRUTOS'!$A$3:$A$500,$B37,'DADOS BRUTOS'!CR$3:CR$500)+IF($C37="",0,SUMIF('DADOS BRUTOS'!$A$3:$A$500,$C37,'DADOS BRUTOS'!CR$3:CR$500)))</f>
        <v>0</v>
      </c>
      <c r="FS37" s="133" t="n">
        <f aca="false">IF(OR(FS$4="",$B37=""),0,SUMIF('DADOS BRUTOS'!$A$3:$A$500,$B37,'DADOS BRUTOS'!CS$3:CS$500)+IF($C37="",0,SUMIF('DADOS BRUTOS'!$A$3:$A$500,$C37,'DADOS BRUTOS'!CS$3:CS$500)))</f>
        <v>0</v>
      </c>
      <c r="FT37" s="133" t="n">
        <f aca="false">IF(OR(FT$4="",$B37=""),0,SUMIF('DADOS BRUTOS'!$A$3:$A$500,$B37,'DADOS BRUTOS'!CT$3:CT$500)+IF($C37="",0,SUMIF('DADOS BRUTOS'!$A$3:$A$500,$C37,'DADOS BRUTOS'!CT$3:CT$500)))</f>
        <v>0</v>
      </c>
      <c r="FU37" s="133" t="n">
        <f aca="false">IF(OR(FU$4="",$B37=""),0,SUMIF('DADOS BRUTOS'!$A$3:$A$500,$B37,'DADOS BRUTOS'!CU$3:CU$500)+IF($C37="",0,SUMIF('DADOS BRUTOS'!$A$3:$A$500,$C37,'DADOS BRUTOS'!CU$3:CU$500)))</f>
        <v>0</v>
      </c>
      <c r="FV37" s="133" t="n">
        <f aca="false">IF(OR(FV$4="",$B37=""),0,SUMIF('DADOS BRUTOS'!$A$3:$A$500,$B37,'DADOS BRUTOS'!CV$3:CV$500)+IF($C37="",0,SUMIF('DADOS BRUTOS'!$A$3:$A$500,$C37,'DADOS BRUTOS'!CV$3:CV$500)))</f>
        <v>0</v>
      </c>
      <c r="FW37" s="133" t="n">
        <f aca="false">IF(OR(FW$4="",$B37=""),0,SUMIF('DADOS BRUTOS'!$A$3:$A$500,$B37,'DADOS BRUTOS'!CW$3:CW$500)+IF($C37="",0,SUMIF('DADOS BRUTOS'!$A$3:$A$500,$C37,'DADOS BRUTOS'!CW$3:CW$500)))</f>
        <v>0</v>
      </c>
      <c r="FX37" s="133" t="n">
        <f aca="false">IF(OR(FX$4="",$B37=""),0,SUMIF('DADOS BRUTOS'!$A$3:$A$500,$B37,'DADOS BRUTOS'!CX$3:CX$500)+IF($C37="",0,SUMIF('DADOS BRUTOS'!$A$3:$A$500,$C37,'DADOS BRUTOS'!CX$3:CX$500)))</f>
        <v>0</v>
      </c>
      <c r="FY37" s="133" t="n">
        <f aca="false">IF(OR(FY$4="",$B37=""),0,SUMIF('DADOS BRUTOS'!$A$3:$A$500,$B37,'DADOS BRUTOS'!CY$3:CY$500)+IF($C37="",0,SUMIF('DADOS BRUTOS'!$A$3:$A$500,$C37,'DADOS BRUTOS'!CY$3:CY$500)))</f>
        <v>0</v>
      </c>
      <c r="FZ37" s="133" t="n">
        <f aca="false">IF(OR(FZ$4="",$B37=""),0,SUMIF('DADOS BRUTOS'!$A$3:$A$500,$B37,'DADOS BRUTOS'!CZ$3:CZ$500)+IF($C37="",0,SUMIF('DADOS BRUTOS'!$A$3:$A$500,$C37,'DADOS BRUTOS'!CZ$3:CZ$500)))</f>
        <v>0</v>
      </c>
      <c r="GA37" s="133" t="n">
        <f aca="false">IF(OR(GA$4="",$B37=""),0,SUMIF('DADOS BRUTOS'!$A$3:$A$500,$B37,'DADOS BRUTOS'!DA$3:DA$500)+IF($C37="",0,SUMIF('DADOS BRUTOS'!$A$3:$A$500,$C37,'DADOS BRUTOS'!DA$3:DA$500)))</f>
        <v>0</v>
      </c>
      <c r="GB37" s="133" t="n">
        <f aca="false">IF(OR(GB$4="",$B37=""),0,SUMIF('DADOS BRUTOS'!$A$3:$A$500,$B37,'DADOS BRUTOS'!DB$3:DB$500)+IF($C37="",0,SUMIF('DADOS BRUTOS'!$A$3:$A$500,$C37,'DADOS BRUTOS'!DB$3:DB$500)))</f>
        <v>0</v>
      </c>
      <c r="GC37" s="133" t="n">
        <f aca="false">IF(OR(GC$4="",$B37=""),0,SUMIF('DADOS BRUTOS'!$A$3:$A$500,$B37,'DADOS BRUTOS'!DC$3:DC$500)+IF($C37="",0,SUMIF('DADOS BRUTOS'!$A$3:$A$500,$C37,'DADOS BRUTOS'!DC$3:DC$500)))</f>
        <v>0</v>
      </c>
      <c r="GD37" s="133" t="n">
        <f aca="false">IF(OR(GD$4="",$B37=""),0,SUMIF('DADOS BRUTOS'!$A$3:$A$500,$B37,'DADOS BRUTOS'!DD$3:DD$500)+IF($C37="",0,SUMIF('DADOS BRUTOS'!$A$3:$A$500,$C37,'DADOS BRUTOS'!DD$3:DD$500)))</f>
        <v>0</v>
      </c>
      <c r="GE37" s="133" t="n">
        <f aca="false">IF(OR(GE$4="",$B37=""),0,SUMIF('DADOS BRUTOS'!$A$3:$A$500,$B37,'DADOS BRUTOS'!DE$3:DE$500)+IF($C37="",0,SUMIF('DADOS BRUTOS'!$A$3:$A$500,$C37,'DADOS BRUTOS'!DE$3:DE$500)))</f>
        <v>0</v>
      </c>
      <c r="GF37" s="133" t="n">
        <f aca="false">IF(OR(GF$4="",$B37=""),0,SUMIF('DADOS BRUTOS'!$A$3:$A$500,$B37,'DADOS BRUTOS'!DF$3:DF$500)+IF($C37="",0,SUMIF('DADOS BRUTOS'!$A$3:$A$500,$C37,'DADOS BRUTOS'!DF$3:DF$500)))</f>
        <v>0</v>
      </c>
      <c r="GG37" s="133" t="n">
        <f aca="false">IF(OR(GG$4="",$B37=""),0,SUMIF('DADOS BRUTOS'!$A$3:$A$500,$B37,'DADOS BRUTOS'!DG$3:DG$500)+IF($C37="",0,SUMIF('DADOS BRUTOS'!$A$3:$A$500,$C37,'DADOS BRUTOS'!DG$3:DG$500)))</f>
        <v>0</v>
      </c>
      <c r="GH37" s="133" t="n">
        <f aca="false">IF(OR(GH$4="",$B37=""),0,SUMIF('DADOS BRUTOS'!$A$3:$A$500,$B37,'DADOS BRUTOS'!DH$3:DH$500)+IF($C37="",0,SUMIF('DADOS BRUTOS'!$A$3:$A$500,$C37,'DADOS BRUTOS'!DH$3:DH$500)))</f>
        <v>0</v>
      </c>
      <c r="GI37" s="133" t="n">
        <f aca="false">IF(OR(GI$4="",$B37=""),0,SUMIF('DADOS BRUTOS'!$A$3:$A$500,$B37,'DADOS BRUTOS'!DI$3:DI$500)+IF($C37="",0,SUMIF('DADOS BRUTOS'!$A$3:$A$500,$C37,'DADOS BRUTOS'!DI$3:DI$500)))</f>
        <v>0</v>
      </c>
      <c r="GJ37" s="133" t="n">
        <f aca="false">IF(OR(GJ$4="",$B37=""),0,SUMIF('DADOS BRUTOS'!$A$3:$A$500,$B37,'DADOS BRUTOS'!DJ$3:DJ$500)+IF($C37="",0,SUMIF('DADOS BRUTOS'!$A$3:$A$500,$C37,'DADOS BRUTOS'!DJ$3:DJ$500)))</f>
        <v>0</v>
      </c>
      <c r="GK37" s="133" t="n">
        <f aca="false">IF(OR(GK$4="",$B37=""),0,SUMIF('DADOS BRUTOS'!$A$3:$A$500,$B37,'DADOS BRUTOS'!DK$3:DK$500)+IF($C37="",0,SUMIF('DADOS BRUTOS'!$A$3:$A$500,$C37,'DADOS BRUTOS'!DK$3:DK$500)))</f>
        <v>0</v>
      </c>
      <c r="GL37" s="133" t="n">
        <f aca="false">IF(OR(GL$4="",$B37=""),0,SUMIF('DADOS BRUTOS'!$A$3:$A$500,$B37,'DADOS BRUTOS'!DL$3:DL$500)+IF($C37="",0,SUMIF('DADOS BRUTOS'!$A$3:$A$500,$C37,'DADOS BRUTOS'!DL$3:DL$500)))</f>
        <v>0</v>
      </c>
      <c r="GM37" s="133" t="n">
        <f aca="false">IF(OR(GM$4="",$B37=""),0,SUMIF('DADOS BRUTOS'!$A$3:$A$500,$B37,'DADOS BRUTOS'!DM$3:DM$500)+IF($C37="",0,SUMIF('DADOS BRUTOS'!$A$3:$A$500,$C37,'DADOS BRUTOS'!DM$3:DM$500)))</f>
        <v>0</v>
      </c>
      <c r="GN37" s="133" t="n">
        <f aca="false">IF(OR(GN$4="",$B37=""),0,SUMIF('DADOS BRUTOS'!$A$3:$A$500,$B37,'DADOS BRUTOS'!DN$3:DN$500)+IF($C37="",0,SUMIF('DADOS BRUTOS'!$A$3:$A$500,$C37,'DADOS BRUTOS'!DN$3:DN$500)))</f>
        <v>0</v>
      </c>
      <c r="GO37" s="133" t="n">
        <f aca="false">IF(OR(GO$4="",$B37=""),0,SUMIF('DADOS BRUTOS'!$A$3:$A$500,$B37,'DADOS BRUTOS'!DO$3:DO$500)+IF($C37="",0,SUMIF('DADOS BRUTOS'!$A$3:$A$500,$C37,'DADOS BRUTOS'!DO$3:DO$500)))</f>
        <v>0</v>
      </c>
      <c r="GP37" s="133" t="n">
        <f aca="false">IF(OR(GP$4="",$B37=""),0,SUMIF('DADOS BRUTOS'!$A$3:$A$500,$B37,'DADOS BRUTOS'!DP$3:DP$500)+IF($C37="",0,SUMIF('DADOS BRUTOS'!$A$3:$A$500,$C37,'DADOS BRUTOS'!DP$3:DP$500)))</f>
        <v>0</v>
      </c>
      <c r="GQ37" s="133" t="n">
        <f aca="false">IF(OR(GQ$4="",$B37=""),0,SUMIF('DADOS BRUTOS'!$A$3:$A$500,$B37,'DADOS BRUTOS'!DQ$3:DQ$500)+IF($C37="",0,SUMIF('DADOS BRUTOS'!$A$3:$A$500,$C37,'DADOS BRUTOS'!DQ$3:DQ$500)))</f>
        <v>0</v>
      </c>
      <c r="GR37" s="133" t="n">
        <f aca="false">IF(OR(GR$4="",$B37=""),0,SUMIF('DADOS BRUTOS'!$A$3:$A$500,$B37,'DADOS BRUTOS'!DR$3:DR$500)+IF($C37="",0,SUMIF('DADOS BRUTOS'!$A$3:$A$500,$C37,'DADOS BRUTOS'!DR$3:DR$500)))</f>
        <v>0</v>
      </c>
      <c r="GS37" s="133" t="n">
        <f aca="false">IF(OR(GS$4="",$B37=""),0,SUMIF('DADOS BRUTOS'!$A$3:$A$500,$B37,'DADOS BRUTOS'!DS$3:DS$500)+IF($C37="",0,SUMIF('DADOS BRUTOS'!$A$3:$A$500,$C37,'DADOS BRUTOS'!DS$3:DS$500)))</f>
        <v>0</v>
      </c>
      <c r="GT37" s="133" t="n">
        <f aca="false">IF(OR(GT$4="",$B37=""),0,SUMIF('DADOS BRUTOS'!$A$3:$A$500,$B37,'DADOS BRUTOS'!DT$3:DT$500)+IF($C37="",0,SUMIF('DADOS BRUTOS'!$A$3:$A$500,$C37,'DADOS BRUTOS'!DT$3:DT$500)))</f>
        <v>0</v>
      </c>
      <c r="GU37" s="133" t="n">
        <f aca="false">IF(OR(GU$4="",$B37=""),0,SUMIF('DADOS BRUTOS'!$A$3:$A$500,$B37,'DADOS BRUTOS'!DU$3:DU$500)+IF($C37="",0,SUMIF('DADOS BRUTOS'!$A$3:$A$500,$C37,'DADOS BRUTOS'!DU$3:DU$500)))</f>
        <v>0</v>
      </c>
      <c r="GV37" s="133" t="n">
        <f aca="false">IF(OR(GV$4="",$B37=""),0,SUMIF('DADOS BRUTOS'!$A$3:$A$500,$B37,'DADOS BRUTOS'!DV$3:DV$500)+IF($C37="",0,SUMIF('DADOS BRUTOS'!$A$3:$A$500,$C37,'DADOS BRUTOS'!DV$3:DV$500)))</f>
        <v>0</v>
      </c>
      <c r="GW37" s="133" t="n">
        <f aca="false">IF(OR(GW$4="",$B37=""),0,SUMIF('DADOS BRUTOS'!$A$3:$A$500,$B37,'DADOS BRUTOS'!DW$3:DW$500)+IF($C37="",0,SUMIF('DADOS BRUTOS'!$A$3:$A$500,$C37,'DADOS BRUTOS'!DW$3:DW$500)))</f>
        <v>0</v>
      </c>
      <c r="GX37" s="133" t="n">
        <f aca="false">IF(OR(GX$4="",$B37=""),0,SUMIF('DADOS BRUTOS'!$A$3:$A$500,$B37,'DADOS BRUTOS'!DX$3:DX$500)+IF($C37="",0,SUMIF('DADOS BRUTOS'!$A$3:$A$500,$C37,'DADOS BRUTOS'!DX$3:DX$500)))</f>
        <v>0</v>
      </c>
      <c r="GY37" s="133" t="n">
        <f aca="false">IF(OR(GY$4="",$B37=""),0,SUMIF('DADOS BRUTOS'!$A$3:$A$500,$B37,'DADOS BRUTOS'!DY$3:DY$500)+IF($C37="",0,SUMIF('DADOS BRUTOS'!$A$3:$A$500,$C37,'DADOS BRUTOS'!DY$3:DY$500)))</f>
        <v>0</v>
      </c>
      <c r="GZ37" s="133" t="n">
        <f aca="false">IF(OR(GZ$4="",$B37=""),0,SUMIF('DADOS BRUTOS'!$A$3:$A$500,$B37,'DADOS BRUTOS'!DZ$3:DZ$500)+IF($C37="",0,SUMIF('DADOS BRUTOS'!$A$3:$A$500,$C37,'DADOS BRUTOS'!DZ$3:DZ$500)))</f>
        <v>0</v>
      </c>
      <c r="HA37" s="133" t="n">
        <f aca="false">IF(OR(HA$4="",$B37=""),0,SUMIF('DADOS BRUTOS'!$A$3:$A$500,$B37,'DADOS BRUTOS'!EA$3:EA$500)+IF($C37="",0,SUMIF('DADOS BRUTOS'!$A$3:$A$500,$C37,'DADOS BRUTOS'!EA$3:EA$500)))</f>
        <v>0</v>
      </c>
      <c r="HB37" s="133" t="n">
        <f aca="false">IF(OR(HB$4="",$B37=""),0,SUMIF('DADOS BRUTOS'!$A$3:$A$500,$B37,'DADOS BRUTOS'!EB$3:EB$500)+IF($C37="",0,SUMIF('DADOS BRUTOS'!$A$3:$A$500,$C37,'DADOS BRUTOS'!EB$3:EB$500)))</f>
        <v>0</v>
      </c>
      <c r="HC37" s="133" t="n">
        <f aca="false">IF(OR(HC$4="",$B37=""),0,SUMIF('DADOS BRUTOS'!$A$3:$A$500,$B37,'DADOS BRUTOS'!EC$3:EC$500)+IF($C37="",0,SUMIF('DADOS BRUTOS'!$A$3:$A$500,$C37,'DADOS BRUTOS'!EC$3:EC$500)))</f>
        <v>0</v>
      </c>
      <c r="HD37" s="133" t="n">
        <f aca="false">IF(OR(HD$4="",$B37=""),0,SUMIF('DADOS BRUTOS'!$A$3:$A$500,$B37,'DADOS BRUTOS'!ED$3:ED$500)+IF($C37="",0,SUMIF('DADOS BRUTOS'!$A$3:$A$500,$C37,'DADOS BRUTOS'!ED$3:ED$500)))</f>
        <v>0</v>
      </c>
      <c r="HE37" s="133" t="n">
        <f aca="false">IF(OR(HE$4="",$B37=""),0,SUMIF('DADOS BRUTOS'!$A$3:$A$500,$B37,'DADOS BRUTOS'!EE$3:EE$500)+IF($C37="",0,SUMIF('DADOS BRUTOS'!$A$3:$A$500,$C37,'DADOS BRUTOS'!EE$3:EE$500)))</f>
        <v>0</v>
      </c>
      <c r="HF37" s="133" t="n">
        <f aca="false">IF(OR(HF$4="",$B37=""),0,SUMIF('DADOS BRUTOS'!$A$3:$A$500,$B37,'DADOS BRUTOS'!EF$3:EF$500)+IF($C37="",0,SUMIF('DADOS BRUTOS'!$A$3:$A$500,$C37,'DADOS BRUTOS'!EF$3:EF$500)))</f>
        <v>0</v>
      </c>
      <c r="HG37" s="133" t="n">
        <f aca="false">IF(OR(HG$4="",$B37=""),0,SUMIF('DADOS BRUTOS'!$A$3:$A$500,$B37,'DADOS BRUTOS'!EG$3:EG$500)+IF($C37="",0,SUMIF('DADOS BRUTOS'!$A$3:$A$500,$C37,'DADOS BRUTOS'!EG$3:EG$500)))</f>
        <v>0</v>
      </c>
      <c r="HH37" s="133" t="n">
        <f aca="false">IF(OR(HH$4="",$B37=""),0,SUMIF('DADOS BRUTOS'!$A$3:$A$500,$B37,'DADOS BRUTOS'!EH$3:EH$500)+IF($C37="",0,SUMIF('DADOS BRUTOS'!$A$3:$A$500,$C37,'DADOS BRUTOS'!EH$3:EH$500)))</f>
        <v>0</v>
      </c>
      <c r="HI37" s="133" t="n">
        <f aca="false">IF(OR(HI$4="",$B37=""),0,SUMIF('DADOS BRUTOS'!$A$3:$A$500,$B37,'DADOS BRUTOS'!EI$3:EI$500)+IF($C37="",0,SUMIF('DADOS BRUTOS'!$A$3:$A$500,$C37,'DADOS BRUTOS'!EI$3:EI$500)))</f>
        <v>0</v>
      </c>
      <c r="HJ37" s="133" t="n">
        <f aca="false">IF(OR(HJ$4="",$B37=""),0,SUMIF('DADOS BRUTOS'!$A$3:$A$500,$B37,'DADOS BRUTOS'!EJ$3:EJ$500)+IF($C37="",0,SUMIF('DADOS BRUTOS'!$A$3:$A$500,$C37,'DADOS BRUTOS'!EJ$3:EJ$500)))</f>
        <v>0</v>
      </c>
      <c r="HK37" s="133" t="n">
        <f aca="false">IF(OR(HK$4="",$B37=""),0,SUMIF('DADOS BRUTOS'!$A$3:$A$500,$B37,'DADOS BRUTOS'!EK$3:EK$500)+IF($C37="",0,SUMIF('DADOS BRUTOS'!$A$3:$A$500,$C37,'DADOS BRUTOS'!EK$3:EK$500)))</f>
        <v>0</v>
      </c>
      <c r="HL37" s="133" t="n">
        <f aca="false">IF(OR(HL$4="",$B37=""),0,SUMIF('DADOS BRUTOS'!$A$3:$A$500,$B37,'DADOS BRUTOS'!EL$3:EL$500)+IF($C37="",0,SUMIF('DADOS BRUTOS'!$A$3:$A$500,$C37,'DADOS BRUTOS'!EL$3:EL$500)))</f>
        <v>0</v>
      </c>
      <c r="HM37" s="133" t="n">
        <f aca="false">IF(OR(HM$4="",$B37=""),0,SUMIF('DADOS BRUTOS'!$A$3:$A$500,$B37,'DADOS BRUTOS'!EM$3:EM$500)+IF($C37="",0,SUMIF('DADOS BRUTOS'!$A$3:$A$500,$C37,'DADOS BRUTOS'!EM$3:EM$500)))</f>
        <v>0</v>
      </c>
      <c r="HN37" s="133" t="n">
        <f aca="false">IF(OR(HN$4="",$B37=""),0,SUMIF('DADOS BRUTOS'!$A$3:$A$500,$B37,'DADOS BRUTOS'!EN$3:EN$500)+IF($C37="",0,SUMIF('DADOS BRUTOS'!$A$3:$A$500,$C37,'DADOS BRUTOS'!EN$3:EN$500)))</f>
        <v>0</v>
      </c>
      <c r="HO37" s="133" t="n">
        <f aca="false">IF(OR(HO$4="",$B37=""),0,SUMIF('DADOS BRUTOS'!$A$3:$A$500,$B37,'DADOS BRUTOS'!EO$3:EO$500)+IF($C37="",0,SUMIF('DADOS BRUTOS'!$A$3:$A$500,$C37,'DADOS BRUTOS'!EO$3:EO$500)))</f>
        <v>0</v>
      </c>
      <c r="HP37" s="133" t="n">
        <f aca="false">IF(OR(HP$4="",$B37=""),0,SUMIF('DADOS BRUTOS'!$A$3:$A$500,$B37,'DADOS BRUTOS'!EP$3:EP$500)+IF($C37="",0,SUMIF('DADOS BRUTOS'!$A$3:$A$500,$C37,'DADOS BRUTOS'!EP$3:EP$500)))</f>
        <v>0</v>
      </c>
      <c r="HQ37" s="133" t="n">
        <f aca="false">IF(OR(HQ$4="",$B37=""),0,SUMIF('DADOS BRUTOS'!$A$3:$A$500,$B37,'DADOS BRUTOS'!EQ$3:EQ$500)+IF($C37="",0,SUMIF('DADOS BRUTOS'!$A$3:$A$500,$C37,'DADOS BRUTOS'!EQ$3:EQ$500)))</f>
        <v>0</v>
      </c>
      <c r="HR37" s="133" t="n">
        <f aca="false">IF(OR(HR$4="",$B37=""),0,SUMIF('DADOS BRUTOS'!$A$3:$A$500,$B37,'DADOS BRUTOS'!ER$3:ER$500)+IF($C37="",0,SUMIF('DADOS BRUTOS'!$A$3:$A$500,$C37,'DADOS BRUTOS'!ER$3:ER$500)))</f>
        <v>0</v>
      </c>
      <c r="HS37" s="133" t="n">
        <f aca="false">IF(OR(HS$4="",$B37=""),0,SUMIF('DADOS BRUTOS'!$A$3:$A$500,$B37,'DADOS BRUTOS'!ES$3:ES$500)+IF($C37="",0,SUMIF('DADOS BRUTOS'!$A$3:$A$500,$C37,'DADOS BRUTOS'!ES$3:ES$500)))</f>
        <v>0</v>
      </c>
      <c r="HT37" s="133" t="n">
        <f aca="false">IF(OR(HT$4="",$B37=""),0,SUMIF('DADOS BRUTOS'!$A$3:$A$500,$B37,'DADOS BRUTOS'!ET$3:ET$500)+IF($C37="",0,SUMIF('DADOS BRUTOS'!$A$3:$A$500,$C37,'DADOS BRUTOS'!ET$3:ET$500)))</f>
        <v>0</v>
      </c>
      <c r="HU37" s="133" t="n">
        <f aca="false">IF(OR(HU$4="",$B37=""),0,SUMIF('DADOS BRUTOS'!$A$3:$A$500,$B37,'DADOS BRUTOS'!EU$3:EU$500)+IF($C37="",0,SUMIF('DADOS BRUTOS'!$A$3:$A$500,$C37,'DADOS BRUTOS'!EU$3:EU$500)))</f>
        <v>0</v>
      </c>
      <c r="HV37" s="133" t="n">
        <f aca="false">IF(OR(HV$4="",$B37=""),0,SUMIF('DADOS BRUTOS'!$A$3:$A$500,$B37,'DADOS BRUTOS'!EV$3:EV$500)+IF($C37="",0,SUMIF('DADOS BRUTOS'!$A$3:$A$500,$C37,'DADOS BRUTOS'!EV$3:EV$500)))</f>
        <v>0</v>
      </c>
      <c r="HW37" s="133" t="n">
        <f aca="false">IF(OR(HW$4="",$B37=""),0,SUMIF('DADOS BRUTOS'!$A$3:$A$500,$B37,'DADOS BRUTOS'!EW$3:EW$500)+IF($C37="",0,SUMIF('DADOS BRUTOS'!$A$3:$A$500,$C37,'DADOS BRUTOS'!EW$3:EW$500)))</f>
        <v>0</v>
      </c>
      <c r="HX37" s="133" t="n">
        <f aca="false">IF(OR(HX$4="",$B37=""),0,SUMIF('DADOS BRUTOS'!$A$3:$A$500,$B37,'DADOS BRUTOS'!EX$3:EX$500)+IF($C37="",0,SUMIF('DADOS BRUTOS'!$A$3:$A$500,$C37,'DADOS BRUTOS'!EX$3:EX$500)))</f>
        <v>0</v>
      </c>
      <c r="HY37" s="133" t="n">
        <f aca="false">IF(OR(HY$4="",$B37=""),0,SUMIF('DADOS BRUTOS'!$A$3:$A$500,$B37,'DADOS BRUTOS'!EY$3:EY$500)+IF($C37="",0,SUMIF('DADOS BRUTOS'!$A$3:$A$500,$C37,'DADOS BRUTOS'!EY$3:EY$500)))</f>
        <v>0</v>
      </c>
      <c r="HZ37" s="133" t="n">
        <f aca="false">IF(OR(HZ$4="",$B37=""),0,SUMIF('DADOS BRUTOS'!$A$3:$A$500,$B37,'DADOS BRUTOS'!EZ$3:EZ$500)+IF($C37="",0,SUMIF('DADOS BRUTOS'!$A$3:$A$500,$C37,'DADOS BRUTOS'!EZ$3:EZ$500)))</f>
        <v>0</v>
      </c>
      <c r="IA37" s="133" t="n">
        <f aca="false">IF(OR(IA$4="",$B37=""),0,SUMIF('DADOS BRUTOS'!$A$3:$A$500,$B37,'DADOS BRUTOS'!FA$3:FA$500)+IF($C37="",0,SUMIF('DADOS BRUTOS'!$A$3:$A$500,$C37,'DADOS BRUTOS'!FA$3:FA$500)))</f>
        <v>0</v>
      </c>
      <c r="IB37" s="133" t="n">
        <f aca="false">IF(OR(IB$4="",$B37=""),0,SUMIF('DADOS BRUTOS'!$A$3:$A$500,$B37,'DADOS BRUTOS'!FB$3:FB$500)+IF($C37="",0,SUMIF('DADOS BRUTOS'!$A$3:$A$500,$C37,'DADOS BRUTOS'!FB$3:FB$500)))</f>
        <v>0</v>
      </c>
      <c r="IC37" s="133" t="n">
        <f aca="false">IF(OR(IC$4="",$B37=""),0,SUMIF('DADOS BRUTOS'!$A$3:$A$500,$B37,'DADOS BRUTOS'!FC$3:FC$500)+IF($C37="",0,SUMIF('DADOS BRUTOS'!$A$3:$A$500,$C37,'DADOS BRUTOS'!FC$3:FC$500)))</f>
        <v>0</v>
      </c>
      <c r="ID37" s="133" t="n">
        <f aca="false">IF(OR(ID$4="",$B37=""),0,SUMIF('DADOS BRUTOS'!$A$3:$A$500,$B37,'DADOS BRUTOS'!FD$3:FD$500)+IF($C37="",0,SUMIF('DADOS BRUTOS'!$A$3:$A$500,$C37,'DADOS BRUTOS'!FD$3:FD$500)))</f>
        <v>0</v>
      </c>
      <c r="IE37" s="133" t="n">
        <f aca="false">IF(OR(IE$4="",$B37=""),0,SUMIF('DADOS BRUTOS'!$A$3:$A$500,$B37,'DADOS BRUTOS'!FE$3:FE$500)+IF($C37="",0,SUMIF('DADOS BRUTOS'!$A$3:$A$500,$C37,'DADOS BRUTOS'!FE$3:FE$500)))</f>
        <v>0</v>
      </c>
      <c r="IF37" s="133" t="n">
        <f aca="false">IF(OR(IF$4="",$B37=""),0,SUMIF('DADOS BRUTOS'!$A$3:$A$500,$B37,'DADOS BRUTOS'!FF$3:FF$500)+IF($C37="",0,SUMIF('DADOS BRUTOS'!$A$3:$A$500,$C37,'DADOS BRUTOS'!FF$3:FF$500)))</f>
        <v>0</v>
      </c>
      <c r="IG37" s="133" t="n">
        <f aca="false">IF(OR(IG$4="",$B37=""),0,SUMIF('DADOS BRUTOS'!$A$3:$A$500,$B37,'DADOS BRUTOS'!FG$3:FG$500)+IF($C37="",0,SUMIF('DADOS BRUTOS'!$A$3:$A$500,$C37,'DADOS BRUTOS'!FG$3:FG$500)))</f>
        <v>0</v>
      </c>
      <c r="IH37" s="133" t="n">
        <f aca="false">IF(OR(IH$4="",$B37=""),0,SUMIF('DADOS BRUTOS'!$A$3:$A$500,$B37,'DADOS BRUTOS'!FH$3:FH$500)+IF($C37="",0,SUMIF('DADOS BRUTOS'!$A$3:$A$500,$C37,'DADOS BRUTOS'!FH$3:FH$500)))</f>
        <v>0</v>
      </c>
      <c r="II37" s="133" t="n">
        <f aca="false">IF(OR(II$4="",$B37=""),0,SUMIF('DADOS BRUTOS'!$A$3:$A$500,$B37,'DADOS BRUTOS'!FI$3:FI$500)+IF($C37="",0,SUMIF('DADOS BRUTOS'!$A$3:$A$500,$C37,'DADOS BRUTOS'!FI$3:FI$500)))</f>
        <v>0</v>
      </c>
      <c r="IJ37" s="133" t="n">
        <f aca="false">IF(OR(IJ$4="",$B37=""),0,SUMIF('DADOS BRUTOS'!$A$3:$A$500,$B37,'DADOS BRUTOS'!FJ$3:FJ$500)+IF($C37="",0,SUMIF('DADOS BRUTOS'!$A$3:$A$500,$C37,'DADOS BRUTOS'!FJ$3:FJ$500)))</f>
        <v>0</v>
      </c>
      <c r="IK37" s="133" t="n">
        <f aca="false">IF(OR(IK$4="",$B37=""),0,SUMIF('DADOS BRUTOS'!$A$3:$A$500,$B37,'DADOS BRUTOS'!FK$3:FK$500)+IF($C37="",0,SUMIF('DADOS BRUTOS'!$A$3:$A$500,$C37,'DADOS BRUTOS'!FK$3:FK$500)))</f>
        <v>0</v>
      </c>
      <c r="IL37" s="133" t="n">
        <f aca="false">IF(OR(IL$4="",$B37=""),0,SUMIF('DADOS BRUTOS'!$A$3:$A$500,$B37,'DADOS BRUTOS'!FL$3:FL$500)+IF($C37="",0,SUMIF('DADOS BRUTOS'!$A$3:$A$500,$C37,'DADOS BRUTOS'!FL$3:FL$500)))</f>
        <v>0</v>
      </c>
      <c r="IM37" s="133" t="n">
        <f aca="false">IF(OR(IM$4="",$B37=""),0,SUMIF('DADOS BRUTOS'!$A$3:$A$500,$B37,'DADOS BRUTOS'!FM$3:FM$500)+IF($C37="",0,SUMIF('DADOS BRUTOS'!$A$3:$A$500,$C37,'DADOS BRUTOS'!FM$3:FM$500)))</f>
        <v>0</v>
      </c>
      <c r="IN37" s="133" t="n">
        <f aca="false">IF(OR(IN$4="",$B37=""),0,SUMIF('DADOS BRUTOS'!$A$3:$A$500,$B37,'DADOS BRUTOS'!FN$3:FN$500)+IF($C37="",0,SUMIF('DADOS BRUTOS'!$A$3:$A$500,$C37,'DADOS BRUTOS'!FN$3:FN$500)))</f>
        <v>0</v>
      </c>
      <c r="IO37" s="133" t="n">
        <f aca="false">IF(OR(IO$4="",$B37=""),0,SUMIF('DADOS BRUTOS'!$A$3:$A$500,$B37,'DADOS BRUTOS'!FO$3:FO$500)+IF($C37="",0,SUMIF('DADOS BRUTOS'!$A$3:$A$500,$C37,'DADOS BRUTOS'!FO$3:FO$500)))</f>
        <v>0</v>
      </c>
      <c r="IP37" s="133" t="n">
        <f aca="false">IF(OR(IP$4="",$B37=""),0,SUMIF('DADOS BRUTOS'!$A$3:$A$500,$B37,'DADOS BRUTOS'!FP$3:FP$500)+IF($C37="",0,SUMIF('DADOS BRUTOS'!$A$3:$A$500,$C37,'DADOS BRUTOS'!FP$3:FP$500)))</f>
        <v>0</v>
      </c>
      <c r="IQ37" s="133" t="n">
        <f aca="false">IF(OR(IQ$4="",$B37=""),0,SUMIF('DADOS BRUTOS'!$A$3:$A$500,$B37,'DADOS BRUTOS'!FQ$3:FQ$500)+IF($C37="",0,SUMIF('DADOS BRUTOS'!$A$3:$A$500,$C37,'DADOS BRUTOS'!FQ$3:FQ$500)))</f>
        <v>0</v>
      </c>
      <c r="IR37" s="133" t="n">
        <f aca="false">IF(OR(IR$4="",$B37=""),0,SUMIF('DADOS BRUTOS'!$A$3:$A$500,$B37,'DADOS BRUTOS'!FR$3:FR$500)+IF($C37="",0,SUMIF('DADOS BRUTOS'!$A$3:$A$500,$C37,'DADOS BRUTOS'!FR$3:FR$500)))</f>
        <v>0</v>
      </c>
      <c r="IS37" s="133" t="n">
        <f aca="false">IF(OR(IS$4="",$B37=""),0,SUMIF('DADOS BRUTOS'!$A$3:$A$500,$B37,'DADOS BRUTOS'!FS$3:FS$500)+IF($C37="",0,SUMIF('DADOS BRUTOS'!$A$3:$A$500,$C37,'DADOS BRUTOS'!FS$3:FS$500)))</f>
        <v>0</v>
      </c>
      <c r="IT37" s="133" t="n">
        <f aca="false">IF(OR(IT$4="",$B37=""),0,SUMIF('DADOS BRUTOS'!$A$3:$A$500,$B37,'DADOS BRUTOS'!FT$3:FT$500)+IF($C37="",0,SUMIF('DADOS BRUTOS'!$A$3:$A$500,$C37,'DADOS BRUTOS'!FT$3:FT$500)))</f>
        <v>0</v>
      </c>
      <c r="IU37" s="133" t="n">
        <f aca="false">IF(OR(IU$4="",$B37=""),0,SUMIF('DADOS BRUTOS'!$A$3:$A$500,$B37,'DADOS BRUTOS'!FU$3:FU$500)+IF($C37="",0,SUMIF('DADOS BRUTOS'!$A$3:$A$500,$C37,'DADOS BRUTOS'!FU$3:FU$500)))</f>
        <v>0</v>
      </c>
      <c r="IV37" s="133" t="n">
        <f aca="false">IF(OR(IV$4="",$B37=""),0,SUMIF('DADOS BRUTOS'!$A$3:$A$500,$B37,'DADOS BRUTOS'!FV$3:FV$500)+IF($C37="",0,SUMIF('DADOS BRUTOS'!$A$3:$A$500,$C37,'DADOS BRUTOS'!FV$3:FV$500)))</f>
        <v>0</v>
      </c>
      <c r="IW37" s="133" t="n">
        <f aca="false">IF(OR(IW$4="",$B37=""),0,SUMIF('DADOS BRUTOS'!$A$3:$A$500,$B37,'DADOS BRUTOS'!FW$3:FW$500)+IF($C37="",0,SUMIF('DADOS BRUTOS'!$A$3:$A$500,$C37,'DADOS BRUTOS'!FW$3:FW$500)))</f>
        <v>0</v>
      </c>
      <c r="IX37" s="133" t="n">
        <f aca="false">IF(OR(IX$4="",$B37=""),0,SUMIF('DADOS BRUTOS'!$A$3:$A$500,$B37,'DADOS BRUTOS'!FX$3:FX$500)+IF($C37="",0,SUMIF('DADOS BRUTOS'!$A$3:$A$500,$C37,'DADOS BRUTOS'!FX$3:FX$500)))</f>
        <v>0</v>
      </c>
      <c r="IY37" s="133" t="n">
        <f aca="false">IF(OR(IY$4="",$B37=""),0,SUMIF('DADOS BRUTOS'!$A$3:$A$500,$B37,'DADOS BRUTOS'!FY$3:FY$500)+IF($C37="",0,SUMIF('DADOS BRUTOS'!$A$3:$A$500,$C37,'DADOS BRUTOS'!FY$3:FY$500)))</f>
        <v>0</v>
      </c>
      <c r="IZ37" s="133" t="n">
        <f aca="false">IF(OR(IZ$4="",$B37=""),0,SUMIF('DADOS BRUTOS'!$A$3:$A$500,$B37,'DADOS BRUTOS'!FZ$3:FZ$500)+IF($C37="",0,SUMIF('DADOS BRUTOS'!$A$3:$A$500,$C37,'DADOS BRUTOS'!FZ$3:FZ$500)))</f>
        <v>0</v>
      </c>
      <c r="JA37" s="133" t="n">
        <f aca="false">IF(OR(JA$4="",$B37=""),0,SUMIF('DADOS BRUTOS'!$A$3:$A$500,$B37,'DADOS BRUTOS'!GA$3:GA$500)+IF($C37="",0,SUMIF('DADOS BRUTOS'!$A$3:$A$500,$C37,'DADOS BRUTOS'!GA$3:GA$500)))</f>
        <v>0</v>
      </c>
      <c r="JB37" s="133" t="n">
        <f aca="false">IF(OR(JB$4="",$B37=""),0,SUMIF('DADOS BRUTOS'!$A$3:$A$500,$B37,'DADOS BRUTOS'!GB$3:GB$500)+IF($C37="",0,SUMIF('DADOS BRUTOS'!$A$3:$A$500,$C37,'DADOS BRUTOS'!GB$3:GB$500)))</f>
        <v>0</v>
      </c>
      <c r="JC37" s="133" t="n">
        <f aca="false">IF(OR(JC$4="",$B37=""),0,SUMIF('DADOS BRUTOS'!$A$3:$A$500,$B37,'DADOS BRUTOS'!GC$3:GC$500)+IF($C37="",0,SUMIF('DADOS BRUTOS'!$A$3:$A$500,$C37,'DADOS BRUTOS'!GC$3:GC$500)))</f>
        <v>0</v>
      </c>
      <c r="JD37" s="133" t="n">
        <f aca="false">IF(OR(JD$4="",$B37=""),0,SUMIF('DADOS BRUTOS'!$A$3:$A$500,$B37,'DADOS BRUTOS'!GD$3:GD$500)+IF($C37="",0,SUMIF('DADOS BRUTOS'!$A$3:$A$500,$C37,'DADOS BRUTOS'!GD$3:GD$500)))</f>
        <v>0</v>
      </c>
      <c r="JE37" s="133" t="n">
        <f aca="false">IF(OR(JE$4="",$B37=""),0,SUMIF('DADOS BRUTOS'!$A$3:$A$500,$B37,'DADOS BRUTOS'!GE$3:GE$500)+IF($C37="",0,SUMIF('DADOS BRUTOS'!$A$3:$A$500,$C37,'DADOS BRUTOS'!GE$3:GE$500)))</f>
        <v>0</v>
      </c>
      <c r="JF37" s="133" t="n">
        <f aca="false">IF(OR(JF$4="",$B37=""),0,SUMIF('DADOS BRUTOS'!$A$3:$A$500,$B37,'DADOS BRUTOS'!GF$3:GF$500)+IF($C37="",0,SUMIF('DADOS BRUTOS'!$A$3:$A$500,$C37,'DADOS BRUTOS'!GF$3:GF$500)))</f>
        <v>0</v>
      </c>
      <c r="JG37" s="133" t="n">
        <f aca="false">IF(OR(JG$4="",$B37=""),0,SUMIF('DADOS BRUTOS'!$A$3:$A$500,$B37,'DADOS BRUTOS'!GG$3:GG$500)+IF($C37="",0,SUMIF('DADOS BRUTOS'!$A$3:$A$500,$C37,'DADOS BRUTOS'!GG$3:GG$500)))</f>
        <v>0</v>
      </c>
      <c r="JH37" s="133" t="n">
        <f aca="false">IF(OR(JH$4="",$B37=""),0,SUMIF('DADOS BRUTOS'!$A$3:$A$500,$B37,'DADOS BRUTOS'!GH$3:GH$500)+IF($C37="",0,SUMIF('DADOS BRUTOS'!$A$3:$A$500,$C37,'DADOS BRUTOS'!GH$3:GH$500)))</f>
        <v>0</v>
      </c>
      <c r="JI37" s="133" t="n">
        <f aca="false">IF(OR(JI$4="",$B37=""),0,SUMIF('DADOS BRUTOS'!$A$3:$A$500,$B37,'DADOS BRUTOS'!GI$3:GI$500)+IF($C37="",0,SUMIF('DADOS BRUTOS'!$A$3:$A$500,$C37,'DADOS BRUTOS'!GI$3:GI$500)))</f>
        <v>0</v>
      </c>
      <c r="JJ37" s="133" t="n">
        <f aca="false">IF(OR(JJ$4="",$B37=""),0,SUMIF('DADOS BRUTOS'!$A$3:$A$500,$B37,'DADOS BRUTOS'!GJ$3:GJ$500)+IF($C37="",0,SUMIF('DADOS BRUTOS'!$A$3:$A$500,$C37,'DADOS BRUTOS'!GJ$3:GJ$500)))</f>
        <v>0</v>
      </c>
      <c r="JK37" s="133" t="n">
        <f aca="false">IF(OR(JK$4="",$B37=""),0,SUMIF('DADOS BRUTOS'!$A$3:$A$500,$B37,'DADOS BRUTOS'!GK$3:GK$500)+IF($C37="",0,SUMIF('DADOS BRUTOS'!$A$3:$A$500,$C37,'DADOS BRUTOS'!GK$3:GK$500)))</f>
        <v>0</v>
      </c>
      <c r="JL37" s="133" t="n">
        <f aca="false">IF(OR(JL$4="",$B37=""),0,SUMIF('DADOS BRUTOS'!$A$3:$A$500,$B37,'DADOS BRUTOS'!GL$3:GL$500)+IF($C37="",0,SUMIF('DADOS BRUTOS'!$A$3:$A$500,$C37,'DADOS BRUTOS'!GL$3:GL$500)))</f>
        <v>0</v>
      </c>
      <c r="JM37" s="133" t="n">
        <f aca="false">IF(OR(JM$4="",$B37=""),0,SUMIF('DADOS BRUTOS'!$A$3:$A$500,$B37,'DADOS BRUTOS'!GM$3:GM$500)+IF($C37="",0,SUMIF('DADOS BRUTOS'!$A$3:$A$500,$C37,'DADOS BRUTOS'!GM$3:GM$500)))</f>
        <v>0</v>
      </c>
      <c r="JN37" s="133" t="n">
        <f aca="false">IF(OR(JN$4="",$B37=""),0,SUMIF('DADOS BRUTOS'!$A$3:$A$500,$B37,'DADOS BRUTOS'!GN$3:GN$500)+IF($C37="",0,SUMIF('DADOS BRUTOS'!$A$3:$A$500,$C37,'DADOS BRUTOS'!GN$3:GN$500)))</f>
        <v>0</v>
      </c>
      <c r="JO37" s="133" t="n">
        <f aca="false">IF(OR(JO$4="",$B37=""),0,SUMIF('DADOS BRUTOS'!$A$3:$A$500,$B37,'DADOS BRUTOS'!GO$3:GO$500)+IF($C37="",0,SUMIF('DADOS BRUTOS'!$A$3:$A$500,$C37,'DADOS BRUTOS'!GO$3:GO$500)))</f>
        <v>0</v>
      </c>
      <c r="JP37" s="133" t="n">
        <f aca="false">IF(OR(JP$4="",$B37=""),0,SUMIF('DADOS BRUTOS'!$A$3:$A$500,$B37,'DADOS BRUTOS'!GP$3:GP$500)+IF($C37="",0,SUMIF('DADOS BRUTOS'!$A$3:$A$500,$C37,'DADOS BRUTOS'!GP$3:GP$500)))</f>
        <v>0</v>
      </c>
      <c r="JQ37" s="133" t="n">
        <f aca="false">IF(OR(JQ$4="",$B37=""),0,SUMIF('DADOS BRUTOS'!$A$3:$A$500,$B37,'DADOS BRUTOS'!GQ$3:GQ$500)+IF($C37="",0,SUMIF('DADOS BRUTOS'!$A$3:$A$500,$C37,'DADOS BRUTOS'!GQ$3:GQ$500)))</f>
        <v>0</v>
      </c>
      <c r="JR37" s="133" t="n">
        <f aca="false">IF(OR(JR$4="",$B37=""),0,SUMIF('DADOS BRUTOS'!$A$3:$A$500,$B37,'DADOS BRUTOS'!GR$3:GR$500)+IF($C37="",0,SUMIF('DADOS BRUTOS'!$A$3:$A$500,$C37,'DADOS BRUTOS'!GR$3:GR$500)))</f>
        <v>0</v>
      </c>
      <c r="JS37" s="133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220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3" t="n">
        <f aca="false">IF(OR(CB$4="",$B38=""),0,SUMIF('DADOS BRUTOS'!$A$3:$A$500,$B38,'DADOS BRUTOS'!B$3:B$500)+IF($C38="",0,SUMIF('DADOS BRUTOS'!$A$3:$A$500,$C38,'DADOS BRUTOS'!B$3:B$500)))</f>
        <v>0</v>
      </c>
      <c r="CC38" s="133" t="n">
        <f aca="false">IF(OR(CC$4="",$B38=""),0,SUMIF('DADOS BRUTOS'!$A$3:$A$500,$B38,'DADOS BRUTOS'!C$3:C$500)+IF($C38="",0,SUMIF('DADOS BRUTOS'!$A$3:$A$500,$C38,'DADOS BRUTOS'!C$3:C$500)))</f>
        <v>0</v>
      </c>
      <c r="CD38" s="133" t="n">
        <f aca="false">IF(OR(CD$4="",$B38=""),0,SUMIF('DADOS BRUTOS'!$A$3:$A$500,$B38,'DADOS BRUTOS'!D$3:D$500)+IF($C38="",0,SUMIF('DADOS BRUTOS'!$A$3:$A$500,$C38,'DADOS BRUTOS'!D$3:D$500)))</f>
        <v>0</v>
      </c>
      <c r="CE38" s="133" t="n">
        <f aca="false">IF(OR(CE$4="",$B38=""),0,SUMIF('DADOS BRUTOS'!$A$3:$A$500,$B38,'DADOS BRUTOS'!E$3:E$500)+IF($C38="",0,SUMIF('DADOS BRUTOS'!$A$3:$A$500,$C38,'DADOS BRUTOS'!E$3:E$500)))</f>
        <v>0</v>
      </c>
      <c r="CF38" s="133" t="n">
        <f aca="false">IF(OR(CF$4="",$B38=""),0,SUMIF('DADOS BRUTOS'!$A$3:$A$500,$B38,'DADOS BRUTOS'!F$3:F$500)+IF($C38="",0,SUMIF('DADOS BRUTOS'!$A$3:$A$500,$C38,'DADOS BRUTOS'!F$3:F$500)))</f>
        <v>0</v>
      </c>
      <c r="CG38" s="133" t="n">
        <f aca="false">IF(OR(CG$4="",$B38=""),0,SUMIF('DADOS BRUTOS'!$A$3:$A$500,$B38,'DADOS BRUTOS'!G$3:G$500)+IF($C38="",0,SUMIF('DADOS BRUTOS'!$A$3:$A$500,$C38,'DADOS BRUTOS'!G$3:G$500)))</f>
        <v>0</v>
      </c>
      <c r="CH38" s="133" t="n">
        <f aca="false">IF(OR(CH$4="",$B38=""),0,SUMIF('DADOS BRUTOS'!$A$3:$A$500,$B38,'DADOS BRUTOS'!H$3:H$500)+IF($C38="",0,SUMIF('DADOS BRUTOS'!$A$3:$A$500,$C38,'DADOS BRUTOS'!H$3:H$500)))</f>
        <v>0</v>
      </c>
      <c r="CI38" s="133" t="n">
        <f aca="false">IF(OR(CI$4="",$B38=""),0,SUMIF('DADOS BRUTOS'!$A$3:$A$500,$B38,'DADOS BRUTOS'!I$3:I$500)+IF($C38="",0,SUMIF('DADOS BRUTOS'!$A$3:$A$500,$C38,'DADOS BRUTOS'!I$3:I$500)))</f>
        <v>0</v>
      </c>
      <c r="CJ38" s="133" t="n">
        <f aca="false">IF(OR(CJ$4="",$B38=""),0,SUMIF('DADOS BRUTOS'!$A$3:$A$500,$B38,'DADOS BRUTOS'!J$3:J$500)+IF($C38="",0,SUMIF('DADOS BRUTOS'!$A$3:$A$500,$C38,'DADOS BRUTOS'!J$3:J$500)))</f>
        <v>0</v>
      </c>
      <c r="CK38" s="133" t="n">
        <f aca="false">IF(OR(CK$4="",$B38=""),0,SUMIF('DADOS BRUTOS'!$A$3:$A$500,$B38,'DADOS BRUTOS'!K$3:K$500)+IF($C38="",0,SUMIF('DADOS BRUTOS'!$A$3:$A$500,$C38,'DADOS BRUTOS'!K$3:K$500)))</f>
        <v>0</v>
      </c>
      <c r="CL38" s="133" t="n">
        <f aca="false">IF(OR(CL$4="",$B38=""),0,SUMIF('DADOS BRUTOS'!$A$3:$A$500,$B38,'DADOS BRUTOS'!L$3:L$500)+IF($C38="",0,SUMIF('DADOS BRUTOS'!$A$3:$A$500,$C38,'DADOS BRUTOS'!L$3:L$500)))</f>
        <v>0</v>
      </c>
      <c r="CM38" s="133" t="n">
        <f aca="false">IF(OR(CM$4="",$B38=""),0,SUMIF('DADOS BRUTOS'!$A$3:$A$500,$B38,'DADOS BRUTOS'!M$3:M$500)+IF($C38="",0,SUMIF('DADOS BRUTOS'!$A$3:$A$500,$C38,'DADOS BRUTOS'!M$3:M$500)))</f>
        <v>0</v>
      </c>
      <c r="CN38" s="133" t="n">
        <f aca="false">IF(OR(CN$4="",$B38=""),0,SUMIF('DADOS BRUTOS'!$A$3:$A$500,$B38,'DADOS BRUTOS'!N$3:N$500)+IF($C38="",0,SUMIF('DADOS BRUTOS'!$A$3:$A$500,$C38,'DADOS BRUTOS'!N$3:N$500)))</f>
        <v>0</v>
      </c>
      <c r="CO38" s="133" t="n">
        <f aca="false">IF(OR(CO$4="",$B38=""),0,SUMIF('DADOS BRUTOS'!$A$3:$A$500,$B38,'DADOS BRUTOS'!O$3:O$500)+IF($C38="",0,SUMIF('DADOS BRUTOS'!$A$3:$A$500,$C38,'DADOS BRUTOS'!O$3:O$500)))</f>
        <v>0</v>
      </c>
      <c r="CP38" s="133" t="n">
        <f aca="false">IF(OR(CP$4="",$B38=""),0,SUMIF('DADOS BRUTOS'!$A$3:$A$500,$B38,'DADOS BRUTOS'!P$3:P$500)+IF($C38="",0,SUMIF('DADOS BRUTOS'!$A$3:$A$500,$C38,'DADOS BRUTOS'!P$3:P$500)))</f>
        <v>0</v>
      </c>
      <c r="CQ38" s="133" t="n">
        <f aca="false">IF(OR(CQ$4="",$B38=""),0,SUMIF('DADOS BRUTOS'!$A$3:$A$500,$B38,'DADOS BRUTOS'!Q$3:Q$500)+IF($C38="",0,SUMIF('DADOS BRUTOS'!$A$3:$A$500,$C38,'DADOS BRUTOS'!Q$3:Q$500)))</f>
        <v>0</v>
      </c>
      <c r="CR38" s="133" t="n">
        <f aca="false">IF(OR(CR$4="",$B38=""),0,SUMIF('DADOS BRUTOS'!$A$3:$A$500,$B38,'DADOS BRUTOS'!R$3:R$500)+IF($C38="",0,SUMIF('DADOS BRUTOS'!$A$3:$A$500,$C38,'DADOS BRUTOS'!R$3:R$500)))</f>
        <v>0</v>
      </c>
      <c r="CS38" s="133" t="n">
        <f aca="false">IF(OR(CS$4="",$B38=""),0,SUMIF('DADOS BRUTOS'!$A$3:$A$500,$B38,'DADOS BRUTOS'!S$3:S$500)+IF($C38="",0,SUMIF('DADOS BRUTOS'!$A$3:$A$500,$C38,'DADOS BRUTOS'!S$3:S$500)))</f>
        <v>0</v>
      </c>
      <c r="CT38" s="133" t="n">
        <f aca="false">IF(OR(CT$4="",$B38=""),0,SUMIF('DADOS BRUTOS'!$A$3:$A$500,$B38,'DADOS BRUTOS'!T$3:T$500)+IF($C38="",0,SUMIF('DADOS BRUTOS'!$A$3:$A$500,$C38,'DADOS BRUTOS'!T$3:T$500)))</f>
        <v>0</v>
      </c>
      <c r="CU38" s="133" t="n">
        <f aca="false">IF(OR(CU$4="",$B38=""),0,SUMIF('DADOS BRUTOS'!$A$3:$A$500,$B38,'DADOS BRUTOS'!U$3:U$500)+IF($C38="",0,SUMIF('DADOS BRUTOS'!$A$3:$A$500,$C38,'DADOS BRUTOS'!U$3:U$500)))</f>
        <v>0</v>
      </c>
      <c r="CV38" s="133" t="n">
        <f aca="false">IF(OR(CV$4="",$B38=""),0,SUMIF('DADOS BRUTOS'!$A$3:$A$500,$B38,'DADOS BRUTOS'!V$3:V$500)+IF($C38="",0,SUMIF('DADOS BRUTOS'!$A$3:$A$500,$C38,'DADOS BRUTOS'!V$3:V$500)))</f>
        <v>0</v>
      </c>
      <c r="CW38" s="133" t="n">
        <f aca="false">IF(OR(CW$4="",$B38=""),0,SUMIF('DADOS BRUTOS'!$A$3:$A$500,$B38,'DADOS BRUTOS'!W$3:W$500)+IF($C38="",0,SUMIF('DADOS BRUTOS'!$A$3:$A$500,$C38,'DADOS BRUTOS'!W$3:W$500)))</f>
        <v>0</v>
      </c>
      <c r="CX38" s="133" t="n">
        <f aca="false">IF(OR(CX$4="",$B38=""),0,SUMIF('DADOS BRUTOS'!$A$3:$A$500,$B38,'DADOS BRUTOS'!X$3:X$500)+IF($C38="",0,SUMIF('DADOS BRUTOS'!$A$3:$A$500,$C38,'DADOS BRUTOS'!X$3:X$500)))</f>
        <v>0</v>
      </c>
      <c r="CY38" s="133" t="n">
        <f aca="false">IF(OR(CY$4="",$B38=""),0,SUMIF('DADOS BRUTOS'!$A$3:$A$500,$B38,'DADOS BRUTOS'!Y$3:Y$500)+IF($C38="",0,SUMIF('DADOS BRUTOS'!$A$3:$A$500,$C38,'DADOS BRUTOS'!Y$3:Y$500)))</f>
        <v>0</v>
      </c>
      <c r="CZ38" s="133" t="n">
        <f aca="false">IF(OR(CZ$4="",$B38=""),0,SUMIF('DADOS BRUTOS'!$A$3:$A$500,$B38,'DADOS BRUTOS'!Z$3:Z$500)+IF($C38="",0,SUMIF('DADOS BRUTOS'!$A$3:$A$500,$C38,'DADOS BRUTOS'!Z$3:Z$500)))</f>
        <v>0</v>
      </c>
      <c r="DA38" s="133" t="n">
        <f aca="false">IF(OR(DA$4="",$B38=""),0,SUMIF('DADOS BRUTOS'!$A$3:$A$500,$B38,'DADOS BRUTOS'!AA$3:AA$500)+IF($C38="",0,SUMIF('DADOS BRUTOS'!$A$3:$A$500,$C38,'DADOS BRUTOS'!AA$3:AA$500)))</f>
        <v>0</v>
      </c>
      <c r="DB38" s="133" t="n">
        <f aca="false">IF(OR(DB$4="",$B38=""),0,SUMIF('DADOS BRUTOS'!$A$3:$A$500,$B38,'DADOS BRUTOS'!AB$3:AB$500)+IF($C38="",0,SUMIF('DADOS BRUTOS'!$A$3:$A$500,$C38,'DADOS BRUTOS'!AB$3:AB$500)))</f>
        <v>0</v>
      </c>
      <c r="DC38" s="133" t="n">
        <f aca="false">IF(OR(DC$4="",$B38=""),0,SUMIF('DADOS BRUTOS'!$A$3:$A$500,$B38,'DADOS BRUTOS'!AC$3:AC$500)+IF($C38="",0,SUMIF('DADOS BRUTOS'!$A$3:$A$500,$C38,'DADOS BRUTOS'!AC$3:AC$500)))</f>
        <v>0</v>
      </c>
      <c r="DD38" s="133" t="n">
        <f aca="false">IF(OR(DD$4="",$B38=""),0,SUMIF('DADOS BRUTOS'!$A$3:$A$500,$B38,'DADOS BRUTOS'!AD$3:AD$500)+IF($C38="",0,SUMIF('DADOS BRUTOS'!$A$3:$A$500,$C38,'DADOS BRUTOS'!AD$3:AD$500)))</f>
        <v>0</v>
      </c>
      <c r="DE38" s="133" t="n">
        <f aca="false">IF(OR(DE$4="",$B38=""),0,SUMIF('DADOS BRUTOS'!$A$3:$A$500,$B38,'DADOS BRUTOS'!AE$3:AE$500)+IF($C38="",0,SUMIF('DADOS BRUTOS'!$A$3:$A$500,$C38,'DADOS BRUTOS'!AE$3:AE$500)))</f>
        <v>0</v>
      </c>
      <c r="DF38" s="133" t="n">
        <f aca="false">IF(OR(DF$4="",$B38=""),0,SUMIF('DADOS BRUTOS'!$A$3:$A$500,$B38,'DADOS BRUTOS'!AF$3:AF$500)+IF($C38="",0,SUMIF('DADOS BRUTOS'!$A$3:$A$500,$C38,'DADOS BRUTOS'!AF$3:AF$500)))</f>
        <v>0</v>
      </c>
      <c r="DG38" s="133" t="n">
        <f aca="false">IF(OR(DG$4="",$B38=""),0,SUMIF('DADOS BRUTOS'!$A$3:$A$500,$B38,'DADOS BRUTOS'!AG$3:AG$500)+IF($C38="",0,SUMIF('DADOS BRUTOS'!$A$3:$A$500,$C38,'DADOS BRUTOS'!AG$3:AG$500)))</f>
        <v>0</v>
      </c>
      <c r="DH38" s="133" t="n">
        <f aca="false">IF(OR(DH$4="",$B38=""),0,SUMIF('DADOS BRUTOS'!$A$3:$A$500,$B38,'DADOS BRUTOS'!AH$3:AH$500)+IF($C38="",0,SUMIF('DADOS BRUTOS'!$A$3:$A$500,$C38,'DADOS BRUTOS'!AH$3:AH$500)))</f>
        <v>0</v>
      </c>
      <c r="DI38" s="133" t="n">
        <f aca="false">IF(OR(DI$4="",$B38=""),0,SUMIF('DADOS BRUTOS'!$A$3:$A$500,$B38,'DADOS BRUTOS'!AI$3:AI$500)+IF($C38="",0,SUMIF('DADOS BRUTOS'!$A$3:$A$500,$C38,'DADOS BRUTOS'!AI$3:AI$500)))</f>
        <v>0</v>
      </c>
      <c r="DJ38" s="133" t="n">
        <f aca="false">IF(OR(DJ$4="",$B38=""),0,SUMIF('DADOS BRUTOS'!$A$3:$A$500,$B38,'DADOS BRUTOS'!AJ$3:AJ$500)+IF($C38="",0,SUMIF('DADOS BRUTOS'!$A$3:$A$500,$C38,'DADOS BRUTOS'!AJ$3:AJ$500)))</f>
        <v>0</v>
      </c>
      <c r="DK38" s="133" t="n">
        <f aca="false">IF(OR(DK$4="",$B38=""),0,SUMIF('DADOS BRUTOS'!$A$3:$A$500,$B38,'DADOS BRUTOS'!AK$3:AK$500)+IF($C38="",0,SUMIF('DADOS BRUTOS'!$A$3:$A$500,$C38,'DADOS BRUTOS'!AK$3:AK$500)))</f>
        <v>0</v>
      </c>
      <c r="DL38" s="133" t="n">
        <f aca="false">IF(OR(DL$4="",$B38=""),0,SUMIF('DADOS BRUTOS'!$A$3:$A$500,$B38,'DADOS BRUTOS'!AL$3:AL$500)+IF($C38="",0,SUMIF('DADOS BRUTOS'!$A$3:$A$500,$C38,'DADOS BRUTOS'!AL$3:AL$500)))</f>
        <v>0</v>
      </c>
      <c r="DM38" s="133" t="n">
        <f aca="false">IF(OR(DM$4="",$B38=""),0,SUMIF('DADOS BRUTOS'!$A$3:$A$500,$B38,'DADOS BRUTOS'!AM$3:AM$500)+IF($C38="",0,SUMIF('DADOS BRUTOS'!$A$3:$A$500,$C38,'DADOS BRUTOS'!AM$3:AM$500)))</f>
        <v>0</v>
      </c>
      <c r="DN38" s="133" t="n">
        <f aca="false">IF(OR(DN$4="",$B38=""),0,SUMIF('DADOS BRUTOS'!$A$3:$A$500,$B38,'DADOS BRUTOS'!AN$3:AN$500)+IF($C38="",0,SUMIF('DADOS BRUTOS'!$A$3:$A$500,$C38,'DADOS BRUTOS'!AN$3:AN$500)))</f>
        <v>0</v>
      </c>
      <c r="DO38" s="133" t="n">
        <f aca="false">IF(OR(DO$4="",$B38=""),0,SUMIF('DADOS BRUTOS'!$A$3:$A$500,$B38,'DADOS BRUTOS'!AO$3:AO$500)+IF($C38="",0,SUMIF('DADOS BRUTOS'!$A$3:$A$500,$C38,'DADOS BRUTOS'!AO$3:AO$500)))</f>
        <v>0</v>
      </c>
      <c r="DP38" s="133" t="n">
        <f aca="false">IF(OR(DP$4="",$B38=""),0,SUMIF('DADOS BRUTOS'!$A$3:$A$500,$B38,'DADOS BRUTOS'!AP$3:AP$500)+IF($C38="",0,SUMIF('DADOS BRUTOS'!$A$3:$A$500,$C38,'DADOS BRUTOS'!AP$3:AP$500)))</f>
        <v>0</v>
      </c>
      <c r="DQ38" s="133" t="n">
        <f aca="false">IF(OR(DQ$4="",$B38=""),0,SUMIF('DADOS BRUTOS'!$A$3:$A$500,$B38,'DADOS BRUTOS'!AQ$3:AQ$500)+IF($C38="",0,SUMIF('DADOS BRUTOS'!$A$3:$A$500,$C38,'DADOS BRUTOS'!AQ$3:AQ$500)))</f>
        <v>0</v>
      </c>
      <c r="DR38" s="133" t="n">
        <f aca="false">IF(OR(DR$4="",$B38=""),0,SUMIF('DADOS BRUTOS'!$A$3:$A$500,$B38,'DADOS BRUTOS'!AR$3:AR$500)+IF($C38="",0,SUMIF('DADOS BRUTOS'!$A$3:$A$500,$C38,'DADOS BRUTOS'!AR$3:AR$500)))</f>
        <v>0</v>
      </c>
      <c r="DS38" s="133" t="n">
        <f aca="false">IF(OR(DS$4="",$B38=""),0,SUMIF('DADOS BRUTOS'!$A$3:$A$500,$B38,'DADOS BRUTOS'!AS$3:AS$500)+IF($C38="",0,SUMIF('DADOS BRUTOS'!$A$3:$A$500,$C38,'DADOS BRUTOS'!AS$3:AS$500)))</f>
        <v>0</v>
      </c>
      <c r="DT38" s="133" t="n">
        <f aca="false">IF(OR(DT$4="",$B38=""),0,SUMIF('DADOS BRUTOS'!$A$3:$A$500,$B38,'DADOS BRUTOS'!AT$3:AT$500)+IF($C38="",0,SUMIF('DADOS BRUTOS'!$A$3:$A$500,$C38,'DADOS BRUTOS'!AT$3:AT$500)))</f>
        <v>0</v>
      </c>
      <c r="DU38" s="133" t="n">
        <f aca="false">IF(OR(DU$4="",$B38=""),0,SUMIF('DADOS BRUTOS'!$A$3:$A$500,$B38,'DADOS BRUTOS'!AU$3:AU$500)+IF($C38="",0,SUMIF('DADOS BRUTOS'!$A$3:$A$500,$C38,'DADOS BRUTOS'!AU$3:AU$500)))</f>
        <v>0</v>
      </c>
      <c r="DV38" s="133" t="n">
        <f aca="false">IF(OR(DV$4="",$B38=""),0,SUMIF('DADOS BRUTOS'!$A$3:$A$500,$B38,'DADOS BRUTOS'!AV$3:AV$500)+IF($C38="",0,SUMIF('DADOS BRUTOS'!$A$3:$A$500,$C38,'DADOS BRUTOS'!AV$3:AV$500)))</f>
        <v>0</v>
      </c>
      <c r="DW38" s="133" t="n">
        <f aca="false">IF(OR(DW$4="",$B38=""),0,SUMIF('DADOS BRUTOS'!$A$3:$A$500,$B38,'DADOS BRUTOS'!AW$3:AW$500)+IF($C38="",0,SUMIF('DADOS BRUTOS'!$A$3:$A$500,$C38,'DADOS BRUTOS'!AW$3:AW$500)))</f>
        <v>0</v>
      </c>
      <c r="DX38" s="133" t="n">
        <f aca="false">IF(OR(DX$4="",$B38=""),0,SUMIF('DADOS BRUTOS'!$A$3:$A$500,$B38,'DADOS BRUTOS'!AX$3:AX$500)+IF($C38="",0,SUMIF('DADOS BRUTOS'!$A$3:$A$500,$C38,'DADOS BRUTOS'!AX$3:AX$500)))</f>
        <v>0</v>
      </c>
      <c r="DY38" s="133" t="n">
        <f aca="false">IF(OR(DY$4="",$B38=""),0,SUMIF('DADOS BRUTOS'!$A$3:$A$500,$B38,'DADOS BRUTOS'!AY$3:AY$500)+IF($C38="",0,SUMIF('DADOS BRUTOS'!$A$3:$A$500,$C38,'DADOS BRUTOS'!AY$3:AY$500)))</f>
        <v>0</v>
      </c>
      <c r="DZ38" s="133" t="n">
        <f aca="false">IF(OR(DZ$4="",$B38=""),0,SUMIF('DADOS BRUTOS'!$A$3:$A$500,$B38,'DADOS BRUTOS'!AZ$3:AZ$500)+IF($C38="",0,SUMIF('DADOS BRUTOS'!$A$3:$A$500,$C38,'DADOS BRUTOS'!AZ$3:AZ$500)))</f>
        <v>0</v>
      </c>
      <c r="EA38" s="133" t="n">
        <f aca="false">IF(OR(EA$4="",$B38=""),0,SUMIF('DADOS BRUTOS'!$A$3:$A$500,$B38,'DADOS BRUTOS'!BA$3:BA$500)+IF($C38="",0,SUMIF('DADOS BRUTOS'!$A$3:$A$500,$C38,'DADOS BRUTOS'!BA$3:BA$500)))</f>
        <v>0</v>
      </c>
      <c r="EB38" s="133" t="n">
        <f aca="false">IF(OR(EB$4="",$B38=""),0,SUMIF('DADOS BRUTOS'!$A$3:$A$500,$B38,'DADOS BRUTOS'!BB$3:BB$500)+IF($C38="",0,SUMIF('DADOS BRUTOS'!$A$3:$A$500,$C38,'DADOS BRUTOS'!BB$3:BB$500)))</f>
        <v>0</v>
      </c>
      <c r="EC38" s="133" t="n">
        <f aca="false">IF(OR(EC$4="",$B38=""),0,SUMIF('DADOS BRUTOS'!$A$3:$A$500,$B38,'DADOS BRUTOS'!BC$3:BC$500)+IF($C38="",0,SUMIF('DADOS BRUTOS'!$A$3:$A$500,$C38,'DADOS BRUTOS'!BC$3:BC$500)))</f>
        <v>0</v>
      </c>
      <c r="ED38" s="133" t="n">
        <f aca="false">IF(OR(ED$4="",$B38=""),0,SUMIF('DADOS BRUTOS'!$A$3:$A$500,$B38,'DADOS BRUTOS'!BD$3:BD$500)+IF($C38="",0,SUMIF('DADOS BRUTOS'!$A$3:$A$500,$C38,'DADOS BRUTOS'!BD$3:BD$500)))</f>
        <v>0</v>
      </c>
      <c r="EE38" s="133" t="n">
        <f aca="false">IF(OR(EE$4="",$B38=""),0,SUMIF('DADOS BRUTOS'!$A$3:$A$500,$B38,'DADOS BRUTOS'!BE$3:BE$500)+IF($C38="",0,SUMIF('DADOS BRUTOS'!$A$3:$A$500,$C38,'DADOS BRUTOS'!BE$3:BE$500)))</f>
        <v>0</v>
      </c>
      <c r="EF38" s="133" t="n">
        <f aca="false">IF(OR(EF$4="",$B38=""),0,SUMIF('DADOS BRUTOS'!$A$3:$A$500,$B38,'DADOS BRUTOS'!BF$3:BF$500)+IF($C38="",0,SUMIF('DADOS BRUTOS'!$A$3:$A$500,$C38,'DADOS BRUTOS'!BF$3:BF$500)))</f>
        <v>0</v>
      </c>
      <c r="EG38" s="133" t="n">
        <f aca="false">IF(OR(EG$4="",$B38=""),0,SUMIF('DADOS BRUTOS'!$A$3:$A$500,$B38,'DADOS BRUTOS'!BG$3:BG$500)+IF($C38="",0,SUMIF('DADOS BRUTOS'!$A$3:$A$500,$C38,'DADOS BRUTOS'!BG$3:BG$500)))</f>
        <v>0</v>
      </c>
      <c r="EH38" s="133" t="n">
        <f aca="false">IF(OR(EH$4="",$B38=""),0,SUMIF('DADOS BRUTOS'!$A$3:$A$500,$B38,'DADOS BRUTOS'!BH$3:BH$500)+IF($C38="",0,SUMIF('DADOS BRUTOS'!$A$3:$A$500,$C38,'DADOS BRUTOS'!BH$3:BH$500)))</f>
        <v>0</v>
      </c>
      <c r="EI38" s="133" t="n">
        <f aca="false">IF(OR(EI$4="",$B38=""),0,SUMIF('DADOS BRUTOS'!$A$3:$A$500,$B38,'DADOS BRUTOS'!BI$3:BI$500)+IF($C38="",0,SUMIF('DADOS BRUTOS'!$A$3:$A$500,$C38,'DADOS BRUTOS'!BI$3:BI$500)))</f>
        <v>0</v>
      </c>
      <c r="EJ38" s="133" t="n">
        <f aca="false">IF(OR(EJ$4="",$B38=""),0,SUMIF('DADOS BRUTOS'!$A$3:$A$500,$B38,'DADOS BRUTOS'!BJ$3:BJ$500)+IF($C38="",0,SUMIF('DADOS BRUTOS'!$A$3:$A$500,$C38,'DADOS BRUTOS'!BJ$3:BJ$500)))</f>
        <v>0</v>
      </c>
      <c r="EK38" s="133" t="n">
        <f aca="false">IF(OR(EK$4="",$B38=""),0,SUMIF('DADOS BRUTOS'!$A$3:$A$500,$B38,'DADOS BRUTOS'!BK$3:BK$500)+IF($C38="",0,SUMIF('DADOS BRUTOS'!$A$3:$A$500,$C38,'DADOS BRUTOS'!BK$3:BK$500)))</f>
        <v>0</v>
      </c>
      <c r="EL38" s="133" t="n">
        <f aca="false">IF(OR(EL$4="",$B38=""),0,SUMIF('DADOS BRUTOS'!$A$3:$A$500,$B38,'DADOS BRUTOS'!BL$3:BL$500)+IF($C38="",0,SUMIF('DADOS BRUTOS'!$A$3:$A$500,$C38,'DADOS BRUTOS'!BL$3:BL$500)))</f>
        <v>0</v>
      </c>
      <c r="EM38" s="133" t="n">
        <f aca="false">IF(OR(EM$4="",$B38=""),0,SUMIF('DADOS BRUTOS'!$A$3:$A$500,$B38,'DADOS BRUTOS'!BM$3:BM$500)+IF($C38="",0,SUMIF('DADOS BRUTOS'!$A$3:$A$500,$C38,'DADOS BRUTOS'!BM$3:BM$500)))</f>
        <v>0</v>
      </c>
      <c r="EN38" s="133" t="n">
        <f aca="false">IF(OR(EN$4="",$B38=""),0,SUMIF('DADOS BRUTOS'!$A$3:$A$500,$B38,'DADOS BRUTOS'!BN$3:BN$500)+IF($C38="",0,SUMIF('DADOS BRUTOS'!$A$3:$A$500,$C38,'DADOS BRUTOS'!BN$3:BN$500)))</f>
        <v>0</v>
      </c>
      <c r="EO38" s="133" t="n">
        <f aca="false">IF(OR(EO$4="",$B38=""),0,SUMIF('DADOS BRUTOS'!$A$3:$A$500,$B38,'DADOS BRUTOS'!BO$3:BO$500)+IF($C38="",0,SUMIF('DADOS BRUTOS'!$A$3:$A$500,$C38,'DADOS BRUTOS'!BO$3:BO$500)))</f>
        <v>0</v>
      </c>
      <c r="EP38" s="133" t="n">
        <f aca="false">IF(OR(EP$4="",$B38=""),0,SUMIF('DADOS BRUTOS'!$A$3:$A$500,$B38,'DADOS BRUTOS'!BP$3:BP$500)+IF($C38="",0,SUMIF('DADOS BRUTOS'!$A$3:$A$500,$C38,'DADOS BRUTOS'!BP$3:BP$500)))</f>
        <v>0</v>
      </c>
      <c r="EQ38" s="133" t="n">
        <f aca="false">IF(OR(EQ$4="",$B38=""),0,SUMIF('DADOS BRUTOS'!$A$3:$A$500,$B38,'DADOS BRUTOS'!BQ$3:BQ$500)+IF($C38="",0,SUMIF('DADOS BRUTOS'!$A$3:$A$500,$C38,'DADOS BRUTOS'!BQ$3:BQ$500)))</f>
        <v>0</v>
      </c>
      <c r="ER38" s="133" t="n">
        <f aca="false">IF(OR(ER$4="",$B38=""),0,SUMIF('DADOS BRUTOS'!$A$3:$A$500,$B38,'DADOS BRUTOS'!BR$3:BR$500)+IF($C38="",0,SUMIF('DADOS BRUTOS'!$A$3:$A$500,$C38,'DADOS BRUTOS'!BR$3:BR$500)))</f>
        <v>0</v>
      </c>
      <c r="ES38" s="133" t="n">
        <f aca="false">IF(OR(ES$4="",$B38=""),0,SUMIF('DADOS BRUTOS'!$A$3:$A$500,$B38,'DADOS BRUTOS'!BS$3:BS$500)+IF($C38="",0,SUMIF('DADOS BRUTOS'!$A$3:$A$500,$C38,'DADOS BRUTOS'!BS$3:BS$500)))</f>
        <v>0</v>
      </c>
      <c r="ET38" s="133" t="n">
        <f aca="false">IF(OR(ET$4="",$B38=""),0,SUMIF('DADOS BRUTOS'!$A$3:$A$500,$B38,'DADOS BRUTOS'!BT$3:BT$500)+IF($C38="",0,SUMIF('DADOS BRUTOS'!$A$3:$A$500,$C38,'DADOS BRUTOS'!BT$3:BT$500)))</f>
        <v>0</v>
      </c>
      <c r="EU38" s="133" t="n">
        <f aca="false">IF(OR(EU$4="",$B38=""),0,SUMIF('DADOS BRUTOS'!$A$3:$A$500,$B38,'DADOS BRUTOS'!BU$3:BU$500)+IF($C38="",0,SUMIF('DADOS BRUTOS'!$A$3:$A$500,$C38,'DADOS BRUTOS'!BU$3:BU$500)))</f>
        <v>0</v>
      </c>
      <c r="EV38" s="133" t="n">
        <f aca="false">IF(OR(EV$4="",$B38=""),0,SUMIF('DADOS BRUTOS'!$A$3:$A$500,$B38,'DADOS BRUTOS'!BV$3:BV$500)+IF($C38="",0,SUMIF('DADOS BRUTOS'!$A$3:$A$500,$C38,'DADOS BRUTOS'!BV$3:BV$500)))</f>
        <v>0</v>
      </c>
      <c r="EW38" s="133" t="n">
        <f aca="false">IF(OR(EW$4="",$B38=""),0,SUMIF('DADOS BRUTOS'!$A$3:$A$500,$B38,'DADOS BRUTOS'!BW$3:BW$500)+IF($C38="",0,SUMIF('DADOS BRUTOS'!$A$3:$A$500,$C38,'DADOS BRUTOS'!BW$3:BW$500)))</f>
        <v>0</v>
      </c>
      <c r="EX38" s="133" t="n">
        <f aca="false">IF(OR(EX$4="",$B38=""),0,SUMIF('DADOS BRUTOS'!$A$3:$A$500,$B38,'DADOS BRUTOS'!BX$3:BX$500)+IF($C38="",0,SUMIF('DADOS BRUTOS'!$A$3:$A$500,$C38,'DADOS BRUTOS'!BX$3:BX$500)))</f>
        <v>0</v>
      </c>
      <c r="EY38" s="133" t="n">
        <f aca="false">IF(OR(EY$4="",$B38=""),0,SUMIF('DADOS BRUTOS'!$A$3:$A$500,$B38,'DADOS BRUTOS'!BY$3:BY$500)+IF($C38="",0,SUMIF('DADOS BRUTOS'!$A$3:$A$500,$C38,'DADOS BRUTOS'!BY$3:BY$500)))</f>
        <v>0</v>
      </c>
      <c r="EZ38" s="133" t="n">
        <f aca="false">IF(OR(EZ$4="",$B38=""),0,SUMIF('DADOS BRUTOS'!$A$3:$A$500,$B38,'DADOS BRUTOS'!BZ$3:BZ$500)+IF($C38="",0,SUMIF('DADOS BRUTOS'!$A$3:$A$500,$C38,'DADOS BRUTOS'!BZ$3:BZ$500)))</f>
        <v>0</v>
      </c>
      <c r="FA38" s="133" t="n">
        <f aca="false">IF(OR(FA$4="",$B38=""),0,SUMIF('DADOS BRUTOS'!$A$3:$A$500,$B38,'DADOS BRUTOS'!CA$3:CA$500)+IF($C38="",0,SUMIF('DADOS BRUTOS'!$A$3:$A$500,$C38,'DADOS BRUTOS'!CA$3:CA$500)))</f>
        <v>0</v>
      </c>
      <c r="FB38" s="133" t="n">
        <f aca="false">IF(OR(FB$4="",$B38=""),0,SUMIF('DADOS BRUTOS'!$A$3:$A$500,$B38,'DADOS BRUTOS'!CB$3:CB$500)+IF($C38="",0,SUMIF('DADOS BRUTOS'!$A$3:$A$500,$C38,'DADOS BRUTOS'!CB$3:CB$500)))</f>
        <v>0</v>
      </c>
      <c r="FC38" s="133" t="n">
        <f aca="false">IF(OR(FC$4="",$B38=""),0,SUMIF('DADOS BRUTOS'!$A$3:$A$500,$B38,'DADOS BRUTOS'!CC$3:CC$500)+IF($C38="",0,SUMIF('DADOS BRUTOS'!$A$3:$A$500,$C38,'DADOS BRUTOS'!CC$3:CC$500)))</f>
        <v>0</v>
      </c>
      <c r="FD38" s="133" t="n">
        <f aca="false">IF(OR(FD$4="",$B38=""),0,SUMIF('DADOS BRUTOS'!$A$3:$A$500,$B38,'DADOS BRUTOS'!CD$3:CD$500)+IF($C38="",0,SUMIF('DADOS BRUTOS'!$A$3:$A$500,$C38,'DADOS BRUTOS'!CD$3:CD$500)))</f>
        <v>0</v>
      </c>
      <c r="FE38" s="133" t="n">
        <f aca="false">IF(OR(FE$4="",$B38=""),0,SUMIF('DADOS BRUTOS'!$A$3:$A$500,$B38,'DADOS BRUTOS'!CE$3:CE$500)+IF($C38="",0,SUMIF('DADOS BRUTOS'!$A$3:$A$500,$C38,'DADOS BRUTOS'!CE$3:CE$500)))</f>
        <v>0</v>
      </c>
      <c r="FF38" s="133" t="n">
        <f aca="false">IF(OR(FF$4="",$B38=""),0,SUMIF('DADOS BRUTOS'!$A$3:$A$500,$B38,'DADOS BRUTOS'!CF$3:CF$500)+IF($C38="",0,SUMIF('DADOS BRUTOS'!$A$3:$A$500,$C38,'DADOS BRUTOS'!CF$3:CF$500)))</f>
        <v>0</v>
      </c>
      <c r="FG38" s="133" t="n">
        <f aca="false">IF(OR(FG$4="",$B38=""),0,SUMIF('DADOS BRUTOS'!$A$3:$A$500,$B38,'DADOS BRUTOS'!CG$3:CG$500)+IF($C38="",0,SUMIF('DADOS BRUTOS'!$A$3:$A$500,$C38,'DADOS BRUTOS'!CG$3:CG$500)))</f>
        <v>0</v>
      </c>
      <c r="FH38" s="133" t="n">
        <f aca="false">IF(OR(FH$4="",$B38=""),0,SUMIF('DADOS BRUTOS'!$A$3:$A$500,$B38,'DADOS BRUTOS'!CH$3:CH$500)+IF($C38="",0,SUMIF('DADOS BRUTOS'!$A$3:$A$500,$C38,'DADOS BRUTOS'!CH$3:CH$500)))</f>
        <v>0</v>
      </c>
      <c r="FI38" s="133" t="n">
        <f aca="false">IF(OR(FI$4="",$B38=""),0,SUMIF('DADOS BRUTOS'!$A$3:$A$500,$B38,'DADOS BRUTOS'!CI$3:CI$500)+IF($C38="",0,SUMIF('DADOS BRUTOS'!$A$3:$A$500,$C38,'DADOS BRUTOS'!CI$3:CI$500)))</f>
        <v>0</v>
      </c>
      <c r="FJ38" s="133" t="n">
        <f aca="false">IF(OR(FJ$4="",$B38=""),0,SUMIF('DADOS BRUTOS'!$A$3:$A$500,$B38,'DADOS BRUTOS'!CJ$3:CJ$500)+IF($C38="",0,SUMIF('DADOS BRUTOS'!$A$3:$A$500,$C38,'DADOS BRUTOS'!CJ$3:CJ$500)))</f>
        <v>0</v>
      </c>
      <c r="FK38" s="133" t="n">
        <f aca="false">IF(OR(FK$4="",$B38=""),0,SUMIF('DADOS BRUTOS'!$A$3:$A$500,$B38,'DADOS BRUTOS'!CK$3:CK$500)+IF($C38="",0,SUMIF('DADOS BRUTOS'!$A$3:$A$500,$C38,'DADOS BRUTOS'!CK$3:CK$500)))</f>
        <v>0</v>
      </c>
      <c r="FL38" s="133" t="n">
        <f aca="false">IF(OR(FL$4="",$B38=""),0,SUMIF('DADOS BRUTOS'!$A$3:$A$500,$B38,'DADOS BRUTOS'!CL$3:CL$500)+IF($C38="",0,SUMIF('DADOS BRUTOS'!$A$3:$A$500,$C38,'DADOS BRUTOS'!CL$3:CL$500)))</f>
        <v>0</v>
      </c>
      <c r="FM38" s="133" t="n">
        <f aca="false">IF(OR(FM$4="",$B38=""),0,SUMIF('DADOS BRUTOS'!$A$3:$A$500,$B38,'DADOS BRUTOS'!CM$3:CM$500)+IF($C38="",0,SUMIF('DADOS BRUTOS'!$A$3:$A$500,$C38,'DADOS BRUTOS'!CM$3:CM$500)))</f>
        <v>0</v>
      </c>
      <c r="FN38" s="133" t="n">
        <f aca="false">IF(OR(FN$4="",$B38=""),0,SUMIF('DADOS BRUTOS'!$A$3:$A$500,$B38,'DADOS BRUTOS'!CN$3:CN$500)+IF($C38="",0,SUMIF('DADOS BRUTOS'!$A$3:$A$500,$C38,'DADOS BRUTOS'!CN$3:CN$500)))</f>
        <v>0</v>
      </c>
      <c r="FO38" s="133" t="n">
        <f aca="false">IF(OR(FO$4="",$B38=""),0,SUMIF('DADOS BRUTOS'!$A$3:$A$500,$B38,'DADOS BRUTOS'!CO$3:CO$500)+IF($C38="",0,SUMIF('DADOS BRUTOS'!$A$3:$A$500,$C38,'DADOS BRUTOS'!CO$3:CO$500)))</f>
        <v>0</v>
      </c>
      <c r="FP38" s="133" t="n">
        <f aca="false">IF(OR(FP$4="",$B38=""),0,SUMIF('DADOS BRUTOS'!$A$3:$A$500,$B38,'DADOS BRUTOS'!CP$3:CP$500)+IF($C38="",0,SUMIF('DADOS BRUTOS'!$A$3:$A$500,$C38,'DADOS BRUTOS'!CP$3:CP$500)))</f>
        <v>0</v>
      </c>
      <c r="FQ38" s="133" t="n">
        <f aca="false">IF(OR(FQ$4="",$B38=""),0,SUMIF('DADOS BRUTOS'!$A$3:$A$500,$B38,'DADOS BRUTOS'!CQ$3:CQ$500)+IF($C38="",0,SUMIF('DADOS BRUTOS'!$A$3:$A$500,$C38,'DADOS BRUTOS'!CQ$3:CQ$500)))</f>
        <v>0</v>
      </c>
      <c r="FR38" s="133" t="n">
        <f aca="false">IF(OR(FR$4="",$B38=""),0,SUMIF('DADOS BRUTOS'!$A$3:$A$500,$B38,'DADOS BRUTOS'!CR$3:CR$500)+IF($C38="",0,SUMIF('DADOS BRUTOS'!$A$3:$A$500,$C38,'DADOS BRUTOS'!CR$3:CR$500)))</f>
        <v>0</v>
      </c>
      <c r="FS38" s="133" t="n">
        <f aca="false">IF(OR(FS$4="",$B38=""),0,SUMIF('DADOS BRUTOS'!$A$3:$A$500,$B38,'DADOS BRUTOS'!CS$3:CS$500)+IF($C38="",0,SUMIF('DADOS BRUTOS'!$A$3:$A$500,$C38,'DADOS BRUTOS'!CS$3:CS$500)))</f>
        <v>0</v>
      </c>
      <c r="FT38" s="133" t="n">
        <f aca="false">IF(OR(FT$4="",$B38=""),0,SUMIF('DADOS BRUTOS'!$A$3:$A$500,$B38,'DADOS BRUTOS'!CT$3:CT$500)+IF($C38="",0,SUMIF('DADOS BRUTOS'!$A$3:$A$500,$C38,'DADOS BRUTOS'!CT$3:CT$500)))</f>
        <v>0</v>
      </c>
      <c r="FU38" s="133" t="n">
        <f aca="false">IF(OR(FU$4="",$B38=""),0,SUMIF('DADOS BRUTOS'!$A$3:$A$500,$B38,'DADOS BRUTOS'!CU$3:CU$500)+IF($C38="",0,SUMIF('DADOS BRUTOS'!$A$3:$A$500,$C38,'DADOS BRUTOS'!CU$3:CU$500)))</f>
        <v>0</v>
      </c>
      <c r="FV38" s="133" t="n">
        <f aca="false">IF(OR(FV$4="",$B38=""),0,SUMIF('DADOS BRUTOS'!$A$3:$A$500,$B38,'DADOS BRUTOS'!CV$3:CV$500)+IF($C38="",0,SUMIF('DADOS BRUTOS'!$A$3:$A$500,$C38,'DADOS BRUTOS'!CV$3:CV$500)))</f>
        <v>0</v>
      </c>
      <c r="FW38" s="133" t="n">
        <f aca="false">IF(OR(FW$4="",$B38=""),0,SUMIF('DADOS BRUTOS'!$A$3:$A$500,$B38,'DADOS BRUTOS'!CW$3:CW$500)+IF($C38="",0,SUMIF('DADOS BRUTOS'!$A$3:$A$500,$C38,'DADOS BRUTOS'!CW$3:CW$500)))</f>
        <v>0</v>
      </c>
      <c r="FX38" s="133" t="n">
        <f aca="false">IF(OR(FX$4="",$B38=""),0,SUMIF('DADOS BRUTOS'!$A$3:$A$500,$B38,'DADOS BRUTOS'!CX$3:CX$500)+IF($C38="",0,SUMIF('DADOS BRUTOS'!$A$3:$A$500,$C38,'DADOS BRUTOS'!CX$3:CX$500)))</f>
        <v>0</v>
      </c>
      <c r="FY38" s="133" t="n">
        <f aca="false">IF(OR(FY$4="",$B38=""),0,SUMIF('DADOS BRUTOS'!$A$3:$A$500,$B38,'DADOS BRUTOS'!CY$3:CY$500)+IF($C38="",0,SUMIF('DADOS BRUTOS'!$A$3:$A$500,$C38,'DADOS BRUTOS'!CY$3:CY$500)))</f>
        <v>0</v>
      </c>
      <c r="FZ38" s="133" t="n">
        <f aca="false">IF(OR(FZ$4="",$B38=""),0,SUMIF('DADOS BRUTOS'!$A$3:$A$500,$B38,'DADOS BRUTOS'!CZ$3:CZ$500)+IF($C38="",0,SUMIF('DADOS BRUTOS'!$A$3:$A$500,$C38,'DADOS BRUTOS'!CZ$3:CZ$500)))</f>
        <v>0</v>
      </c>
      <c r="GA38" s="133" t="n">
        <f aca="false">IF(OR(GA$4="",$B38=""),0,SUMIF('DADOS BRUTOS'!$A$3:$A$500,$B38,'DADOS BRUTOS'!DA$3:DA$500)+IF($C38="",0,SUMIF('DADOS BRUTOS'!$A$3:$A$500,$C38,'DADOS BRUTOS'!DA$3:DA$500)))</f>
        <v>0</v>
      </c>
      <c r="GB38" s="133" t="n">
        <f aca="false">IF(OR(GB$4="",$B38=""),0,SUMIF('DADOS BRUTOS'!$A$3:$A$500,$B38,'DADOS BRUTOS'!DB$3:DB$500)+IF($C38="",0,SUMIF('DADOS BRUTOS'!$A$3:$A$500,$C38,'DADOS BRUTOS'!DB$3:DB$500)))</f>
        <v>0</v>
      </c>
      <c r="GC38" s="133" t="n">
        <f aca="false">IF(OR(GC$4="",$B38=""),0,SUMIF('DADOS BRUTOS'!$A$3:$A$500,$B38,'DADOS BRUTOS'!DC$3:DC$500)+IF($C38="",0,SUMIF('DADOS BRUTOS'!$A$3:$A$500,$C38,'DADOS BRUTOS'!DC$3:DC$500)))</f>
        <v>0</v>
      </c>
      <c r="GD38" s="133" t="n">
        <f aca="false">IF(OR(GD$4="",$B38=""),0,SUMIF('DADOS BRUTOS'!$A$3:$A$500,$B38,'DADOS BRUTOS'!DD$3:DD$500)+IF($C38="",0,SUMIF('DADOS BRUTOS'!$A$3:$A$500,$C38,'DADOS BRUTOS'!DD$3:DD$500)))</f>
        <v>0</v>
      </c>
      <c r="GE38" s="133" t="n">
        <f aca="false">IF(OR(GE$4="",$B38=""),0,SUMIF('DADOS BRUTOS'!$A$3:$A$500,$B38,'DADOS BRUTOS'!DE$3:DE$500)+IF($C38="",0,SUMIF('DADOS BRUTOS'!$A$3:$A$500,$C38,'DADOS BRUTOS'!DE$3:DE$500)))</f>
        <v>0</v>
      </c>
      <c r="GF38" s="133" t="n">
        <f aca="false">IF(OR(GF$4="",$B38=""),0,SUMIF('DADOS BRUTOS'!$A$3:$A$500,$B38,'DADOS BRUTOS'!DF$3:DF$500)+IF($C38="",0,SUMIF('DADOS BRUTOS'!$A$3:$A$500,$C38,'DADOS BRUTOS'!DF$3:DF$500)))</f>
        <v>0</v>
      </c>
      <c r="GG38" s="133" t="n">
        <f aca="false">IF(OR(GG$4="",$B38=""),0,SUMIF('DADOS BRUTOS'!$A$3:$A$500,$B38,'DADOS BRUTOS'!DG$3:DG$500)+IF($C38="",0,SUMIF('DADOS BRUTOS'!$A$3:$A$500,$C38,'DADOS BRUTOS'!DG$3:DG$500)))</f>
        <v>0</v>
      </c>
      <c r="GH38" s="133" t="n">
        <f aca="false">IF(OR(GH$4="",$B38=""),0,SUMIF('DADOS BRUTOS'!$A$3:$A$500,$B38,'DADOS BRUTOS'!DH$3:DH$500)+IF($C38="",0,SUMIF('DADOS BRUTOS'!$A$3:$A$500,$C38,'DADOS BRUTOS'!DH$3:DH$500)))</f>
        <v>0</v>
      </c>
      <c r="GI38" s="133" t="n">
        <f aca="false">IF(OR(GI$4="",$B38=""),0,SUMIF('DADOS BRUTOS'!$A$3:$A$500,$B38,'DADOS BRUTOS'!DI$3:DI$500)+IF($C38="",0,SUMIF('DADOS BRUTOS'!$A$3:$A$500,$C38,'DADOS BRUTOS'!DI$3:DI$500)))</f>
        <v>0</v>
      </c>
      <c r="GJ38" s="133" t="n">
        <f aca="false">IF(OR(GJ$4="",$B38=""),0,SUMIF('DADOS BRUTOS'!$A$3:$A$500,$B38,'DADOS BRUTOS'!DJ$3:DJ$500)+IF($C38="",0,SUMIF('DADOS BRUTOS'!$A$3:$A$500,$C38,'DADOS BRUTOS'!DJ$3:DJ$500)))</f>
        <v>0</v>
      </c>
      <c r="GK38" s="133" t="n">
        <f aca="false">IF(OR(GK$4="",$B38=""),0,SUMIF('DADOS BRUTOS'!$A$3:$A$500,$B38,'DADOS BRUTOS'!DK$3:DK$500)+IF($C38="",0,SUMIF('DADOS BRUTOS'!$A$3:$A$500,$C38,'DADOS BRUTOS'!DK$3:DK$500)))</f>
        <v>0</v>
      </c>
      <c r="GL38" s="133" t="n">
        <f aca="false">IF(OR(GL$4="",$B38=""),0,SUMIF('DADOS BRUTOS'!$A$3:$A$500,$B38,'DADOS BRUTOS'!DL$3:DL$500)+IF($C38="",0,SUMIF('DADOS BRUTOS'!$A$3:$A$500,$C38,'DADOS BRUTOS'!DL$3:DL$500)))</f>
        <v>0</v>
      </c>
      <c r="GM38" s="133" t="n">
        <f aca="false">IF(OR(GM$4="",$B38=""),0,SUMIF('DADOS BRUTOS'!$A$3:$A$500,$B38,'DADOS BRUTOS'!DM$3:DM$500)+IF($C38="",0,SUMIF('DADOS BRUTOS'!$A$3:$A$500,$C38,'DADOS BRUTOS'!DM$3:DM$500)))</f>
        <v>0</v>
      </c>
      <c r="GN38" s="133" t="n">
        <f aca="false">IF(OR(GN$4="",$B38=""),0,SUMIF('DADOS BRUTOS'!$A$3:$A$500,$B38,'DADOS BRUTOS'!DN$3:DN$500)+IF($C38="",0,SUMIF('DADOS BRUTOS'!$A$3:$A$500,$C38,'DADOS BRUTOS'!DN$3:DN$500)))</f>
        <v>0</v>
      </c>
      <c r="GO38" s="133" t="n">
        <f aca="false">IF(OR(GO$4="",$B38=""),0,SUMIF('DADOS BRUTOS'!$A$3:$A$500,$B38,'DADOS BRUTOS'!DO$3:DO$500)+IF($C38="",0,SUMIF('DADOS BRUTOS'!$A$3:$A$500,$C38,'DADOS BRUTOS'!DO$3:DO$500)))</f>
        <v>0</v>
      </c>
      <c r="GP38" s="133" t="n">
        <f aca="false">IF(OR(GP$4="",$B38=""),0,SUMIF('DADOS BRUTOS'!$A$3:$A$500,$B38,'DADOS BRUTOS'!DP$3:DP$500)+IF($C38="",0,SUMIF('DADOS BRUTOS'!$A$3:$A$500,$C38,'DADOS BRUTOS'!DP$3:DP$500)))</f>
        <v>0</v>
      </c>
      <c r="GQ38" s="133" t="n">
        <f aca="false">IF(OR(GQ$4="",$B38=""),0,SUMIF('DADOS BRUTOS'!$A$3:$A$500,$B38,'DADOS BRUTOS'!DQ$3:DQ$500)+IF($C38="",0,SUMIF('DADOS BRUTOS'!$A$3:$A$500,$C38,'DADOS BRUTOS'!DQ$3:DQ$500)))</f>
        <v>0</v>
      </c>
      <c r="GR38" s="133" t="n">
        <f aca="false">IF(OR(GR$4="",$B38=""),0,SUMIF('DADOS BRUTOS'!$A$3:$A$500,$B38,'DADOS BRUTOS'!DR$3:DR$500)+IF($C38="",0,SUMIF('DADOS BRUTOS'!$A$3:$A$500,$C38,'DADOS BRUTOS'!DR$3:DR$500)))</f>
        <v>0</v>
      </c>
      <c r="GS38" s="133" t="n">
        <f aca="false">IF(OR(GS$4="",$B38=""),0,SUMIF('DADOS BRUTOS'!$A$3:$A$500,$B38,'DADOS BRUTOS'!DS$3:DS$500)+IF($C38="",0,SUMIF('DADOS BRUTOS'!$A$3:$A$500,$C38,'DADOS BRUTOS'!DS$3:DS$500)))</f>
        <v>0</v>
      </c>
      <c r="GT38" s="133" t="n">
        <f aca="false">IF(OR(GT$4="",$B38=""),0,SUMIF('DADOS BRUTOS'!$A$3:$A$500,$B38,'DADOS BRUTOS'!DT$3:DT$500)+IF($C38="",0,SUMIF('DADOS BRUTOS'!$A$3:$A$500,$C38,'DADOS BRUTOS'!DT$3:DT$500)))</f>
        <v>0</v>
      </c>
      <c r="GU38" s="133" t="n">
        <f aca="false">IF(OR(GU$4="",$B38=""),0,SUMIF('DADOS BRUTOS'!$A$3:$A$500,$B38,'DADOS BRUTOS'!DU$3:DU$500)+IF($C38="",0,SUMIF('DADOS BRUTOS'!$A$3:$A$500,$C38,'DADOS BRUTOS'!DU$3:DU$500)))</f>
        <v>0</v>
      </c>
      <c r="GV38" s="133" t="n">
        <f aca="false">IF(OR(GV$4="",$B38=""),0,SUMIF('DADOS BRUTOS'!$A$3:$A$500,$B38,'DADOS BRUTOS'!DV$3:DV$500)+IF($C38="",0,SUMIF('DADOS BRUTOS'!$A$3:$A$500,$C38,'DADOS BRUTOS'!DV$3:DV$500)))</f>
        <v>0</v>
      </c>
      <c r="GW38" s="133" t="n">
        <f aca="false">IF(OR(GW$4="",$B38=""),0,SUMIF('DADOS BRUTOS'!$A$3:$A$500,$B38,'DADOS BRUTOS'!DW$3:DW$500)+IF($C38="",0,SUMIF('DADOS BRUTOS'!$A$3:$A$500,$C38,'DADOS BRUTOS'!DW$3:DW$500)))</f>
        <v>0</v>
      </c>
      <c r="GX38" s="133" t="n">
        <f aca="false">IF(OR(GX$4="",$B38=""),0,SUMIF('DADOS BRUTOS'!$A$3:$A$500,$B38,'DADOS BRUTOS'!DX$3:DX$500)+IF($C38="",0,SUMIF('DADOS BRUTOS'!$A$3:$A$500,$C38,'DADOS BRUTOS'!DX$3:DX$500)))</f>
        <v>0</v>
      </c>
      <c r="GY38" s="133" t="n">
        <f aca="false">IF(OR(GY$4="",$B38=""),0,SUMIF('DADOS BRUTOS'!$A$3:$A$500,$B38,'DADOS BRUTOS'!DY$3:DY$500)+IF($C38="",0,SUMIF('DADOS BRUTOS'!$A$3:$A$500,$C38,'DADOS BRUTOS'!DY$3:DY$500)))</f>
        <v>0</v>
      </c>
      <c r="GZ38" s="133" t="n">
        <f aca="false">IF(OR(GZ$4="",$B38=""),0,SUMIF('DADOS BRUTOS'!$A$3:$A$500,$B38,'DADOS BRUTOS'!DZ$3:DZ$500)+IF($C38="",0,SUMIF('DADOS BRUTOS'!$A$3:$A$500,$C38,'DADOS BRUTOS'!DZ$3:DZ$500)))</f>
        <v>0</v>
      </c>
      <c r="HA38" s="133" t="n">
        <f aca="false">IF(OR(HA$4="",$B38=""),0,SUMIF('DADOS BRUTOS'!$A$3:$A$500,$B38,'DADOS BRUTOS'!EA$3:EA$500)+IF($C38="",0,SUMIF('DADOS BRUTOS'!$A$3:$A$500,$C38,'DADOS BRUTOS'!EA$3:EA$500)))</f>
        <v>0</v>
      </c>
      <c r="HB38" s="133" t="n">
        <f aca="false">IF(OR(HB$4="",$B38=""),0,SUMIF('DADOS BRUTOS'!$A$3:$A$500,$B38,'DADOS BRUTOS'!EB$3:EB$500)+IF($C38="",0,SUMIF('DADOS BRUTOS'!$A$3:$A$500,$C38,'DADOS BRUTOS'!EB$3:EB$500)))</f>
        <v>0</v>
      </c>
      <c r="HC38" s="133" t="n">
        <f aca="false">IF(OR(HC$4="",$B38=""),0,SUMIF('DADOS BRUTOS'!$A$3:$A$500,$B38,'DADOS BRUTOS'!EC$3:EC$500)+IF($C38="",0,SUMIF('DADOS BRUTOS'!$A$3:$A$500,$C38,'DADOS BRUTOS'!EC$3:EC$500)))</f>
        <v>0</v>
      </c>
      <c r="HD38" s="133" t="n">
        <f aca="false">IF(OR(HD$4="",$B38=""),0,SUMIF('DADOS BRUTOS'!$A$3:$A$500,$B38,'DADOS BRUTOS'!ED$3:ED$500)+IF($C38="",0,SUMIF('DADOS BRUTOS'!$A$3:$A$500,$C38,'DADOS BRUTOS'!ED$3:ED$500)))</f>
        <v>0</v>
      </c>
      <c r="HE38" s="133" t="n">
        <f aca="false">IF(OR(HE$4="",$B38=""),0,SUMIF('DADOS BRUTOS'!$A$3:$A$500,$B38,'DADOS BRUTOS'!EE$3:EE$500)+IF($C38="",0,SUMIF('DADOS BRUTOS'!$A$3:$A$500,$C38,'DADOS BRUTOS'!EE$3:EE$500)))</f>
        <v>0</v>
      </c>
      <c r="HF38" s="133" t="n">
        <f aca="false">IF(OR(HF$4="",$B38=""),0,SUMIF('DADOS BRUTOS'!$A$3:$A$500,$B38,'DADOS BRUTOS'!EF$3:EF$500)+IF($C38="",0,SUMIF('DADOS BRUTOS'!$A$3:$A$500,$C38,'DADOS BRUTOS'!EF$3:EF$500)))</f>
        <v>0</v>
      </c>
      <c r="HG38" s="133" t="n">
        <f aca="false">IF(OR(HG$4="",$B38=""),0,SUMIF('DADOS BRUTOS'!$A$3:$A$500,$B38,'DADOS BRUTOS'!EG$3:EG$500)+IF($C38="",0,SUMIF('DADOS BRUTOS'!$A$3:$A$500,$C38,'DADOS BRUTOS'!EG$3:EG$500)))</f>
        <v>0</v>
      </c>
      <c r="HH38" s="133" t="n">
        <f aca="false">IF(OR(HH$4="",$B38=""),0,SUMIF('DADOS BRUTOS'!$A$3:$A$500,$B38,'DADOS BRUTOS'!EH$3:EH$500)+IF($C38="",0,SUMIF('DADOS BRUTOS'!$A$3:$A$500,$C38,'DADOS BRUTOS'!EH$3:EH$500)))</f>
        <v>0</v>
      </c>
      <c r="HI38" s="133" t="n">
        <f aca="false">IF(OR(HI$4="",$B38=""),0,SUMIF('DADOS BRUTOS'!$A$3:$A$500,$B38,'DADOS BRUTOS'!EI$3:EI$500)+IF($C38="",0,SUMIF('DADOS BRUTOS'!$A$3:$A$500,$C38,'DADOS BRUTOS'!EI$3:EI$500)))</f>
        <v>0</v>
      </c>
      <c r="HJ38" s="133" t="n">
        <f aca="false">IF(OR(HJ$4="",$B38=""),0,SUMIF('DADOS BRUTOS'!$A$3:$A$500,$B38,'DADOS BRUTOS'!EJ$3:EJ$500)+IF($C38="",0,SUMIF('DADOS BRUTOS'!$A$3:$A$500,$C38,'DADOS BRUTOS'!EJ$3:EJ$500)))</f>
        <v>0</v>
      </c>
      <c r="HK38" s="133" t="n">
        <f aca="false">IF(OR(HK$4="",$B38=""),0,SUMIF('DADOS BRUTOS'!$A$3:$A$500,$B38,'DADOS BRUTOS'!EK$3:EK$500)+IF($C38="",0,SUMIF('DADOS BRUTOS'!$A$3:$A$500,$C38,'DADOS BRUTOS'!EK$3:EK$500)))</f>
        <v>0</v>
      </c>
      <c r="HL38" s="133" t="n">
        <f aca="false">IF(OR(HL$4="",$B38=""),0,SUMIF('DADOS BRUTOS'!$A$3:$A$500,$B38,'DADOS BRUTOS'!EL$3:EL$500)+IF($C38="",0,SUMIF('DADOS BRUTOS'!$A$3:$A$500,$C38,'DADOS BRUTOS'!EL$3:EL$500)))</f>
        <v>0</v>
      </c>
      <c r="HM38" s="133" t="n">
        <f aca="false">IF(OR(HM$4="",$B38=""),0,SUMIF('DADOS BRUTOS'!$A$3:$A$500,$B38,'DADOS BRUTOS'!EM$3:EM$500)+IF($C38="",0,SUMIF('DADOS BRUTOS'!$A$3:$A$500,$C38,'DADOS BRUTOS'!EM$3:EM$500)))</f>
        <v>0</v>
      </c>
      <c r="HN38" s="133" t="n">
        <f aca="false">IF(OR(HN$4="",$B38=""),0,SUMIF('DADOS BRUTOS'!$A$3:$A$500,$B38,'DADOS BRUTOS'!EN$3:EN$500)+IF($C38="",0,SUMIF('DADOS BRUTOS'!$A$3:$A$500,$C38,'DADOS BRUTOS'!EN$3:EN$500)))</f>
        <v>0</v>
      </c>
      <c r="HO38" s="133" t="n">
        <f aca="false">IF(OR(HO$4="",$B38=""),0,SUMIF('DADOS BRUTOS'!$A$3:$A$500,$B38,'DADOS BRUTOS'!EO$3:EO$500)+IF($C38="",0,SUMIF('DADOS BRUTOS'!$A$3:$A$500,$C38,'DADOS BRUTOS'!EO$3:EO$500)))</f>
        <v>0</v>
      </c>
      <c r="HP38" s="133" t="n">
        <f aca="false">IF(OR(HP$4="",$B38=""),0,SUMIF('DADOS BRUTOS'!$A$3:$A$500,$B38,'DADOS BRUTOS'!EP$3:EP$500)+IF($C38="",0,SUMIF('DADOS BRUTOS'!$A$3:$A$500,$C38,'DADOS BRUTOS'!EP$3:EP$500)))</f>
        <v>0</v>
      </c>
      <c r="HQ38" s="133" t="n">
        <f aca="false">IF(OR(HQ$4="",$B38=""),0,SUMIF('DADOS BRUTOS'!$A$3:$A$500,$B38,'DADOS BRUTOS'!EQ$3:EQ$500)+IF($C38="",0,SUMIF('DADOS BRUTOS'!$A$3:$A$500,$C38,'DADOS BRUTOS'!EQ$3:EQ$500)))</f>
        <v>0</v>
      </c>
      <c r="HR38" s="133" t="n">
        <f aca="false">IF(OR(HR$4="",$B38=""),0,SUMIF('DADOS BRUTOS'!$A$3:$A$500,$B38,'DADOS BRUTOS'!ER$3:ER$500)+IF($C38="",0,SUMIF('DADOS BRUTOS'!$A$3:$A$500,$C38,'DADOS BRUTOS'!ER$3:ER$500)))</f>
        <v>0</v>
      </c>
      <c r="HS38" s="133" t="n">
        <f aca="false">IF(OR(HS$4="",$B38=""),0,SUMIF('DADOS BRUTOS'!$A$3:$A$500,$B38,'DADOS BRUTOS'!ES$3:ES$500)+IF($C38="",0,SUMIF('DADOS BRUTOS'!$A$3:$A$500,$C38,'DADOS BRUTOS'!ES$3:ES$500)))</f>
        <v>0</v>
      </c>
      <c r="HT38" s="133" t="n">
        <f aca="false">IF(OR(HT$4="",$B38=""),0,SUMIF('DADOS BRUTOS'!$A$3:$A$500,$B38,'DADOS BRUTOS'!ET$3:ET$500)+IF($C38="",0,SUMIF('DADOS BRUTOS'!$A$3:$A$500,$C38,'DADOS BRUTOS'!ET$3:ET$500)))</f>
        <v>0</v>
      </c>
      <c r="HU38" s="133" t="n">
        <f aca="false">IF(OR(HU$4="",$B38=""),0,SUMIF('DADOS BRUTOS'!$A$3:$A$500,$B38,'DADOS BRUTOS'!EU$3:EU$500)+IF($C38="",0,SUMIF('DADOS BRUTOS'!$A$3:$A$500,$C38,'DADOS BRUTOS'!EU$3:EU$500)))</f>
        <v>0</v>
      </c>
      <c r="HV38" s="133" t="n">
        <f aca="false">IF(OR(HV$4="",$B38=""),0,SUMIF('DADOS BRUTOS'!$A$3:$A$500,$B38,'DADOS BRUTOS'!EV$3:EV$500)+IF($C38="",0,SUMIF('DADOS BRUTOS'!$A$3:$A$500,$C38,'DADOS BRUTOS'!EV$3:EV$500)))</f>
        <v>0</v>
      </c>
      <c r="HW38" s="133" t="n">
        <f aca="false">IF(OR(HW$4="",$B38=""),0,SUMIF('DADOS BRUTOS'!$A$3:$A$500,$B38,'DADOS BRUTOS'!EW$3:EW$500)+IF($C38="",0,SUMIF('DADOS BRUTOS'!$A$3:$A$500,$C38,'DADOS BRUTOS'!EW$3:EW$500)))</f>
        <v>0</v>
      </c>
      <c r="HX38" s="133" t="n">
        <f aca="false">IF(OR(HX$4="",$B38=""),0,SUMIF('DADOS BRUTOS'!$A$3:$A$500,$B38,'DADOS BRUTOS'!EX$3:EX$500)+IF($C38="",0,SUMIF('DADOS BRUTOS'!$A$3:$A$500,$C38,'DADOS BRUTOS'!EX$3:EX$500)))</f>
        <v>0</v>
      </c>
      <c r="HY38" s="133" t="n">
        <f aca="false">IF(OR(HY$4="",$B38=""),0,SUMIF('DADOS BRUTOS'!$A$3:$A$500,$B38,'DADOS BRUTOS'!EY$3:EY$500)+IF($C38="",0,SUMIF('DADOS BRUTOS'!$A$3:$A$500,$C38,'DADOS BRUTOS'!EY$3:EY$500)))</f>
        <v>0</v>
      </c>
      <c r="HZ38" s="133" t="n">
        <f aca="false">IF(OR(HZ$4="",$B38=""),0,SUMIF('DADOS BRUTOS'!$A$3:$A$500,$B38,'DADOS BRUTOS'!EZ$3:EZ$500)+IF($C38="",0,SUMIF('DADOS BRUTOS'!$A$3:$A$500,$C38,'DADOS BRUTOS'!EZ$3:EZ$500)))</f>
        <v>0</v>
      </c>
      <c r="IA38" s="133" t="n">
        <f aca="false">IF(OR(IA$4="",$B38=""),0,SUMIF('DADOS BRUTOS'!$A$3:$A$500,$B38,'DADOS BRUTOS'!FA$3:FA$500)+IF($C38="",0,SUMIF('DADOS BRUTOS'!$A$3:$A$500,$C38,'DADOS BRUTOS'!FA$3:FA$500)))</f>
        <v>0</v>
      </c>
      <c r="IB38" s="133" t="n">
        <f aca="false">IF(OR(IB$4="",$B38=""),0,SUMIF('DADOS BRUTOS'!$A$3:$A$500,$B38,'DADOS BRUTOS'!FB$3:FB$500)+IF($C38="",0,SUMIF('DADOS BRUTOS'!$A$3:$A$500,$C38,'DADOS BRUTOS'!FB$3:FB$500)))</f>
        <v>0</v>
      </c>
      <c r="IC38" s="133" t="n">
        <f aca="false">IF(OR(IC$4="",$B38=""),0,SUMIF('DADOS BRUTOS'!$A$3:$A$500,$B38,'DADOS BRUTOS'!FC$3:FC$500)+IF($C38="",0,SUMIF('DADOS BRUTOS'!$A$3:$A$500,$C38,'DADOS BRUTOS'!FC$3:FC$500)))</f>
        <v>0</v>
      </c>
      <c r="ID38" s="133" t="n">
        <f aca="false">IF(OR(ID$4="",$B38=""),0,SUMIF('DADOS BRUTOS'!$A$3:$A$500,$B38,'DADOS BRUTOS'!FD$3:FD$500)+IF($C38="",0,SUMIF('DADOS BRUTOS'!$A$3:$A$500,$C38,'DADOS BRUTOS'!FD$3:FD$500)))</f>
        <v>0</v>
      </c>
      <c r="IE38" s="133" t="n">
        <f aca="false">IF(OR(IE$4="",$B38=""),0,SUMIF('DADOS BRUTOS'!$A$3:$A$500,$B38,'DADOS BRUTOS'!FE$3:FE$500)+IF($C38="",0,SUMIF('DADOS BRUTOS'!$A$3:$A$500,$C38,'DADOS BRUTOS'!FE$3:FE$500)))</f>
        <v>0</v>
      </c>
      <c r="IF38" s="133" t="n">
        <f aca="false">IF(OR(IF$4="",$B38=""),0,SUMIF('DADOS BRUTOS'!$A$3:$A$500,$B38,'DADOS BRUTOS'!FF$3:FF$500)+IF($C38="",0,SUMIF('DADOS BRUTOS'!$A$3:$A$500,$C38,'DADOS BRUTOS'!FF$3:FF$500)))</f>
        <v>0</v>
      </c>
      <c r="IG38" s="133" t="n">
        <f aca="false">IF(OR(IG$4="",$B38=""),0,SUMIF('DADOS BRUTOS'!$A$3:$A$500,$B38,'DADOS BRUTOS'!FG$3:FG$500)+IF($C38="",0,SUMIF('DADOS BRUTOS'!$A$3:$A$500,$C38,'DADOS BRUTOS'!FG$3:FG$500)))</f>
        <v>0</v>
      </c>
      <c r="IH38" s="133" t="n">
        <f aca="false">IF(OR(IH$4="",$B38=""),0,SUMIF('DADOS BRUTOS'!$A$3:$A$500,$B38,'DADOS BRUTOS'!FH$3:FH$500)+IF($C38="",0,SUMIF('DADOS BRUTOS'!$A$3:$A$500,$C38,'DADOS BRUTOS'!FH$3:FH$500)))</f>
        <v>0</v>
      </c>
      <c r="II38" s="133" t="n">
        <f aca="false">IF(OR(II$4="",$B38=""),0,SUMIF('DADOS BRUTOS'!$A$3:$A$500,$B38,'DADOS BRUTOS'!FI$3:FI$500)+IF($C38="",0,SUMIF('DADOS BRUTOS'!$A$3:$A$500,$C38,'DADOS BRUTOS'!FI$3:FI$500)))</f>
        <v>0</v>
      </c>
      <c r="IJ38" s="133" t="n">
        <f aca="false">IF(OR(IJ$4="",$B38=""),0,SUMIF('DADOS BRUTOS'!$A$3:$A$500,$B38,'DADOS BRUTOS'!FJ$3:FJ$500)+IF($C38="",0,SUMIF('DADOS BRUTOS'!$A$3:$A$500,$C38,'DADOS BRUTOS'!FJ$3:FJ$500)))</f>
        <v>0</v>
      </c>
      <c r="IK38" s="133" t="n">
        <f aca="false">IF(OR(IK$4="",$B38=""),0,SUMIF('DADOS BRUTOS'!$A$3:$A$500,$B38,'DADOS BRUTOS'!FK$3:FK$500)+IF($C38="",0,SUMIF('DADOS BRUTOS'!$A$3:$A$500,$C38,'DADOS BRUTOS'!FK$3:FK$500)))</f>
        <v>0</v>
      </c>
      <c r="IL38" s="133" t="n">
        <f aca="false">IF(OR(IL$4="",$B38=""),0,SUMIF('DADOS BRUTOS'!$A$3:$A$500,$B38,'DADOS BRUTOS'!FL$3:FL$500)+IF($C38="",0,SUMIF('DADOS BRUTOS'!$A$3:$A$500,$C38,'DADOS BRUTOS'!FL$3:FL$500)))</f>
        <v>0</v>
      </c>
      <c r="IM38" s="133" t="n">
        <f aca="false">IF(OR(IM$4="",$B38=""),0,SUMIF('DADOS BRUTOS'!$A$3:$A$500,$B38,'DADOS BRUTOS'!FM$3:FM$500)+IF($C38="",0,SUMIF('DADOS BRUTOS'!$A$3:$A$500,$C38,'DADOS BRUTOS'!FM$3:FM$500)))</f>
        <v>0</v>
      </c>
      <c r="IN38" s="133" t="n">
        <f aca="false">IF(OR(IN$4="",$B38=""),0,SUMIF('DADOS BRUTOS'!$A$3:$A$500,$B38,'DADOS BRUTOS'!FN$3:FN$500)+IF($C38="",0,SUMIF('DADOS BRUTOS'!$A$3:$A$500,$C38,'DADOS BRUTOS'!FN$3:FN$500)))</f>
        <v>0</v>
      </c>
      <c r="IO38" s="133" t="n">
        <f aca="false">IF(OR(IO$4="",$B38=""),0,SUMIF('DADOS BRUTOS'!$A$3:$A$500,$B38,'DADOS BRUTOS'!FO$3:FO$500)+IF($C38="",0,SUMIF('DADOS BRUTOS'!$A$3:$A$500,$C38,'DADOS BRUTOS'!FO$3:FO$500)))</f>
        <v>0</v>
      </c>
      <c r="IP38" s="133" t="n">
        <f aca="false">IF(OR(IP$4="",$B38=""),0,SUMIF('DADOS BRUTOS'!$A$3:$A$500,$B38,'DADOS BRUTOS'!FP$3:FP$500)+IF($C38="",0,SUMIF('DADOS BRUTOS'!$A$3:$A$500,$C38,'DADOS BRUTOS'!FP$3:FP$500)))</f>
        <v>0</v>
      </c>
      <c r="IQ38" s="133" t="n">
        <f aca="false">IF(OR(IQ$4="",$B38=""),0,SUMIF('DADOS BRUTOS'!$A$3:$A$500,$B38,'DADOS BRUTOS'!FQ$3:FQ$500)+IF($C38="",0,SUMIF('DADOS BRUTOS'!$A$3:$A$500,$C38,'DADOS BRUTOS'!FQ$3:FQ$500)))</f>
        <v>0</v>
      </c>
      <c r="IR38" s="133" t="n">
        <f aca="false">IF(OR(IR$4="",$B38=""),0,SUMIF('DADOS BRUTOS'!$A$3:$A$500,$B38,'DADOS BRUTOS'!FR$3:FR$500)+IF($C38="",0,SUMIF('DADOS BRUTOS'!$A$3:$A$500,$C38,'DADOS BRUTOS'!FR$3:FR$500)))</f>
        <v>0</v>
      </c>
      <c r="IS38" s="133" t="n">
        <f aca="false">IF(OR(IS$4="",$B38=""),0,SUMIF('DADOS BRUTOS'!$A$3:$A$500,$B38,'DADOS BRUTOS'!FS$3:FS$500)+IF($C38="",0,SUMIF('DADOS BRUTOS'!$A$3:$A$500,$C38,'DADOS BRUTOS'!FS$3:FS$500)))</f>
        <v>0</v>
      </c>
      <c r="IT38" s="133" t="n">
        <f aca="false">IF(OR(IT$4="",$B38=""),0,SUMIF('DADOS BRUTOS'!$A$3:$A$500,$B38,'DADOS BRUTOS'!FT$3:FT$500)+IF($C38="",0,SUMIF('DADOS BRUTOS'!$A$3:$A$500,$C38,'DADOS BRUTOS'!FT$3:FT$500)))</f>
        <v>0</v>
      </c>
      <c r="IU38" s="133" t="n">
        <f aca="false">IF(OR(IU$4="",$B38=""),0,SUMIF('DADOS BRUTOS'!$A$3:$A$500,$B38,'DADOS BRUTOS'!FU$3:FU$500)+IF($C38="",0,SUMIF('DADOS BRUTOS'!$A$3:$A$500,$C38,'DADOS BRUTOS'!FU$3:FU$500)))</f>
        <v>0</v>
      </c>
      <c r="IV38" s="133" t="n">
        <f aca="false">IF(OR(IV$4="",$B38=""),0,SUMIF('DADOS BRUTOS'!$A$3:$A$500,$B38,'DADOS BRUTOS'!FV$3:FV$500)+IF($C38="",0,SUMIF('DADOS BRUTOS'!$A$3:$A$500,$C38,'DADOS BRUTOS'!FV$3:FV$500)))</f>
        <v>0</v>
      </c>
      <c r="IW38" s="133" t="n">
        <f aca="false">IF(OR(IW$4="",$B38=""),0,SUMIF('DADOS BRUTOS'!$A$3:$A$500,$B38,'DADOS BRUTOS'!FW$3:FW$500)+IF($C38="",0,SUMIF('DADOS BRUTOS'!$A$3:$A$500,$C38,'DADOS BRUTOS'!FW$3:FW$500)))</f>
        <v>0</v>
      </c>
      <c r="IX38" s="133" t="n">
        <f aca="false">IF(OR(IX$4="",$B38=""),0,SUMIF('DADOS BRUTOS'!$A$3:$A$500,$B38,'DADOS BRUTOS'!FX$3:FX$500)+IF($C38="",0,SUMIF('DADOS BRUTOS'!$A$3:$A$500,$C38,'DADOS BRUTOS'!FX$3:FX$500)))</f>
        <v>0</v>
      </c>
      <c r="IY38" s="133" t="n">
        <f aca="false">IF(OR(IY$4="",$B38=""),0,SUMIF('DADOS BRUTOS'!$A$3:$A$500,$B38,'DADOS BRUTOS'!FY$3:FY$500)+IF($C38="",0,SUMIF('DADOS BRUTOS'!$A$3:$A$500,$C38,'DADOS BRUTOS'!FY$3:FY$500)))</f>
        <v>0</v>
      </c>
      <c r="IZ38" s="133" t="n">
        <f aca="false">IF(OR(IZ$4="",$B38=""),0,SUMIF('DADOS BRUTOS'!$A$3:$A$500,$B38,'DADOS BRUTOS'!FZ$3:FZ$500)+IF($C38="",0,SUMIF('DADOS BRUTOS'!$A$3:$A$500,$C38,'DADOS BRUTOS'!FZ$3:FZ$500)))</f>
        <v>0</v>
      </c>
      <c r="JA38" s="133" t="n">
        <f aca="false">IF(OR(JA$4="",$B38=""),0,SUMIF('DADOS BRUTOS'!$A$3:$A$500,$B38,'DADOS BRUTOS'!GA$3:GA$500)+IF($C38="",0,SUMIF('DADOS BRUTOS'!$A$3:$A$500,$C38,'DADOS BRUTOS'!GA$3:GA$500)))</f>
        <v>0</v>
      </c>
      <c r="JB38" s="133" t="n">
        <f aca="false">IF(OR(JB$4="",$B38=""),0,SUMIF('DADOS BRUTOS'!$A$3:$A$500,$B38,'DADOS BRUTOS'!GB$3:GB$500)+IF($C38="",0,SUMIF('DADOS BRUTOS'!$A$3:$A$500,$C38,'DADOS BRUTOS'!GB$3:GB$500)))</f>
        <v>0</v>
      </c>
      <c r="JC38" s="133" t="n">
        <f aca="false">IF(OR(JC$4="",$B38=""),0,SUMIF('DADOS BRUTOS'!$A$3:$A$500,$B38,'DADOS BRUTOS'!GC$3:GC$500)+IF($C38="",0,SUMIF('DADOS BRUTOS'!$A$3:$A$500,$C38,'DADOS BRUTOS'!GC$3:GC$500)))</f>
        <v>0</v>
      </c>
      <c r="JD38" s="133" t="n">
        <f aca="false">IF(OR(JD$4="",$B38=""),0,SUMIF('DADOS BRUTOS'!$A$3:$A$500,$B38,'DADOS BRUTOS'!GD$3:GD$500)+IF($C38="",0,SUMIF('DADOS BRUTOS'!$A$3:$A$500,$C38,'DADOS BRUTOS'!GD$3:GD$500)))</f>
        <v>0</v>
      </c>
      <c r="JE38" s="133" t="n">
        <f aca="false">IF(OR(JE$4="",$B38=""),0,SUMIF('DADOS BRUTOS'!$A$3:$A$500,$B38,'DADOS BRUTOS'!GE$3:GE$500)+IF($C38="",0,SUMIF('DADOS BRUTOS'!$A$3:$A$500,$C38,'DADOS BRUTOS'!GE$3:GE$500)))</f>
        <v>0</v>
      </c>
      <c r="JF38" s="133" t="n">
        <f aca="false">IF(OR(JF$4="",$B38=""),0,SUMIF('DADOS BRUTOS'!$A$3:$A$500,$B38,'DADOS BRUTOS'!GF$3:GF$500)+IF($C38="",0,SUMIF('DADOS BRUTOS'!$A$3:$A$500,$C38,'DADOS BRUTOS'!GF$3:GF$500)))</f>
        <v>0</v>
      </c>
      <c r="JG38" s="133" t="n">
        <f aca="false">IF(OR(JG$4="",$B38=""),0,SUMIF('DADOS BRUTOS'!$A$3:$A$500,$B38,'DADOS BRUTOS'!GG$3:GG$500)+IF($C38="",0,SUMIF('DADOS BRUTOS'!$A$3:$A$500,$C38,'DADOS BRUTOS'!GG$3:GG$500)))</f>
        <v>0</v>
      </c>
      <c r="JH38" s="133" t="n">
        <f aca="false">IF(OR(JH$4="",$B38=""),0,SUMIF('DADOS BRUTOS'!$A$3:$A$500,$B38,'DADOS BRUTOS'!GH$3:GH$500)+IF($C38="",0,SUMIF('DADOS BRUTOS'!$A$3:$A$500,$C38,'DADOS BRUTOS'!GH$3:GH$500)))</f>
        <v>0</v>
      </c>
      <c r="JI38" s="133" t="n">
        <f aca="false">IF(OR(JI$4="",$B38=""),0,SUMIF('DADOS BRUTOS'!$A$3:$A$500,$B38,'DADOS BRUTOS'!GI$3:GI$500)+IF($C38="",0,SUMIF('DADOS BRUTOS'!$A$3:$A$500,$C38,'DADOS BRUTOS'!GI$3:GI$500)))</f>
        <v>0</v>
      </c>
      <c r="JJ38" s="133" t="n">
        <f aca="false">IF(OR(JJ$4="",$B38=""),0,SUMIF('DADOS BRUTOS'!$A$3:$A$500,$B38,'DADOS BRUTOS'!GJ$3:GJ$500)+IF($C38="",0,SUMIF('DADOS BRUTOS'!$A$3:$A$500,$C38,'DADOS BRUTOS'!GJ$3:GJ$500)))</f>
        <v>0</v>
      </c>
      <c r="JK38" s="133" t="n">
        <f aca="false">IF(OR(JK$4="",$B38=""),0,SUMIF('DADOS BRUTOS'!$A$3:$A$500,$B38,'DADOS BRUTOS'!GK$3:GK$500)+IF($C38="",0,SUMIF('DADOS BRUTOS'!$A$3:$A$500,$C38,'DADOS BRUTOS'!GK$3:GK$500)))</f>
        <v>0</v>
      </c>
      <c r="JL38" s="133" t="n">
        <f aca="false">IF(OR(JL$4="",$B38=""),0,SUMIF('DADOS BRUTOS'!$A$3:$A$500,$B38,'DADOS BRUTOS'!GL$3:GL$500)+IF($C38="",0,SUMIF('DADOS BRUTOS'!$A$3:$A$500,$C38,'DADOS BRUTOS'!GL$3:GL$500)))</f>
        <v>0</v>
      </c>
      <c r="JM38" s="133" t="n">
        <f aca="false">IF(OR(JM$4="",$B38=""),0,SUMIF('DADOS BRUTOS'!$A$3:$A$500,$B38,'DADOS BRUTOS'!GM$3:GM$500)+IF($C38="",0,SUMIF('DADOS BRUTOS'!$A$3:$A$500,$C38,'DADOS BRUTOS'!GM$3:GM$500)))</f>
        <v>0</v>
      </c>
      <c r="JN38" s="133" t="n">
        <f aca="false">IF(OR(JN$4="",$B38=""),0,SUMIF('DADOS BRUTOS'!$A$3:$A$500,$B38,'DADOS BRUTOS'!GN$3:GN$500)+IF($C38="",0,SUMIF('DADOS BRUTOS'!$A$3:$A$500,$C38,'DADOS BRUTOS'!GN$3:GN$500)))</f>
        <v>0</v>
      </c>
      <c r="JO38" s="133" t="n">
        <f aca="false">IF(OR(JO$4="",$B38=""),0,SUMIF('DADOS BRUTOS'!$A$3:$A$500,$B38,'DADOS BRUTOS'!GO$3:GO$500)+IF($C38="",0,SUMIF('DADOS BRUTOS'!$A$3:$A$500,$C38,'DADOS BRUTOS'!GO$3:GO$500)))</f>
        <v>0</v>
      </c>
      <c r="JP38" s="133" t="n">
        <f aca="false">IF(OR(JP$4="",$B38=""),0,SUMIF('DADOS BRUTOS'!$A$3:$A$500,$B38,'DADOS BRUTOS'!GP$3:GP$500)+IF($C38="",0,SUMIF('DADOS BRUTOS'!$A$3:$A$500,$C38,'DADOS BRUTOS'!GP$3:GP$500)))</f>
        <v>0</v>
      </c>
      <c r="JQ38" s="133" t="n">
        <f aca="false">IF(OR(JQ$4="",$B38=""),0,SUMIF('DADOS BRUTOS'!$A$3:$A$500,$B38,'DADOS BRUTOS'!GQ$3:GQ$500)+IF($C38="",0,SUMIF('DADOS BRUTOS'!$A$3:$A$500,$C38,'DADOS BRUTOS'!GQ$3:GQ$500)))</f>
        <v>0</v>
      </c>
      <c r="JR38" s="133" t="n">
        <f aca="false">IF(OR(JR$4="",$B38=""),0,SUMIF('DADOS BRUTOS'!$A$3:$A$500,$B38,'DADOS BRUTOS'!GR$3:GR$500)+IF($C38="",0,SUMIF('DADOS BRUTOS'!$A$3:$A$500,$C38,'DADOS BRUTOS'!GR$3:GR$500)))</f>
        <v>0</v>
      </c>
      <c r="JS38" s="133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224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0</v>
      </c>
      <c r="R39" s="50" t="n">
        <f aca="false">SUMIF($CB$4:$JS$4,R$4,$CB39:$JS39)</f>
        <v>0</v>
      </c>
      <c r="S39" s="50" t="n">
        <f aca="false">SUMIF($CB$4:$JS$4,S$4,$CB39:$JS39)</f>
        <v>0</v>
      </c>
      <c r="T39" s="50" t="n">
        <f aca="false">SUMIF($CB$4:$JS$4,T$4,$CB39:$JS39)</f>
        <v>0</v>
      </c>
      <c r="U39" s="50" t="n">
        <f aca="false">SUMIF($CB$4:$JS$4,U$4,$CB39:$JS39)</f>
        <v>0</v>
      </c>
      <c r="V39" s="50" t="n">
        <f aca="false">SUMIF($CB$4:$JS$4,V$4,$CB39:$JS39)</f>
        <v>0</v>
      </c>
      <c r="W39" s="50" t="n">
        <f aca="false">SUMIF($CB$4:$JS$4,W$4,$CB39:$JS39)</f>
        <v>0</v>
      </c>
      <c r="X39" s="50" t="n">
        <f aca="false">SUMIF($CB$4:$JS$4,X$4,$CB39:$JS39)</f>
        <v>0</v>
      </c>
      <c r="Y39" s="50" t="n">
        <f aca="false">SUMIF($CB$4:$JS$4,Y$4,$CB39:$JS39)</f>
        <v>0</v>
      </c>
      <c r="Z39" s="50" t="n">
        <f aca="false">SUMIF($CB$4:$JS$4,Z$4,$CB39:$JS39)</f>
        <v>0</v>
      </c>
      <c r="AA39" s="50" t="n">
        <f aca="false">SUMIF($CB$4:$JS$4,AA$4,$CB39:$JS39)</f>
        <v>0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0</v>
      </c>
      <c r="AN39" s="50" t="n">
        <f aca="false">SUMIF($CB$4:$JS$4,AN$4,$CB39:$JS39)</f>
        <v>0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0</v>
      </c>
      <c r="BZ39" s="45" t="n">
        <f aca="false">SUMPRODUCT(($CB$4:$JS$4&lt;&gt;"")*($CB$4:$JS$4&lt;=$D$4),$CB39:$JS39,$CB$1:$JS$1)</f>
        <v>0</v>
      </c>
      <c r="CB39" s="133" t="n">
        <f aca="false">IF(OR(CB$4="",$B39=""),0,SUMIF('DADOS BRUTOS'!$A$3:$A$500,$B39,'DADOS BRUTOS'!B$3:B$500)+IF($C39="",0,SUMIF('DADOS BRUTOS'!$A$3:$A$500,$C39,'DADOS BRUTOS'!B$3:B$500)))</f>
        <v>0</v>
      </c>
      <c r="CC39" s="133" t="n">
        <f aca="false">IF(OR(CC$4="",$B39=""),0,SUMIF('DADOS BRUTOS'!$A$3:$A$500,$B39,'DADOS BRUTOS'!C$3:C$500)+IF($C39="",0,SUMIF('DADOS BRUTOS'!$A$3:$A$500,$C39,'DADOS BRUTOS'!C$3:C$500)))</f>
        <v>0</v>
      </c>
      <c r="CD39" s="133" t="n">
        <f aca="false">IF(OR(CD$4="",$B39=""),0,SUMIF('DADOS BRUTOS'!$A$3:$A$500,$B39,'DADOS BRUTOS'!D$3:D$500)+IF($C39="",0,SUMIF('DADOS BRUTOS'!$A$3:$A$500,$C39,'DADOS BRUTOS'!D$3:D$500)))</f>
        <v>0</v>
      </c>
      <c r="CE39" s="133" t="n">
        <f aca="false">IF(OR(CE$4="",$B39=""),0,SUMIF('DADOS BRUTOS'!$A$3:$A$500,$B39,'DADOS BRUTOS'!E$3:E$500)+IF($C39="",0,SUMIF('DADOS BRUTOS'!$A$3:$A$500,$C39,'DADOS BRUTOS'!E$3:E$500)))</f>
        <v>0</v>
      </c>
      <c r="CF39" s="133" t="n">
        <f aca="false">IF(OR(CF$4="",$B39=""),0,SUMIF('DADOS BRUTOS'!$A$3:$A$500,$B39,'DADOS BRUTOS'!F$3:F$500)+IF($C39="",0,SUMIF('DADOS BRUTOS'!$A$3:$A$500,$C39,'DADOS BRUTOS'!F$3:F$500)))</f>
        <v>0</v>
      </c>
      <c r="CG39" s="133" t="n">
        <f aca="false">IF(OR(CG$4="",$B39=""),0,SUMIF('DADOS BRUTOS'!$A$3:$A$500,$B39,'DADOS BRUTOS'!G$3:G$500)+IF($C39="",0,SUMIF('DADOS BRUTOS'!$A$3:$A$500,$C39,'DADOS BRUTOS'!G$3:G$500)))</f>
        <v>0</v>
      </c>
      <c r="CH39" s="133" t="n">
        <f aca="false">IF(OR(CH$4="",$B39=""),0,SUMIF('DADOS BRUTOS'!$A$3:$A$500,$B39,'DADOS BRUTOS'!H$3:H$500)+IF($C39="",0,SUMIF('DADOS BRUTOS'!$A$3:$A$500,$C39,'DADOS BRUTOS'!H$3:H$500)))</f>
        <v>0</v>
      </c>
      <c r="CI39" s="133" t="n">
        <f aca="false">IF(OR(CI$4="",$B39=""),0,SUMIF('DADOS BRUTOS'!$A$3:$A$500,$B39,'DADOS BRUTOS'!I$3:I$500)+IF($C39="",0,SUMIF('DADOS BRUTOS'!$A$3:$A$500,$C39,'DADOS BRUTOS'!I$3:I$500)))</f>
        <v>0</v>
      </c>
      <c r="CJ39" s="133" t="n">
        <f aca="false">IF(OR(CJ$4="",$B39=""),0,SUMIF('DADOS BRUTOS'!$A$3:$A$500,$B39,'DADOS BRUTOS'!J$3:J$500)+IF($C39="",0,SUMIF('DADOS BRUTOS'!$A$3:$A$500,$C39,'DADOS BRUTOS'!J$3:J$500)))</f>
        <v>0</v>
      </c>
      <c r="CK39" s="133" t="n">
        <f aca="false">IF(OR(CK$4="",$B39=""),0,SUMIF('DADOS BRUTOS'!$A$3:$A$500,$B39,'DADOS BRUTOS'!K$3:K$500)+IF($C39="",0,SUMIF('DADOS BRUTOS'!$A$3:$A$500,$C39,'DADOS BRUTOS'!K$3:K$500)))</f>
        <v>0</v>
      </c>
      <c r="CL39" s="133" t="n">
        <f aca="false">IF(OR(CL$4="",$B39=""),0,SUMIF('DADOS BRUTOS'!$A$3:$A$500,$B39,'DADOS BRUTOS'!L$3:L$500)+IF($C39="",0,SUMIF('DADOS BRUTOS'!$A$3:$A$500,$C39,'DADOS BRUTOS'!L$3:L$500)))</f>
        <v>0</v>
      </c>
      <c r="CM39" s="133" t="n">
        <f aca="false">IF(OR(CM$4="",$B39=""),0,SUMIF('DADOS BRUTOS'!$A$3:$A$500,$B39,'DADOS BRUTOS'!M$3:M$500)+IF($C39="",0,SUMIF('DADOS BRUTOS'!$A$3:$A$500,$C39,'DADOS BRUTOS'!M$3:M$500)))</f>
        <v>0</v>
      </c>
      <c r="CN39" s="133" t="n">
        <f aca="false">IF(OR(CN$4="",$B39=""),0,SUMIF('DADOS BRUTOS'!$A$3:$A$500,$B39,'DADOS BRUTOS'!N$3:N$500)+IF($C39="",0,SUMIF('DADOS BRUTOS'!$A$3:$A$500,$C39,'DADOS BRUTOS'!N$3:N$500)))</f>
        <v>0</v>
      </c>
      <c r="CO39" s="133" t="n">
        <f aca="false">IF(OR(CO$4="",$B39=""),0,SUMIF('DADOS BRUTOS'!$A$3:$A$500,$B39,'DADOS BRUTOS'!O$3:O$500)+IF($C39="",0,SUMIF('DADOS BRUTOS'!$A$3:$A$500,$C39,'DADOS BRUTOS'!O$3:O$500)))</f>
        <v>0</v>
      </c>
      <c r="CP39" s="133" t="n">
        <f aca="false">IF(OR(CP$4="",$B39=""),0,SUMIF('DADOS BRUTOS'!$A$3:$A$500,$B39,'DADOS BRUTOS'!P$3:P$500)+IF($C39="",0,SUMIF('DADOS BRUTOS'!$A$3:$A$500,$C39,'DADOS BRUTOS'!P$3:P$500)))</f>
        <v>0</v>
      </c>
      <c r="CQ39" s="133" t="n">
        <f aca="false">IF(OR(CQ$4="",$B39=""),0,SUMIF('DADOS BRUTOS'!$A$3:$A$500,$B39,'DADOS BRUTOS'!Q$3:Q$500)+IF($C39="",0,SUMIF('DADOS BRUTOS'!$A$3:$A$500,$C39,'DADOS BRUTOS'!Q$3:Q$500)))</f>
        <v>0</v>
      </c>
      <c r="CR39" s="133" t="n">
        <f aca="false">IF(OR(CR$4="",$B39=""),0,SUMIF('DADOS BRUTOS'!$A$3:$A$500,$B39,'DADOS BRUTOS'!R$3:R$500)+IF($C39="",0,SUMIF('DADOS BRUTOS'!$A$3:$A$500,$C39,'DADOS BRUTOS'!R$3:R$500)))</f>
        <v>0</v>
      </c>
      <c r="CS39" s="133" t="n">
        <f aca="false">IF(OR(CS$4="",$B39=""),0,SUMIF('DADOS BRUTOS'!$A$3:$A$500,$B39,'DADOS BRUTOS'!S$3:S$500)+IF($C39="",0,SUMIF('DADOS BRUTOS'!$A$3:$A$500,$C39,'DADOS BRUTOS'!S$3:S$500)))</f>
        <v>0</v>
      </c>
      <c r="CT39" s="133" t="n">
        <f aca="false">IF(OR(CT$4="",$B39=""),0,SUMIF('DADOS BRUTOS'!$A$3:$A$500,$B39,'DADOS BRUTOS'!T$3:T$500)+IF($C39="",0,SUMIF('DADOS BRUTOS'!$A$3:$A$500,$C39,'DADOS BRUTOS'!T$3:T$500)))</f>
        <v>0</v>
      </c>
      <c r="CU39" s="133" t="n">
        <f aca="false">IF(OR(CU$4="",$B39=""),0,SUMIF('DADOS BRUTOS'!$A$3:$A$500,$B39,'DADOS BRUTOS'!U$3:U$500)+IF($C39="",0,SUMIF('DADOS BRUTOS'!$A$3:$A$500,$C39,'DADOS BRUTOS'!U$3:U$500)))</f>
        <v>0</v>
      </c>
      <c r="CV39" s="133" t="n">
        <f aca="false">IF(OR(CV$4="",$B39=""),0,SUMIF('DADOS BRUTOS'!$A$3:$A$500,$B39,'DADOS BRUTOS'!V$3:V$500)+IF($C39="",0,SUMIF('DADOS BRUTOS'!$A$3:$A$500,$C39,'DADOS BRUTOS'!V$3:V$500)))</f>
        <v>0</v>
      </c>
      <c r="CW39" s="133" t="n">
        <f aca="false">IF(OR(CW$4="",$B39=""),0,SUMIF('DADOS BRUTOS'!$A$3:$A$500,$B39,'DADOS BRUTOS'!W$3:W$500)+IF($C39="",0,SUMIF('DADOS BRUTOS'!$A$3:$A$500,$C39,'DADOS BRUTOS'!W$3:W$500)))</f>
        <v>0</v>
      </c>
      <c r="CX39" s="133" t="n">
        <f aca="false">IF(OR(CX$4="",$B39=""),0,SUMIF('DADOS BRUTOS'!$A$3:$A$500,$B39,'DADOS BRUTOS'!X$3:X$500)+IF($C39="",0,SUMIF('DADOS BRUTOS'!$A$3:$A$500,$C39,'DADOS BRUTOS'!X$3:X$500)))</f>
        <v>0</v>
      </c>
      <c r="CY39" s="133" t="n">
        <f aca="false">IF(OR(CY$4="",$B39=""),0,SUMIF('DADOS BRUTOS'!$A$3:$A$500,$B39,'DADOS BRUTOS'!Y$3:Y$500)+IF($C39="",0,SUMIF('DADOS BRUTOS'!$A$3:$A$500,$C39,'DADOS BRUTOS'!Y$3:Y$500)))</f>
        <v>0</v>
      </c>
      <c r="CZ39" s="133" t="n">
        <f aca="false">IF(OR(CZ$4="",$B39=""),0,SUMIF('DADOS BRUTOS'!$A$3:$A$500,$B39,'DADOS BRUTOS'!Z$3:Z$500)+IF($C39="",0,SUMIF('DADOS BRUTOS'!$A$3:$A$500,$C39,'DADOS BRUTOS'!Z$3:Z$500)))</f>
        <v>0</v>
      </c>
      <c r="DA39" s="133" t="n">
        <f aca="false">IF(OR(DA$4="",$B39=""),0,SUMIF('DADOS BRUTOS'!$A$3:$A$500,$B39,'DADOS BRUTOS'!AA$3:AA$500)+IF($C39="",0,SUMIF('DADOS BRUTOS'!$A$3:$A$500,$C39,'DADOS BRUTOS'!AA$3:AA$500)))</f>
        <v>0</v>
      </c>
      <c r="DB39" s="133" t="n">
        <f aca="false">IF(OR(DB$4="",$B39=""),0,SUMIF('DADOS BRUTOS'!$A$3:$A$500,$B39,'DADOS BRUTOS'!AB$3:AB$500)+IF($C39="",0,SUMIF('DADOS BRUTOS'!$A$3:$A$500,$C39,'DADOS BRUTOS'!AB$3:AB$500)))</f>
        <v>0</v>
      </c>
      <c r="DC39" s="133" t="n">
        <f aca="false">IF(OR(DC$4="",$B39=""),0,SUMIF('DADOS BRUTOS'!$A$3:$A$500,$B39,'DADOS BRUTOS'!AC$3:AC$500)+IF($C39="",0,SUMIF('DADOS BRUTOS'!$A$3:$A$500,$C39,'DADOS BRUTOS'!AC$3:AC$500)))</f>
        <v>0</v>
      </c>
      <c r="DD39" s="133" t="n">
        <f aca="false">IF(OR(DD$4="",$B39=""),0,SUMIF('DADOS BRUTOS'!$A$3:$A$500,$B39,'DADOS BRUTOS'!AD$3:AD$500)+IF($C39="",0,SUMIF('DADOS BRUTOS'!$A$3:$A$500,$C39,'DADOS BRUTOS'!AD$3:AD$500)))</f>
        <v>0</v>
      </c>
      <c r="DE39" s="133" t="n">
        <f aca="false">IF(OR(DE$4="",$B39=""),0,SUMIF('DADOS BRUTOS'!$A$3:$A$500,$B39,'DADOS BRUTOS'!AE$3:AE$500)+IF($C39="",0,SUMIF('DADOS BRUTOS'!$A$3:$A$500,$C39,'DADOS BRUTOS'!AE$3:AE$500)))</f>
        <v>0</v>
      </c>
      <c r="DF39" s="133" t="n">
        <f aca="false">IF(OR(DF$4="",$B39=""),0,SUMIF('DADOS BRUTOS'!$A$3:$A$500,$B39,'DADOS BRUTOS'!AF$3:AF$500)+IF($C39="",0,SUMIF('DADOS BRUTOS'!$A$3:$A$500,$C39,'DADOS BRUTOS'!AF$3:AF$500)))</f>
        <v>0</v>
      </c>
      <c r="DG39" s="133" t="n">
        <f aca="false">IF(OR(DG$4="",$B39=""),0,SUMIF('DADOS BRUTOS'!$A$3:$A$500,$B39,'DADOS BRUTOS'!AG$3:AG$500)+IF($C39="",0,SUMIF('DADOS BRUTOS'!$A$3:$A$500,$C39,'DADOS BRUTOS'!AG$3:AG$500)))</f>
        <v>0</v>
      </c>
      <c r="DH39" s="133" t="n">
        <f aca="false">IF(OR(DH$4="",$B39=""),0,SUMIF('DADOS BRUTOS'!$A$3:$A$500,$B39,'DADOS BRUTOS'!AH$3:AH$500)+IF($C39="",0,SUMIF('DADOS BRUTOS'!$A$3:$A$500,$C39,'DADOS BRUTOS'!AH$3:AH$500)))</f>
        <v>0</v>
      </c>
      <c r="DI39" s="133" t="n">
        <f aca="false">IF(OR(DI$4="",$B39=""),0,SUMIF('DADOS BRUTOS'!$A$3:$A$500,$B39,'DADOS BRUTOS'!AI$3:AI$500)+IF($C39="",0,SUMIF('DADOS BRUTOS'!$A$3:$A$500,$C39,'DADOS BRUTOS'!AI$3:AI$500)))</f>
        <v>0</v>
      </c>
      <c r="DJ39" s="133" t="n">
        <f aca="false">IF(OR(DJ$4="",$B39=""),0,SUMIF('DADOS BRUTOS'!$A$3:$A$500,$B39,'DADOS BRUTOS'!AJ$3:AJ$500)+IF($C39="",0,SUMIF('DADOS BRUTOS'!$A$3:$A$500,$C39,'DADOS BRUTOS'!AJ$3:AJ$500)))</f>
        <v>0</v>
      </c>
      <c r="DK39" s="133" t="n">
        <f aca="false">IF(OR(DK$4="",$B39=""),0,SUMIF('DADOS BRUTOS'!$A$3:$A$500,$B39,'DADOS BRUTOS'!AK$3:AK$500)+IF($C39="",0,SUMIF('DADOS BRUTOS'!$A$3:$A$500,$C39,'DADOS BRUTOS'!AK$3:AK$500)))</f>
        <v>0</v>
      </c>
      <c r="DL39" s="133" t="n">
        <f aca="false">IF(OR(DL$4="",$B39=""),0,SUMIF('DADOS BRUTOS'!$A$3:$A$500,$B39,'DADOS BRUTOS'!AL$3:AL$500)+IF($C39="",0,SUMIF('DADOS BRUTOS'!$A$3:$A$500,$C39,'DADOS BRUTOS'!AL$3:AL$500)))</f>
        <v>0</v>
      </c>
      <c r="DM39" s="133" t="n">
        <f aca="false">IF(OR(DM$4="",$B39=""),0,SUMIF('DADOS BRUTOS'!$A$3:$A$500,$B39,'DADOS BRUTOS'!AM$3:AM$500)+IF($C39="",0,SUMIF('DADOS BRUTOS'!$A$3:$A$500,$C39,'DADOS BRUTOS'!AM$3:AM$500)))</f>
        <v>0</v>
      </c>
      <c r="DN39" s="133" t="n">
        <f aca="false">IF(OR(DN$4="",$B39=""),0,SUMIF('DADOS BRUTOS'!$A$3:$A$500,$B39,'DADOS BRUTOS'!AN$3:AN$500)+IF($C39="",0,SUMIF('DADOS BRUTOS'!$A$3:$A$500,$C39,'DADOS BRUTOS'!AN$3:AN$500)))</f>
        <v>0</v>
      </c>
      <c r="DO39" s="133" t="n">
        <f aca="false">IF(OR(DO$4="",$B39=""),0,SUMIF('DADOS BRUTOS'!$A$3:$A$500,$B39,'DADOS BRUTOS'!AO$3:AO$500)+IF($C39="",0,SUMIF('DADOS BRUTOS'!$A$3:$A$500,$C39,'DADOS BRUTOS'!AO$3:AO$500)))</f>
        <v>0</v>
      </c>
      <c r="DP39" s="133" t="n">
        <f aca="false">IF(OR(DP$4="",$B39=""),0,SUMIF('DADOS BRUTOS'!$A$3:$A$500,$B39,'DADOS BRUTOS'!AP$3:AP$500)+IF($C39="",0,SUMIF('DADOS BRUTOS'!$A$3:$A$500,$C39,'DADOS BRUTOS'!AP$3:AP$500)))</f>
        <v>0</v>
      </c>
      <c r="DQ39" s="133" t="n">
        <f aca="false">IF(OR(DQ$4="",$B39=""),0,SUMIF('DADOS BRUTOS'!$A$3:$A$500,$B39,'DADOS BRUTOS'!AQ$3:AQ$500)+IF($C39="",0,SUMIF('DADOS BRUTOS'!$A$3:$A$500,$C39,'DADOS BRUTOS'!AQ$3:AQ$500)))</f>
        <v>0</v>
      </c>
      <c r="DR39" s="133" t="n">
        <f aca="false">IF(OR(DR$4="",$B39=""),0,SUMIF('DADOS BRUTOS'!$A$3:$A$500,$B39,'DADOS BRUTOS'!AR$3:AR$500)+IF($C39="",0,SUMIF('DADOS BRUTOS'!$A$3:$A$500,$C39,'DADOS BRUTOS'!AR$3:AR$500)))</f>
        <v>0</v>
      </c>
      <c r="DS39" s="133" t="n">
        <f aca="false">IF(OR(DS$4="",$B39=""),0,SUMIF('DADOS BRUTOS'!$A$3:$A$500,$B39,'DADOS BRUTOS'!AS$3:AS$500)+IF($C39="",0,SUMIF('DADOS BRUTOS'!$A$3:$A$500,$C39,'DADOS BRUTOS'!AS$3:AS$500)))</f>
        <v>0</v>
      </c>
      <c r="DT39" s="133" t="n">
        <f aca="false">IF(OR(DT$4="",$B39=""),0,SUMIF('DADOS BRUTOS'!$A$3:$A$500,$B39,'DADOS BRUTOS'!AT$3:AT$500)+IF($C39="",0,SUMIF('DADOS BRUTOS'!$A$3:$A$500,$C39,'DADOS BRUTOS'!AT$3:AT$500)))</f>
        <v>0</v>
      </c>
      <c r="DU39" s="133" t="n">
        <f aca="false">IF(OR(DU$4="",$B39=""),0,SUMIF('DADOS BRUTOS'!$A$3:$A$500,$B39,'DADOS BRUTOS'!AU$3:AU$500)+IF($C39="",0,SUMIF('DADOS BRUTOS'!$A$3:$A$500,$C39,'DADOS BRUTOS'!AU$3:AU$500)))</f>
        <v>0</v>
      </c>
      <c r="DV39" s="133" t="n">
        <f aca="false">IF(OR(DV$4="",$B39=""),0,SUMIF('DADOS BRUTOS'!$A$3:$A$500,$B39,'DADOS BRUTOS'!AV$3:AV$500)+IF($C39="",0,SUMIF('DADOS BRUTOS'!$A$3:$A$500,$C39,'DADOS BRUTOS'!AV$3:AV$500)))</f>
        <v>0</v>
      </c>
      <c r="DW39" s="133" t="n">
        <f aca="false">IF(OR(DW$4="",$B39=""),0,SUMIF('DADOS BRUTOS'!$A$3:$A$500,$B39,'DADOS BRUTOS'!AW$3:AW$500)+IF($C39="",0,SUMIF('DADOS BRUTOS'!$A$3:$A$500,$C39,'DADOS BRUTOS'!AW$3:AW$500)))</f>
        <v>0</v>
      </c>
      <c r="DX39" s="133" t="n">
        <f aca="false">IF(OR(DX$4="",$B39=""),0,SUMIF('DADOS BRUTOS'!$A$3:$A$500,$B39,'DADOS BRUTOS'!AX$3:AX$500)+IF($C39="",0,SUMIF('DADOS BRUTOS'!$A$3:$A$500,$C39,'DADOS BRUTOS'!AX$3:AX$500)))</f>
        <v>0</v>
      </c>
      <c r="DY39" s="133" t="n">
        <f aca="false">IF(OR(DY$4="",$B39=""),0,SUMIF('DADOS BRUTOS'!$A$3:$A$500,$B39,'DADOS BRUTOS'!AY$3:AY$500)+IF($C39="",0,SUMIF('DADOS BRUTOS'!$A$3:$A$500,$C39,'DADOS BRUTOS'!AY$3:AY$500)))</f>
        <v>0</v>
      </c>
      <c r="DZ39" s="133" t="n">
        <f aca="false">IF(OR(DZ$4="",$B39=""),0,SUMIF('DADOS BRUTOS'!$A$3:$A$500,$B39,'DADOS BRUTOS'!AZ$3:AZ$500)+IF($C39="",0,SUMIF('DADOS BRUTOS'!$A$3:$A$500,$C39,'DADOS BRUTOS'!AZ$3:AZ$500)))</f>
        <v>0</v>
      </c>
      <c r="EA39" s="133" t="n">
        <f aca="false">IF(OR(EA$4="",$B39=""),0,SUMIF('DADOS BRUTOS'!$A$3:$A$500,$B39,'DADOS BRUTOS'!BA$3:BA$500)+IF($C39="",0,SUMIF('DADOS BRUTOS'!$A$3:$A$500,$C39,'DADOS BRUTOS'!BA$3:BA$500)))</f>
        <v>0</v>
      </c>
      <c r="EB39" s="133" t="n">
        <f aca="false">IF(OR(EB$4="",$B39=""),0,SUMIF('DADOS BRUTOS'!$A$3:$A$500,$B39,'DADOS BRUTOS'!BB$3:BB$500)+IF($C39="",0,SUMIF('DADOS BRUTOS'!$A$3:$A$500,$C39,'DADOS BRUTOS'!BB$3:BB$500)))</f>
        <v>0</v>
      </c>
      <c r="EC39" s="133" t="n">
        <f aca="false">IF(OR(EC$4="",$B39=""),0,SUMIF('DADOS BRUTOS'!$A$3:$A$500,$B39,'DADOS BRUTOS'!BC$3:BC$500)+IF($C39="",0,SUMIF('DADOS BRUTOS'!$A$3:$A$500,$C39,'DADOS BRUTOS'!BC$3:BC$500)))</f>
        <v>0</v>
      </c>
      <c r="ED39" s="133" t="n">
        <f aca="false">IF(OR(ED$4="",$B39=""),0,SUMIF('DADOS BRUTOS'!$A$3:$A$500,$B39,'DADOS BRUTOS'!BD$3:BD$500)+IF($C39="",0,SUMIF('DADOS BRUTOS'!$A$3:$A$500,$C39,'DADOS BRUTOS'!BD$3:BD$500)))</f>
        <v>0</v>
      </c>
      <c r="EE39" s="133" t="n">
        <f aca="false">IF(OR(EE$4="",$B39=""),0,SUMIF('DADOS BRUTOS'!$A$3:$A$500,$B39,'DADOS BRUTOS'!BE$3:BE$500)+IF($C39="",0,SUMIF('DADOS BRUTOS'!$A$3:$A$500,$C39,'DADOS BRUTOS'!BE$3:BE$500)))</f>
        <v>0</v>
      </c>
      <c r="EF39" s="133" t="n">
        <f aca="false">IF(OR(EF$4="",$B39=""),0,SUMIF('DADOS BRUTOS'!$A$3:$A$500,$B39,'DADOS BRUTOS'!BF$3:BF$500)+IF($C39="",0,SUMIF('DADOS BRUTOS'!$A$3:$A$500,$C39,'DADOS BRUTOS'!BF$3:BF$500)))</f>
        <v>0</v>
      </c>
      <c r="EG39" s="133" t="n">
        <f aca="false">IF(OR(EG$4="",$B39=""),0,SUMIF('DADOS BRUTOS'!$A$3:$A$500,$B39,'DADOS BRUTOS'!BG$3:BG$500)+IF($C39="",0,SUMIF('DADOS BRUTOS'!$A$3:$A$500,$C39,'DADOS BRUTOS'!BG$3:BG$500)))</f>
        <v>0</v>
      </c>
      <c r="EH39" s="133" t="n">
        <f aca="false">IF(OR(EH$4="",$B39=""),0,SUMIF('DADOS BRUTOS'!$A$3:$A$500,$B39,'DADOS BRUTOS'!BH$3:BH$500)+IF($C39="",0,SUMIF('DADOS BRUTOS'!$A$3:$A$500,$C39,'DADOS BRUTOS'!BH$3:BH$500)))</f>
        <v>0</v>
      </c>
      <c r="EI39" s="133" t="n">
        <f aca="false">IF(OR(EI$4="",$B39=""),0,SUMIF('DADOS BRUTOS'!$A$3:$A$500,$B39,'DADOS BRUTOS'!BI$3:BI$500)+IF($C39="",0,SUMIF('DADOS BRUTOS'!$A$3:$A$500,$C39,'DADOS BRUTOS'!BI$3:BI$500)))</f>
        <v>0</v>
      </c>
      <c r="EJ39" s="133" t="n">
        <f aca="false">IF(OR(EJ$4="",$B39=""),0,SUMIF('DADOS BRUTOS'!$A$3:$A$500,$B39,'DADOS BRUTOS'!BJ$3:BJ$500)+IF($C39="",0,SUMIF('DADOS BRUTOS'!$A$3:$A$500,$C39,'DADOS BRUTOS'!BJ$3:BJ$500)))</f>
        <v>0</v>
      </c>
      <c r="EK39" s="133" t="n">
        <f aca="false">IF(OR(EK$4="",$B39=""),0,SUMIF('DADOS BRUTOS'!$A$3:$A$500,$B39,'DADOS BRUTOS'!BK$3:BK$500)+IF($C39="",0,SUMIF('DADOS BRUTOS'!$A$3:$A$500,$C39,'DADOS BRUTOS'!BK$3:BK$500)))</f>
        <v>0</v>
      </c>
      <c r="EL39" s="133" t="n">
        <f aca="false">IF(OR(EL$4="",$B39=""),0,SUMIF('DADOS BRUTOS'!$A$3:$A$500,$B39,'DADOS BRUTOS'!BL$3:BL$500)+IF($C39="",0,SUMIF('DADOS BRUTOS'!$A$3:$A$500,$C39,'DADOS BRUTOS'!BL$3:BL$500)))</f>
        <v>0</v>
      </c>
      <c r="EM39" s="133" t="n">
        <f aca="false">IF(OR(EM$4="",$B39=""),0,SUMIF('DADOS BRUTOS'!$A$3:$A$500,$B39,'DADOS BRUTOS'!BM$3:BM$500)+IF($C39="",0,SUMIF('DADOS BRUTOS'!$A$3:$A$500,$C39,'DADOS BRUTOS'!BM$3:BM$500)))</f>
        <v>0</v>
      </c>
      <c r="EN39" s="133" t="n">
        <f aca="false">IF(OR(EN$4="",$B39=""),0,SUMIF('DADOS BRUTOS'!$A$3:$A$500,$B39,'DADOS BRUTOS'!BN$3:BN$500)+IF($C39="",0,SUMIF('DADOS BRUTOS'!$A$3:$A$500,$C39,'DADOS BRUTOS'!BN$3:BN$500)))</f>
        <v>0</v>
      </c>
      <c r="EO39" s="133" t="n">
        <f aca="false">IF(OR(EO$4="",$B39=""),0,SUMIF('DADOS BRUTOS'!$A$3:$A$500,$B39,'DADOS BRUTOS'!BO$3:BO$500)+IF($C39="",0,SUMIF('DADOS BRUTOS'!$A$3:$A$500,$C39,'DADOS BRUTOS'!BO$3:BO$500)))</f>
        <v>0</v>
      </c>
      <c r="EP39" s="133" t="n">
        <f aca="false">IF(OR(EP$4="",$B39=""),0,SUMIF('DADOS BRUTOS'!$A$3:$A$500,$B39,'DADOS BRUTOS'!BP$3:BP$500)+IF($C39="",0,SUMIF('DADOS BRUTOS'!$A$3:$A$500,$C39,'DADOS BRUTOS'!BP$3:BP$500)))</f>
        <v>0</v>
      </c>
      <c r="EQ39" s="133" t="n">
        <f aca="false">IF(OR(EQ$4="",$B39=""),0,SUMIF('DADOS BRUTOS'!$A$3:$A$500,$B39,'DADOS BRUTOS'!BQ$3:BQ$500)+IF($C39="",0,SUMIF('DADOS BRUTOS'!$A$3:$A$500,$C39,'DADOS BRUTOS'!BQ$3:BQ$500)))</f>
        <v>0</v>
      </c>
      <c r="ER39" s="133" t="n">
        <f aca="false">IF(OR(ER$4="",$B39=""),0,SUMIF('DADOS BRUTOS'!$A$3:$A$500,$B39,'DADOS BRUTOS'!BR$3:BR$500)+IF($C39="",0,SUMIF('DADOS BRUTOS'!$A$3:$A$500,$C39,'DADOS BRUTOS'!BR$3:BR$500)))</f>
        <v>0</v>
      </c>
      <c r="ES39" s="133" t="n">
        <f aca="false">IF(OR(ES$4="",$B39=""),0,SUMIF('DADOS BRUTOS'!$A$3:$A$500,$B39,'DADOS BRUTOS'!BS$3:BS$500)+IF($C39="",0,SUMIF('DADOS BRUTOS'!$A$3:$A$500,$C39,'DADOS BRUTOS'!BS$3:BS$500)))</f>
        <v>0</v>
      </c>
      <c r="ET39" s="133" t="n">
        <f aca="false">IF(OR(ET$4="",$B39=""),0,SUMIF('DADOS BRUTOS'!$A$3:$A$500,$B39,'DADOS BRUTOS'!BT$3:BT$500)+IF($C39="",0,SUMIF('DADOS BRUTOS'!$A$3:$A$500,$C39,'DADOS BRUTOS'!BT$3:BT$500)))</f>
        <v>0</v>
      </c>
      <c r="EU39" s="133" t="n">
        <f aca="false">IF(OR(EU$4="",$B39=""),0,SUMIF('DADOS BRUTOS'!$A$3:$A$500,$B39,'DADOS BRUTOS'!BU$3:BU$500)+IF($C39="",0,SUMIF('DADOS BRUTOS'!$A$3:$A$500,$C39,'DADOS BRUTOS'!BU$3:BU$500)))</f>
        <v>0</v>
      </c>
      <c r="EV39" s="133" t="n">
        <f aca="false">IF(OR(EV$4="",$B39=""),0,SUMIF('DADOS BRUTOS'!$A$3:$A$500,$B39,'DADOS BRUTOS'!BV$3:BV$500)+IF($C39="",0,SUMIF('DADOS BRUTOS'!$A$3:$A$500,$C39,'DADOS BRUTOS'!BV$3:BV$500)))</f>
        <v>0</v>
      </c>
      <c r="EW39" s="133" t="n">
        <f aca="false">IF(OR(EW$4="",$B39=""),0,SUMIF('DADOS BRUTOS'!$A$3:$A$500,$B39,'DADOS BRUTOS'!BW$3:BW$500)+IF($C39="",0,SUMIF('DADOS BRUTOS'!$A$3:$A$500,$C39,'DADOS BRUTOS'!BW$3:BW$500)))</f>
        <v>0</v>
      </c>
      <c r="EX39" s="133" t="n">
        <f aca="false">IF(OR(EX$4="",$B39=""),0,SUMIF('DADOS BRUTOS'!$A$3:$A$500,$B39,'DADOS BRUTOS'!BX$3:BX$500)+IF($C39="",0,SUMIF('DADOS BRUTOS'!$A$3:$A$500,$C39,'DADOS BRUTOS'!BX$3:BX$500)))</f>
        <v>0</v>
      </c>
      <c r="EY39" s="133" t="n">
        <f aca="false">IF(OR(EY$4="",$B39=""),0,SUMIF('DADOS BRUTOS'!$A$3:$A$500,$B39,'DADOS BRUTOS'!BY$3:BY$500)+IF($C39="",0,SUMIF('DADOS BRUTOS'!$A$3:$A$500,$C39,'DADOS BRUTOS'!BY$3:BY$500)))</f>
        <v>0</v>
      </c>
      <c r="EZ39" s="133" t="n">
        <f aca="false">IF(OR(EZ$4="",$B39=""),0,SUMIF('DADOS BRUTOS'!$A$3:$A$500,$B39,'DADOS BRUTOS'!BZ$3:BZ$500)+IF($C39="",0,SUMIF('DADOS BRUTOS'!$A$3:$A$500,$C39,'DADOS BRUTOS'!BZ$3:BZ$500)))</f>
        <v>0</v>
      </c>
      <c r="FA39" s="133" t="n">
        <f aca="false">IF(OR(FA$4="",$B39=""),0,SUMIF('DADOS BRUTOS'!$A$3:$A$500,$B39,'DADOS BRUTOS'!CA$3:CA$500)+IF($C39="",0,SUMIF('DADOS BRUTOS'!$A$3:$A$500,$C39,'DADOS BRUTOS'!CA$3:CA$500)))</f>
        <v>0</v>
      </c>
      <c r="FB39" s="133" t="n">
        <f aca="false">IF(OR(FB$4="",$B39=""),0,SUMIF('DADOS BRUTOS'!$A$3:$A$500,$B39,'DADOS BRUTOS'!CB$3:CB$500)+IF($C39="",0,SUMIF('DADOS BRUTOS'!$A$3:$A$500,$C39,'DADOS BRUTOS'!CB$3:CB$500)))</f>
        <v>0</v>
      </c>
      <c r="FC39" s="133" t="n">
        <f aca="false">IF(OR(FC$4="",$B39=""),0,SUMIF('DADOS BRUTOS'!$A$3:$A$500,$B39,'DADOS BRUTOS'!CC$3:CC$500)+IF($C39="",0,SUMIF('DADOS BRUTOS'!$A$3:$A$500,$C39,'DADOS BRUTOS'!CC$3:CC$500)))</f>
        <v>0</v>
      </c>
      <c r="FD39" s="133" t="n">
        <f aca="false">IF(OR(FD$4="",$B39=""),0,SUMIF('DADOS BRUTOS'!$A$3:$A$500,$B39,'DADOS BRUTOS'!CD$3:CD$500)+IF($C39="",0,SUMIF('DADOS BRUTOS'!$A$3:$A$500,$C39,'DADOS BRUTOS'!CD$3:CD$500)))</f>
        <v>0</v>
      </c>
      <c r="FE39" s="133" t="n">
        <f aca="false">IF(OR(FE$4="",$B39=""),0,SUMIF('DADOS BRUTOS'!$A$3:$A$500,$B39,'DADOS BRUTOS'!CE$3:CE$500)+IF($C39="",0,SUMIF('DADOS BRUTOS'!$A$3:$A$500,$C39,'DADOS BRUTOS'!CE$3:CE$500)))</f>
        <v>0</v>
      </c>
      <c r="FF39" s="133" t="n">
        <f aca="false">IF(OR(FF$4="",$B39=""),0,SUMIF('DADOS BRUTOS'!$A$3:$A$500,$B39,'DADOS BRUTOS'!CF$3:CF$500)+IF($C39="",0,SUMIF('DADOS BRUTOS'!$A$3:$A$500,$C39,'DADOS BRUTOS'!CF$3:CF$500)))</f>
        <v>0</v>
      </c>
      <c r="FG39" s="133" t="n">
        <f aca="false">IF(OR(FG$4="",$B39=""),0,SUMIF('DADOS BRUTOS'!$A$3:$A$500,$B39,'DADOS BRUTOS'!CG$3:CG$500)+IF($C39="",0,SUMIF('DADOS BRUTOS'!$A$3:$A$500,$C39,'DADOS BRUTOS'!CG$3:CG$500)))</f>
        <v>0</v>
      </c>
      <c r="FH39" s="133" t="n">
        <f aca="false">IF(OR(FH$4="",$B39=""),0,SUMIF('DADOS BRUTOS'!$A$3:$A$500,$B39,'DADOS BRUTOS'!CH$3:CH$500)+IF($C39="",0,SUMIF('DADOS BRUTOS'!$A$3:$A$500,$C39,'DADOS BRUTOS'!CH$3:CH$500)))</f>
        <v>0</v>
      </c>
      <c r="FI39" s="133" t="n">
        <f aca="false">IF(OR(FI$4="",$B39=""),0,SUMIF('DADOS BRUTOS'!$A$3:$A$500,$B39,'DADOS BRUTOS'!CI$3:CI$500)+IF($C39="",0,SUMIF('DADOS BRUTOS'!$A$3:$A$500,$C39,'DADOS BRUTOS'!CI$3:CI$500)))</f>
        <v>0</v>
      </c>
      <c r="FJ39" s="133" t="n">
        <f aca="false">IF(OR(FJ$4="",$B39=""),0,SUMIF('DADOS BRUTOS'!$A$3:$A$500,$B39,'DADOS BRUTOS'!CJ$3:CJ$500)+IF($C39="",0,SUMIF('DADOS BRUTOS'!$A$3:$A$500,$C39,'DADOS BRUTOS'!CJ$3:CJ$500)))</f>
        <v>0</v>
      </c>
      <c r="FK39" s="133" t="n">
        <f aca="false">IF(OR(FK$4="",$B39=""),0,SUMIF('DADOS BRUTOS'!$A$3:$A$500,$B39,'DADOS BRUTOS'!CK$3:CK$500)+IF($C39="",0,SUMIF('DADOS BRUTOS'!$A$3:$A$500,$C39,'DADOS BRUTOS'!CK$3:CK$500)))</f>
        <v>0</v>
      </c>
      <c r="FL39" s="133" t="n">
        <f aca="false">IF(OR(FL$4="",$B39=""),0,SUMIF('DADOS BRUTOS'!$A$3:$A$500,$B39,'DADOS BRUTOS'!CL$3:CL$500)+IF($C39="",0,SUMIF('DADOS BRUTOS'!$A$3:$A$500,$C39,'DADOS BRUTOS'!CL$3:CL$500)))</f>
        <v>0</v>
      </c>
      <c r="FM39" s="133" t="n">
        <f aca="false">IF(OR(FM$4="",$B39=""),0,SUMIF('DADOS BRUTOS'!$A$3:$A$500,$B39,'DADOS BRUTOS'!CM$3:CM$500)+IF($C39="",0,SUMIF('DADOS BRUTOS'!$A$3:$A$500,$C39,'DADOS BRUTOS'!CM$3:CM$500)))</f>
        <v>0</v>
      </c>
      <c r="FN39" s="133" t="n">
        <f aca="false">IF(OR(FN$4="",$B39=""),0,SUMIF('DADOS BRUTOS'!$A$3:$A$500,$B39,'DADOS BRUTOS'!CN$3:CN$500)+IF($C39="",0,SUMIF('DADOS BRUTOS'!$A$3:$A$500,$C39,'DADOS BRUTOS'!CN$3:CN$500)))</f>
        <v>0</v>
      </c>
      <c r="FO39" s="133" t="n">
        <f aca="false">IF(OR(FO$4="",$B39=""),0,SUMIF('DADOS BRUTOS'!$A$3:$A$500,$B39,'DADOS BRUTOS'!CO$3:CO$500)+IF($C39="",0,SUMIF('DADOS BRUTOS'!$A$3:$A$500,$C39,'DADOS BRUTOS'!CO$3:CO$500)))</f>
        <v>0</v>
      </c>
      <c r="FP39" s="133" t="n">
        <f aca="false">IF(OR(FP$4="",$B39=""),0,SUMIF('DADOS BRUTOS'!$A$3:$A$500,$B39,'DADOS BRUTOS'!CP$3:CP$500)+IF($C39="",0,SUMIF('DADOS BRUTOS'!$A$3:$A$500,$C39,'DADOS BRUTOS'!CP$3:CP$500)))</f>
        <v>0</v>
      </c>
      <c r="FQ39" s="133" t="n">
        <f aca="false">IF(OR(FQ$4="",$B39=""),0,SUMIF('DADOS BRUTOS'!$A$3:$A$500,$B39,'DADOS BRUTOS'!CQ$3:CQ$500)+IF($C39="",0,SUMIF('DADOS BRUTOS'!$A$3:$A$500,$C39,'DADOS BRUTOS'!CQ$3:CQ$500)))</f>
        <v>0</v>
      </c>
      <c r="FR39" s="133" t="n">
        <f aca="false">IF(OR(FR$4="",$B39=""),0,SUMIF('DADOS BRUTOS'!$A$3:$A$500,$B39,'DADOS BRUTOS'!CR$3:CR$500)+IF($C39="",0,SUMIF('DADOS BRUTOS'!$A$3:$A$500,$C39,'DADOS BRUTOS'!CR$3:CR$500)))</f>
        <v>0</v>
      </c>
      <c r="FS39" s="133" t="n">
        <f aca="false">IF(OR(FS$4="",$B39=""),0,SUMIF('DADOS BRUTOS'!$A$3:$A$500,$B39,'DADOS BRUTOS'!CS$3:CS$500)+IF($C39="",0,SUMIF('DADOS BRUTOS'!$A$3:$A$500,$C39,'DADOS BRUTOS'!CS$3:CS$500)))</f>
        <v>0</v>
      </c>
      <c r="FT39" s="133" t="n">
        <f aca="false">IF(OR(FT$4="",$B39=""),0,SUMIF('DADOS BRUTOS'!$A$3:$A$500,$B39,'DADOS BRUTOS'!CT$3:CT$500)+IF($C39="",0,SUMIF('DADOS BRUTOS'!$A$3:$A$500,$C39,'DADOS BRUTOS'!CT$3:CT$500)))</f>
        <v>0</v>
      </c>
      <c r="FU39" s="133" t="n">
        <f aca="false">IF(OR(FU$4="",$B39=""),0,SUMIF('DADOS BRUTOS'!$A$3:$A$500,$B39,'DADOS BRUTOS'!CU$3:CU$500)+IF($C39="",0,SUMIF('DADOS BRUTOS'!$A$3:$A$500,$C39,'DADOS BRUTOS'!CU$3:CU$500)))</f>
        <v>0</v>
      </c>
      <c r="FV39" s="133" t="n">
        <f aca="false">IF(OR(FV$4="",$B39=""),0,SUMIF('DADOS BRUTOS'!$A$3:$A$500,$B39,'DADOS BRUTOS'!CV$3:CV$500)+IF($C39="",0,SUMIF('DADOS BRUTOS'!$A$3:$A$500,$C39,'DADOS BRUTOS'!CV$3:CV$500)))</f>
        <v>0</v>
      </c>
      <c r="FW39" s="133" t="n">
        <f aca="false">IF(OR(FW$4="",$B39=""),0,SUMIF('DADOS BRUTOS'!$A$3:$A$500,$B39,'DADOS BRUTOS'!CW$3:CW$500)+IF($C39="",0,SUMIF('DADOS BRUTOS'!$A$3:$A$500,$C39,'DADOS BRUTOS'!CW$3:CW$500)))</f>
        <v>0</v>
      </c>
      <c r="FX39" s="133" t="n">
        <f aca="false">IF(OR(FX$4="",$B39=""),0,SUMIF('DADOS BRUTOS'!$A$3:$A$500,$B39,'DADOS BRUTOS'!CX$3:CX$500)+IF($C39="",0,SUMIF('DADOS BRUTOS'!$A$3:$A$500,$C39,'DADOS BRUTOS'!CX$3:CX$500)))</f>
        <v>0</v>
      </c>
      <c r="FY39" s="133" t="n">
        <f aca="false">IF(OR(FY$4="",$B39=""),0,SUMIF('DADOS BRUTOS'!$A$3:$A$500,$B39,'DADOS BRUTOS'!CY$3:CY$500)+IF($C39="",0,SUMIF('DADOS BRUTOS'!$A$3:$A$500,$C39,'DADOS BRUTOS'!CY$3:CY$500)))</f>
        <v>0</v>
      </c>
      <c r="FZ39" s="133" t="n">
        <f aca="false">IF(OR(FZ$4="",$B39=""),0,SUMIF('DADOS BRUTOS'!$A$3:$A$500,$B39,'DADOS BRUTOS'!CZ$3:CZ$500)+IF($C39="",0,SUMIF('DADOS BRUTOS'!$A$3:$A$500,$C39,'DADOS BRUTOS'!CZ$3:CZ$500)))</f>
        <v>0</v>
      </c>
      <c r="GA39" s="133" t="n">
        <f aca="false">IF(OR(GA$4="",$B39=""),0,SUMIF('DADOS BRUTOS'!$A$3:$A$500,$B39,'DADOS BRUTOS'!DA$3:DA$500)+IF($C39="",0,SUMIF('DADOS BRUTOS'!$A$3:$A$500,$C39,'DADOS BRUTOS'!DA$3:DA$500)))</f>
        <v>0</v>
      </c>
      <c r="GB39" s="133" t="n">
        <f aca="false">IF(OR(GB$4="",$B39=""),0,SUMIF('DADOS BRUTOS'!$A$3:$A$500,$B39,'DADOS BRUTOS'!DB$3:DB$500)+IF($C39="",0,SUMIF('DADOS BRUTOS'!$A$3:$A$500,$C39,'DADOS BRUTOS'!DB$3:DB$500)))</f>
        <v>0</v>
      </c>
      <c r="GC39" s="133" t="n">
        <f aca="false">IF(OR(GC$4="",$B39=""),0,SUMIF('DADOS BRUTOS'!$A$3:$A$500,$B39,'DADOS BRUTOS'!DC$3:DC$500)+IF($C39="",0,SUMIF('DADOS BRUTOS'!$A$3:$A$500,$C39,'DADOS BRUTOS'!DC$3:DC$500)))</f>
        <v>0</v>
      </c>
      <c r="GD39" s="133" t="n">
        <f aca="false">IF(OR(GD$4="",$B39=""),0,SUMIF('DADOS BRUTOS'!$A$3:$A$500,$B39,'DADOS BRUTOS'!DD$3:DD$500)+IF($C39="",0,SUMIF('DADOS BRUTOS'!$A$3:$A$500,$C39,'DADOS BRUTOS'!DD$3:DD$500)))</f>
        <v>0</v>
      </c>
      <c r="GE39" s="133" t="n">
        <f aca="false">IF(OR(GE$4="",$B39=""),0,SUMIF('DADOS BRUTOS'!$A$3:$A$500,$B39,'DADOS BRUTOS'!DE$3:DE$500)+IF($C39="",0,SUMIF('DADOS BRUTOS'!$A$3:$A$500,$C39,'DADOS BRUTOS'!DE$3:DE$500)))</f>
        <v>0</v>
      </c>
      <c r="GF39" s="133" t="n">
        <f aca="false">IF(OR(GF$4="",$B39=""),0,SUMIF('DADOS BRUTOS'!$A$3:$A$500,$B39,'DADOS BRUTOS'!DF$3:DF$500)+IF($C39="",0,SUMIF('DADOS BRUTOS'!$A$3:$A$500,$C39,'DADOS BRUTOS'!DF$3:DF$500)))</f>
        <v>0</v>
      </c>
      <c r="GG39" s="133" t="n">
        <f aca="false">IF(OR(GG$4="",$B39=""),0,SUMIF('DADOS BRUTOS'!$A$3:$A$500,$B39,'DADOS BRUTOS'!DG$3:DG$500)+IF($C39="",0,SUMIF('DADOS BRUTOS'!$A$3:$A$500,$C39,'DADOS BRUTOS'!DG$3:DG$500)))</f>
        <v>0</v>
      </c>
      <c r="GH39" s="133" t="n">
        <f aca="false">IF(OR(GH$4="",$B39=""),0,SUMIF('DADOS BRUTOS'!$A$3:$A$500,$B39,'DADOS BRUTOS'!DH$3:DH$500)+IF($C39="",0,SUMIF('DADOS BRUTOS'!$A$3:$A$500,$C39,'DADOS BRUTOS'!DH$3:DH$500)))</f>
        <v>0</v>
      </c>
      <c r="GI39" s="133" t="n">
        <f aca="false">IF(OR(GI$4="",$B39=""),0,SUMIF('DADOS BRUTOS'!$A$3:$A$500,$B39,'DADOS BRUTOS'!DI$3:DI$500)+IF($C39="",0,SUMIF('DADOS BRUTOS'!$A$3:$A$500,$C39,'DADOS BRUTOS'!DI$3:DI$500)))</f>
        <v>0</v>
      </c>
      <c r="GJ39" s="133" t="n">
        <f aca="false">IF(OR(GJ$4="",$B39=""),0,SUMIF('DADOS BRUTOS'!$A$3:$A$500,$B39,'DADOS BRUTOS'!DJ$3:DJ$500)+IF($C39="",0,SUMIF('DADOS BRUTOS'!$A$3:$A$500,$C39,'DADOS BRUTOS'!DJ$3:DJ$500)))</f>
        <v>0</v>
      </c>
      <c r="GK39" s="133" t="n">
        <f aca="false">IF(OR(GK$4="",$B39=""),0,SUMIF('DADOS BRUTOS'!$A$3:$A$500,$B39,'DADOS BRUTOS'!DK$3:DK$500)+IF($C39="",0,SUMIF('DADOS BRUTOS'!$A$3:$A$500,$C39,'DADOS BRUTOS'!DK$3:DK$500)))</f>
        <v>0</v>
      </c>
      <c r="GL39" s="133" t="n">
        <f aca="false">IF(OR(GL$4="",$B39=""),0,SUMIF('DADOS BRUTOS'!$A$3:$A$500,$B39,'DADOS BRUTOS'!DL$3:DL$500)+IF($C39="",0,SUMIF('DADOS BRUTOS'!$A$3:$A$500,$C39,'DADOS BRUTOS'!DL$3:DL$500)))</f>
        <v>0</v>
      </c>
      <c r="GM39" s="133" t="n">
        <f aca="false">IF(OR(GM$4="",$B39=""),0,SUMIF('DADOS BRUTOS'!$A$3:$A$500,$B39,'DADOS BRUTOS'!DM$3:DM$500)+IF($C39="",0,SUMIF('DADOS BRUTOS'!$A$3:$A$500,$C39,'DADOS BRUTOS'!DM$3:DM$500)))</f>
        <v>0</v>
      </c>
      <c r="GN39" s="133" t="n">
        <f aca="false">IF(OR(GN$4="",$B39=""),0,SUMIF('DADOS BRUTOS'!$A$3:$A$500,$B39,'DADOS BRUTOS'!DN$3:DN$500)+IF($C39="",0,SUMIF('DADOS BRUTOS'!$A$3:$A$500,$C39,'DADOS BRUTOS'!DN$3:DN$500)))</f>
        <v>0</v>
      </c>
      <c r="GO39" s="133" t="n">
        <f aca="false">IF(OR(GO$4="",$B39=""),0,SUMIF('DADOS BRUTOS'!$A$3:$A$500,$B39,'DADOS BRUTOS'!DO$3:DO$500)+IF($C39="",0,SUMIF('DADOS BRUTOS'!$A$3:$A$500,$C39,'DADOS BRUTOS'!DO$3:DO$500)))</f>
        <v>0</v>
      </c>
      <c r="GP39" s="133" t="n">
        <f aca="false">IF(OR(GP$4="",$B39=""),0,SUMIF('DADOS BRUTOS'!$A$3:$A$500,$B39,'DADOS BRUTOS'!DP$3:DP$500)+IF($C39="",0,SUMIF('DADOS BRUTOS'!$A$3:$A$500,$C39,'DADOS BRUTOS'!DP$3:DP$500)))</f>
        <v>0</v>
      </c>
      <c r="GQ39" s="133" t="n">
        <f aca="false">IF(OR(GQ$4="",$B39=""),0,SUMIF('DADOS BRUTOS'!$A$3:$A$500,$B39,'DADOS BRUTOS'!DQ$3:DQ$500)+IF($C39="",0,SUMIF('DADOS BRUTOS'!$A$3:$A$500,$C39,'DADOS BRUTOS'!DQ$3:DQ$500)))</f>
        <v>0</v>
      </c>
      <c r="GR39" s="133" t="n">
        <f aca="false">IF(OR(GR$4="",$B39=""),0,SUMIF('DADOS BRUTOS'!$A$3:$A$500,$B39,'DADOS BRUTOS'!DR$3:DR$500)+IF($C39="",0,SUMIF('DADOS BRUTOS'!$A$3:$A$500,$C39,'DADOS BRUTOS'!DR$3:DR$500)))</f>
        <v>0</v>
      </c>
      <c r="GS39" s="133" t="n">
        <f aca="false">IF(OR(GS$4="",$B39=""),0,SUMIF('DADOS BRUTOS'!$A$3:$A$500,$B39,'DADOS BRUTOS'!DS$3:DS$500)+IF($C39="",0,SUMIF('DADOS BRUTOS'!$A$3:$A$500,$C39,'DADOS BRUTOS'!DS$3:DS$500)))</f>
        <v>0</v>
      </c>
      <c r="GT39" s="133" t="n">
        <f aca="false">IF(OR(GT$4="",$B39=""),0,SUMIF('DADOS BRUTOS'!$A$3:$A$500,$B39,'DADOS BRUTOS'!DT$3:DT$500)+IF($C39="",0,SUMIF('DADOS BRUTOS'!$A$3:$A$500,$C39,'DADOS BRUTOS'!DT$3:DT$500)))</f>
        <v>0</v>
      </c>
      <c r="GU39" s="133" t="n">
        <f aca="false">IF(OR(GU$4="",$B39=""),0,SUMIF('DADOS BRUTOS'!$A$3:$A$500,$B39,'DADOS BRUTOS'!DU$3:DU$500)+IF($C39="",0,SUMIF('DADOS BRUTOS'!$A$3:$A$500,$C39,'DADOS BRUTOS'!DU$3:DU$500)))</f>
        <v>0</v>
      </c>
      <c r="GV39" s="133" t="n">
        <f aca="false">IF(OR(GV$4="",$B39=""),0,SUMIF('DADOS BRUTOS'!$A$3:$A$500,$B39,'DADOS BRUTOS'!DV$3:DV$500)+IF($C39="",0,SUMIF('DADOS BRUTOS'!$A$3:$A$500,$C39,'DADOS BRUTOS'!DV$3:DV$500)))</f>
        <v>0</v>
      </c>
      <c r="GW39" s="133" t="n">
        <f aca="false">IF(OR(GW$4="",$B39=""),0,SUMIF('DADOS BRUTOS'!$A$3:$A$500,$B39,'DADOS BRUTOS'!DW$3:DW$500)+IF($C39="",0,SUMIF('DADOS BRUTOS'!$A$3:$A$500,$C39,'DADOS BRUTOS'!DW$3:DW$500)))</f>
        <v>0</v>
      </c>
      <c r="GX39" s="133" t="n">
        <f aca="false">IF(OR(GX$4="",$B39=""),0,SUMIF('DADOS BRUTOS'!$A$3:$A$500,$B39,'DADOS BRUTOS'!DX$3:DX$500)+IF($C39="",0,SUMIF('DADOS BRUTOS'!$A$3:$A$500,$C39,'DADOS BRUTOS'!DX$3:DX$500)))</f>
        <v>0</v>
      </c>
      <c r="GY39" s="133" t="n">
        <f aca="false">IF(OR(GY$4="",$B39=""),0,SUMIF('DADOS BRUTOS'!$A$3:$A$500,$B39,'DADOS BRUTOS'!DY$3:DY$500)+IF($C39="",0,SUMIF('DADOS BRUTOS'!$A$3:$A$500,$C39,'DADOS BRUTOS'!DY$3:DY$500)))</f>
        <v>0</v>
      </c>
      <c r="GZ39" s="133" t="n">
        <f aca="false">IF(OR(GZ$4="",$B39=""),0,SUMIF('DADOS BRUTOS'!$A$3:$A$500,$B39,'DADOS BRUTOS'!DZ$3:DZ$500)+IF($C39="",0,SUMIF('DADOS BRUTOS'!$A$3:$A$500,$C39,'DADOS BRUTOS'!DZ$3:DZ$500)))</f>
        <v>0</v>
      </c>
      <c r="HA39" s="133" t="n">
        <f aca="false">IF(OR(HA$4="",$B39=""),0,SUMIF('DADOS BRUTOS'!$A$3:$A$500,$B39,'DADOS BRUTOS'!EA$3:EA$500)+IF($C39="",0,SUMIF('DADOS BRUTOS'!$A$3:$A$500,$C39,'DADOS BRUTOS'!EA$3:EA$500)))</f>
        <v>0</v>
      </c>
      <c r="HB39" s="133" t="n">
        <f aca="false">IF(OR(HB$4="",$B39=""),0,SUMIF('DADOS BRUTOS'!$A$3:$A$500,$B39,'DADOS BRUTOS'!EB$3:EB$500)+IF($C39="",0,SUMIF('DADOS BRUTOS'!$A$3:$A$500,$C39,'DADOS BRUTOS'!EB$3:EB$500)))</f>
        <v>0</v>
      </c>
      <c r="HC39" s="133" t="n">
        <f aca="false">IF(OR(HC$4="",$B39=""),0,SUMIF('DADOS BRUTOS'!$A$3:$A$500,$B39,'DADOS BRUTOS'!EC$3:EC$500)+IF($C39="",0,SUMIF('DADOS BRUTOS'!$A$3:$A$500,$C39,'DADOS BRUTOS'!EC$3:EC$500)))</f>
        <v>0</v>
      </c>
      <c r="HD39" s="133" t="n">
        <f aca="false">IF(OR(HD$4="",$B39=""),0,SUMIF('DADOS BRUTOS'!$A$3:$A$500,$B39,'DADOS BRUTOS'!ED$3:ED$500)+IF($C39="",0,SUMIF('DADOS BRUTOS'!$A$3:$A$500,$C39,'DADOS BRUTOS'!ED$3:ED$500)))</f>
        <v>0</v>
      </c>
      <c r="HE39" s="133" t="n">
        <f aca="false">IF(OR(HE$4="",$B39=""),0,SUMIF('DADOS BRUTOS'!$A$3:$A$500,$B39,'DADOS BRUTOS'!EE$3:EE$500)+IF($C39="",0,SUMIF('DADOS BRUTOS'!$A$3:$A$500,$C39,'DADOS BRUTOS'!EE$3:EE$500)))</f>
        <v>0</v>
      </c>
      <c r="HF39" s="133" t="n">
        <f aca="false">IF(OR(HF$4="",$B39=""),0,SUMIF('DADOS BRUTOS'!$A$3:$A$500,$B39,'DADOS BRUTOS'!EF$3:EF$500)+IF($C39="",0,SUMIF('DADOS BRUTOS'!$A$3:$A$500,$C39,'DADOS BRUTOS'!EF$3:EF$500)))</f>
        <v>0</v>
      </c>
      <c r="HG39" s="133" t="n">
        <f aca="false">IF(OR(HG$4="",$B39=""),0,SUMIF('DADOS BRUTOS'!$A$3:$A$500,$B39,'DADOS BRUTOS'!EG$3:EG$500)+IF($C39="",0,SUMIF('DADOS BRUTOS'!$A$3:$A$500,$C39,'DADOS BRUTOS'!EG$3:EG$500)))</f>
        <v>0</v>
      </c>
      <c r="HH39" s="133" t="n">
        <f aca="false">IF(OR(HH$4="",$B39=""),0,SUMIF('DADOS BRUTOS'!$A$3:$A$500,$B39,'DADOS BRUTOS'!EH$3:EH$500)+IF($C39="",0,SUMIF('DADOS BRUTOS'!$A$3:$A$500,$C39,'DADOS BRUTOS'!EH$3:EH$500)))</f>
        <v>0</v>
      </c>
      <c r="HI39" s="133" t="n">
        <f aca="false">IF(OR(HI$4="",$B39=""),0,SUMIF('DADOS BRUTOS'!$A$3:$A$500,$B39,'DADOS BRUTOS'!EI$3:EI$500)+IF($C39="",0,SUMIF('DADOS BRUTOS'!$A$3:$A$500,$C39,'DADOS BRUTOS'!EI$3:EI$500)))</f>
        <v>0</v>
      </c>
      <c r="HJ39" s="133" t="n">
        <f aca="false">IF(OR(HJ$4="",$B39=""),0,SUMIF('DADOS BRUTOS'!$A$3:$A$500,$B39,'DADOS BRUTOS'!EJ$3:EJ$500)+IF($C39="",0,SUMIF('DADOS BRUTOS'!$A$3:$A$500,$C39,'DADOS BRUTOS'!EJ$3:EJ$500)))</f>
        <v>0</v>
      </c>
      <c r="HK39" s="133" t="n">
        <f aca="false">IF(OR(HK$4="",$B39=""),0,SUMIF('DADOS BRUTOS'!$A$3:$A$500,$B39,'DADOS BRUTOS'!EK$3:EK$500)+IF($C39="",0,SUMIF('DADOS BRUTOS'!$A$3:$A$500,$C39,'DADOS BRUTOS'!EK$3:EK$500)))</f>
        <v>0</v>
      </c>
      <c r="HL39" s="133" t="n">
        <f aca="false">IF(OR(HL$4="",$B39=""),0,SUMIF('DADOS BRUTOS'!$A$3:$A$500,$B39,'DADOS BRUTOS'!EL$3:EL$500)+IF($C39="",0,SUMIF('DADOS BRUTOS'!$A$3:$A$500,$C39,'DADOS BRUTOS'!EL$3:EL$500)))</f>
        <v>0</v>
      </c>
      <c r="HM39" s="133" t="n">
        <f aca="false">IF(OR(HM$4="",$B39=""),0,SUMIF('DADOS BRUTOS'!$A$3:$A$500,$B39,'DADOS BRUTOS'!EM$3:EM$500)+IF($C39="",0,SUMIF('DADOS BRUTOS'!$A$3:$A$500,$C39,'DADOS BRUTOS'!EM$3:EM$500)))</f>
        <v>0</v>
      </c>
      <c r="HN39" s="133" t="n">
        <f aca="false">IF(OR(HN$4="",$B39=""),0,SUMIF('DADOS BRUTOS'!$A$3:$A$500,$B39,'DADOS BRUTOS'!EN$3:EN$500)+IF($C39="",0,SUMIF('DADOS BRUTOS'!$A$3:$A$500,$C39,'DADOS BRUTOS'!EN$3:EN$500)))</f>
        <v>0</v>
      </c>
      <c r="HO39" s="133" t="n">
        <f aca="false">IF(OR(HO$4="",$B39=""),0,SUMIF('DADOS BRUTOS'!$A$3:$A$500,$B39,'DADOS BRUTOS'!EO$3:EO$500)+IF($C39="",0,SUMIF('DADOS BRUTOS'!$A$3:$A$500,$C39,'DADOS BRUTOS'!EO$3:EO$500)))</f>
        <v>0</v>
      </c>
      <c r="HP39" s="133" t="n">
        <f aca="false">IF(OR(HP$4="",$B39=""),0,SUMIF('DADOS BRUTOS'!$A$3:$A$500,$B39,'DADOS BRUTOS'!EP$3:EP$500)+IF($C39="",0,SUMIF('DADOS BRUTOS'!$A$3:$A$500,$C39,'DADOS BRUTOS'!EP$3:EP$500)))</f>
        <v>0</v>
      </c>
      <c r="HQ39" s="133" t="n">
        <f aca="false">IF(OR(HQ$4="",$B39=""),0,SUMIF('DADOS BRUTOS'!$A$3:$A$500,$B39,'DADOS BRUTOS'!EQ$3:EQ$500)+IF($C39="",0,SUMIF('DADOS BRUTOS'!$A$3:$A$500,$C39,'DADOS BRUTOS'!EQ$3:EQ$500)))</f>
        <v>0</v>
      </c>
      <c r="HR39" s="133" t="n">
        <f aca="false">IF(OR(HR$4="",$B39=""),0,SUMIF('DADOS BRUTOS'!$A$3:$A$500,$B39,'DADOS BRUTOS'!ER$3:ER$500)+IF($C39="",0,SUMIF('DADOS BRUTOS'!$A$3:$A$500,$C39,'DADOS BRUTOS'!ER$3:ER$500)))</f>
        <v>0</v>
      </c>
      <c r="HS39" s="133" t="n">
        <f aca="false">IF(OR(HS$4="",$B39=""),0,SUMIF('DADOS BRUTOS'!$A$3:$A$500,$B39,'DADOS BRUTOS'!ES$3:ES$500)+IF($C39="",0,SUMIF('DADOS BRUTOS'!$A$3:$A$500,$C39,'DADOS BRUTOS'!ES$3:ES$500)))</f>
        <v>0</v>
      </c>
      <c r="HT39" s="133" t="n">
        <f aca="false">IF(OR(HT$4="",$B39=""),0,SUMIF('DADOS BRUTOS'!$A$3:$A$500,$B39,'DADOS BRUTOS'!ET$3:ET$500)+IF($C39="",0,SUMIF('DADOS BRUTOS'!$A$3:$A$500,$C39,'DADOS BRUTOS'!ET$3:ET$500)))</f>
        <v>0</v>
      </c>
      <c r="HU39" s="133" t="n">
        <f aca="false">IF(OR(HU$4="",$B39=""),0,SUMIF('DADOS BRUTOS'!$A$3:$A$500,$B39,'DADOS BRUTOS'!EU$3:EU$500)+IF($C39="",0,SUMIF('DADOS BRUTOS'!$A$3:$A$500,$C39,'DADOS BRUTOS'!EU$3:EU$500)))</f>
        <v>0</v>
      </c>
      <c r="HV39" s="133" t="n">
        <f aca="false">IF(OR(HV$4="",$B39=""),0,SUMIF('DADOS BRUTOS'!$A$3:$A$500,$B39,'DADOS BRUTOS'!EV$3:EV$500)+IF($C39="",0,SUMIF('DADOS BRUTOS'!$A$3:$A$500,$C39,'DADOS BRUTOS'!EV$3:EV$500)))</f>
        <v>0</v>
      </c>
      <c r="HW39" s="133" t="n">
        <f aca="false">IF(OR(HW$4="",$B39=""),0,SUMIF('DADOS BRUTOS'!$A$3:$A$500,$B39,'DADOS BRUTOS'!EW$3:EW$500)+IF($C39="",0,SUMIF('DADOS BRUTOS'!$A$3:$A$500,$C39,'DADOS BRUTOS'!EW$3:EW$500)))</f>
        <v>0</v>
      </c>
      <c r="HX39" s="133" t="n">
        <f aca="false">IF(OR(HX$4="",$B39=""),0,SUMIF('DADOS BRUTOS'!$A$3:$A$500,$B39,'DADOS BRUTOS'!EX$3:EX$500)+IF($C39="",0,SUMIF('DADOS BRUTOS'!$A$3:$A$500,$C39,'DADOS BRUTOS'!EX$3:EX$500)))</f>
        <v>0</v>
      </c>
      <c r="HY39" s="133" t="n">
        <f aca="false">IF(OR(HY$4="",$B39=""),0,SUMIF('DADOS BRUTOS'!$A$3:$A$500,$B39,'DADOS BRUTOS'!EY$3:EY$500)+IF($C39="",0,SUMIF('DADOS BRUTOS'!$A$3:$A$500,$C39,'DADOS BRUTOS'!EY$3:EY$500)))</f>
        <v>0</v>
      </c>
      <c r="HZ39" s="133" t="n">
        <f aca="false">IF(OR(HZ$4="",$B39=""),0,SUMIF('DADOS BRUTOS'!$A$3:$A$500,$B39,'DADOS BRUTOS'!EZ$3:EZ$500)+IF($C39="",0,SUMIF('DADOS BRUTOS'!$A$3:$A$500,$C39,'DADOS BRUTOS'!EZ$3:EZ$500)))</f>
        <v>0</v>
      </c>
      <c r="IA39" s="133" t="n">
        <f aca="false">IF(OR(IA$4="",$B39=""),0,SUMIF('DADOS BRUTOS'!$A$3:$A$500,$B39,'DADOS BRUTOS'!FA$3:FA$500)+IF($C39="",0,SUMIF('DADOS BRUTOS'!$A$3:$A$500,$C39,'DADOS BRUTOS'!FA$3:FA$500)))</f>
        <v>0</v>
      </c>
      <c r="IB39" s="133" t="n">
        <f aca="false">IF(OR(IB$4="",$B39=""),0,SUMIF('DADOS BRUTOS'!$A$3:$A$500,$B39,'DADOS BRUTOS'!FB$3:FB$500)+IF($C39="",0,SUMIF('DADOS BRUTOS'!$A$3:$A$500,$C39,'DADOS BRUTOS'!FB$3:FB$500)))</f>
        <v>0</v>
      </c>
      <c r="IC39" s="133" t="n">
        <f aca="false">IF(OR(IC$4="",$B39=""),0,SUMIF('DADOS BRUTOS'!$A$3:$A$500,$B39,'DADOS BRUTOS'!FC$3:FC$500)+IF($C39="",0,SUMIF('DADOS BRUTOS'!$A$3:$A$500,$C39,'DADOS BRUTOS'!FC$3:FC$500)))</f>
        <v>0</v>
      </c>
      <c r="ID39" s="133" t="n">
        <f aca="false">IF(OR(ID$4="",$B39=""),0,SUMIF('DADOS BRUTOS'!$A$3:$A$500,$B39,'DADOS BRUTOS'!FD$3:FD$500)+IF($C39="",0,SUMIF('DADOS BRUTOS'!$A$3:$A$500,$C39,'DADOS BRUTOS'!FD$3:FD$500)))</f>
        <v>0</v>
      </c>
      <c r="IE39" s="133" t="n">
        <f aca="false">IF(OR(IE$4="",$B39=""),0,SUMIF('DADOS BRUTOS'!$A$3:$A$500,$B39,'DADOS BRUTOS'!FE$3:FE$500)+IF($C39="",0,SUMIF('DADOS BRUTOS'!$A$3:$A$500,$C39,'DADOS BRUTOS'!FE$3:FE$500)))</f>
        <v>0</v>
      </c>
      <c r="IF39" s="133" t="n">
        <f aca="false">IF(OR(IF$4="",$B39=""),0,SUMIF('DADOS BRUTOS'!$A$3:$A$500,$B39,'DADOS BRUTOS'!FF$3:FF$500)+IF($C39="",0,SUMIF('DADOS BRUTOS'!$A$3:$A$500,$C39,'DADOS BRUTOS'!FF$3:FF$500)))</f>
        <v>0</v>
      </c>
      <c r="IG39" s="133" t="n">
        <f aca="false">IF(OR(IG$4="",$B39=""),0,SUMIF('DADOS BRUTOS'!$A$3:$A$500,$B39,'DADOS BRUTOS'!FG$3:FG$500)+IF($C39="",0,SUMIF('DADOS BRUTOS'!$A$3:$A$500,$C39,'DADOS BRUTOS'!FG$3:FG$500)))</f>
        <v>0</v>
      </c>
      <c r="IH39" s="133" t="n">
        <f aca="false">IF(OR(IH$4="",$B39=""),0,SUMIF('DADOS BRUTOS'!$A$3:$A$500,$B39,'DADOS BRUTOS'!FH$3:FH$500)+IF($C39="",0,SUMIF('DADOS BRUTOS'!$A$3:$A$500,$C39,'DADOS BRUTOS'!FH$3:FH$500)))</f>
        <v>0</v>
      </c>
      <c r="II39" s="133" t="n">
        <f aca="false">IF(OR(II$4="",$B39=""),0,SUMIF('DADOS BRUTOS'!$A$3:$A$500,$B39,'DADOS BRUTOS'!FI$3:FI$500)+IF($C39="",0,SUMIF('DADOS BRUTOS'!$A$3:$A$500,$C39,'DADOS BRUTOS'!FI$3:FI$500)))</f>
        <v>0</v>
      </c>
      <c r="IJ39" s="133" t="n">
        <f aca="false">IF(OR(IJ$4="",$B39=""),0,SUMIF('DADOS BRUTOS'!$A$3:$A$500,$B39,'DADOS BRUTOS'!FJ$3:FJ$500)+IF($C39="",0,SUMIF('DADOS BRUTOS'!$A$3:$A$500,$C39,'DADOS BRUTOS'!FJ$3:FJ$500)))</f>
        <v>0</v>
      </c>
      <c r="IK39" s="133" t="n">
        <f aca="false">IF(OR(IK$4="",$B39=""),0,SUMIF('DADOS BRUTOS'!$A$3:$A$500,$B39,'DADOS BRUTOS'!FK$3:FK$500)+IF($C39="",0,SUMIF('DADOS BRUTOS'!$A$3:$A$500,$C39,'DADOS BRUTOS'!FK$3:FK$500)))</f>
        <v>0</v>
      </c>
      <c r="IL39" s="133" t="n">
        <f aca="false">IF(OR(IL$4="",$B39=""),0,SUMIF('DADOS BRUTOS'!$A$3:$A$500,$B39,'DADOS BRUTOS'!FL$3:FL$500)+IF($C39="",0,SUMIF('DADOS BRUTOS'!$A$3:$A$500,$C39,'DADOS BRUTOS'!FL$3:FL$500)))</f>
        <v>0</v>
      </c>
      <c r="IM39" s="133" t="n">
        <f aca="false">IF(OR(IM$4="",$B39=""),0,SUMIF('DADOS BRUTOS'!$A$3:$A$500,$B39,'DADOS BRUTOS'!FM$3:FM$500)+IF($C39="",0,SUMIF('DADOS BRUTOS'!$A$3:$A$500,$C39,'DADOS BRUTOS'!FM$3:FM$500)))</f>
        <v>0</v>
      </c>
      <c r="IN39" s="133" t="n">
        <f aca="false">IF(OR(IN$4="",$B39=""),0,SUMIF('DADOS BRUTOS'!$A$3:$A$500,$B39,'DADOS BRUTOS'!FN$3:FN$500)+IF($C39="",0,SUMIF('DADOS BRUTOS'!$A$3:$A$500,$C39,'DADOS BRUTOS'!FN$3:FN$500)))</f>
        <v>0</v>
      </c>
      <c r="IO39" s="133" t="n">
        <f aca="false">IF(OR(IO$4="",$B39=""),0,SUMIF('DADOS BRUTOS'!$A$3:$A$500,$B39,'DADOS BRUTOS'!FO$3:FO$500)+IF($C39="",0,SUMIF('DADOS BRUTOS'!$A$3:$A$500,$C39,'DADOS BRUTOS'!FO$3:FO$500)))</f>
        <v>0</v>
      </c>
      <c r="IP39" s="133" t="n">
        <f aca="false">IF(OR(IP$4="",$B39=""),0,SUMIF('DADOS BRUTOS'!$A$3:$A$500,$B39,'DADOS BRUTOS'!FP$3:FP$500)+IF($C39="",0,SUMIF('DADOS BRUTOS'!$A$3:$A$500,$C39,'DADOS BRUTOS'!FP$3:FP$500)))</f>
        <v>0</v>
      </c>
      <c r="IQ39" s="133" t="n">
        <f aca="false">IF(OR(IQ$4="",$B39=""),0,SUMIF('DADOS BRUTOS'!$A$3:$A$500,$B39,'DADOS BRUTOS'!FQ$3:FQ$500)+IF($C39="",0,SUMIF('DADOS BRUTOS'!$A$3:$A$500,$C39,'DADOS BRUTOS'!FQ$3:FQ$500)))</f>
        <v>0</v>
      </c>
      <c r="IR39" s="133" t="n">
        <f aca="false">IF(OR(IR$4="",$B39=""),0,SUMIF('DADOS BRUTOS'!$A$3:$A$500,$B39,'DADOS BRUTOS'!FR$3:FR$500)+IF($C39="",0,SUMIF('DADOS BRUTOS'!$A$3:$A$500,$C39,'DADOS BRUTOS'!FR$3:FR$500)))</f>
        <v>0</v>
      </c>
      <c r="IS39" s="133" t="n">
        <f aca="false">IF(OR(IS$4="",$B39=""),0,SUMIF('DADOS BRUTOS'!$A$3:$A$500,$B39,'DADOS BRUTOS'!FS$3:FS$500)+IF($C39="",0,SUMIF('DADOS BRUTOS'!$A$3:$A$500,$C39,'DADOS BRUTOS'!FS$3:FS$500)))</f>
        <v>0</v>
      </c>
      <c r="IT39" s="133" t="n">
        <f aca="false">IF(OR(IT$4="",$B39=""),0,SUMIF('DADOS BRUTOS'!$A$3:$A$500,$B39,'DADOS BRUTOS'!FT$3:FT$500)+IF($C39="",0,SUMIF('DADOS BRUTOS'!$A$3:$A$500,$C39,'DADOS BRUTOS'!FT$3:FT$500)))</f>
        <v>0</v>
      </c>
      <c r="IU39" s="133" t="n">
        <f aca="false">IF(OR(IU$4="",$B39=""),0,SUMIF('DADOS BRUTOS'!$A$3:$A$500,$B39,'DADOS BRUTOS'!FU$3:FU$500)+IF($C39="",0,SUMIF('DADOS BRUTOS'!$A$3:$A$500,$C39,'DADOS BRUTOS'!FU$3:FU$500)))</f>
        <v>0</v>
      </c>
      <c r="IV39" s="133" t="n">
        <f aca="false">IF(OR(IV$4="",$B39=""),0,SUMIF('DADOS BRUTOS'!$A$3:$A$500,$B39,'DADOS BRUTOS'!FV$3:FV$500)+IF($C39="",0,SUMIF('DADOS BRUTOS'!$A$3:$A$500,$C39,'DADOS BRUTOS'!FV$3:FV$500)))</f>
        <v>0</v>
      </c>
      <c r="IW39" s="133" t="n">
        <f aca="false">IF(OR(IW$4="",$B39=""),0,SUMIF('DADOS BRUTOS'!$A$3:$A$500,$B39,'DADOS BRUTOS'!FW$3:FW$500)+IF($C39="",0,SUMIF('DADOS BRUTOS'!$A$3:$A$500,$C39,'DADOS BRUTOS'!FW$3:FW$500)))</f>
        <v>0</v>
      </c>
      <c r="IX39" s="133" t="n">
        <f aca="false">IF(OR(IX$4="",$B39=""),0,SUMIF('DADOS BRUTOS'!$A$3:$A$500,$B39,'DADOS BRUTOS'!FX$3:FX$500)+IF($C39="",0,SUMIF('DADOS BRUTOS'!$A$3:$A$500,$C39,'DADOS BRUTOS'!FX$3:FX$500)))</f>
        <v>0</v>
      </c>
      <c r="IY39" s="133" t="n">
        <f aca="false">IF(OR(IY$4="",$B39=""),0,SUMIF('DADOS BRUTOS'!$A$3:$A$500,$B39,'DADOS BRUTOS'!FY$3:FY$500)+IF($C39="",0,SUMIF('DADOS BRUTOS'!$A$3:$A$500,$C39,'DADOS BRUTOS'!FY$3:FY$500)))</f>
        <v>0</v>
      </c>
      <c r="IZ39" s="133" t="n">
        <f aca="false">IF(OR(IZ$4="",$B39=""),0,SUMIF('DADOS BRUTOS'!$A$3:$A$500,$B39,'DADOS BRUTOS'!FZ$3:FZ$500)+IF($C39="",0,SUMIF('DADOS BRUTOS'!$A$3:$A$500,$C39,'DADOS BRUTOS'!FZ$3:FZ$500)))</f>
        <v>0</v>
      </c>
      <c r="JA39" s="133" t="n">
        <f aca="false">IF(OR(JA$4="",$B39=""),0,SUMIF('DADOS BRUTOS'!$A$3:$A$500,$B39,'DADOS BRUTOS'!GA$3:GA$500)+IF($C39="",0,SUMIF('DADOS BRUTOS'!$A$3:$A$500,$C39,'DADOS BRUTOS'!GA$3:GA$500)))</f>
        <v>0</v>
      </c>
      <c r="JB39" s="133" t="n">
        <f aca="false">IF(OR(JB$4="",$B39=""),0,SUMIF('DADOS BRUTOS'!$A$3:$A$500,$B39,'DADOS BRUTOS'!GB$3:GB$500)+IF($C39="",0,SUMIF('DADOS BRUTOS'!$A$3:$A$500,$C39,'DADOS BRUTOS'!GB$3:GB$500)))</f>
        <v>0</v>
      </c>
      <c r="JC39" s="133" t="n">
        <f aca="false">IF(OR(JC$4="",$B39=""),0,SUMIF('DADOS BRUTOS'!$A$3:$A$500,$B39,'DADOS BRUTOS'!GC$3:GC$500)+IF($C39="",0,SUMIF('DADOS BRUTOS'!$A$3:$A$500,$C39,'DADOS BRUTOS'!GC$3:GC$500)))</f>
        <v>0</v>
      </c>
      <c r="JD39" s="133" t="n">
        <f aca="false">IF(OR(JD$4="",$B39=""),0,SUMIF('DADOS BRUTOS'!$A$3:$A$500,$B39,'DADOS BRUTOS'!GD$3:GD$500)+IF($C39="",0,SUMIF('DADOS BRUTOS'!$A$3:$A$500,$C39,'DADOS BRUTOS'!GD$3:GD$500)))</f>
        <v>0</v>
      </c>
      <c r="JE39" s="133" t="n">
        <f aca="false">IF(OR(JE$4="",$B39=""),0,SUMIF('DADOS BRUTOS'!$A$3:$A$500,$B39,'DADOS BRUTOS'!GE$3:GE$500)+IF($C39="",0,SUMIF('DADOS BRUTOS'!$A$3:$A$500,$C39,'DADOS BRUTOS'!GE$3:GE$500)))</f>
        <v>0</v>
      </c>
      <c r="JF39" s="133" t="n">
        <f aca="false">IF(OR(JF$4="",$B39=""),0,SUMIF('DADOS BRUTOS'!$A$3:$A$500,$B39,'DADOS BRUTOS'!GF$3:GF$500)+IF($C39="",0,SUMIF('DADOS BRUTOS'!$A$3:$A$500,$C39,'DADOS BRUTOS'!GF$3:GF$500)))</f>
        <v>0</v>
      </c>
      <c r="JG39" s="133" t="n">
        <f aca="false">IF(OR(JG$4="",$B39=""),0,SUMIF('DADOS BRUTOS'!$A$3:$A$500,$B39,'DADOS BRUTOS'!GG$3:GG$500)+IF($C39="",0,SUMIF('DADOS BRUTOS'!$A$3:$A$500,$C39,'DADOS BRUTOS'!GG$3:GG$500)))</f>
        <v>0</v>
      </c>
      <c r="JH39" s="133" t="n">
        <f aca="false">IF(OR(JH$4="",$B39=""),0,SUMIF('DADOS BRUTOS'!$A$3:$A$500,$B39,'DADOS BRUTOS'!GH$3:GH$500)+IF($C39="",0,SUMIF('DADOS BRUTOS'!$A$3:$A$500,$C39,'DADOS BRUTOS'!GH$3:GH$500)))</f>
        <v>0</v>
      </c>
      <c r="JI39" s="133" t="n">
        <f aca="false">IF(OR(JI$4="",$B39=""),0,SUMIF('DADOS BRUTOS'!$A$3:$A$500,$B39,'DADOS BRUTOS'!GI$3:GI$500)+IF($C39="",0,SUMIF('DADOS BRUTOS'!$A$3:$A$500,$C39,'DADOS BRUTOS'!GI$3:GI$500)))</f>
        <v>0</v>
      </c>
      <c r="JJ39" s="133" t="n">
        <f aca="false">IF(OR(JJ$4="",$B39=""),0,SUMIF('DADOS BRUTOS'!$A$3:$A$500,$B39,'DADOS BRUTOS'!GJ$3:GJ$500)+IF($C39="",0,SUMIF('DADOS BRUTOS'!$A$3:$A$500,$C39,'DADOS BRUTOS'!GJ$3:GJ$500)))</f>
        <v>0</v>
      </c>
      <c r="JK39" s="133" t="n">
        <f aca="false">IF(OR(JK$4="",$B39=""),0,SUMIF('DADOS BRUTOS'!$A$3:$A$500,$B39,'DADOS BRUTOS'!GK$3:GK$500)+IF($C39="",0,SUMIF('DADOS BRUTOS'!$A$3:$A$500,$C39,'DADOS BRUTOS'!GK$3:GK$500)))</f>
        <v>0</v>
      </c>
      <c r="JL39" s="133" t="n">
        <f aca="false">IF(OR(JL$4="",$B39=""),0,SUMIF('DADOS BRUTOS'!$A$3:$A$500,$B39,'DADOS BRUTOS'!GL$3:GL$500)+IF($C39="",0,SUMIF('DADOS BRUTOS'!$A$3:$A$500,$C39,'DADOS BRUTOS'!GL$3:GL$500)))</f>
        <v>0</v>
      </c>
      <c r="JM39" s="133" t="n">
        <f aca="false">IF(OR(JM$4="",$B39=""),0,SUMIF('DADOS BRUTOS'!$A$3:$A$500,$B39,'DADOS BRUTOS'!GM$3:GM$500)+IF($C39="",0,SUMIF('DADOS BRUTOS'!$A$3:$A$500,$C39,'DADOS BRUTOS'!GM$3:GM$500)))</f>
        <v>0</v>
      </c>
      <c r="JN39" s="133" t="n">
        <f aca="false">IF(OR(JN$4="",$B39=""),0,SUMIF('DADOS BRUTOS'!$A$3:$A$500,$B39,'DADOS BRUTOS'!GN$3:GN$500)+IF($C39="",0,SUMIF('DADOS BRUTOS'!$A$3:$A$500,$C39,'DADOS BRUTOS'!GN$3:GN$500)))</f>
        <v>0</v>
      </c>
      <c r="JO39" s="133" t="n">
        <f aca="false">IF(OR(JO$4="",$B39=""),0,SUMIF('DADOS BRUTOS'!$A$3:$A$500,$B39,'DADOS BRUTOS'!GO$3:GO$500)+IF($C39="",0,SUMIF('DADOS BRUTOS'!$A$3:$A$500,$C39,'DADOS BRUTOS'!GO$3:GO$500)))</f>
        <v>0</v>
      </c>
      <c r="JP39" s="133" t="n">
        <f aca="false">IF(OR(JP$4="",$B39=""),0,SUMIF('DADOS BRUTOS'!$A$3:$A$500,$B39,'DADOS BRUTOS'!GP$3:GP$500)+IF($C39="",0,SUMIF('DADOS BRUTOS'!$A$3:$A$500,$C39,'DADOS BRUTOS'!GP$3:GP$500)))</f>
        <v>0</v>
      </c>
      <c r="JQ39" s="133" t="n">
        <f aca="false">IF(OR(JQ$4="",$B39=""),0,SUMIF('DADOS BRUTOS'!$A$3:$A$500,$B39,'DADOS BRUTOS'!GQ$3:GQ$500)+IF($C39="",0,SUMIF('DADOS BRUTOS'!$A$3:$A$500,$C39,'DADOS BRUTOS'!GQ$3:GQ$500)))</f>
        <v>0</v>
      </c>
      <c r="JR39" s="133" t="n">
        <f aca="false">IF(OR(JR$4="",$B39=""),0,SUMIF('DADOS BRUTOS'!$A$3:$A$500,$B39,'DADOS BRUTOS'!GR$3:GR$500)+IF($C39="",0,SUMIF('DADOS BRUTOS'!$A$3:$A$500,$C39,'DADOS BRUTOS'!GR$3:GR$500)))</f>
        <v>0</v>
      </c>
      <c r="JS39" s="133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PAISAGISMO</v>
      </c>
      <c r="B40" s="55" t="s">
        <v>228</v>
      </c>
      <c r="C40" s="55"/>
      <c r="D40" s="50" t="n">
        <f aca="false">SUMIF($CB$4:$JS$4,"&lt;="&amp;D$4,$CB40:$JS40)</f>
        <v>0</v>
      </c>
      <c r="E40" s="50" t="n">
        <f aca="false">SUMIF($CB$4:$JS$4,E$4,$CB40:$JS40)</f>
        <v>0</v>
      </c>
      <c r="F40" s="50" t="n">
        <f aca="false">SUMIF($CB$4:$JS$4,F$4,$CB40:$JS40)</f>
        <v>0</v>
      </c>
      <c r="G40" s="50" t="n">
        <f aca="false">SUMIF($CB$4:$JS$4,G$4,$CB40:$JS40)</f>
        <v>0</v>
      </c>
      <c r="H40" s="50" t="n">
        <f aca="false">SUMIF($CB$4:$JS$4,H$4,$CB40:$JS40)</f>
        <v>0</v>
      </c>
      <c r="I40" s="50" t="n">
        <f aca="false">SUMIF($CB$4:$JS$4,I$4,$CB40:$JS40)</f>
        <v>0</v>
      </c>
      <c r="J40" s="50" t="n">
        <f aca="false">SUMIF($CB$4:$JS$4,J$4,$CB40:$JS40)</f>
        <v>0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0</v>
      </c>
      <c r="P40" s="50" t="n">
        <f aca="false">SUMIF($CB$4:$JS$4,P$4,$CB40:$JS40)</f>
        <v>0</v>
      </c>
      <c r="Q40" s="50" t="n">
        <f aca="false">SUMIF($CB$4:$JS$4,Q$4,$CB40:$JS40)</f>
        <v>0</v>
      </c>
      <c r="R40" s="50" t="n">
        <f aca="false">SUMIF($CB$4:$JS$4,R$4,$CB40:$JS40)</f>
        <v>0</v>
      </c>
      <c r="S40" s="50" t="n">
        <f aca="false">SUMIF($CB$4:$JS$4,S$4,$CB40:$JS40)</f>
        <v>0</v>
      </c>
      <c r="T40" s="50" t="n">
        <f aca="false">SUMIF($CB$4:$JS$4,T$4,$CB40:$JS40)</f>
        <v>0</v>
      </c>
      <c r="U40" s="50" t="n">
        <f aca="false">SUMIF($CB$4:$JS$4,U$4,$CB40:$JS40)</f>
        <v>0</v>
      </c>
      <c r="V40" s="50" t="n">
        <f aca="false">SUMIF($CB$4:$JS$4,V$4,$CB40:$JS40)</f>
        <v>0</v>
      </c>
      <c r="W40" s="50" t="n">
        <f aca="false">SUMIF($CB$4:$JS$4,W$4,$CB40:$JS40)</f>
        <v>0</v>
      </c>
      <c r="X40" s="50" t="n">
        <f aca="false">SUMIF($CB$4:$JS$4,X$4,$CB40:$JS40)</f>
        <v>0</v>
      </c>
      <c r="Y40" s="50" t="n">
        <f aca="false">SUMIF($CB$4:$JS$4,Y$4,$CB40:$JS40)</f>
        <v>0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0</v>
      </c>
      <c r="AF40" s="50" t="n">
        <f aca="false">SUMIF($CB$4:$JS$4,AF$4,$CB40:$JS40)</f>
        <v>0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0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0</v>
      </c>
      <c r="BZ40" s="45" t="n">
        <f aca="false">SUMPRODUCT(($CB$4:$JS$4&lt;&gt;"")*($CB$4:$JS$4&lt;=$D$4),$CB40:$JS40,$CB$1:$JS$1)</f>
        <v>0</v>
      </c>
      <c r="CB40" s="133" t="n">
        <f aca="false">IF(OR(CB$4="",$B40=""),0,SUMIF('DADOS BRUTOS'!$A$3:$A$500,$B40,'DADOS BRUTOS'!B$3:B$500)+IF($C40="",0,SUMIF('DADOS BRUTOS'!$A$3:$A$500,$C40,'DADOS BRUTOS'!B$3:B$500)))</f>
        <v>0</v>
      </c>
      <c r="CC40" s="133" t="n">
        <f aca="false">IF(OR(CC$4="",$B40=""),0,SUMIF('DADOS BRUTOS'!$A$3:$A$500,$B40,'DADOS BRUTOS'!C$3:C$500)+IF($C40="",0,SUMIF('DADOS BRUTOS'!$A$3:$A$500,$C40,'DADOS BRUTOS'!C$3:C$500)))</f>
        <v>0</v>
      </c>
      <c r="CD40" s="133" t="n">
        <f aca="false">IF(OR(CD$4="",$B40=""),0,SUMIF('DADOS BRUTOS'!$A$3:$A$500,$B40,'DADOS BRUTOS'!D$3:D$500)+IF($C40="",0,SUMIF('DADOS BRUTOS'!$A$3:$A$500,$C40,'DADOS BRUTOS'!D$3:D$500)))</f>
        <v>0</v>
      </c>
      <c r="CE40" s="133" t="n">
        <f aca="false">IF(OR(CE$4="",$B40=""),0,SUMIF('DADOS BRUTOS'!$A$3:$A$500,$B40,'DADOS BRUTOS'!E$3:E$500)+IF($C40="",0,SUMIF('DADOS BRUTOS'!$A$3:$A$500,$C40,'DADOS BRUTOS'!E$3:E$500)))</f>
        <v>0</v>
      </c>
      <c r="CF40" s="133" t="n">
        <f aca="false">IF(OR(CF$4="",$B40=""),0,SUMIF('DADOS BRUTOS'!$A$3:$A$500,$B40,'DADOS BRUTOS'!F$3:F$500)+IF($C40="",0,SUMIF('DADOS BRUTOS'!$A$3:$A$500,$C40,'DADOS BRUTOS'!F$3:F$500)))</f>
        <v>0</v>
      </c>
      <c r="CG40" s="133" t="n">
        <f aca="false">IF(OR(CG$4="",$B40=""),0,SUMIF('DADOS BRUTOS'!$A$3:$A$500,$B40,'DADOS BRUTOS'!G$3:G$500)+IF($C40="",0,SUMIF('DADOS BRUTOS'!$A$3:$A$500,$C40,'DADOS BRUTOS'!G$3:G$500)))</f>
        <v>0</v>
      </c>
      <c r="CH40" s="133" t="n">
        <f aca="false">IF(OR(CH$4="",$B40=""),0,SUMIF('DADOS BRUTOS'!$A$3:$A$500,$B40,'DADOS BRUTOS'!H$3:H$500)+IF($C40="",0,SUMIF('DADOS BRUTOS'!$A$3:$A$500,$C40,'DADOS BRUTOS'!H$3:H$500)))</f>
        <v>0</v>
      </c>
      <c r="CI40" s="133" t="n">
        <f aca="false">IF(OR(CI$4="",$B40=""),0,SUMIF('DADOS BRUTOS'!$A$3:$A$500,$B40,'DADOS BRUTOS'!I$3:I$500)+IF($C40="",0,SUMIF('DADOS BRUTOS'!$A$3:$A$500,$C40,'DADOS BRUTOS'!I$3:I$500)))</f>
        <v>0</v>
      </c>
      <c r="CJ40" s="133" t="n">
        <f aca="false">IF(OR(CJ$4="",$B40=""),0,SUMIF('DADOS BRUTOS'!$A$3:$A$500,$B40,'DADOS BRUTOS'!J$3:J$500)+IF($C40="",0,SUMIF('DADOS BRUTOS'!$A$3:$A$500,$C40,'DADOS BRUTOS'!J$3:J$500)))</f>
        <v>0</v>
      </c>
      <c r="CK40" s="133" t="n">
        <f aca="false">IF(OR(CK$4="",$B40=""),0,SUMIF('DADOS BRUTOS'!$A$3:$A$500,$B40,'DADOS BRUTOS'!K$3:K$500)+IF($C40="",0,SUMIF('DADOS BRUTOS'!$A$3:$A$500,$C40,'DADOS BRUTOS'!K$3:K$500)))</f>
        <v>0</v>
      </c>
      <c r="CL40" s="133" t="n">
        <f aca="false">IF(OR(CL$4="",$B40=""),0,SUMIF('DADOS BRUTOS'!$A$3:$A$500,$B40,'DADOS BRUTOS'!L$3:L$500)+IF($C40="",0,SUMIF('DADOS BRUTOS'!$A$3:$A$500,$C40,'DADOS BRUTOS'!L$3:L$500)))</f>
        <v>0</v>
      </c>
      <c r="CM40" s="133" t="n">
        <f aca="false">IF(OR(CM$4="",$B40=""),0,SUMIF('DADOS BRUTOS'!$A$3:$A$500,$B40,'DADOS BRUTOS'!M$3:M$500)+IF($C40="",0,SUMIF('DADOS BRUTOS'!$A$3:$A$500,$C40,'DADOS BRUTOS'!M$3:M$500)))</f>
        <v>0</v>
      </c>
      <c r="CN40" s="133" t="n">
        <f aca="false">IF(OR(CN$4="",$B40=""),0,SUMIF('DADOS BRUTOS'!$A$3:$A$500,$B40,'DADOS BRUTOS'!N$3:N$500)+IF($C40="",0,SUMIF('DADOS BRUTOS'!$A$3:$A$500,$C40,'DADOS BRUTOS'!N$3:N$500)))</f>
        <v>0</v>
      </c>
      <c r="CO40" s="133" t="n">
        <f aca="false">IF(OR(CO$4="",$B40=""),0,SUMIF('DADOS BRUTOS'!$A$3:$A$500,$B40,'DADOS BRUTOS'!O$3:O$500)+IF($C40="",0,SUMIF('DADOS BRUTOS'!$A$3:$A$500,$C40,'DADOS BRUTOS'!O$3:O$500)))</f>
        <v>0</v>
      </c>
      <c r="CP40" s="133" t="n">
        <f aca="false">IF(OR(CP$4="",$B40=""),0,SUMIF('DADOS BRUTOS'!$A$3:$A$500,$B40,'DADOS BRUTOS'!P$3:P$500)+IF($C40="",0,SUMIF('DADOS BRUTOS'!$A$3:$A$500,$C40,'DADOS BRUTOS'!P$3:P$500)))</f>
        <v>0</v>
      </c>
      <c r="CQ40" s="133" t="n">
        <f aca="false">IF(OR(CQ$4="",$B40=""),0,SUMIF('DADOS BRUTOS'!$A$3:$A$500,$B40,'DADOS BRUTOS'!Q$3:Q$500)+IF($C40="",0,SUMIF('DADOS BRUTOS'!$A$3:$A$500,$C40,'DADOS BRUTOS'!Q$3:Q$500)))</f>
        <v>0</v>
      </c>
      <c r="CR40" s="133" t="n">
        <f aca="false">IF(OR(CR$4="",$B40=""),0,SUMIF('DADOS BRUTOS'!$A$3:$A$500,$B40,'DADOS BRUTOS'!R$3:R$500)+IF($C40="",0,SUMIF('DADOS BRUTOS'!$A$3:$A$500,$C40,'DADOS BRUTOS'!R$3:R$500)))</f>
        <v>0</v>
      </c>
      <c r="CS40" s="133" t="n">
        <f aca="false">IF(OR(CS$4="",$B40=""),0,SUMIF('DADOS BRUTOS'!$A$3:$A$500,$B40,'DADOS BRUTOS'!S$3:S$500)+IF($C40="",0,SUMIF('DADOS BRUTOS'!$A$3:$A$500,$C40,'DADOS BRUTOS'!S$3:S$500)))</f>
        <v>0</v>
      </c>
      <c r="CT40" s="133" t="n">
        <f aca="false">IF(OR(CT$4="",$B40=""),0,SUMIF('DADOS BRUTOS'!$A$3:$A$500,$B40,'DADOS BRUTOS'!T$3:T$500)+IF($C40="",0,SUMIF('DADOS BRUTOS'!$A$3:$A$500,$C40,'DADOS BRUTOS'!T$3:T$500)))</f>
        <v>0</v>
      </c>
      <c r="CU40" s="133" t="n">
        <f aca="false">IF(OR(CU$4="",$B40=""),0,SUMIF('DADOS BRUTOS'!$A$3:$A$500,$B40,'DADOS BRUTOS'!U$3:U$500)+IF($C40="",0,SUMIF('DADOS BRUTOS'!$A$3:$A$500,$C40,'DADOS BRUTOS'!U$3:U$500)))</f>
        <v>0</v>
      </c>
      <c r="CV40" s="133" t="n">
        <f aca="false">IF(OR(CV$4="",$B40=""),0,SUMIF('DADOS BRUTOS'!$A$3:$A$500,$B40,'DADOS BRUTOS'!V$3:V$500)+IF($C40="",0,SUMIF('DADOS BRUTOS'!$A$3:$A$500,$C40,'DADOS BRUTOS'!V$3:V$500)))</f>
        <v>0</v>
      </c>
      <c r="CW40" s="133" t="n">
        <f aca="false">IF(OR(CW$4="",$B40=""),0,SUMIF('DADOS BRUTOS'!$A$3:$A$500,$B40,'DADOS BRUTOS'!W$3:W$500)+IF($C40="",0,SUMIF('DADOS BRUTOS'!$A$3:$A$500,$C40,'DADOS BRUTOS'!W$3:W$500)))</f>
        <v>0</v>
      </c>
      <c r="CX40" s="133" t="n">
        <f aca="false">IF(OR(CX$4="",$B40=""),0,SUMIF('DADOS BRUTOS'!$A$3:$A$500,$B40,'DADOS BRUTOS'!X$3:X$500)+IF($C40="",0,SUMIF('DADOS BRUTOS'!$A$3:$A$500,$C40,'DADOS BRUTOS'!X$3:X$500)))</f>
        <v>0</v>
      </c>
      <c r="CY40" s="133" t="n">
        <f aca="false">IF(OR(CY$4="",$B40=""),0,SUMIF('DADOS BRUTOS'!$A$3:$A$500,$B40,'DADOS BRUTOS'!Y$3:Y$500)+IF($C40="",0,SUMIF('DADOS BRUTOS'!$A$3:$A$500,$C40,'DADOS BRUTOS'!Y$3:Y$500)))</f>
        <v>0</v>
      </c>
      <c r="CZ40" s="133" t="n">
        <f aca="false">IF(OR(CZ$4="",$B40=""),0,SUMIF('DADOS BRUTOS'!$A$3:$A$500,$B40,'DADOS BRUTOS'!Z$3:Z$500)+IF($C40="",0,SUMIF('DADOS BRUTOS'!$A$3:$A$500,$C40,'DADOS BRUTOS'!Z$3:Z$500)))</f>
        <v>0</v>
      </c>
      <c r="DA40" s="133" t="n">
        <f aca="false">IF(OR(DA$4="",$B40=""),0,SUMIF('DADOS BRUTOS'!$A$3:$A$500,$B40,'DADOS BRUTOS'!AA$3:AA$500)+IF($C40="",0,SUMIF('DADOS BRUTOS'!$A$3:$A$500,$C40,'DADOS BRUTOS'!AA$3:AA$500)))</f>
        <v>0</v>
      </c>
      <c r="DB40" s="133" t="n">
        <f aca="false">IF(OR(DB$4="",$B40=""),0,SUMIF('DADOS BRUTOS'!$A$3:$A$500,$B40,'DADOS BRUTOS'!AB$3:AB$500)+IF($C40="",0,SUMIF('DADOS BRUTOS'!$A$3:$A$500,$C40,'DADOS BRUTOS'!AB$3:AB$500)))</f>
        <v>0</v>
      </c>
      <c r="DC40" s="133" t="n">
        <f aca="false">IF(OR(DC$4="",$B40=""),0,SUMIF('DADOS BRUTOS'!$A$3:$A$500,$B40,'DADOS BRUTOS'!AC$3:AC$500)+IF($C40="",0,SUMIF('DADOS BRUTOS'!$A$3:$A$500,$C40,'DADOS BRUTOS'!AC$3:AC$500)))</f>
        <v>0</v>
      </c>
      <c r="DD40" s="133" t="n">
        <f aca="false">IF(OR(DD$4="",$B40=""),0,SUMIF('DADOS BRUTOS'!$A$3:$A$500,$B40,'DADOS BRUTOS'!AD$3:AD$500)+IF($C40="",0,SUMIF('DADOS BRUTOS'!$A$3:$A$500,$C40,'DADOS BRUTOS'!AD$3:AD$500)))</f>
        <v>0</v>
      </c>
      <c r="DE40" s="133" t="n">
        <f aca="false">IF(OR(DE$4="",$B40=""),0,SUMIF('DADOS BRUTOS'!$A$3:$A$500,$B40,'DADOS BRUTOS'!AE$3:AE$500)+IF($C40="",0,SUMIF('DADOS BRUTOS'!$A$3:$A$500,$C40,'DADOS BRUTOS'!AE$3:AE$500)))</f>
        <v>0</v>
      </c>
      <c r="DF40" s="133" t="n">
        <f aca="false">IF(OR(DF$4="",$B40=""),0,SUMIF('DADOS BRUTOS'!$A$3:$A$500,$B40,'DADOS BRUTOS'!AF$3:AF$500)+IF($C40="",0,SUMIF('DADOS BRUTOS'!$A$3:$A$500,$C40,'DADOS BRUTOS'!AF$3:AF$500)))</f>
        <v>0</v>
      </c>
      <c r="DG40" s="133" t="n">
        <f aca="false">IF(OR(DG$4="",$B40=""),0,SUMIF('DADOS BRUTOS'!$A$3:$A$500,$B40,'DADOS BRUTOS'!AG$3:AG$500)+IF($C40="",0,SUMIF('DADOS BRUTOS'!$A$3:$A$500,$C40,'DADOS BRUTOS'!AG$3:AG$500)))</f>
        <v>0</v>
      </c>
      <c r="DH40" s="133" t="n">
        <f aca="false">IF(OR(DH$4="",$B40=""),0,SUMIF('DADOS BRUTOS'!$A$3:$A$500,$B40,'DADOS BRUTOS'!AH$3:AH$500)+IF($C40="",0,SUMIF('DADOS BRUTOS'!$A$3:$A$500,$C40,'DADOS BRUTOS'!AH$3:AH$500)))</f>
        <v>0</v>
      </c>
      <c r="DI40" s="133" t="n">
        <f aca="false">IF(OR(DI$4="",$B40=""),0,SUMIF('DADOS BRUTOS'!$A$3:$A$500,$B40,'DADOS BRUTOS'!AI$3:AI$500)+IF($C40="",0,SUMIF('DADOS BRUTOS'!$A$3:$A$500,$C40,'DADOS BRUTOS'!AI$3:AI$500)))</f>
        <v>0</v>
      </c>
      <c r="DJ40" s="133" t="n">
        <f aca="false">IF(OR(DJ$4="",$B40=""),0,SUMIF('DADOS BRUTOS'!$A$3:$A$500,$B40,'DADOS BRUTOS'!AJ$3:AJ$500)+IF($C40="",0,SUMIF('DADOS BRUTOS'!$A$3:$A$500,$C40,'DADOS BRUTOS'!AJ$3:AJ$500)))</f>
        <v>0</v>
      </c>
      <c r="DK40" s="133" t="n">
        <f aca="false">IF(OR(DK$4="",$B40=""),0,SUMIF('DADOS BRUTOS'!$A$3:$A$500,$B40,'DADOS BRUTOS'!AK$3:AK$500)+IF($C40="",0,SUMIF('DADOS BRUTOS'!$A$3:$A$500,$C40,'DADOS BRUTOS'!AK$3:AK$500)))</f>
        <v>0</v>
      </c>
      <c r="DL40" s="133" t="n">
        <f aca="false">IF(OR(DL$4="",$B40=""),0,SUMIF('DADOS BRUTOS'!$A$3:$A$500,$B40,'DADOS BRUTOS'!AL$3:AL$500)+IF($C40="",0,SUMIF('DADOS BRUTOS'!$A$3:$A$500,$C40,'DADOS BRUTOS'!AL$3:AL$500)))</f>
        <v>0</v>
      </c>
      <c r="DM40" s="133" t="n">
        <f aca="false">IF(OR(DM$4="",$B40=""),0,SUMIF('DADOS BRUTOS'!$A$3:$A$500,$B40,'DADOS BRUTOS'!AM$3:AM$500)+IF($C40="",0,SUMIF('DADOS BRUTOS'!$A$3:$A$500,$C40,'DADOS BRUTOS'!AM$3:AM$500)))</f>
        <v>0</v>
      </c>
      <c r="DN40" s="133" t="n">
        <f aca="false">IF(OR(DN$4="",$B40=""),0,SUMIF('DADOS BRUTOS'!$A$3:$A$500,$B40,'DADOS BRUTOS'!AN$3:AN$500)+IF($C40="",0,SUMIF('DADOS BRUTOS'!$A$3:$A$500,$C40,'DADOS BRUTOS'!AN$3:AN$500)))</f>
        <v>0</v>
      </c>
      <c r="DO40" s="133" t="n">
        <f aca="false">IF(OR(DO$4="",$B40=""),0,SUMIF('DADOS BRUTOS'!$A$3:$A$500,$B40,'DADOS BRUTOS'!AO$3:AO$500)+IF($C40="",0,SUMIF('DADOS BRUTOS'!$A$3:$A$500,$C40,'DADOS BRUTOS'!AO$3:AO$500)))</f>
        <v>0</v>
      </c>
      <c r="DP40" s="133" t="n">
        <f aca="false">IF(OR(DP$4="",$B40=""),0,SUMIF('DADOS BRUTOS'!$A$3:$A$500,$B40,'DADOS BRUTOS'!AP$3:AP$500)+IF($C40="",0,SUMIF('DADOS BRUTOS'!$A$3:$A$500,$C40,'DADOS BRUTOS'!AP$3:AP$500)))</f>
        <v>0</v>
      </c>
      <c r="DQ40" s="133" t="n">
        <f aca="false">IF(OR(DQ$4="",$B40=""),0,SUMIF('DADOS BRUTOS'!$A$3:$A$500,$B40,'DADOS BRUTOS'!AQ$3:AQ$500)+IF($C40="",0,SUMIF('DADOS BRUTOS'!$A$3:$A$500,$C40,'DADOS BRUTOS'!AQ$3:AQ$500)))</f>
        <v>0</v>
      </c>
      <c r="DR40" s="133" t="n">
        <f aca="false">IF(OR(DR$4="",$B40=""),0,SUMIF('DADOS BRUTOS'!$A$3:$A$500,$B40,'DADOS BRUTOS'!AR$3:AR$500)+IF($C40="",0,SUMIF('DADOS BRUTOS'!$A$3:$A$500,$C40,'DADOS BRUTOS'!AR$3:AR$500)))</f>
        <v>0</v>
      </c>
      <c r="DS40" s="133" t="n">
        <f aca="false">IF(OR(DS$4="",$B40=""),0,SUMIF('DADOS BRUTOS'!$A$3:$A$500,$B40,'DADOS BRUTOS'!AS$3:AS$500)+IF($C40="",0,SUMIF('DADOS BRUTOS'!$A$3:$A$500,$C40,'DADOS BRUTOS'!AS$3:AS$500)))</f>
        <v>0</v>
      </c>
      <c r="DT40" s="133" t="n">
        <f aca="false">IF(OR(DT$4="",$B40=""),0,SUMIF('DADOS BRUTOS'!$A$3:$A$500,$B40,'DADOS BRUTOS'!AT$3:AT$500)+IF($C40="",0,SUMIF('DADOS BRUTOS'!$A$3:$A$500,$C40,'DADOS BRUTOS'!AT$3:AT$500)))</f>
        <v>0</v>
      </c>
      <c r="DU40" s="133" t="n">
        <f aca="false">IF(OR(DU$4="",$B40=""),0,SUMIF('DADOS BRUTOS'!$A$3:$A$500,$B40,'DADOS BRUTOS'!AU$3:AU$500)+IF($C40="",0,SUMIF('DADOS BRUTOS'!$A$3:$A$500,$C40,'DADOS BRUTOS'!AU$3:AU$500)))</f>
        <v>0</v>
      </c>
      <c r="DV40" s="133" t="n">
        <f aca="false">IF(OR(DV$4="",$B40=""),0,SUMIF('DADOS BRUTOS'!$A$3:$A$500,$B40,'DADOS BRUTOS'!AV$3:AV$500)+IF($C40="",0,SUMIF('DADOS BRUTOS'!$A$3:$A$500,$C40,'DADOS BRUTOS'!AV$3:AV$500)))</f>
        <v>0</v>
      </c>
      <c r="DW40" s="133" t="n">
        <f aca="false">IF(OR(DW$4="",$B40=""),0,SUMIF('DADOS BRUTOS'!$A$3:$A$500,$B40,'DADOS BRUTOS'!AW$3:AW$500)+IF($C40="",0,SUMIF('DADOS BRUTOS'!$A$3:$A$500,$C40,'DADOS BRUTOS'!AW$3:AW$500)))</f>
        <v>0</v>
      </c>
      <c r="DX40" s="133" t="n">
        <f aca="false">IF(OR(DX$4="",$B40=""),0,SUMIF('DADOS BRUTOS'!$A$3:$A$500,$B40,'DADOS BRUTOS'!AX$3:AX$500)+IF($C40="",0,SUMIF('DADOS BRUTOS'!$A$3:$A$500,$C40,'DADOS BRUTOS'!AX$3:AX$500)))</f>
        <v>0</v>
      </c>
      <c r="DY40" s="133" t="n">
        <f aca="false">IF(OR(DY$4="",$B40=""),0,SUMIF('DADOS BRUTOS'!$A$3:$A$500,$B40,'DADOS BRUTOS'!AY$3:AY$500)+IF($C40="",0,SUMIF('DADOS BRUTOS'!$A$3:$A$500,$C40,'DADOS BRUTOS'!AY$3:AY$500)))</f>
        <v>0</v>
      </c>
      <c r="DZ40" s="133" t="n">
        <f aca="false">IF(OR(DZ$4="",$B40=""),0,SUMIF('DADOS BRUTOS'!$A$3:$A$500,$B40,'DADOS BRUTOS'!AZ$3:AZ$500)+IF($C40="",0,SUMIF('DADOS BRUTOS'!$A$3:$A$500,$C40,'DADOS BRUTOS'!AZ$3:AZ$500)))</f>
        <v>0</v>
      </c>
      <c r="EA40" s="133" t="n">
        <f aca="false">IF(OR(EA$4="",$B40=""),0,SUMIF('DADOS BRUTOS'!$A$3:$A$500,$B40,'DADOS BRUTOS'!BA$3:BA$500)+IF($C40="",0,SUMIF('DADOS BRUTOS'!$A$3:$A$500,$C40,'DADOS BRUTOS'!BA$3:BA$500)))</f>
        <v>0</v>
      </c>
      <c r="EB40" s="133" t="n">
        <f aca="false">IF(OR(EB$4="",$B40=""),0,SUMIF('DADOS BRUTOS'!$A$3:$A$500,$B40,'DADOS BRUTOS'!BB$3:BB$500)+IF($C40="",0,SUMIF('DADOS BRUTOS'!$A$3:$A$500,$C40,'DADOS BRUTOS'!BB$3:BB$500)))</f>
        <v>0</v>
      </c>
      <c r="EC40" s="133" t="n">
        <f aca="false">IF(OR(EC$4="",$B40=""),0,SUMIF('DADOS BRUTOS'!$A$3:$A$500,$B40,'DADOS BRUTOS'!BC$3:BC$500)+IF($C40="",0,SUMIF('DADOS BRUTOS'!$A$3:$A$500,$C40,'DADOS BRUTOS'!BC$3:BC$500)))</f>
        <v>0</v>
      </c>
      <c r="ED40" s="133" t="n">
        <f aca="false">IF(OR(ED$4="",$B40=""),0,SUMIF('DADOS BRUTOS'!$A$3:$A$500,$B40,'DADOS BRUTOS'!BD$3:BD$500)+IF($C40="",0,SUMIF('DADOS BRUTOS'!$A$3:$A$500,$C40,'DADOS BRUTOS'!BD$3:BD$500)))</f>
        <v>0</v>
      </c>
      <c r="EE40" s="133" t="n">
        <f aca="false">IF(OR(EE$4="",$B40=""),0,SUMIF('DADOS BRUTOS'!$A$3:$A$500,$B40,'DADOS BRUTOS'!BE$3:BE$500)+IF($C40="",0,SUMIF('DADOS BRUTOS'!$A$3:$A$500,$C40,'DADOS BRUTOS'!BE$3:BE$500)))</f>
        <v>0</v>
      </c>
      <c r="EF40" s="133" t="n">
        <f aca="false">IF(OR(EF$4="",$B40=""),0,SUMIF('DADOS BRUTOS'!$A$3:$A$500,$B40,'DADOS BRUTOS'!BF$3:BF$500)+IF($C40="",0,SUMIF('DADOS BRUTOS'!$A$3:$A$500,$C40,'DADOS BRUTOS'!BF$3:BF$500)))</f>
        <v>0</v>
      </c>
      <c r="EG40" s="133" t="n">
        <f aca="false">IF(OR(EG$4="",$B40=""),0,SUMIF('DADOS BRUTOS'!$A$3:$A$500,$B40,'DADOS BRUTOS'!BG$3:BG$500)+IF($C40="",0,SUMIF('DADOS BRUTOS'!$A$3:$A$500,$C40,'DADOS BRUTOS'!BG$3:BG$500)))</f>
        <v>0</v>
      </c>
      <c r="EH40" s="133" t="n">
        <f aca="false">IF(OR(EH$4="",$B40=""),0,SUMIF('DADOS BRUTOS'!$A$3:$A$500,$B40,'DADOS BRUTOS'!BH$3:BH$500)+IF($C40="",0,SUMIF('DADOS BRUTOS'!$A$3:$A$500,$C40,'DADOS BRUTOS'!BH$3:BH$500)))</f>
        <v>0</v>
      </c>
      <c r="EI40" s="133" t="n">
        <f aca="false">IF(OR(EI$4="",$B40=""),0,SUMIF('DADOS BRUTOS'!$A$3:$A$500,$B40,'DADOS BRUTOS'!BI$3:BI$500)+IF($C40="",0,SUMIF('DADOS BRUTOS'!$A$3:$A$500,$C40,'DADOS BRUTOS'!BI$3:BI$500)))</f>
        <v>0</v>
      </c>
      <c r="EJ40" s="133" t="n">
        <f aca="false">IF(OR(EJ$4="",$B40=""),0,SUMIF('DADOS BRUTOS'!$A$3:$A$500,$B40,'DADOS BRUTOS'!BJ$3:BJ$500)+IF($C40="",0,SUMIF('DADOS BRUTOS'!$A$3:$A$500,$C40,'DADOS BRUTOS'!BJ$3:BJ$500)))</f>
        <v>0</v>
      </c>
      <c r="EK40" s="133" t="n">
        <f aca="false">IF(OR(EK$4="",$B40=""),0,SUMIF('DADOS BRUTOS'!$A$3:$A$500,$B40,'DADOS BRUTOS'!BK$3:BK$500)+IF($C40="",0,SUMIF('DADOS BRUTOS'!$A$3:$A$500,$C40,'DADOS BRUTOS'!BK$3:BK$500)))</f>
        <v>0</v>
      </c>
      <c r="EL40" s="133" t="n">
        <f aca="false">IF(OR(EL$4="",$B40=""),0,SUMIF('DADOS BRUTOS'!$A$3:$A$500,$B40,'DADOS BRUTOS'!BL$3:BL$500)+IF($C40="",0,SUMIF('DADOS BRUTOS'!$A$3:$A$500,$C40,'DADOS BRUTOS'!BL$3:BL$500)))</f>
        <v>0</v>
      </c>
      <c r="EM40" s="133" t="n">
        <f aca="false">IF(OR(EM$4="",$B40=""),0,SUMIF('DADOS BRUTOS'!$A$3:$A$500,$B40,'DADOS BRUTOS'!BM$3:BM$500)+IF($C40="",0,SUMIF('DADOS BRUTOS'!$A$3:$A$500,$C40,'DADOS BRUTOS'!BM$3:BM$500)))</f>
        <v>0</v>
      </c>
      <c r="EN40" s="133" t="n">
        <f aca="false">IF(OR(EN$4="",$B40=""),0,SUMIF('DADOS BRUTOS'!$A$3:$A$500,$B40,'DADOS BRUTOS'!BN$3:BN$500)+IF($C40="",0,SUMIF('DADOS BRUTOS'!$A$3:$A$500,$C40,'DADOS BRUTOS'!BN$3:BN$500)))</f>
        <v>0</v>
      </c>
      <c r="EO40" s="133" t="n">
        <f aca="false">IF(OR(EO$4="",$B40=""),0,SUMIF('DADOS BRUTOS'!$A$3:$A$500,$B40,'DADOS BRUTOS'!BO$3:BO$500)+IF($C40="",0,SUMIF('DADOS BRUTOS'!$A$3:$A$500,$C40,'DADOS BRUTOS'!BO$3:BO$500)))</f>
        <v>0</v>
      </c>
      <c r="EP40" s="133" t="n">
        <f aca="false">IF(OR(EP$4="",$B40=""),0,SUMIF('DADOS BRUTOS'!$A$3:$A$500,$B40,'DADOS BRUTOS'!BP$3:BP$500)+IF($C40="",0,SUMIF('DADOS BRUTOS'!$A$3:$A$500,$C40,'DADOS BRUTOS'!BP$3:BP$500)))</f>
        <v>0</v>
      </c>
      <c r="EQ40" s="133" t="n">
        <f aca="false">IF(OR(EQ$4="",$B40=""),0,SUMIF('DADOS BRUTOS'!$A$3:$A$500,$B40,'DADOS BRUTOS'!BQ$3:BQ$500)+IF($C40="",0,SUMIF('DADOS BRUTOS'!$A$3:$A$500,$C40,'DADOS BRUTOS'!BQ$3:BQ$500)))</f>
        <v>0</v>
      </c>
      <c r="ER40" s="133" t="n">
        <f aca="false">IF(OR(ER$4="",$B40=""),0,SUMIF('DADOS BRUTOS'!$A$3:$A$500,$B40,'DADOS BRUTOS'!BR$3:BR$500)+IF($C40="",0,SUMIF('DADOS BRUTOS'!$A$3:$A$500,$C40,'DADOS BRUTOS'!BR$3:BR$500)))</f>
        <v>0</v>
      </c>
      <c r="ES40" s="133" t="n">
        <f aca="false">IF(OR(ES$4="",$B40=""),0,SUMIF('DADOS BRUTOS'!$A$3:$A$500,$B40,'DADOS BRUTOS'!BS$3:BS$500)+IF($C40="",0,SUMIF('DADOS BRUTOS'!$A$3:$A$500,$C40,'DADOS BRUTOS'!BS$3:BS$500)))</f>
        <v>0</v>
      </c>
      <c r="ET40" s="133" t="n">
        <f aca="false">IF(OR(ET$4="",$B40=""),0,SUMIF('DADOS BRUTOS'!$A$3:$A$500,$B40,'DADOS BRUTOS'!BT$3:BT$500)+IF($C40="",0,SUMIF('DADOS BRUTOS'!$A$3:$A$500,$C40,'DADOS BRUTOS'!BT$3:BT$500)))</f>
        <v>0</v>
      </c>
      <c r="EU40" s="133" t="n">
        <f aca="false">IF(OR(EU$4="",$B40=""),0,SUMIF('DADOS BRUTOS'!$A$3:$A$500,$B40,'DADOS BRUTOS'!BU$3:BU$500)+IF($C40="",0,SUMIF('DADOS BRUTOS'!$A$3:$A$500,$C40,'DADOS BRUTOS'!BU$3:BU$500)))</f>
        <v>0</v>
      </c>
      <c r="EV40" s="133" t="n">
        <f aca="false">IF(OR(EV$4="",$B40=""),0,SUMIF('DADOS BRUTOS'!$A$3:$A$500,$B40,'DADOS BRUTOS'!BV$3:BV$500)+IF($C40="",0,SUMIF('DADOS BRUTOS'!$A$3:$A$500,$C40,'DADOS BRUTOS'!BV$3:BV$500)))</f>
        <v>0</v>
      </c>
      <c r="EW40" s="133" t="n">
        <f aca="false">IF(OR(EW$4="",$B40=""),0,SUMIF('DADOS BRUTOS'!$A$3:$A$500,$B40,'DADOS BRUTOS'!BW$3:BW$500)+IF($C40="",0,SUMIF('DADOS BRUTOS'!$A$3:$A$500,$C40,'DADOS BRUTOS'!BW$3:BW$500)))</f>
        <v>0</v>
      </c>
      <c r="EX40" s="133" t="n">
        <f aca="false">IF(OR(EX$4="",$B40=""),0,SUMIF('DADOS BRUTOS'!$A$3:$A$500,$B40,'DADOS BRUTOS'!BX$3:BX$500)+IF($C40="",0,SUMIF('DADOS BRUTOS'!$A$3:$A$500,$C40,'DADOS BRUTOS'!BX$3:BX$500)))</f>
        <v>0</v>
      </c>
      <c r="EY40" s="133" t="n">
        <f aca="false">IF(OR(EY$4="",$B40=""),0,SUMIF('DADOS BRUTOS'!$A$3:$A$500,$B40,'DADOS BRUTOS'!BY$3:BY$500)+IF($C40="",0,SUMIF('DADOS BRUTOS'!$A$3:$A$500,$C40,'DADOS BRUTOS'!BY$3:BY$500)))</f>
        <v>0</v>
      </c>
      <c r="EZ40" s="133" t="n">
        <f aca="false">IF(OR(EZ$4="",$B40=""),0,SUMIF('DADOS BRUTOS'!$A$3:$A$500,$B40,'DADOS BRUTOS'!BZ$3:BZ$500)+IF($C40="",0,SUMIF('DADOS BRUTOS'!$A$3:$A$500,$C40,'DADOS BRUTOS'!BZ$3:BZ$500)))</f>
        <v>0</v>
      </c>
      <c r="FA40" s="133" t="n">
        <f aca="false">IF(OR(FA$4="",$B40=""),0,SUMIF('DADOS BRUTOS'!$A$3:$A$500,$B40,'DADOS BRUTOS'!CA$3:CA$500)+IF($C40="",0,SUMIF('DADOS BRUTOS'!$A$3:$A$500,$C40,'DADOS BRUTOS'!CA$3:CA$500)))</f>
        <v>0</v>
      </c>
      <c r="FB40" s="133" t="n">
        <f aca="false">IF(OR(FB$4="",$B40=""),0,SUMIF('DADOS BRUTOS'!$A$3:$A$500,$B40,'DADOS BRUTOS'!CB$3:CB$500)+IF($C40="",0,SUMIF('DADOS BRUTOS'!$A$3:$A$500,$C40,'DADOS BRUTOS'!CB$3:CB$500)))</f>
        <v>0</v>
      </c>
      <c r="FC40" s="133" t="n">
        <f aca="false">IF(OR(FC$4="",$B40=""),0,SUMIF('DADOS BRUTOS'!$A$3:$A$500,$B40,'DADOS BRUTOS'!CC$3:CC$500)+IF($C40="",0,SUMIF('DADOS BRUTOS'!$A$3:$A$500,$C40,'DADOS BRUTOS'!CC$3:CC$500)))</f>
        <v>0</v>
      </c>
      <c r="FD40" s="133" t="n">
        <f aca="false">IF(OR(FD$4="",$B40=""),0,SUMIF('DADOS BRUTOS'!$A$3:$A$500,$B40,'DADOS BRUTOS'!CD$3:CD$500)+IF($C40="",0,SUMIF('DADOS BRUTOS'!$A$3:$A$500,$C40,'DADOS BRUTOS'!CD$3:CD$500)))</f>
        <v>0</v>
      </c>
      <c r="FE40" s="133" t="n">
        <f aca="false">IF(OR(FE$4="",$B40=""),0,SUMIF('DADOS BRUTOS'!$A$3:$A$500,$B40,'DADOS BRUTOS'!CE$3:CE$500)+IF($C40="",0,SUMIF('DADOS BRUTOS'!$A$3:$A$500,$C40,'DADOS BRUTOS'!CE$3:CE$500)))</f>
        <v>0</v>
      </c>
      <c r="FF40" s="133" t="n">
        <f aca="false">IF(OR(FF$4="",$B40=""),0,SUMIF('DADOS BRUTOS'!$A$3:$A$500,$B40,'DADOS BRUTOS'!CF$3:CF$500)+IF($C40="",0,SUMIF('DADOS BRUTOS'!$A$3:$A$500,$C40,'DADOS BRUTOS'!CF$3:CF$500)))</f>
        <v>0</v>
      </c>
      <c r="FG40" s="133" t="n">
        <f aca="false">IF(OR(FG$4="",$B40=""),0,SUMIF('DADOS BRUTOS'!$A$3:$A$500,$B40,'DADOS BRUTOS'!CG$3:CG$500)+IF($C40="",0,SUMIF('DADOS BRUTOS'!$A$3:$A$500,$C40,'DADOS BRUTOS'!CG$3:CG$500)))</f>
        <v>0</v>
      </c>
      <c r="FH40" s="133" t="n">
        <f aca="false">IF(OR(FH$4="",$B40=""),0,SUMIF('DADOS BRUTOS'!$A$3:$A$500,$B40,'DADOS BRUTOS'!CH$3:CH$500)+IF($C40="",0,SUMIF('DADOS BRUTOS'!$A$3:$A$500,$C40,'DADOS BRUTOS'!CH$3:CH$500)))</f>
        <v>0</v>
      </c>
      <c r="FI40" s="133" t="n">
        <f aca="false">IF(OR(FI$4="",$B40=""),0,SUMIF('DADOS BRUTOS'!$A$3:$A$500,$B40,'DADOS BRUTOS'!CI$3:CI$500)+IF($C40="",0,SUMIF('DADOS BRUTOS'!$A$3:$A$500,$C40,'DADOS BRUTOS'!CI$3:CI$500)))</f>
        <v>0</v>
      </c>
      <c r="FJ40" s="133" t="n">
        <f aca="false">IF(OR(FJ$4="",$B40=""),0,SUMIF('DADOS BRUTOS'!$A$3:$A$500,$B40,'DADOS BRUTOS'!CJ$3:CJ$500)+IF($C40="",0,SUMIF('DADOS BRUTOS'!$A$3:$A$500,$C40,'DADOS BRUTOS'!CJ$3:CJ$500)))</f>
        <v>0</v>
      </c>
      <c r="FK40" s="133" t="n">
        <f aca="false">IF(OR(FK$4="",$B40=""),0,SUMIF('DADOS BRUTOS'!$A$3:$A$500,$B40,'DADOS BRUTOS'!CK$3:CK$500)+IF($C40="",0,SUMIF('DADOS BRUTOS'!$A$3:$A$500,$C40,'DADOS BRUTOS'!CK$3:CK$500)))</f>
        <v>0</v>
      </c>
      <c r="FL40" s="133" t="n">
        <f aca="false">IF(OR(FL$4="",$B40=""),0,SUMIF('DADOS BRUTOS'!$A$3:$A$500,$B40,'DADOS BRUTOS'!CL$3:CL$500)+IF($C40="",0,SUMIF('DADOS BRUTOS'!$A$3:$A$500,$C40,'DADOS BRUTOS'!CL$3:CL$500)))</f>
        <v>0</v>
      </c>
      <c r="FM40" s="133" t="n">
        <f aca="false">IF(OR(FM$4="",$B40=""),0,SUMIF('DADOS BRUTOS'!$A$3:$A$500,$B40,'DADOS BRUTOS'!CM$3:CM$500)+IF($C40="",0,SUMIF('DADOS BRUTOS'!$A$3:$A$500,$C40,'DADOS BRUTOS'!CM$3:CM$500)))</f>
        <v>0</v>
      </c>
      <c r="FN40" s="133" t="n">
        <f aca="false">IF(OR(FN$4="",$B40=""),0,SUMIF('DADOS BRUTOS'!$A$3:$A$500,$B40,'DADOS BRUTOS'!CN$3:CN$500)+IF($C40="",0,SUMIF('DADOS BRUTOS'!$A$3:$A$500,$C40,'DADOS BRUTOS'!CN$3:CN$500)))</f>
        <v>0</v>
      </c>
      <c r="FO40" s="133" t="n">
        <f aca="false">IF(OR(FO$4="",$B40=""),0,SUMIF('DADOS BRUTOS'!$A$3:$A$500,$B40,'DADOS BRUTOS'!CO$3:CO$500)+IF($C40="",0,SUMIF('DADOS BRUTOS'!$A$3:$A$500,$C40,'DADOS BRUTOS'!CO$3:CO$500)))</f>
        <v>0</v>
      </c>
      <c r="FP40" s="133" t="n">
        <f aca="false">IF(OR(FP$4="",$B40=""),0,SUMIF('DADOS BRUTOS'!$A$3:$A$500,$B40,'DADOS BRUTOS'!CP$3:CP$500)+IF($C40="",0,SUMIF('DADOS BRUTOS'!$A$3:$A$500,$C40,'DADOS BRUTOS'!CP$3:CP$500)))</f>
        <v>0</v>
      </c>
      <c r="FQ40" s="133" t="n">
        <f aca="false">IF(OR(FQ$4="",$B40=""),0,SUMIF('DADOS BRUTOS'!$A$3:$A$500,$B40,'DADOS BRUTOS'!CQ$3:CQ$500)+IF($C40="",0,SUMIF('DADOS BRUTOS'!$A$3:$A$500,$C40,'DADOS BRUTOS'!CQ$3:CQ$500)))</f>
        <v>0</v>
      </c>
      <c r="FR40" s="133" t="n">
        <f aca="false">IF(OR(FR$4="",$B40=""),0,SUMIF('DADOS BRUTOS'!$A$3:$A$500,$B40,'DADOS BRUTOS'!CR$3:CR$500)+IF($C40="",0,SUMIF('DADOS BRUTOS'!$A$3:$A$500,$C40,'DADOS BRUTOS'!CR$3:CR$500)))</f>
        <v>0</v>
      </c>
      <c r="FS40" s="133" t="n">
        <f aca="false">IF(OR(FS$4="",$B40=""),0,SUMIF('DADOS BRUTOS'!$A$3:$A$500,$B40,'DADOS BRUTOS'!CS$3:CS$500)+IF($C40="",0,SUMIF('DADOS BRUTOS'!$A$3:$A$500,$C40,'DADOS BRUTOS'!CS$3:CS$500)))</f>
        <v>0</v>
      </c>
      <c r="FT40" s="133" t="n">
        <f aca="false">IF(OR(FT$4="",$B40=""),0,SUMIF('DADOS BRUTOS'!$A$3:$A$500,$B40,'DADOS BRUTOS'!CT$3:CT$500)+IF($C40="",0,SUMIF('DADOS BRUTOS'!$A$3:$A$500,$C40,'DADOS BRUTOS'!CT$3:CT$500)))</f>
        <v>0</v>
      </c>
      <c r="FU40" s="133" t="n">
        <f aca="false">IF(OR(FU$4="",$B40=""),0,SUMIF('DADOS BRUTOS'!$A$3:$A$500,$B40,'DADOS BRUTOS'!CU$3:CU$500)+IF($C40="",0,SUMIF('DADOS BRUTOS'!$A$3:$A$500,$C40,'DADOS BRUTOS'!CU$3:CU$500)))</f>
        <v>0</v>
      </c>
      <c r="FV40" s="133" t="n">
        <f aca="false">IF(OR(FV$4="",$B40=""),0,SUMIF('DADOS BRUTOS'!$A$3:$A$500,$B40,'DADOS BRUTOS'!CV$3:CV$500)+IF($C40="",0,SUMIF('DADOS BRUTOS'!$A$3:$A$500,$C40,'DADOS BRUTOS'!CV$3:CV$500)))</f>
        <v>0</v>
      </c>
      <c r="FW40" s="133" t="n">
        <f aca="false">IF(OR(FW$4="",$B40=""),0,SUMIF('DADOS BRUTOS'!$A$3:$A$500,$B40,'DADOS BRUTOS'!CW$3:CW$500)+IF($C40="",0,SUMIF('DADOS BRUTOS'!$A$3:$A$500,$C40,'DADOS BRUTOS'!CW$3:CW$500)))</f>
        <v>0</v>
      </c>
      <c r="FX40" s="133" t="n">
        <f aca="false">IF(OR(FX$4="",$B40=""),0,SUMIF('DADOS BRUTOS'!$A$3:$A$500,$B40,'DADOS BRUTOS'!CX$3:CX$500)+IF($C40="",0,SUMIF('DADOS BRUTOS'!$A$3:$A$500,$C40,'DADOS BRUTOS'!CX$3:CX$500)))</f>
        <v>0</v>
      </c>
      <c r="FY40" s="133" t="n">
        <f aca="false">IF(OR(FY$4="",$B40=""),0,SUMIF('DADOS BRUTOS'!$A$3:$A$500,$B40,'DADOS BRUTOS'!CY$3:CY$500)+IF($C40="",0,SUMIF('DADOS BRUTOS'!$A$3:$A$500,$C40,'DADOS BRUTOS'!CY$3:CY$500)))</f>
        <v>0</v>
      </c>
      <c r="FZ40" s="133" t="n">
        <f aca="false">IF(OR(FZ$4="",$B40=""),0,SUMIF('DADOS BRUTOS'!$A$3:$A$500,$B40,'DADOS BRUTOS'!CZ$3:CZ$500)+IF($C40="",0,SUMIF('DADOS BRUTOS'!$A$3:$A$500,$C40,'DADOS BRUTOS'!CZ$3:CZ$500)))</f>
        <v>0</v>
      </c>
      <c r="GA40" s="133" t="n">
        <f aca="false">IF(OR(GA$4="",$B40=""),0,SUMIF('DADOS BRUTOS'!$A$3:$A$500,$B40,'DADOS BRUTOS'!DA$3:DA$500)+IF($C40="",0,SUMIF('DADOS BRUTOS'!$A$3:$A$500,$C40,'DADOS BRUTOS'!DA$3:DA$500)))</f>
        <v>0</v>
      </c>
      <c r="GB40" s="133" t="n">
        <f aca="false">IF(OR(GB$4="",$B40=""),0,SUMIF('DADOS BRUTOS'!$A$3:$A$500,$B40,'DADOS BRUTOS'!DB$3:DB$500)+IF($C40="",0,SUMIF('DADOS BRUTOS'!$A$3:$A$500,$C40,'DADOS BRUTOS'!DB$3:DB$500)))</f>
        <v>0</v>
      </c>
      <c r="GC40" s="133" t="n">
        <f aca="false">IF(OR(GC$4="",$B40=""),0,SUMIF('DADOS BRUTOS'!$A$3:$A$500,$B40,'DADOS BRUTOS'!DC$3:DC$500)+IF($C40="",0,SUMIF('DADOS BRUTOS'!$A$3:$A$500,$C40,'DADOS BRUTOS'!DC$3:DC$500)))</f>
        <v>0</v>
      </c>
      <c r="GD40" s="133" t="n">
        <f aca="false">IF(OR(GD$4="",$B40=""),0,SUMIF('DADOS BRUTOS'!$A$3:$A$500,$B40,'DADOS BRUTOS'!DD$3:DD$500)+IF($C40="",0,SUMIF('DADOS BRUTOS'!$A$3:$A$500,$C40,'DADOS BRUTOS'!DD$3:DD$500)))</f>
        <v>0</v>
      </c>
      <c r="GE40" s="133" t="n">
        <f aca="false">IF(OR(GE$4="",$B40=""),0,SUMIF('DADOS BRUTOS'!$A$3:$A$500,$B40,'DADOS BRUTOS'!DE$3:DE$500)+IF($C40="",0,SUMIF('DADOS BRUTOS'!$A$3:$A$500,$C40,'DADOS BRUTOS'!DE$3:DE$500)))</f>
        <v>0</v>
      </c>
      <c r="GF40" s="133" t="n">
        <f aca="false">IF(OR(GF$4="",$B40=""),0,SUMIF('DADOS BRUTOS'!$A$3:$A$500,$B40,'DADOS BRUTOS'!DF$3:DF$500)+IF($C40="",0,SUMIF('DADOS BRUTOS'!$A$3:$A$500,$C40,'DADOS BRUTOS'!DF$3:DF$500)))</f>
        <v>0</v>
      </c>
      <c r="GG40" s="133" t="n">
        <f aca="false">IF(OR(GG$4="",$B40=""),0,SUMIF('DADOS BRUTOS'!$A$3:$A$500,$B40,'DADOS BRUTOS'!DG$3:DG$500)+IF($C40="",0,SUMIF('DADOS BRUTOS'!$A$3:$A$500,$C40,'DADOS BRUTOS'!DG$3:DG$500)))</f>
        <v>0</v>
      </c>
      <c r="GH40" s="133" t="n">
        <f aca="false">IF(OR(GH$4="",$B40=""),0,SUMIF('DADOS BRUTOS'!$A$3:$A$500,$B40,'DADOS BRUTOS'!DH$3:DH$500)+IF($C40="",0,SUMIF('DADOS BRUTOS'!$A$3:$A$500,$C40,'DADOS BRUTOS'!DH$3:DH$500)))</f>
        <v>0</v>
      </c>
      <c r="GI40" s="133" t="n">
        <f aca="false">IF(OR(GI$4="",$B40=""),0,SUMIF('DADOS BRUTOS'!$A$3:$A$500,$B40,'DADOS BRUTOS'!DI$3:DI$500)+IF($C40="",0,SUMIF('DADOS BRUTOS'!$A$3:$A$500,$C40,'DADOS BRUTOS'!DI$3:DI$500)))</f>
        <v>0</v>
      </c>
      <c r="GJ40" s="133" t="n">
        <f aca="false">IF(OR(GJ$4="",$B40=""),0,SUMIF('DADOS BRUTOS'!$A$3:$A$500,$B40,'DADOS BRUTOS'!DJ$3:DJ$500)+IF($C40="",0,SUMIF('DADOS BRUTOS'!$A$3:$A$500,$C40,'DADOS BRUTOS'!DJ$3:DJ$500)))</f>
        <v>0</v>
      </c>
      <c r="GK40" s="133" t="n">
        <f aca="false">IF(OR(GK$4="",$B40=""),0,SUMIF('DADOS BRUTOS'!$A$3:$A$500,$B40,'DADOS BRUTOS'!DK$3:DK$500)+IF($C40="",0,SUMIF('DADOS BRUTOS'!$A$3:$A$500,$C40,'DADOS BRUTOS'!DK$3:DK$500)))</f>
        <v>0</v>
      </c>
      <c r="GL40" s="133" t="n">
        <f aca="false">IF(OR(GL$4="",$B40=""),0,SUMIF('DADOS BRUTOS'!$A$3:$A$500,$B40,'DADOS BRUTOS'!DL$3:DL$500)+IF($C40="",0,SUMIF('DADOS BRUTOS'!$A$3:$A$500,$C40,'DADOS BRUTOS'!DL$3:DL$500)))</f>
        <v>0</v>
      </c>
      <c r="GM40" s="133" t="n">
        <f aca="false">IF(OR(GM$4="",$B40=""),0,SUMIF('DADOS BRUTOS'!$A$3:$A$500,$B40,'DADOS BRUTOS'!DM$3:DM$500)+IF($C40="",0,SUMIF('DADOS BRUTOS'!$A$3:$A$500,$C40,'DADOS BRUTOS'!DM$3:DM$500)))</f>
        <v>0</v>
      </c>
      <c r="GN40" s="133" t="n">
        <f aca="false">IF(OR(GN$4="",$B40=""),0,SUMIF('DADOS BRUTOS'!$A$3:$A$500,$B40,'DADOS BRUTOS'!DN$3:DN$500)+IF($C40="",0,SUMIF('DADOS BRUTOS'!$A$3:$A$500,$C40,'DADOS BRUTOS'!DN$3:DN$500)))</f>
        <v>0</v>
      </c>
      <c r="GO40" s="133" t="n">
        <f aca="false">IF(OR(GO$4="",$B40=""),0,SUMIF('DADOS BRUTOS'!$A$3:$A$500,$B40,'DADOS BRUTOS'!DO$3:DO$500)+IF($C40="",0,SUMIF('DADOS BRUTOS'!$A$3:$A$500,$C40,'DADOS BRUTOS'!DO$3:DO$500)))</f>
        <v>0</v>
      </c>
      <c r="GP40" s="133" t="n">
        <f aca="false">IF(OR(GP$4="",$B40=""),0,SUMIF('DADOS BRUTOS'!$A$3:$A$500,$B40,'DADOS BRUTOS'!DP$3:DP$500)+IF($C40="",0,SUMIF('DADOS BRUTOS'!$A$3:$A$500,$C40,'DADOS BRUTOS'!DP$3:DP$500)))</f>
        <v>0</v>
      </c>
      <c r="GQ40" s="133" t="n">
        <f aca="false">IF(OR(GQ$4="",$B40=""),0,SUMIF('DADOS BRUTOS'!$A$3:$A$500,$B40,'DADOS BRUTOS'!DQ$3:DQ$500)+IF($C40="",0,SUMIF('DADOS BRUTOS'!$A$3:$A$500,$C40,'DADOS BRUTOS'!DQ$3:DQ$500)))</f>
        <v>0</v>
      </c>
      <c r="GR40" s="133" t="n">
        <f aca="false">IF(OR(GR$4="",$B40=""),0,SUMIF('DADOS BRUTOS'!$A$3:$A$500,$B40,'DADOS BRUTOS'!DR$3:DR$500)+IF($C40="",0,SUMIF('DADOS BRUTOS'!$A$3:$A$500,$C40,'DADOS BRUTOS'!DR$3:DR$500)))</f>
        <v>0</v>
      </c>
      <c r="GS40" s="133" t="n">
        <f aca="false">IF(OR(GS$4="",$B40=""),0,SUMIF('DADOS BRUTOS'!$A$3:$A$500,$B40,'DADOS BRUTOS'!DS$3:DS$500)+IF($C40="",0,SUMIF('DADOS BRUTOS'!$A$3:$A$500,$C40,'DADOS BRUTOS'!DS$3:DS$500)))</f>
        <v>0</v>
      </c>
      <c r="GT40" s="133" t="n">
        <f aca="false">IF(OR(GT$4="",$B40=""),0,SUMIF('DADOS BRUTOS'!$A$3:$A$500,$B40,'DADOS BRUTOS'!DT$3:DT$500)+IF($C40="",0,SUMIF('DADOS BRUTOS'!$A$3:$A$500,$C40,'DADOS BRUTOS'!DT$3:DT$500)))</f>
        <v>0</v>
      </c>
      <c r="GU40" s="133" t="n">
        <f aca="false">IF(OR(GU$4="",$B40=""),0,SUMIF('DADOS BRUTOS'!$A$3:$A$500,$B40,'DADOS BRUTOS'!DU$3:DU$500)+IF($C40="",0,SUMIF('DADOS BRUTOS'!$A$3:$A$500,$C40,'DADOS BRUTOS'!DU$3:DU$500)))</f>
        <v>0</v>
      </c>
      <c r="GV40" s="133" t="n">
        <f aca="false">IF(OR(GV$4="",$B40=""),0,SUMIF('DADOS BRUTOS'!$A$3:$A$500,$B40,'DADOS BRUTOS'!DV$3:DV$500)+IF($C40="",0,SUMIF('DADOS BRUTOS'!$A$3:$A$500,$C40,'DADOS BRUTOS'!DV$3:DV$500)))</f>
        <v>0</v>
      </c>
      <c r="GW40" s="133" t="n">
        <f aca="false">IF(OR(GW$4="",$B40=""),0,SUMIF('DADOS BRUTOS'!$A$3:$A$500,$B40,'DADOS BRUTOS'!DW$3:DW$500)+IF($C40="",0,SUMIF('DADOS BRUTOS'!$A$3:$A$500,$C40,'DADOS BRUTOS'!DW$3:DW$500)))</f>
        <v>0</v>
      </c>
      <c r="GX40" s="133" t="n">
        <f aca="false">IF(OR(GX$4="",$B40=""),0,SUMIF('DADOS BRUTOS'!$A$3:$A$500,$B40,'DADOS BRUTOS'!DX$3:DX$500)+IF($C40="",0,SUMIF('DADOS BRUTOS'!$A$3:$A$500,$C40,'DADOS BRUTOS'!DX$3:DX$500)))</f>
        <v>0</v>
      </c>
      <c r="GY40" s="133" t="n">
        <f aca="false">IF(OR(GY$4="",$B40=""),0,SUMIF('DADOS BRUTOS'!$A$3:$A$500,$B40,'DADOS BRUTOS'!DY$3:DY$500)+IF($C40="",0,SUMIF('DADOS BRUTOS'!$A$3:$A$500,$C40,'DADOS BRUTOS'!DY$3:DY$500)))</f>
        <v>0</v>
      </c>
      <c r="GZ40" s="133" t="n">
        <f aca="false">IF(OR(GZ$4="",$B40=""),0,SUMIF('DADOS BRUTOS'!$A$3:$A$500,$B40,'DADOS BRUTOS'!DZ$3:DZ$500)+IF($C40="",0,SUMIF('DADOS BRUTOS'!$A$3:$A$500,$C40,'DADOS BRUTOS'!DZ$3:DZ$500)))</f>
        <v>0</v>
      </c>
      <c r="HA40" s="133" t="n">
        <f aca="false">IF(OR(HA$4="",$B40=""),0,SUMIF('DADOS BRUTOS'!$A$3:$A$500,$B40,'DADOS BRUTOS'!EA$3:EA$500)+IF($C40="",0,SUMIF('DADOS BRUTOS'!$A$3:$A$500,$C40,'DADOS BRUTOS'!EA$3:EA$500)))</f>
        <v>0</v>
      </c>
      <c r="HB40" s="133" t="n">
        <f aca="false">IF(OR(HB$4="",$B40=""),0,SUMIF('DADOS BRUTOS'!$A$3:$A$500,$B40,'DADOS BRUTOS'!EB$3:EB$500)+IF($C40="",0,SUMIF('DADOS BRUTOS'!$A$3:$A$500,$C40,'DADOS BRUTOS'!EB$3:EB$500)))</f>
        <v>0</v>
      </c>
      <c r="HC40" s="133" t="n">
        <f aca="false">IF(OR(HC$4="",$B40=""),0,SUMIF('DADOS BRUTOS'!$A$3:$A$500,$B40,'DADOS BRUTOS'!EC$3:EC$500)+IF($C40="",0,SUMIF('DADOS BRUTOS'!$A$3:$A$500,$C40,'DADOS BRUTOS'!EC$3:EC$500)))</f>
        <v>0</v>
      </c>
      <c r="HD40" s="133" t="n">
        <f aca="false">IF(OR(HD$4="",$B40=""),0,SUMIF('DADOS BRUTOS'!$A$3:$A$500,$B40,'DADOS BRUTOS'!ED$3:ED$500)+IF($C40="",0,SUMIF('DADOS BRUTOS'!$A$3:$A$500,$C40,'DADOS BRUTOS'!ED$3:ED$500)))</f>
        <v>0</v>
      </c>
      <c r="HE40" s="133" t="n">
        <f aca="false">IF(OR(HE$4="",$B40=""),0,SUMIF('DADOS BRUTOS'!$A$3:$A$500,$B40,'DADOS BRUTOS'!EE$3:EE$500)+IF($C40="",0,SUMIF('DADOS BRUTOS'!$A$3:$A$500,$C40,'DADOS BRUTOS'!EE$3:EE$500)))</f>
        <v>0</v>
      </c>
      <c r="HF40" s="133" t="n">
        <f aca="false">IF(OR(HF$4="",$B40=""),0,SUMIF('DADOS BRUTOS'!$A$3:$A$500,$B40,'DADOS BRUTOS'!EF$3:EF$500)+IF($C40="",0,SUMIF('DADOS BRUTOS'!$A$3:$A$500,$C40,'DADOS BRUTOS'!EF$3:EF$500)))</f>
        <v>0</v>
      </c>
      <c r="HG40" s="133" t="n">
        <f aca="false">IF(OR(HG$4="",$B40=""),0,SUMIF('DADOS BRUTOS'!$A$3:$A$500,$B40,'DADOS BRUTOS'!EG$3:EG$500)+IF($C40="",0,SUMIF('DADOS BRUTOS'!$A$3:$A$500,$C40,'DADOS BRUTOS'!EG$3:EG$500)))</f>
        <v>0</v>
      </c>
      <c r="HH40" s="133" t="n">
        <f aca="false">IF(OR(HH$4="",$B40=""),0,SUMIF('DADOS BRUTOS'!$A$3:$A$500,$B40,'DADOS BRUTOS'!EH$3:EH$500)+IF($C40="",0,SUMIF('DADOS BRUTOS'!$A$3:$A$500,$C40,'DADOS BRUTOS'!EH$3:EH$500)))</f>
        <v>0</v>
      </c>
      <c r="HI40" s="133" t="n">
        <f aca="false">IF(OR(HI$4="",$B40=""),0,SUMIF('DADOS BRUTOS'!$A$3:$A$500,$B40,'DADOS BRUTOS'!EI$3:EI$500)+IF($C40="",0,SUMIF('DADOS BRUTOS'!$A$3:$A$500,$C40,'DADOS BRUTOS'!EI$3:EI$500)))</f>
        <v>0</v>
      </c>
      <c r="HJ40" s="133" t="n">
        <f aca="false">IF(OR(HJ$4="",$B40=""),0,SUMIF('DADOS BRUTOS'!$A$3:$A$500,$B40,'DADOS BRUTOS'!EJ$3:EJ$500)+IF($C40="",0,SUMIF('DADOS BRUTOS'!$A$3:$A$500,$C40,'DADOS BRUTOS'!EJ$3:EJ$500)))</f>
        <v>0</v>
      </c>
      <c r="HK40" s="133" t="n">
        <f aca="false">IF(OR(HK$4="",$B40=""),0,SUMIF('DADOS BRUTOS'!$A$3:$A$500,$B40,'DADOS BRUTOS'!EK$3:EK$500)+IF($C40="",0,SUMIF('DADOS BRUTOS'!$A$3:$A$500,$C40,'DADOS BRUTOS'!EK$3:EK$500)))</f>
        <v>0</v>
      </c>
      <c r="HL40" s="133" t="n">
        <f aca="false">IF(OR(HL$4="",$B40=""),0,SUMIF('DADOS BRUTOS'!$A$3:$A$500,$B40,'DADOS BRUTOS'!EL$3:EL$500)+IF($C40="",0,SUMIF('DADOS BRUTOS'!$A$3:$A$500,$C40,'DADOS BRUTOS'!EL$3:EL$500)))</f>
        <v>0</v>
      </c>
      <c r="HM40" s="133" t="n">
        <f aca="false">IF(OR(HM$4="",$B40=""),0,SUMIF('DADOS BRUTOS'!$A$3:$A$500,$B40,'DADOS BRUTOS'!EM$3:EM$500)+IF($C40="",0,SUMIF('DADOS BRUTOS'!$A$3:$A$500,$C40,'DADOS BRUTOS'!EM$3:EM$500)))</f>
        <v>0</v>
      </c>
      <c r="HN40" s="133" t="n">
        <f aca="false">IF(OR(HN$4="",$B40=""),0,SUMIF('DADOS BRUTOS'!$A$3:$A$500,$B40,'DADOS BRUTOS'!EN$3:EN$500)+IF($C40="",0,SUMIF('DADOS BRUTOS'!$A$3:$A$500,$C40,'DADOS BRUTOS'!EN$3:EN$500)))</f>
        <v>0</v>
      </c>
      <c r="HO40" s="133" t="n">
        <f aca="false">IF(OR(HO$4="",$B40=""),0,SUMIF('DADOS BRUTOS'!$A$3:$A$500,$B40,'DADOS BRUTOS'!EO$3:EO$500)+IF($C40="",0,SUMIF('DADOS BRUTOS'!$A$3:$A$500,$C40,'DADOS BRUTOS'!EO$3:EO$500)))</f>
        <v>0</v>
      </c>
      <c r="HP40" s="133" t="n">
        <f aca="false">IF(OR(HP$4="",$B40=""),0,SUMIF('DADOS BRUTOS'!$A$3:$A$500,$B40,'DADOS BRUTOS'!EP$3:EP$500)+IF($C40="",0,SUMIF('DADOS BRUTOS'!$A$3:$A$500,$C40,'DADOS BRUTOS'!EP$3:EP$500)))</f>
        <v>0</v>
      </c>
      <c r="HQ40" s="133" t="n">
        <f aca="false">IF(OR(HQ$4="",$B40=""),0,SUMIF('DADOS BRUTOS'!$A$3:$A$500,$B40,'DADOS BRUTOS'!EQ$3:EQ$500)+IF($C40="",0,SUMIF('DADOS BRUTOS'!$A$3:$A$500,$C40,'DADOS BRUTOS'!EQ$3:EQ$500)))</f>
        <v>0</v>
      </c>
      <c r="HR40" s="133" t="n">
        <f aca="false">IF(OR(HR$4="",$B40=""),0,SUMIF('DADOS BRUTOS'!$A$3:$A$500,$B40,'DADOS BRUTOS'!ER$3:ER$500)+IF($C40="",0,SUMIF('DADOS BRUTOS'!$A$3:$A$500,$C40,'DADOS BRUTOS'!ER$3:ER$500)))</f>
        <v>0</v>
      </c>
      <c r="HS40" s="133" t="n">
        <f aca="false">IF(OR(HS$4="",$B40=""),0,SUMIF('DADOS BRUTOS'!$A$3:$A$500,$B40,'DADOS BRUTOS'!ES$3:ES$500)+IF($C40="",0,SUMIF('DADOS BRUTOS'!$A$3:$A$500,$C40,'DADOS BRUTOS'!ES$3:ES$500)))</f>
        <v>0</v>
      </c>
      <c r="HT40" s="133" t="n">
        <f aca="false">IF(OR(HT$4="",$B40=""),0,SUMIF('DADOS BRUTOS'!$A$3:$A$500,$B40,'DADOS BRUTOS'!ET$3:ET$500)+IF($C40="",0,SUMIF('DADOS BRUTOS'!$A$3:$A$500,$C40,'DADOS BRUTOS'!ET$3:ET$500)))</f>
        <v>0</v>
      </c>
      <c r="HU40" s="133" t="n">
        <f aca="false">IF(OR(HU$4="",$B40=""),0,SUMIF('DADOS BRUTOS'!$A$3:$A$500,$B40,'DADOS BRUTOS'!EU$3:EU$500)+IF($C40="",0,SUMIF('DADOS BRUTOS'!$A$3:$A$500,$C40,'DADOS BRUTOS'!EU$3:EU$500)))</f>
        <v>0</v>
      </c>
      <c r="HV40" s="133" t="n">
        <f aca="false">IF(OR(HV$4="",$B40=""),0,SUMIF('DADOS BRUTOS'!$A$3:$A$500,$B40,'DADOS BRUTOS'!EV$3:EV$500)+IF($C40="",0,SUMIF('DADOS BRUTOS'!$A$3:$A$500,$C40,'DADOS BRUTOS'!EV$3:EV$500)))</f>
        <v>0</v>
      </c>
      <c r="HW40" s="133" t="n">
        <f aca="false">IF(OR(HW$4="",$B40=""),0,SUMIF('DADOS BRUTOS'!$A$3:$A$500,$B40,'DADOS BRUTOS'!EW$3:EW$500)+IF($C40="",0,SUMIF('DADOS BRUTOS'!$A$3:$A$500,$C40,'DADOS BRUTOS'!EW$3:EW$500)))</f>
        <v>0</v>
      </c>
      <c r="HX40" s="133" t="n">
        <f aca="false">IF(OR(HX$4="",$B40=""),0,SUMIF('DADOS BRUTOS'!$A$3:$A$500,$B40,'DADOS BRUTOS'!EX$3:EX$500)+IF($C40="",0,SUMIF('DADOS BRUTOS'!$A$3:$A$500,$C40,'DADOS BRUTOS'!EX$3:EX$500)))</f>
        <v>0</v>
      </c>
      <c r="HY40" s="133" t="n">
        <f aca="false">IF(OR(HY$4="",$B40=""),0,SUMIF('DADOS BRUTOS'!$A$3:$A$500,$B40,'DADOS BRUTOS'!EY$3:EY$500)+IF($C40="",0,SUMIF('DADOS BRUTOS'!$A$3:$A$500,$C40,'DADOS BRUTOS'!EY$3:EY$500)))</f>
        <v>0</v>
      </c>
      <c r="HZ40" s="133" t="n">
        <f aca="false">IF(OR(HZ$4="",$B40=""),0,SUMIF('DADOS BRUTOS'!$A$3:$A$500,$B40,'DADOS BRUTOS'!EZ$3:EZ$500)+IF($C40="",0,SUMIF('DADOS BRUTOS'!$A$3:$A$500,$C40,'DADOS BRUTOS'!EZ$3:EZ$500)))</f>
        <v>0</v>
      </c>
      <c r="IA40" s="133" t="n">
        <f aca="false">IF(OR(IA$4="",$B40=""),0,SUMIF('DADOS BRUTOS'!$A$3:$A$500,$B40,'DADOS BRUTOS'!FA$3:FA$500)+IF($C40="",0,SUMIF('DADOS BRUTOS'!$A$3:$A$500,$C40,'DADOS BRUTOS'!FA$3:FA$500)))</f>
        <v>0</v>
      </c>
      <c r="IB40" s="133" t="n">
        <f aca="false">IF(OR(IB$4="",$B40=""),0,SUMIF('DADOS BRUTOS'!$A$3:$A$500,$B40,'DADOS BRUTOS'!FB$3:FB$500)+IF($C40="",0,SUMIF('DADOS BRUTOS'!$A$3:$A$500,$C40,'DADOS BRUTOS'!FB$3:FB$500)))</f>
        <v>0</v>
      </c>
      <c r="IC40" s="133" t="n">
        <f aca="false">IF(OR(IC$4="",$B40=""),0,SUMIF('DADOS BRUTOS'!$A$3:$A$500,$B40,'DADOS BRUTOS'!FC$3:FC$500)+IF($C40="",0,SUMIF('DADOS BRUTOS'!$A$3:$A$500,$C40,'DADOS BRUTOS'!FC$3:FC$500)))</f>
        <v>0</v>
      </c>
      <c r="ID40" s="133" t="n">
        <f aca="false">IF(OR(ID$4="",$B40=""),0,SUMIF('DADOS BRUTOS'!$A$3:$A$500,$B40,'DADOS BRUTOS'!FD$3:FD$500)+IF($C40="",0,SUMIF('DADOS BRUTOS'!$A$3:$A$500,$C40,'DADOS BRUTOS'!FD$3:FD$500)))</f>
        <v>0</v>
      </c>
      <c r="IE40" s="133" t="n">
        <f aca="false">IF(OR(IE$4="",$B40=""),0,SUMIF('DADOS BRUTOS'!$A$3:$A$500,$B40,'DADOS BRUTOS'!FE$3:FE$500)+IF($C40="",0,SUMIF('DADOS BRUTOS'!$A$3:$A$500,$C40,'DADOS BRUTOS'!FE$3:FE$500)))</f>
        <v>0</v>
      </c>
      <c r="IF40" s="133" t="n">
        <f aca="false">IF(OR(IF$4="",$B40=""),0,SUMIF('DADOS BRUTOS'!$A$3:$A$500,$B40,'DADOS BRUTOS'!FF$3:FF$500)+IF($C40="",0,SUMIF('DADOS BRUTOS'!$A$3:$A$500,$C40,'DADOS BRUTOS'!FF$3:FF$500)))</f>
        <v>0</v>
      </c>
      <c r="IG40" s="133" t="n">
        <f aca="false">IF(OR(IG$4="",$B40=""),0,SUMIF('DADOS BRUTOS'!$A$3:$A$500,$B40,'DADOS BRUTOS'!FG$3:FG$500)+IF($C40="",0,SUMIF('DADOS BRUTOS'!$A$3:$A$500,$C40,'DADOS BRUTOS'!FG$3:FG$500)))</f>
        <v>0</v>
      </c>
      <c r="IH40" s="133" t="n">
        <f aca="false">IF(OR(IH$4="",$B40=""),0,SUMIF('DADOS BRUTOS'!$A$3:$A$500,$B40,'DADOS BRUTOS'!FH$3:FH$500)+IF($C40="",0,SUMIF('DADOS BRUTOS'!$A$3:$A$500,$C40,'DADOS BRUTOS'!FH$3:FH$500)))</f>
        <v>0</v>
      </c>
      <c r="II40" s="133" t="n">
        <f aca="false">IF(OR(II$4="",$B40=""),0,SUMIF('DADOS BRUTOS'!$A$3:$A$500,$B40,'DADOS BRUTOS'!FI$3:FI$500)+IF($C40="",0,SUMIF('DADOS BRUTOS'!$A$3:$A$500,$C40,'DADOS BRUTOS'!FI$3:FI$500)))</f>
        <v>0</v>
      </c>
      <c r="IJ40" s="133" t="n">
        <f aca="false">IF(OR(IJ$4="",$B40=""),0,SUMIF('DADOS BRUTOS'!$A$3:$A$500,$B40,'DADOS BRUTOS'!FJ$3:FJ$500)+IF($C40="",0,SUMIF('DADOS BRUTOS'!$A$3:$A$500,$C40,'DADOS BRUTOS'!FJ$3:FJ$500)))</f>
        <v>0</v>
      </c>
      <c r="IK40" s="133" t="n">
        <f aca="false">IF(OR(IK$4="",$B40=""),0,SUMIF('DADOS BRUTOS'!$A$3:$A$500,$B40,'DADOS BRUTOS'!FK$3:FK$500)+IF($C40="",0,SUMIF('DADOS BRUTOS'!$A$3:$A$500,$C40,'DADOS BRUTOS'!FK$3:FK$500)))</f>
        <v>0</v>
      </c>
      <c r="IL40" s="133" t="n">
        <f aca="false">IF(OR(IL$4="",$B40=""),0,SUMIF('DADOS BRUTOS'!$A$3:$A$500,$B40,'DADOS BRUTOS'!FL$3:FL$500)+IF($C40="",0,SUMIF('DADOS BRUTOS'!$A$3:$A$500,$C40,'DADOS BRUTOS'!FL$3:FL$500)))</f>
        <v>0</v>
      </c>
      <c r="IM40" s="133" t="n">
        <f aca="false">IF(OR(IM$4="",$B40=""),0,SUMIF('DADOS BRUTOS'!$A$3:$A$500,$B40,'DADOS BRUTOS'!FM$3:FM$500)+IF($C40="",0,SUMIF('DADOS BRUTOS'!$A$3:$A$500,$C40,'DADOS BRUTOS'!FM$3:FM$500)))</f>
        <v>0</v>
      </c>
      <c r="IN40" s="133" t="n">
        <f aca="false">IF(OR(IN$4="",$B40=""),0,SUMIF('DADOS BRUTOS'!$A$3:$A$500,$B40,'DADOS BRUTOS'!FN$3:FN$500)+IF($C40="",0,SUMIF('DADOS BRUTOS'!$A$3:$A$500,$C40,'DADOS BRUTOS'!FN$3:FN$500)))</f>
        <v>0</v>
      </c>
      <c r="IO40" s="133" t="n">
        <f aca="false">IF(OR(IO$4="",$B40=""),0,SUMIF('DADOS BRUTOS'!$A$3:$A$500,$B40,'DADOS BRUTOS'!FO$3:FO$500)+IF($C40="",0,SUMIF('DADOS BRUTOS'!$A$3:$A$500,$C40,'DADOS BRUTOS'!FO$3:FO$500)))</f>
        <v>0</v>
      </c>
      <c r="IP40" s="133" t="n">
        <f aca="false">IF(OR(IP$4="",$B40=""),0,SUMIF('DADOS BRUTOS'!$A$3:$A$500,$B40,'DADOS BRUTOS'!FP$3:FP$500)+IF($C40="",0,SUMIF('DADOS BRUTOS'!$A$3:$A$500,$C40,'DADOS BRUTOS'!FP$3:FP$500)))</f>
        <v>0</v>
      </c>
      <c r="IQ40" s="133" t="n">
        <f aca="false">IF(OR(IQ$4="",$B40=""),0,SUMIF('DADOS BRUTOS'!$A$3:$A$500,$B40,'DADOS BRUTOS'!FQ$3:FQ$500)+IF($C40="",0,SUMIF('DADOS BRUTOS'!$A$3:$A$500,$C40,'DADOS BRUTOS'!FQ$3:FQ$500)))</f>
        <v>0</v>
      </c>
      <c r="IR40" s="133" t="n">
        <f aca="false">IF(OR(IR$4="",$B40=""),0,SUMIF('DADOS BRUTOS'!$A$3:$A$500,$B40,'DADOS BRUTOS'!FR$3:FR$500)+IF($C40="",0,SUMIF('DADOS BRUTOS'!$A$3:$A$500,$C40,'DADOS BRUTOS'!FR$3:FR$500)))</f>
        <v>0</v>
      </c>
      <c r="IS40" s="133" t="n">
        <f aca="false">IF(OR(IS$4="",$B40=""),0,SUMIF('DADOS BRUTOS'!$A$3:$A$500,$B40,'DADOS BRUTOS'!FS$3:FS$500)+IF($C40="",0,SUMIF('DADOS BRUTOS'!$A$3:$A$500,$C40,'DADOS BRUTOS'!FS$3:FS$500)))</f>
        <v>0</v>
      </c>
      <c r="IT40" s="133" t="n">
        <f aca="false">IF(OR(IT$4="",$B40=""),0,SUMIF('DADOS BRUTOS'!$A$3:$A$500,$B40,'DADOS BRUTOS'!FT$3:FT$500)+IF($C40="",0,SUMIF('DADOS BRUTOS'!$A$3:$A$500,$C40,'DADOS BRUTOS'!FT$3:FT$500)))</f>
        <v>0</v>
      </c>
      <c r="IU40" s="133" t="n">
        <f aca="false">IF(OR(IU$4="",$B40=""),0,SUMIF('DADOS BRUTOS'!$A$3:$A$500,$B40,'DADOS BRUTOS'!FU$3:FU$500)+IF($C40="",0,SUMIF('DADOS BRUTOS'!$A$3:$A$500,$C40,'DADOS BRUTOS'!FU$3:FU$500)))</f>
        <v>0</v>
      </c>
      <c r="IV40" s="133" t="n">
        <f aca="false">IF(OR(IV$4="",$B40=""),0,SUMIF('DADOS BRUTOS'!$A$3:$A$500,$B40,'DADOS BRUTOS'!FV$3:FV$500)+IF($C40="",0,SUMIF('DADOS BRUTOS'!$A$3:$A$500,$C40,'DADOS BRUTOS'!FV$3:FV$500)))</f>
        <v>0</v>
      </c>
      <c r="IW40" s="133" t="n">
        <f aca="false">IF(OR(IW$4="",$B40=""),0,SUMIF('DADOS BRUTOS'!$A$3:$A$500,$B40,'DADOS BRUTOS'!FW$3:FW$500)+IF($C40="",0,SUMIF('DADOS BRUTOS'!$A$3:$A$500,$C40,'DADOS BRUTOS'!FW$3:FW$500)))</f>
        <v>0</v>
      </c>
      <c r="IX40" s="133" t="n">
        <f aca="false">IF(OR(IX$4="",$B40=""),0,SUMIF('DADOS BRUTOS'!$A$3:$A$500,$B40,'DADOS BRUTOS'!FX$3:FX$500)+IF($C40="",0,SUMIF('DADOS BRUTOS'!$A$3:$A$500,$C40,'DADOS BRUTOS'!FX$3:FX$500)))</f>
        <v>0</v>
      </c>
      <c r="IY40" s="133" t="n">
        <f aca="false">IF(OR(IY$4="",$B40=""),0,SUMIF('DADOS BRUTOS'!$A$3:$A$500,$B40,'DADOS BRUTOS'!FY$3:FY$500)+IF($C40="",0,SUMIF('DADOS BRUTOS'!$A$3:$A$500,$C40,'DADOS BRUTOS'!FY$3:FY$500)))</f>
        <v>0</v>
      </c>
      <c r="IZ40" s="133" t="n">
        <f aca="false">IF(OR(IZ$4="",$B40=""),0,SUMIF('DADOS BRUTOS'!$A$3:$A$500,$B40,'DADOS BRUTOS'!FZ$3:FZ$500)+IF($C40="",0,SUMIF('DADOS BRUTOS'!$A$3:$A$500,$C40,'DADOS BRUTOS'!FZ$3:FZ$500)))</f>
        <v>0</v>
      </c>
      <c r="JA40" s="133" t="n">
        <f aca="false">IF(OR(JA$4="",$B40=""),0,SUMIF('DADOS BRUTOS'!$A$3:$A$500,$B40,'DADOS BRUTOS'!GA$3:GA$500)+IF($C40="",0,SUMIF('DADOS BRUTOS'!$A$3:$A$500,$C40,'DADOS BRUTOS'!GA$3:GA$500)))</f>
        <v>0</v>
      </c>
      <c r="JB40" s="133" t="n">
        <f aca="false">IF(OR(JB$4="",$B40=""),0,SUMIF('DADOS BRUTOS'!$A$3:$A$500,$B40,'DADOS BRUTOS'!GB$3:GB$500)+IF($C40="",0,SUMIF('DADOS BRUTOS'!$A$3:$A$500,$C40,'DADOS BRUTOS'!GB$3:GB$500)))</f>
        <v>0</v>
      </c>
      <c r="JC40" s="133" t="n">
        <f aca="false">IF(OR(JC$4="",$B40=""),0,SUMIF('DADOS BRUTOS'!$A$3:$A$500,$B40,'DADOS BRUTOS'!GC$3:GC$500)+IF($C40="",0,SUMIF('DADOS BRUTOS'!$A$3:$A$500,$C40,'DADOS BRUTOS'!GC$3:GC$500)))</f>
        <v>0</v>
      </c>
      <c r="JD40" s="133" t="n">
        <f aca="false">IF(OR(JD$4="",$B40=""),0,SUMIF('DADOS BRUTOS'!$A$3:$A$500,$B40,'DADOS BRUTOS'!GD$3:GD$500)+IF($C40="",0,SUMIF('DADOS BRUTOS'!$A$3:$A$500,$C40,'DADOS BRUTOS'!GD$3:GD$500)))</f>
        <v>0</v>
      </c>
      <c r="JE40" s="133" t="n">
        <f aca="false">IF(OR(JE$4="",$B40=""),0,SUMIF('DADOS BRUTOS'!$A$3:$A$500,$B40,'DADOS BRUTOS'!GE$3:GE$500)+IF($C40="",0,SUMIF('DADOS BRUTOS'!$A$3:$A$500,$C40,'DADOS BRUTOS'!GE$3:GE$500)))</f>
        <v>0</v>
      </c>
      <c r="JF40" s="133" t="n">
        <f aca="false">IF(OR(JF$4="",$B40=""),0,SUMIF('DADOS BRUTOS'!$A$3:$A$500,$B40,'DADOS BRUTOS'!GF$3:GF$500)+IF($C40="",0,SUMIF('DADOS BRUTOS'!$A$3:$A$500,$C40,'DADOS BRUTOS'!GF$3:GF$500)))</f>
        <v>0</v>
      </c>
      <c r="JG40" s="133" t="n">
        <f aca="false">IF(OR(JG$4="",$B40=""),0,SUMIF('DADOS BRUTOS'!$A$3:$A$500,$B40,'DADOS BRUTOS'!GG$3:GG$500)+IF($C40="",0,SUMIF('DADOS BRUTOS'!$A$3:$A$500,$C40,'DADOS BRUTOS'!GG$3:GG$500)))</f>
        <v>0</v>
      </c>
      <c r="JH40" s="133" t="n">
        <f aca="false">IF(OR(JH$4="",$B40=""),0,SUMIF('DADOS BRUTOS'!$A$3:$A$500,$B40,'DADOS BRUTOS'!GH$3:GH$500)+IF($C40="",0,SUMIF('DADOS BRUTOS'!$A$3:$A$500,$C40,'DADOS BRUTOS'!GH$3:GH$500)))</f>
        <v>0</v>
      </c>
      <c r="JI40" s="133" t="n">
        <f aca="false">IF(OR(JI$4="",$B40=""),0,SUMIF('DADOS BRUTOS'!$A$3:$A$500,$B40,'DADOS BRUTOS'!GI$3:GI$500)+IF($C40="",0,SUMIF('DADOS BRUTOS'!$A$3:$A$500,$C40,'DADOS BRUTOS'!GI$3:GI$500)))</f>
        <v>0</v>
      </c>
      <c r="JJ40" s="133" t="n">
        <f aca="false">IF(OR(JJ$4="",$B40=""),0,SUMIF('DADOS BRUTOS'!$A$3:$A$500,$B40,'DADOS BRUTOS'!GJ$3:GJ$500)+IF($C40="",0,SUMIF('DADOS BRUTOS'!$A$3:$A$500,$C40,'DADOS BRUTOS'!GJ$3:GJ$500)))</f>
        <v>0</v>
      </c>
      <c r="JK40" s="133" t="n">
        <f aca="false">IF(OR(JK$4="",$B40=""),0,SUMIF('DADOS BRUTOS'!$A$3:$A$500,$B40,'DADOS BRUTOS'!GK$3:GK$500)+IF($C40="",0,SUMIF('DADOS BRUTOS'!$A$3:$A$500,$C40,'DADOS BRUTOS'!GK$3:GK$500)))</f>
        <v>0</v>
      </c>
      <c r="JL40" s="133" t="n">
        <f aca="false">IF(OR(JL$4="",$B40=""),0,SUMIF('DADOS BRUTOS'!$A$3:$A$500,$B40,'DADOS BRUTOS'!GL$3:GL$500)+IF($C40="",0,SUMIF('DADOS BRUTOS'!$A$3:$A$500,$C40,'DADOS BRUTOS'!GL$3:GL$500)))</f>
        <v>0</v>
      </c>
      <c r="JM40" s="133" t="n">
        <f aca="false">IF(OR(JM$4="",$B40=""),0,SUMIF('DADOS BRUTOS'!$A$3:$A$500,$B40,'DADOS BRUTOS'!GM$3:GM$500)+IF($C40="",0,SUMIF('DADOS BRUTOS'!$A$3:$A$500,$C40,'DADOS BRUTOS'!GM$3:GM$500)))</f>
        <v>0</v>
      </c>
      <c r="JN40" s="133" t="n">
        <f aca="false">IF(OR(JN$4="",$B40=""),0,SUMIF('DADOS BRUTOS'!$A$3:$A$500,$B40,'DADOS BRUTOS'!GN$3:GN$500)+IF($C40="",0,SUMIF('DADOS BRUTOS'!$A$3:$A$500,$C40,'DADOS BRUTOS'!GN$3:GN$500)))</f>
        <v>0</v>
      </c>
      <c r="JO40" s="133" t="n">
        <f aca="false">IF(OR(JO$4="",$B40=""),0,SUMIF('DADOS BRUTOS'!$A$3:$A$500,$B40,'DADOS BRUTOS'!GO$3:GO$500)+IF($C40="",0,SUMIF('DADOS BRUTOS'!$A$3:$A$500,$C40,'DADOS BRUTOS'!GO$3:GO$500)))</f>
        <v>0</v>
      </c>
      <c r="JP40" s="133" t="n">
        <f aca="false">IF(OR(JP$4="",$B40=""),0,SUMIF('DADOS BRUTOS'!$A$3:$A$500,$B40,'DADOS BRUTOS'!GP$3:GP$500)+IF($C40="",0,SUMIF('DADOS BRUTOS'!$A$3:$A$500,$C40,'DADOS BRUTOS'!GP$3:GP$500)))</f>
        <v>0</v>
      </c>
      <c r="JQ40" s="133" t="n">
        <f aca="false">IF(OR(JQ$4="",$B40=""),0,SUMIF('DADOS BRUTOS'!$A$3:$A$500,$B40,'DADOS BRUTOS'!GQ$3:GQ$500)+IF($C40="",0,SUMIF('DADOS BRUTOS'!$A$3:$A$500,$C40,'DADOS BRUTOS'!GQ$3:GQ$500)))</f>
        <v>0</v>
      </c>
      <c r="JR40" s="133" t="n">
        <f aca="false">IF(OR(JR$4="",$B40=""),0,SUMIF('DADOS BRUTOS'!$A$3:$A$500,$B40,'DADOS BRUTOS'!GR$3:GR$500)+IF($C40="",0,SUMIF('DADOS BRUTOS'!$A$3:$A$500,$C40,'DADOS BRUTOS'!GR$3:GR$500)))</f>
        <v>0</v>
      </c>
      <c r="JS40" s="133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231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3" t="n">
        <f aca="false">IF(OR(CB$4="",$B41=""),0,SUMIF('DADOS BRUTOS'!$A$3:$A$500,$B41,'DADOS BRUTOS'!B$3:B$500)+IF($C41="",0,SUMIF('DADOS BRUTOS'!$A$3:$A$500,$C41,'DADOS BRUTOS'!B$3:B$500)))</f>
        <v>0</v>
      </c>
      <c r="CC41" s="133" t="n">
        <f aca="false">IF(OR(CC$4="",$B41=""),0,SUMIF('DADOS BRUTOS'!$A$3:$A$500,$B41,'DADOS BRUTOS'!C$3:C$500)+IF($C41="",0,SUMIF('DADOS BRUTOS'!$A$3:$A$500,$C41,'DADOS BRUTOS'!C$3:C$500)))</f>
        <v>0</v>
      </c>
      <c r="CD41" s="133" t="n">
        <f aca="false">IF(OR(CD$4="",$B41=""),0,SUMIF('DADOS BRUTOS'!$A$3:$A$500,$B41,'DADOS BRUTOS'!D$3:D$500)+IF($C41="",0,SUMIF('DADOS BRUTOS'!$A$3:$A$500,$C41,'DADOS BRUTOS'!D$3:D$500)))</f>
        <v>0</v>
      </c>
      <c r="CE41" s="133" t="n">
        <f aca="false">IF(OR(CE$4="",$B41=""),0,SUMIF('DADOS BRUTOS'!$A$3:$A$500,$B41,'DADOS BRUTOS'!E$3:E$500)+IF($C41="",0,SUMIF('DADOS BRUTOS'!$A$3:$A$500,$C41,'DADOS BRUTOS'!E$3:E$500)))</f>
        <v>0</v>
      </c>
      <c r="CF41" s="133" t="n">
        <f aca="false">IF(OR(CF$4="",$B41=""),0,SUMIF('DADOS BRUTOS'!$A$3:$A$500,$B41,'DADOS BRUTOS'!F$3:F$500)+IF($C41="",0,SUMIF('DADOS BRUTOS'!$A$3:$A$500,$C41,'DADOS BRUTOS'!F$3:F$500)))</f>
        <v>0</v>
      </c>
      <c r="CG41" s="133" t="n">
        <f aca="false">IF(OR(CG$4="",$B41=""),0,SUMIF('DADOS BRUTOS'!$A$3:$A$500,$B41,'DADOS BRUTOS'!G$3:G$500)+IF($C41="",0,SUMIF('DADOS BRUTOS'!$A$3:$A$500,$C41,'DADOS BRUTOS'!G$3:G$500)))</f>
        <v>0</v>
      </c>
      <c r="CH41" s="133" t="n">
        <f aca="false">IF(OR(CH$4="",$B41=""),0,SUMIF('DADOS BRUTOS'!$A$3:$A$500,$B41,'DADOS BRUTOS'!H$3:H$500)+IF($C41="",0,SUMIF('DADOS BRUTOS'!$A$3:$A$500,$C41,'DADOS BRUTOS'!H$3:H$500)))</f>
        <v>0</v>
      </c>
      <c r="CI41" s="133" t="n">
        <f aca="false">IF(OR(CI$4="",$B41=""),0,SUMIF('DADOS BRUTOS'!$A$3:$A$500,$B41,'DADOS BRUTOS'!I$3:I$500)+IF($C41="",0,SUMIF('DADOS BRUTOS'!$A$3:$A$500,$C41,'DADOS BRUTOS'!I$3:I$500)))</f>
        <v>0</v>
      </c>
      <c r="CJ41" s="133" t="n">
        <f aca="false">IF(OR(CJ$4="",$B41=""),0,SUMIF('DADOS BRUTOS'!$A$3:$A$500,$B41,'DADOS BRUTOS'!J$3:J$500)+IF($C41="",0,SUMIF('DADOS BRUTOS'!$A$3:$A$500,$C41,'DADOS BRUTOS'!J$3:J$500)))</f>
        <v>0</v>
      </c>
      <c r="CK41" s="133" t="n">
        <f aca="false">IF(OR(CK$4="",$B41=""),0,SUMIF('DADOS BRUTOS'!$A$3:$A$500,$B41,'DADOS BRUTOS'!K$3:K$500)+IF($C41="",0,SUMIF('DADOS BRUTOS'!$A$3:$A$500,$C41,'DADOS BRUTOS'!K$3:K$500)))</f>
        <v>0</v>
      </c>
      <c r="CL41" s="133" t="n">
        <f aca="false">IF(OR(CL$4="",$B41=""),0,SUMIF('DADOS BRUTOS'!$A$3:$A$500,$B41,'DADOS BRUTOS'!L$3:L$500)+IF($C41="",0,SUMIF('DADOS BRUTOS'!$A$3:$A$500,$C41,'DADOS BRUTOS'!L$3:L$500)))</f>
        <v>0</v>
      </c>
      <c r="CM41" s="133" t="n">
        <f aca="false">IF(OR(CM$4="",$B41=""),0,SUMIF('DADOS BRUTOS'!$A$3:$A$500,$B41,'DADOS BRUTOS'!M$3:M$500)+IF($C41="",0,SUMIF('DADOS BRUTOS'!$A$3:$A$500,$C41,'DADOS BRUTOS'!M$3:M$500)))</f>
        <v>0</v>
      </c>
      <c r="CN41" s="133" t="n">
        <f aca="false">IF(OR(CN$4="",$B41=""),0,SUMIF('DADOS BRUTOS'!$A$3:$A$500,$B41,'DADOS BRUTOS'!N$3:N$500)+IF($C41="",0,SUMIF('DADOS BRUTOS'!$A$3:$A$500,$C41,'DADOS BRUTOS'!N$3:N$500)))</f>
        <v>0</v>
      </c>
      <c r="CO41" s="133" t="n">
        <f aca="false">IF(OR(CO$4="",$B41=""),0,SUMIF('DADOS BRUTOS'!$A$3:$A$500,$B41,'DADOS BRUTOS'!O$3:O$500)+IF($C41="",0,SUMIF('DADOS BRUTOS'!$A$3:$A$500,$C41,'DADOS BRUTOS'!O$3:O$500)))</f>
        <v>0</v>
      </c>
      <c r="CP41" s="133" t="n">
        <f aca="false">IF(OR(CP$4="",$B41=""),0,SUMIF('DADOS BRUTOS'!$A$3:$A$500,$B41,'DADOS BRUTOS'!P$3:P$500)+IF($C41="",0,SUMIF('DADOS BRUTOS'!$A$3:$A$500,$C41,'DADOS BRUTOS'!P$3:P$500)))</f>
        <v>0</v>
      </c>
      <c r="CQ41" s="133" t="n">
        <f aca="false">IF(OR(CQ$4="",$B41=""),0,SUMIF('DADOS BRUTOS'!$A$3:$A$500,$B41,'DADOS BRUTOS'!Q$3:Q$500)+IF($C41="",0,SUMIF('DADOS BRUTOS'!$A$3:$A$500,$C41,'DADOS BRUTOS'!Q$3:Q$500)))</f>
        <v>0</v>
      </c>
      <c r="CR41" s="133" t="n">
        <f aca="false">IF(OR(CR$4="",$B41=""),0,SUMIF('DADOS BRUTOS'!$A$3:$A$500,$B41,'DADOS BRUTOS'!R$3:R$500)+IF($C41="",0,SUMIF('DADOS BRUTOS'!$A$3:$A$500,$C41,'DADOS BRUTOS'!R$3:R$500)))</f>
        <v>0</v>
      </c>
      <c r="CS41" s="133" t="n">
        <f aca="false">IF(OR(CS$4="",$B41=""),0,SUMIF('DADOS BRUTOS'!$A$3:$A$500,$B41,'DADOS BRUTOS'!S$3:S$500)+IF($C41="",0,SUMIF('DADOS BRUTOS'!$A$3:$A$500,$C41,'DADOS BRUTOS'!S$3:S$500)))</f>
        <v>0</v>
      </c>
      <c r="CT41" s="133" t="n">
        <f aca="false">IF(OR(CT$4="",$B41=""),0,SUMIF('DADOS BRUTOS'!$A$3:$A$500,$B41,'DADOS BRUTOS'!T$3:T$500)+IF($C41="",0,SUMIF('DADOS BRUTOS'!$A$3:$A$500,$C41,'DADOS BRUTOS'!T$3:T$500)))</f>
        <v>0</v>
      </c>
      <c r="CU41" s="133" t="n">
        <f aca="false">IF(OR(CU$4="",$B41=""),0,SUMIF('DADOS BRUTOS'!$A$3:$A$500,$B41,'DADOS BRUTOS'!U$3:U$500)+IF($C41="",0,SUMIF('DADOS BRUTOS'!$A$3:$A$500,$C41,'DADOS BRUTOS'!U$3:U$500)))</f>
        <v>0</v>
      </c>
      <c r="CV41" s="133" t="n">
        <f aca="false">IF(OR(CV$4="",$B41=""),0,SUMIF('DADOS BRUTOS'!$A$3:$A$500,$B41,'DADOS BRUTOS'!V$3:V$500)+IF($C41="",0,SUMIF('DADOS BRUTOS'!$A$3:$A$500,$C41,'DADOS BRUTOS'!V$3:V$500)))</f>
        <v>0</v>
      </c>
      <c r="CW41" s="133" t="n">
        <f aca="false">IF(OR(CW$4="",$B41=""),0,SUMIF('DADOS BRUTOS'!$A$3:$A$500,$B41,'DADOS BRUTOS'!W$3:W$500)+IF($C41="",0,SUMIF('DADOS BRUTOS'!$A$3:$A$500,$C41,'DADOS BRUTOS'!W$3:W$500)))</f>
        <v>0</v>
      </c>
      <c r="CX41" s="133" t="n">
        <f aca="false">IF(OR(CX$4="",$B41=""),0,SUMIF('DADOS BRUTOS'!$A$3:$A$500,$B41,'DADOS BRUTOS'!X$3:X$500)+IF($C41="",0,SUMIF('DADOS BRUTOS'!$A$3:$A$500,$C41,'DADOS BRUTOS'!X$3:X$500)))</f>
        <v>0</v>
      </c>
      <c r="CY41" s="133" t="n">
        <f aca="false">IF(OR(CY$4="",$B41=""),0,SUMIF('DADOS BRUTOS'!$A$3:$A$500,$B41,'DADOS BRUTOS'!Y$3:Y$500)+IF($C41="",0,SUMIF('DADOS BRUTOS'!$A$3:$A$500,$C41,'DADOS BRUTOS'!Y$3:Y$500)))</f>
        <v>0</v>
      </c>
      <c r="CZ41" s="133" t="n">
        <f aca="false">IF(OR(CZ$4="",$B41=""),0,SUMIF('DADOS BRUTOS'!$A$3:$A$500,$B41,'DADOS BRUTOS'!Z$3:Z$500)+IF($C41="",0,SUMIF('DADOS BRUTOS'!$A$3:$A$500,$C41,'DADOS BRUTOS'!Z$3:Z$500)))</f>
        <v>0</v>
      </c>
      <c r="DA41" s="133" t="n">
        <f aca="false">IF(OR(DA$4="",$B41=""),0,SUMIF('DADOS BRUTOS'!$A$3:$A$500,$B41,'DADOS BRUTOS'!AA$3:AA$500)+IF($C41="",0,SUMIF('DADOS BRUTOS'!$A$3:$A$500,$C41,'DADOS BRUTOS'!AA$3:AA$500)))</f>
        <v>0</v>
      </c>
      <c r="DB41" s="133" t="n">
        <f aca="false">IF(OR(DB$4="",$B41=""),0,SUMIF('DADOS BRUTOS'!$A$3:$A$500,$B41,'DADOS BRUTOS'!AB$3:AB$500)+IF($C41="",0,SUMIF('DADOS BRUTOS'!$A$3:$A$500,$C41,'DADOS BRUTOS'!AB$3:AB$500)))</f>
        <v>0</v>
      </c>
      <c r="DC41" s="133" t="n">
        <f aca="false">IF(OR(DC$4="",$B41=""),0,SUMIF('DADOS BRUTOS'!$A$3:$A$500,$B41,'DADOS BRUTOS'!AC$3:AC$500)+IF($C41="",0,SUMIF('DADOS BRUTOS'!$A$3:$A$500,$C41,'DADOS BRUTOS'!AC$3:AC$500)))</f>
        <v>0</v>
      </c>
      <c r="DD41" s="133" t="n">
        <f aca="false">IF(OR(DD$4="",$B41=""),0,SUMIF('DADOS BRUTOS'!$A$3:$A$500,$B41,'DADOS BRUTOS'!AD$3:AD$500)+IF($C41="",0,SUMIF('DADOS BRUTOS'!$A$3:$A$500,$C41,'DADOS BRUTOS'!AD$3:AD$500)))</f>
        <v>0</v>
      </c>
      <c r="DE41" s="133" t="n">
        <f aca="false">IF(OR(DE$4="",$B41=""),0,SUMIF('DADOS BRUTOS'!$A$3:$A$500,$B41,'DADOS BRUTOS'!AE$3:AE$500)+IF($C41="",0,SUMIF('DADOS BRUTOS'!$A$3:$A$500,$C41,'DADOS BRUTOS'!AE$3:AE$500)))</f>
        <v>0</v>
      </c>
      <c r="DF41" s="133" t="n">
        <f aca="false">IF(OR(DF$4="",$B41=""),0,SUMIF('DADOS BRUTOS'!$A$3:$A$500,$B41,'DADOS BRUTOS'!AF$3:AF$500)+IF($C41="",0,SUMIF('DADOS BRUTOS'!$A$3:$A$500,$C41,'DADOS BRUTOS'!AF$3:AF$500)))</f>
        <v>0</v>
      </c>
      <c r="DG41" s="133" t="n">
        <f aca="false">IF(OR(DG$4="",$B41=""),0,SUMIF('DADOS BRUTOS'!$A$3:$A$500,$B41,'DADOS BRUTOS'!AG$3:AG$500)+IF($C41="",0,SUMIF('DADOS BRUTOS'!$A$3:$A$500,$C41,'DADOS BRUTOS'!AG$3:AG$500)))</f>
        <v>0</v>
      </c>
      <c r="DH41" s="133" t="n">
        <f aca="false">IF(OR(DH$4="",$B41=""),0,SUMIF('DADOS BRUTOS'!$A$3:$A$500,$B41,'DADOS BRUTOS'!AH$3:AH$500)+IF($C41="",0,SUMIF('DADOS BRUTOS'!$A$3:$A$500,$C41,'DADOS BRUTOS'!AH$3:AH$500)))</f>
        <v>0</v>
      </c>
      <c r="DI41" s="133" t="n">
        <f aca="false">IF(OR(DI$4="",$B41=""),0,SUMIF('DADOS BRUTOS'!$A$3:$A$500,$B41,'DADOS BRUTOS'!AI$3:AI$500)+IF($C41="",0,SUMIF('DADOS BRUTOS'!$A$3:$A$500,$C41,'DADOS BRUTOS'!AI$3:AI$500)))</f>
        <v>0</v>
      </c>
      <c r="DJ41" s="133" t="n">
        <f aca="false">IF(OR(DJ$4="",$B41=""),0,SUMIF('DADOS BRUTOS'!$A$3:$A$500,$B41,'DADOS BRUTOS'!AJ$3:AJ$500)+IF($C41="",0,SUMIF('DADOS BRUTOS'!$A$3:$A$500,$C41,'DADOS BRUTOS'!AJ$3:AJ$500)))</f>
        <v>0</v>
      </c>
      <c r="DK41" s="133" t="n">
        <f aca="false">IF(OR(DK$4="",$B41=""),0,SUMIF('DADOS BRUTOS'!$A$3:$A$500,$B41,'DADOS BRUTOS'!AK$3:AK$500)+IF($C41="",0,SUMIF('DADOS BRUTOS'!$A$3:$A$500,$C41,'DADOS BRUTOS'!AK$3:AK$500)))</f>
        <v>0</v>
      </c>
      <c r="DL41" s="133" t="n">
        <f aca="false">IF(OR(DL$4="",$B41=""),0,SUMIF('DADOS BRUTOS'!$A$3:$A$500,$B41,'DADOS BRUTOS'!AL$3:AL$500)+IF($C41="",0,SUMIF('DADOS BRUTOS'!$A$3:$A$500,$C41,'DADOS BRUTOS'!AL$3:AL$500)))</f>
        <v>0</v>
      </c>
      <c r="DM41" s="133" t="n">
        <f aca="false">IF(OR(DM$4="",$B41=""),0,SUMIF('DADOS BRUTOS'!$A$3:$A$500,$B41,'DADOS BRUTOS'!AM$3:AM$500)+IF($C41="",0,SUMIF('DADOS BRUTOS'!$A$3:$A$500,$C41,'DADOS BRUTOS'!AM$3:AM$500)))</f>
        <v>0</v>
      </c>
      <c r="DN41" s="133" t="n">
        <f aca="false">IF(OR(DN$4="",$B41=""),0,SUMIF('DADOS BRUTOS'!$A$3:$A$500,$B41,'DADOS BRUTOS'!AN$3:AN$500)+IF($C41="",0,SUMIF('DADOS BRUTOS'!$A$3:$A$500,$C41,'DADOS BRUTOS'!AN$3:AN$500)))</f>
        <v>0</v>
      </c>
      <c r="DO41" s="133" t="n">
        <f aca="false">IF(OR(DO$4="",$B41=""),0,SUMIF('DADOS BRUTOS'!$A$3:$A$500,$B41,'DADOS BRUTOS'!AO$3:AO$500)+IF($C41="",0,SUMIF('DADOS BRUTOS'!$A$3:$A$500,$C41,'DADOS BRUTOS'!AO$3:AO$500)))</f>
        <v>0</v>
      </c>
      <c r="DP41" s="133" t="n">
        <f aca="false">IF(OR(DP$4="",$B41=""),0,SUMIF('DADOS BRUTOS'!$A$3:$A$500,$B41,'DADOS BRUTOS'!AP$3:AP$500)+IF($C41="",0,SUMIF('DADOS BRUTOS'!$A$3:$A$500,$C41,'DADOS BRUTOS'!AP$3:AP$500)))</f>
        <v>0</v>
      </c>
      <c r="DQ41" s="133" t="n">
        <f aca="false">IF(OR(DQ$4="",$B41=""),0,SUMIF('DADOS BRUTOS'!$A$3:$A$500,$B41,'DADOS BRUTOS'!AQ$3:AQ$500)+IF($C41="",0,SUMIF('DADOS BRUTOS'!$A$3:$A$500,$C41,'DADOS BRUTOS'!AQ$3:AQ$500)))</f>
        <v>0</v>
      </c>
      <c r="DR41" s="133" t="n">
        <f aca="false">IF(OR(DR$4="",$B41=""),0,SUMIF('DADOS BRUTOS'!$A$3:$A$500,$B41,'DADOS BRUTOS'!AR$3:AR$500)+IF($C41="",0,SUMIF('DADOS BRUTOS'!$A$3:$A$500,$C41,'DADOS BRUTOS'!AR$3:AR$500)))</f>
        <v>0</v>
      </c>
      <c r="DS41" s="133" t="n">
        <f aca="false">IF(OR(DS$4="",$B41=""),0,SUMIF('DADOS BRUTOS'!$A$3:$A$500,$B41,'DADOS BRUTOS'!AS$3:AS$500)+IF($C41="",0,SUMIF('DADOS BRUTOS'!$A$3:$A$500,$C41,'DADOS BRUTOS'!AS$3:AS$500)))</f>
        <v>0</v>
      </c>
      <c r="DT41" s="133" t="n">
        <f aca="false">IF(OR(DT$4="",$B41=""),0,SUMIF('DADOS BRUTOS'!$A$3:$A$500,$B41,'DADOS BRUTOS'!AT$3:AT$500)+IF($C41="",0,SUMIF('DADOS BRUTOS'!$A$3:$A$500,$C41,'DADOS BRUTOS'!AT$3:AT$500)))</f>
        <v>0</v>
      </c>
      <c r="DU41" s="133" t="n">
        <f aca="false">IF(OR(DU$4="",$B41=""),0,SUMIF('DADOS BRUTOS'!$A$3:$A$500,$B41,'DADOS BRUTOS'!AU$3:AU$500)+IF($C41="",0,SUMIF('DADOS BRUTOS'!$A$3:$A$500,$C41,'DADOS BRUTOS'!AU$3:AU$500)))</f>
        <v>0</v>
      </c>
      <c r="DV41" s="133" t="n">
        <f aca="false">IF(OR(DV$4="",$B41=""),0,SUMIF('DADOS BRUTOS'!$A$3:$A$500,$B41,'DADOS BRUTOS'!AV$3:AV$500)+IF($C41="",0,SUMIF('DADOS BRUTOS'!$A$3:$A$500,$C41,'DADOS BRUTOS'!AV$3:AV$500)))</f>
        <v>0</v>
      </c>
      <c r="DW41" s="133" t="n">
        <f aca="false">IF(OR(DW$4="",$B41=""),0,SUMIF('DADOS BRUTOS'!$A$3:$A$500,$B41,'DADOS BRUTOS'!AW$3:AW$500)+IF($C41="",0,SUMIF('DADOS BRUTOS'!$A$3:$A$500,$C41,'DADOS BRUTOS'!AW$3:AW$500)))</f>
        <v>0</v>
      </c>
      <c r="DX41" s="133" t="n">
        <f aca="false">IF(OR(DX$4="",$B41=""),0,SUMIF('DADOS BRUTOS'!$A$3:$A$500,$B41,'DADOS BRUTOS'!AX$3:AX$500)+IF($C41="",0,SUMIF('DADOS BRUTOS'!$A$3:$A$500,$C41,'DADOS BRUTOS'!AX$3:AX$500)))</f>
        <v>0</v>
      </c>
      <c r="DY41" s="133" t="n">
        <f aca="false">IF(OR(DY$4="",$B41=""),0,SUMIF('DADOS BRUTOS'!$A$3:$A$500,$B41,'DADOS BRUTOS'!AY$3:AY$500)+IF($C41="",0,SUMIF('DADOS BRUTOS'!$A$3:$A$500,$C41,'DADOS BRUTOS'!AY$3:AY$500)))</f>
        <v>0</v>
      </c>
      <c r="DZ41" s="133" t="n">
        <f aca="false">IF(OR(DZ$4="",$B41=""),0,SUMIF('DADOS BRUTOS'!$A$3:$A$500,$B41,'DADOS BRUTOS'!AZ$3:AZ$500)+IF($C41="",0,SUMIF('DADOS BRUTOS'!$A$3:$A$500,$C41,'DADOS BRUTOS'!AZ$3:AZ$500)))</f>
        <v>0</v>
      </c>
      <c r="EA41" s="133" t="n">
        <f aca="false">IF(OR(EA$4="",$B41=""),0,SUMIF('DADOS BRUTOS'!$A$3:$A$500,$B41,'DADOS BRUTOS'!BA$3:BA$500)+IF($C41="",0,SUMIF('DADOS BRUTOS'!$A$3:$A$500,$C41,'DADOS BRUTOS'!BA$3:BA$500)))</f>
        <v>0</v>
      </c>
      <c r="EB41" s="133" t="n">
        <f aca="false">IF(OR(EB$4="",$B41=""),0,SUMIF('DADOS BRUTOS'!$A$3:$A$500,$B41,'DADOS BRUTOS'!BB$3:BB$500)+IF($C41="",0,SUMIF('DADOS BRUTOS'!$A$3:$A$500,$C41,'DADOS BRUTOS'!BB$3:BB$500)))</f>
        <v>0</v>
      </c>
      <c r="EC41" s="133" t="n">
        <f aca="false">IF(OR(EC$4="",$B41=""),0,SUMIF('DADOS BRUTOS'!$A$3:$A$500,$B41,'DADOS BRUTOS'!BC$3:BC$500)+IF($C41="",0,SUMIF('DADOS BRUTOS'!$A$3:$A$500,$C41,'DADOS BRUTOS'!BC$3:BC$500)))</f>
        <v>0</v>
      </c>
      <c r="ED41" s="133" t="n">
        <f aca="false">IF(OR(ED$4="",$B41=""),0,SUMIF('DADOS BRUTOS'!$A$3:$A$500,$B41,'DADOS BRUTOS'!BD$3:BD$500)+IF($C41="",0,SUMIF('DADOS BRUTOS'!$A$3:$A$500,$C41,'DADOS BRUTOS'!BD$3:BD$500)))</f>
        <v>0</v>
      </c>
      <c r="EE41" s="133" t="n">
        <f aca="false">IF(OR(EE$4="",$B41=""),0,SUMIF('DADOS BRUTOS'!$A$3:$A$500,$B41,'DADOS BRUTOS'!BE$3:BE$500)+IF($C41="",0,SUMIF('DADOS BRUTOS'!$A$3:$A$500,$C41,'DADOS BRUTOS'!BE$3:BE$500)))</f>
        <v>0</v>
      </c>
      <c r="EF41" s="133" t="n">
        <f aca="false">IF(OR(EF$4="",$B41=""),0,SUMIF('DADOS BRUTOS'!$A$3:$A$500,$B41,'DADOS BRUTOS'!BF$3:BF$500)+IF($C41="",0,SUMIF('DADOS BRUTOS'!$A$3:$A$500,$C41,'DADOS BRUTOS'!BF$3:BF$500)))</f>
        <v>0</v>
      </c>
      <c r="EG41" s="133" t="n">
        <f aca="false">IF(OR(EG$4="",$B41=""),0,SUMIF('DADOS BRUTOS'!$A$3:$A$500,$B41,'DADOS BRUTOS'!BG$3:BG$500)+IF($C41="",0,SUMIF('DADOS BRUTOS'!$A$3:$A$500,$C41,'DADOS BRUTOS'!BG$3:BG$500)))</f>
        <v>0</v>
      </c>
      <c r="EH41" s="133" t="n">
        <f aca="false">IF(OR(EH$4="",$B41=""),0,SUMIF('DADOS BRUTOS'!$A$3:$A$500,$B41,'DADOS BRUTOS'!BH$3:BH$500)+IF($C41="",0,SUMIF('DADOS BRUTOS'!$A$3:$A$500,$C41,'DADOS BRUTOS'!BH$3:BH$500)))</f>
        <v>0</v>
      </c>
      <c r="EI41" s="133" t="n">
        <f aca="false">IF(OR(EI$4="",$B41=""),0,SUMIF('DADOS BRUTOS'!$A$3:$A$500,$B41,'DADOS BRUTOS'!BI$3:BI$500)+IF($C41="",0,SUMIF('DADOS BRUTOS'!$A$3:$A$500,$C41,'DADOS BRUTOS'!BI$3:BI$500)))</f>
        <v>0</v>
      </c>
      <c r="EJ41" s="133" t="n">
        <f aca="false">IF(OR(EJ$4="",$B41=""),0,SUMIF('DADOS BRUTOS'!$A$3:$A$500,$B41,'DADOS BRUTOS'!BJ$3:BJ$500)+IF($C41="",0,SUMIF('DADOS BRUTOS'!$A$3:$A$500,$C41,'DADOS BRUTOS'!BJ$3:BJ$500)))</f>
        <v>0</v>
      </c>
      <c r="EK41" s="133" t="n">
        <f aca="false">IF(OR(EK$4="",$B41=""),0,SUMIF('DADOS BRUTOS'!$A$3:$A$500,$B41,'DADOS BRUTOS'!BK$3:BK$500)+IF($C41="",0,SUMIF('DADOS BRUTOS'!$A$3:$A$500,$C41,'DADOS BRUTOS'!BK$3:BK$500)))</f>
        <v>0</v>
      </c>
      <c r="EL41" s="133" t="n">
        <f aca="false">IF(OR(EL$4="",$B41=""),0,SUMIF('DADOS BRUTOS'!$A$3:$A$500,$B41,'DADOS BRUTOS'!BL$3:BL$500)+IF($C41="",0,SUMIF('DADOS BRUTOS'!$A$3:$A$500,$C41,'DADOS BRUTOS'!BL$3:BL$500)))</f>
        <v>0</v>
      </c>
      <c r="EM41" s="133" t="n">
        <f aca="false">IF(OR(EM$4="",$B41=""),0,SUMIF('DADOS BRUTOS'!$A$3:$A$500,$B41,'DADOS BRUTOS'!BM$3:BM$500)+IF($C41="",0,SUMIF('DADOS BRUTOS'!$A$3:$A$500,$C41,'DADOS BRUTOS'!BM$3:BM$500)))</f>
        <v>0</v>
      </c>
      <c r="EN41" s="133" t="n">
        <f aca="false">IF(OR(EN$4="",$B41=""),0,SUMIF('DADOS BRUTOS'!$A$3:$A$500,$B41,'DADOS BRUTOS'!BN$3:BN$500)+IF($C41="",0,SUMIF('DADOS BRUTOS'!$A$3:$A$500,$C41,'DADOS BRUTOS'!BN$3:BN$500)))</f>
        <v>0</v>
      </c>
      <c r="EO41" s="133" t="n">
        <f aca="false">IF(OR(EO$4="",$B41=""),0,SUMIF('DADOS BRUTOS'!$A$3:$A$500,$B41,'DADOS BRUTOS'!BO$3:BO$500)+IF($C41="",0,SUMIF('DADOS BRUTOS'!$A$3:$A$500,$C41,'DADOS BRUTOS'!BO$3:BO$500)))</f>
        <v>0</v>
      </c>
      <c r="EP41" s="133" t="n">
        <f aca="false">IF(OR(EP$4="",$B41=""),0,SUMIF('DADOS BRUTOS'!$A$3:$A$500,$B41,'DADOS BRUTOS'!BP$3:BP$500)+IF($C41="",0,SUMIF('DADOS BRUTOS'!$A$3:$A$500,$C41,'DADOS BRUTOS'!BP$3:BP$500)))</f>
        <v>0</v>
      </c>
      <c r="EQ41" s="133" t="n">
        <f aca="false">IF(OR(EQ$4="",$B41=""),0,SUMIF('DADOS BRUTOS'!$A$3:$A$500,$B41,'DADOS BRUTOS'!BQ$3:BQ$500)+IF($C41="",0,SUMIF('DADOS BRUTOS'!$A$3:$A$500,$C41,'DADOS BRUTOS'!BQ$3:BQ$500)))</f>
        <v>0</v>
      </c>
      <c r="ER41" s="133" t="n">
        <f aca="false">IF(OR(ER$4="",$B41=""),0,SUMIF('DADOS BRUTOS'!$A$3:$A$500,$B41,'DADOS BRUTOS'!BR$3:BR$500)+IF($C41="",0,SUMIF('DADOS BRUTOS'!$A$3:$A$500,$C41,'DADOS BRUTOS'!BR$3:BR$500)))</f>
        <v>0</v>
      </c>
      <c r="ES41" s="133" t="n">
        <f aca="false">IF(OR(ES$4="",$B41=""),0,SUMIF('DADOS BRUTOS'!$A$3:$A$500,$B41,'DADOS BRUTOS'!BS$3:BS$500)+IF($C41="",0,SUMIF('DADOS BRUTOS'!$A$3:$A$500,$C41,'DADOS BRUTOS'!BS$3:BS$500)))</f>
        <v>0</v>
      </c>
      <c r="ET41" s="133" t="n">
        <f aca="false">IF(OR(ET$4="",$B41=""),0,SUMIF('DADOS BRUTOS'!$A$3:$A$500,$B41,'DADOS BRUTOS'!BT$3:BT$500)+IF($C41="",0,SUMIF('DADOS BRUTOS'!$A$3:$A$500,$C41,'DADOS BRUTOS'!BT$3:BT$500)))</f>
        <v>0</v>
      </c>
      <c r="EU41" s="133" t="n">
        <f aca="false">IF(OR(EU$4="",$B41=""),0,SUMIF('DADOS BRUTOS'!$A$3:$A$500,$B41,'DADOS BRUTOS'!BU$3:BU$500)+IF($C41="",0,SUMIF('DADOS BRUTOS'!$A$3:$A$500,$C41,'DADOS BRUTOS'!BU$3:BU$500)))</f>
        <v>0</v>
      </c>
      <c r="EV41" s="133" t="n">
        <f aca="false">IF(OR(EV$4="",$B41=""),0,SUMIF('DADOS BRUTOS'!$A$3:$A$500,$B41,'DADOS BRUTOS'!BV$3:BV$500)+IF($C41="",0,SUMIF('DADOS BRUTOS'!$A$3:$A$500,$C41,'DADOS BRUTOS'!BV$3:BV$500)))</f>
        <v>0</v>
      </c>
      <c r="EW41" s="133" t="n">
        <f aca="false">IF(OR(EW$4="",$B41=""),0,SUMIF('DADOS BRUTOS'!$A$3:$A$500,$B41,'DADOS BRUTOS'!BW$3:BW$500)+IF($C41="",0,SUMIF('DADOS BRUTOS'!$A$3:$A$500,$C41,'DADOS BRUTOS'!BW$3:BW$500)))</f>
        <v>0</v>
      </c>
      <c r="EX41" s="133" t="n">
        <f aca="false">IF(OR(EX$4="",$B41=""),0,SUMIF('DADOS BRUTOS'!$A$3:$A$500,$B41,'DADOS BRUTOS'!BX$3:BX$500)+IF($C41="",0,SUMIF('DADOS BRUTOS'!$A$3:$A$500,$C41,'DADOS BRUTOS'!BX$3:BX$500)))</f>
        <v>0</v>
      </c>
      <c r="EY41" s="133" t="n">
        <f aca="false">IF(OR(EY$4="",$B41=""),0,SUMIF('DADOS BRUTOS'!$A$3:$A$500,$B41,'DADOS BRUTOS'!BY$3:BY$500)+IF($C41="",0,SUMIF('DADOS BRUTOS'!$A$3:$A$500,$C41,'DADOS BRUTOS'!BY$3:BY$500)))</f>
        <v>0</v>
      </c>
      <c r="EZ41" s="133" t="n">
        <f aca="false">IF(OR(EZ$4="",$B41=""),0,SUMIF('DADOS BRUTOS'!$A$3:$A$500,$B41,'DADOS BRUTOS'!BZ$3:BZ$500)+IF($C41="",0,SUMIF('DADOS BRUTOS'!$A$3:$A$500,$C41,'DADOS BRUTOS'!BZ$3:BZ$500)))</f>
        <v>0</v>
      </c>
      <c r="FA41" s="133" t="n">
        <f aca="false">IF(OR(FA$4="",$B41=""),0,SUMIF('DADOS BRUTOS'!$A$3:$A$500,$B41,'DADOS BRUTOS'!CA$3:CA$500)+IF($C41="",0,SUMIF('DADOS BRUTOS'!$A$3:$A$500,$C41,'DADOS BRUTOS'!CA$3:CA$500)))</f>
        <v>0</v>
      </c>
      <c r="FB41" s="133" t="n">
        <f aca="false">IF(OR(FB$4="",$B41=""),0,SUMIF('DADOS BRUTOS'!$A$3:$A$500,$B41,'DADOS BRUTOS'!CB$3:CB$500)+IF($C41="",0,SUMIF('DADOS BRUTOS'!$A$3:$A$500,$C41,'DADOS BRUTOS'!CB$3:CB$500)))</f>
        <v>0</v>
      </c>
      <c r="FC41" s="133" t="n">
        <f aca="false">IF(OR(FC$4="",$B41=""),0,SUMIF('DADOS BRUTOS'!$A$3:$A$500,$B41,'DADOS BRUTOS'!CC$3:CC$500)+IF($C41="",0,SUMIF('DADOS BRUTOS'!$A$3:$A$500,$C41,'DADOS BRUTOS'!CC$3:CC$500)))</f>
        <v>0</v>
      </c>
      <c r="FD41" s="133" t="n">
        <f aca="false">IF(OR(FD$4="",$B41=""),0,SUMIF('DADOS BRUTOS'!$A$3:$A$500,$B41,'DADOS BRUTOS'!CD$3:CD$500)+IF($C41="",0,SUMIF('DADOS BRUTOS'!$A$3:$A$500,$C41,'DADOS BRUTOS'!CD$3:CD$500)))</f>
        <v>0</v>
      </c>
      <c r="FE41" s="133" t="n">
        <f aca="false">IF(OR(FE$4="",$B41=""),0,SUMIF('DADOS BRUTOS'!$A$3:$A$500,$B41,'DADOS BRUTOS'!CE$3:CE$500)+IF($C41="",0,SUMIF('DADOS BRUTOS'!$A$3:$A$500,$C41,'DADOS BRUTOS'!CE$3:CE$500)))</f>
        <v>0</v>
      </c>
      <c r="FF41" s="133" t="n">
        <f aca="false">IF(OR(FF$4="",$B41=""),0,SUMIF('DADOS BRUTOS'!$A$3:$A$500,$B41,'DADOS BRUTOS'!CF$3:CF$500)+IF($C41="",0,SUMIF('DADOS BRUTOS'!$A$3:$A$500,$C41,'DADOS BRUTOS'!CF$3:CF$500)))</f>
        <v>0</v>
      </c>
      <c r="FG41" s="133" t="n">
        <f aca="false">IF(OR(FG$4="",$B41=""),0,SUMIF('DADOS BRUTOS'!$A$3:$A$500,$B41,'DADOS BRUTOS'!CG$3:CG$500)+IF($C41="",0,SUMIF('DADOS BRUTOS'!$A$3:$A$500,$C41,'DADOS BRUTOS'!CG$3:CG$500)))</f>
        <v>0</v>
      </c>
      <c r="FH41" s="133" t="n">
        <f aca="false">IF(OR(FH$4="",$B41=""),0,SUMIF('DADOS BRUTOS'!$A$3:$A$500,$B41,'DADOS BRUTOS'!CH$3:CH$500)+IF($C41="",0,SUMIF('DADOS BRUTOS'!$A$3:$A$500,$C41,'DADOS BRUTOS'!CH$3:CH$500)))</f>
        <v>0</v>
      </c>
      <c r="FI41" s="133" t="n">
        <f aca="false">IF(OR(FI$4="",$B41=""),0,SUMIF('DADOS BRUTOS'!$A$3:$A$500,$B41,'DADOS BRUTOS'!CI$3:CI$500)+IF($C41="",0,SUMIF('DADOS BRUTOS'!$A$3:$A$500,$C41,'DADOS BRUTOS'!CI$3:CI$500)))</f>
        <v>0</v>
      </c>
      <c r="FJ41" s="133" t="n">
        <f aca="false">IF(OR(FJ$4="",$B41=""),0,SUMIF('DADOS BRUTOS'!$A$3:$A$500,$B41,'DADOS BRUTOS'!CJ$3:CJ$500)+IF($C41="",0,SUMIF('DADOS BRUTOS'!$A$3:$A$500,$C41,'DADOS BRUTOS'!CJ$3:CJ$500)))</f>
        <v>0</v>
      </c>
      <c r="FK41" s="133" t="n">
        <f aca="false">IF(OR(FK$4="",$B41=""),0,SUMIF('DADOS BRUTOS'!$A$3:$A$500,$B41,'DADOS BRUTOS'!CK$3:CK$500)+IF($C41="",0,SUMIF('DADOS BRUTOS'!$A$3:$A$500,$C41,'DADOS BRUTOS'!CK$3:CK$500)))</f>
        <v>0</v>
      </c>
      <c r="FL41" s="133" t="n">
        <f aca="false">IF(OR(FL$4="",$B41=""),0,SUMIF('DADOS BRUTOS'!$A$3:$A$500,$B41,'DADOS BRUTOS'!CL$3:CL$500)+IF($C41="",0,SUMIF('DADOS BRUTOS'!$A$3:$A$500,$C41,'DADOS BRUTOS'!CL$3:CL$500)))</f>
        <v>0</v>
      </c>
      <c r="FM41" s="133" t="n">
        <f aca="false">IF(OR(FM$4="",$B41=""),0,SUMIF('DADOS BRUTOS'!$A$3:$A$500,$B41,'DADOS BRUTOS'!CM$3:CM$500)+IF($C41="",0,SUMIF('DADOS BRUTOS'!$A$3:$A$500,$C41,'DADOS BRUTOS'!CM$3:CM$500)))</f>
        <v>0</v>
      </c>
      <c r="FN41" s="133" t="n">
        <f aca="false">IF(OR(FN$4="",$B41=""),0,SUMIF('DADOS BRUTOS'!$A$3:$A$500,$B41,'DADOS BRUTOS'!CN$3:CN$500)+IF($C41="",0,SUMIF('DADOS BRUTOS'!$A$3:$A$500,$C41,'DADOS BRUTOS'!CN$3:CN$500)))</f>
        <v>0</v>
      </c>
      <c r="FO41" s="133" t="n">
        <f aca="false">IF(OR(FO$4="",$B41=""),0,SUMIF('DADOS BRUTOS'!$A$3:$A$500,$B41,'DADOS BRUTOS'!CO$3:CO$500)+IF($C41="",0,SUMIF('DADOS BRUTOS'!$A$3:$A$500,$C41,'DADOS BRUTOS'!CO$3:CO$500)))</f>
        <v>0</v>
      </c>
      <c r="FP41" s="133" t="n">
        <f aca="false">IF(OR(FP$4="",$B41=""),0,SUMIF('DADOS BRUTOS'!$A$3:$A$500,$B41,'DADOS BRUTOS'!CP$3:CP$500)+IF($C41="",0,SUMIF('DADOS BRUTOS'!$A$3:$A$500,$C41,'DADOS BRUTOS'!CP$3:CP$500)))</f>
        <v>0</v>
      </c>
      <c r="FQ41" s="133" t="n">
        <f aca="false">IF(OR(FQ$4="",$B41=""),0,SUMIF('DADOS BRUTOS'!$A$3:$A$500,$B41,'DADOS BRUTOS'!CQ$3:CQ$500)+IF($C41="",0,SUMIF('DADOS BRUTOS'!$A$3:$A$500,$C41,'DADOS BRUTOS'!CQ$3:CQ$500)))</f>
        <v>0</v>
      </c>
      <c r="FR41" s="133" t="n">
        <f aca="false">IF(OR(FR$4="",$B41=""),0,SUMIF('DADOS BRUTOS'!$A$3:$A$500,$B41,'DADOS BRUTOS'!CR$3:CR$500)+IF($C41="",0,SUMIF('DADOS BRUTOS'!$A$3:$A$500,$C41,'DADOS BRUTOS'!CR$3:CR$500)))</f>
        <v>0</v>
      </c>
      <c r="FS41" s="133" t="n">
        <f aca="false">IF(OR(FS$4="",$B41=""),0,SUMIF('DADOS BRUTOS'!$A$3:$A$500,$B41,'DADOS BRUTOS'!CS$3:CS$500)+IF($C41="",0,SUMIF('DADOS BRUTOS'!$A$3:$A$500,$C41,'DADOS BRUTOS'!CS$3:CS$500)))</f>
        <v>0</v>
      </c>
      <c r="FT41" s="133" t="n">
        <f aca="false">IF(OR(FT$4="",$B41=""),0,SUMIF('DADOS BRUTOS'!$A$3:$A$500,$B41,'DADOS BRUTOS'!CT$3:CT$500)+IF($C41="",0,SUMIF('DADOS BRUTOS'!$A$3:$A$500,$C41,'DADOS BRUTOS'!CT$3:CT$500)))</f>
        <v>0</v>
      </c>
      <c r="FU41" s="133" t="n">
        <f aca="false">IF(OR(FU$4="",$B41=""),0,SUMIF('DADOS BRUTOS'!$A$3:$A$500,$B41,'DADOS BRUTOS'!CU$3:CU$500)+IF($C41="",0,SUMIF('DADOS BRUTOS'!$A$3:$A$500,$C41,'DADOS BRUTOS'!CU$3:CU$500)))</f>
        <v>0</v>
      </c>
      <c r="FV41" s="133" t="n">
        <f aca="false">IF(OR(FV$4="",$B41=""),0,SUMIF('DADOS BRUTOS'!$A$3:$A$500,$B41,'DADOS BRUTOS'!CV$3:CV$500)+IF($C41="",0,SUMIF('DADOS BRUTOS'!$A$3:$A$500,$C41,'DADOS BRUTOS'!CV$3:CV$500)))</f>
        <v>0</v>
      </c>
      <c r="FW41" s="133" t="n">
        <f aca="false">IF(OR(FW$4="",$B41=""),0,SUMIF('DADOS BRUTOS'!$A$3:$A$500,$B41,'DADOS BRUTOS'!CW$3:CW$500)+IF($C41="",0,SUMIF('DADOS BRUTOS'!$A$3:$A$500,$C41,'DADOS BRUTOS'!CW$3:CW$500)))</f>
        <v>0</v>
      </c>
      <c r="FX41" s="133" t="n">
        <f aca="false">IF(OR(FX$4="",$B41=""),0,SUMIF('DADOS BRUTOS'!$A$3:$A$500,$B41,'DADOS BRUTOS'!CX$3:CX$500)+IF($C41="",0,SUMIF('DADOS BRUTOS'!$A$3:$A$500,$C41,'DADOS BRUTOS'!CX$3:CX$500)))</f>
        <v>0</v>
      </c>
      <c r="FY41" s="133" t="n">
        <f aca="false">IF(OR(FY$4="",$B41=""),0,SUMIF('DADOS BRUTOS'!$A$3:$A$500,$B41,'DADOS BRUTOS'!CY$3:CY$500)+IF($C41="",0,SUMIF('DADOS BRUTOS'!$A$3:$A$500,$C41,'DADOS BRUTOS'!CY$3:CY$500)))</f>
        <v>0</v>
      </c>
      <c r="FZ41" s="133" t="n">
        <f aca="false">IF(OR(FZ$4="",$B41=""),0,SUMIF('DADOS BRUTOS'!$A$3:$A$500,$B41,'DADOS BRUTOS'!CZ$3:CZ$500)+IF($C41="",0,SUMIF('DADOS BRUTOS'!$A$3:$A$500,$C41,'DADOS BRUTOS'!CZ$3:CZ$500)))</f>
        <v>0</v>
      </c>
      <c r="GA41" s="133" t="n">
        <f aca="false">IF(OR(GA$4="",$B41=""),0,SUMIF('DADOS BRUTOS'!$A$3:$A$500,$B41,'DADOS BRUTOS'!DA$3:DA$500)+IF($C41="",0,SUMIF('DADOS BRUTOS'!$A$3:$A$500,$C41,'DADOS BRUTOS'!DA$3:DA$500)))</f>
        <v>0</v>
      </c>
      <c r="GB41" s="133" t="n">
        <f aca="false">IF(OR(GB$4="",$B41=""),0,SUMIF('DADOS BRUTOS'!$A$3:$A$500,$B41,'DADOS BRUTOS'!DB$3:DB$500)+IF($C41="",0,SUMIF('DADOS BRUTOS'!$A$3:$A$500,$C41,'DADOS BRUTOS'!DB$3:DB$500)))</f>
        <v>0</v>
      </c>
      <c r="GC41" s="133" t="n">
        <f aca="false">IF(OR(GC$4="",$B41=""),0,SUMIF('DADOS BRUTOS'!$A$3:$A$500,$B41,'DADOS BRUTOS'!DC$3:DC$500)+IF($C41="",0,SUMIF('DADOS BRUTOS'!$A$3:$A$500,$C41,'DADOS BRUTOS'!DC$3:DC$500)))</f>
        <v>0</v>
      </c>
      <c r="GD41" s="133" t="n">
        <f aca="false">IF(OR(GD$4="",$B41=""),0,SUMIF('DADOS BRUTOS'!$A$3:$A$500,$B41,'DADOS BRUTOS'!DD$3:DD$500)+IF($C41="",0,SUMIF('DADOS BRUTOS'!$A$3:$A$500,$C41,'DADOS BRUTOS'!DD$3:DD$500)))</f>
        <v>0</v>
      </c>
      <c r="GE41" s="133" t="n">
        <f aca="false">IF(OR(GE$4="",$B41=""),0,SUMIF('DADOS BRUTOS'!$A$3:$A$500,$B41,'DADOS BRUTOS'!DE$3:DE$500)+IF($C41="",0,SUMIF('DADOS BRUTOS'!$A$3:$A$500,$C41,'DADOS BRUTOS'!DE$3:DE$500)))</f>
        <v>0</v>
      </c>
      <c r="GF41" s="133" t="n">
        <f aca="false">IF(OR(GF$4="",$B41=""),0,SUMIF('DADOS BRUTOS'!$A$3:$A$500,$B41,'DADOS BRUTOS'!DF$3:DF$500)+IF($C41="",0,SUMIF('DADOS BRUTOS'!$A$3:$A$500,$C41,'DADOS BRUTOS'!DF$3:DF$500)))</f>
        <v>0</v>
      </c>
      <c r="GG41" s="133" t="n">
        <f aca="false">IF(OR(GG$4="",$B41=""),0,SUMIF('DADOS BRUTOS'!$A$3:$A$500,$B41,'DADOS BRUTOS'!DG$3:DG$500)+IF($C41="",0,SUMIF('DADOS BRUTOS'!$A$3:$A$500,$C41,'DADOS BRUTOS'!DG$3:DG$500)))</f>
        <v>0</v>
      </c>
      <c r="GH41" s="133" t="n">
        <f aca="false">IF(OR(GH$4="",$B41=""),0,SUMIF('DADOS BRUTOS'!$A$3:$A$500,$B41,'DADOS BRUTOS'!DH$3:DH$500)+IF($C41="",0,SUMIF('DADOS BRUTOS'!$A$3:$A$500,$C41,'DADOS BRUTOS'!DH$3:DH$500)))</f>
        <v>0</v>
      </c>
      <c r="GI41" s="133" t="n">
        <f aca="false">IF(OR(GI$4="",$B41=""),0,SUMIF('DADOS BRUTOS'!$A$3:$A$500,$B41,'DADOS BRUTOS'!DI$3:DI$500)+IF($C41="",0,SUMIF('DADOS BRUTOS'!$A$3:$A$500,$C41,'DADOS BRUTOS'!DI$3:DI$500)))</f>
        <v>0</v>
      </c>
      <c r="GJ41" s="133" t="n">
        <f aca="false">IF(OR(GJ$4="",$B41=""),0,SUMIF('DADOS BRUTOS'!$A$3:$A$500,$B41,'DADOS BRUTOS'!DJ$3:DJ$500)+IF($C41="",0,SUMIF('DADOS BRUTOS'!$A$3:$A$500,$C41,'DADOS BRUTOS'!DJ$3:DJ$500)))</f>
        <v>0</v>
      </c>
      <c r="GK41" s="133" t="n">
        <f aca="false">IF(OR(GK$4="",$B41=""),0,SUMIF('DADOS BRUTOS'!$A$3:$A$500,$B41,'DADOS BRUTOS'!DK$3:DK$500)+IF($C41="",0,SUMIF('DADOS BRUTOS'!$A$3:$A$500,$C41,'DADOS BRUTOS'!DK$3:DK$500)))</f>
        <v>0</v>
      </c>
      <c r="GL41" s="133" t="n">
        <f aca="false">IF(OR(GL$4="",$B41=""),0,SUMIF('DADOS BRUTOS'!$A$3:$A$500,$B41,'DADOS BRUTOS'!DL$3:DL$500)+IF($C41="",0,SUMIF('DADOS BRUTOS'!$A$3:$A$500,$C41,'DADOS BRUTOS'!DL$3:DL$500)))</f>
        <v>0</v>
      </c>
      <c r="GM41" s="133" t="n">
        <f aca="false">IF(OR(GM$4="",$B41=""),0,SUMIF('DADOS BRUTOS'!$A$3:$A$500,$B41,'DADOS BRUTOS'!DM$3:DM$500)+IF($C41="",0,SUMIF('DADOS BRUTOS'!$A$3:$A$500,$C41,'DADOS BRUTOS'!DM$3:DM$500)))</f>
        <v>0</v>
      </c>
      <c r="GN41" s="133" t="n">
        <f aca="false">IF(OR(GN$4="",$B41=""),0,SUMIF('DADOS BRUTOS'!$A$3:$A$500,$B41,'DADOS BRUTOS'!DN$3:DN$500)+IF($C41="",0,SUMIF('DADOS BRUTOS'!$A$3:$A$500,$C41,'DADOS BRUTOS'!DN$3:DN$500)))</f>
        <v>0</v>
      </c>
      <c r="GO41" s="133" t="n">
        <f aca="false">IF(OR(GO$4="",$B41=""),0,SUMIF('DADOS BRUTOS'!$A$3:$A$500,$B41,'DADOS BRUTOS'!DO$3:DO$500)+IF($C41="",0,SUMIF('DADOS BRUTOS'!$A$3:$A$500,$C41,'DADOS BRUTOS'!DO$3:DO$500)))</f>
        <v>0</v>
      </c>
      <c r="GP41" s="133" t="n">
        <f aca="false">IF(OR(GP$4="",$B41=""),0,SUMIF('DADOS BRUTOS'!$A$3:$A$500,$B41,'DADOS BRUTOS'!DP$3:DP$500)+IF($C41="",0,SUMIF('DADOS BRUTOS'!$A$3:$A$500,$C41,'DADOS BRUTOS'!DP$3:DP$500)))</f>
        <v>0</v>
      </c>
      <c r="GQ41" s="133" t="n">
        <f aca="false">IF(OR(GQ$4="",$B41=""),0,SUMIF('DADOS BRUTOS'!$A$3:$A$500,$B41,'DADOS BRUTOS'!DQ$3:DQ$500)+IF($C41="",0,SUMIF('DADOS BRUTOS'!$A$3:$A$500,$C41,'DADOS BRUTOS'!DQ$3:DQ$500)))</f>
        <v>0</v>
      </c>
      <c r="GR41" s="133" t="n">
        <f aca="false">IF(OR(GR$4="",$B41=""),0,SUMIF('DADOS BRUTOS'!$A$3:$A$500,$B41,'DADOS BRUTOS'!DR$3:DR$500)+IF($C41="",0,SUMIF('DADOS BRUTOS'!$A$3:$A$500,$C41,'DADOS BRUTOS'!DR$3:DR$500)))</f>
        <v>0</v>
      </c>
      <c r="GS41" s="133" t="n">
        <f aca="false">IF(OR(GS$4="",$B41=""),0,SUMIF('DADOS BRUTOS'!$A$3:$A$500,$B41,'DADOS BRUTOS'!DS$3:DS$500)+IF($C41="",0,SUMIF('DADOS BRUTOS'!$A$3:$A$500,$C41,'DADOS BRUTOS'!DS$3:DS$500)))</f>
        <v>0</v>
      </c>
      <c r="GT41" s="133" t="n">
        <f aca="false">IF(OR(GT$4="",$B41=""),0,SUMIF('DADOS BRUTOS'!$A$3:$A$500,$B41,'DADOS BRUTOS'!DT$3:DT$500)+IF($C41="",0,SUMIF('DADOS BRUTOS'!$A$3:$A$500,$C41,'DADOS BRUTOS'!DT$3:DT$500)))</f>
        <v>0</v>
      </c>
      <c r="GU41" s="133" t="n">
        <f aca="false">IF(OR(GU$4="",$B41=""),0,SUMIF('DADOS BRUTOS'!$A$3:$A$500,$B41,'DADOS BRUTOS'!DU$3:DU$500)+IF($C41="",0,SUMIF('DADOS BRUTOS'!$A$3:$A$500,$C41,'DADOS BRUTOS'!DU$3:DU$500)))</f>
        <v>0</v>
      </c>
      <c r="GV41" s="133" t="n">
        <f aca="false">IF(OR(GV$4="",$B41=""),0,SUMIF('DADOS BRUTOS'!$A$3:$A$500,$B41,'DADOS BRUTOS'!DV$3:DV$500)+IF($C41="",0,SUMIF('DADOS BRUTOS'!$A$3:$A$500,$C41,'DADOS BRUTOS'!DV$3:DV$500)))</f>
        <v>0</v>
      </c>
      <c r="GW41" s="133" t="n">
        <f aca="false">IF(OR(GW$4="",$B41=""),0,SUMIF('DADOS BRUTOS'!$A$3:$A$500,$B41,'DADOS BRUTOS'!DW$3:DW$500)+IF($C41="",0,SUMIF('DADOS BRUTOS'!$A$3:$A$500,$C41,'DADOS BRUTOS'!DW$3:DW$500)))</f>
        <v>0</v>
      </c>
      <c r="GX41" s="133" t="n">
        <f aca="false">IF(OR(GX$4="",$B41=""),0,SUMIF('DADOS BRUTOS'!$A$3:$A$500,$B41,'DADOS BRUTOS'!DX$3:DX$500)+IF($C41="",0,SUMIF('DADOS BRUTOS'!$A$3:$A$500,$C41,'DADOS BRUTOS'!DX$3:DX$500)))</f>
        <v>0</v>
      </c>
      <c r="GY41" s="133" t="n">
        <f aca="false">IF(OR(GY$4="",$B41=""),0,SUMIF('DADOS BRUTOS'!$A$3:$A$500,$B41,'DADOS BRUTOS'!DY$3:DY$500)+IF($C41="",0,SUMIF('DADOS BRUTOS'!$A$3:$A$500,$C41,'DADOS BRUTOS'!DY$3:DY$500)))</f>
        <v>0</v>
      </c>
      <c r="GZ41" s="133" t="n">
        <f aca="false">IF(OR(GZ$4="",$B41=""),0,SUMIF('DADOS BRUTOS'!$A$3:$A$500,$B41,'DADOS BRUTOS'!DZ$3:DZ$500)+IF($C41="",0,SUMIF('DADOS BRUTOS'!$A$3:$A$500,$C41,'DADOS BRUTOS'!DZ$3:DZ$500)))</f>
        <v>0</v>
      </c>
      <c r="HA41" s="133" t="n">
        <f aca="false">IF(OR(HA$4="",$B41=""),0,SUMIF('DADOS BRUTOS'!$A$3:$A$500,$B41,'DADOS BRUTOS'!EA$3:EA$500)+IF($C41="",0,SUMIF('DADOS BRUTOS'!$A$3:$A$500,$C41,'DADOS BRUTOS'!EA$3:EA$500)))</f>
        <v>0</v>
      </c>
      <c r="HB41" s="133" t="n">
        <f aca="false">IF(OR(HB$4="",$B41=""),0,SUMIF('DADOS BRUTOS'!$A$3:$A$500,$B41,'DADOS BRUTOS'!EB$3:EB$500)+IF($C41="",0,SUMIF('DADOS BRUTOS'!$A$3:$A$500,$C41,'DADOS BRUTOS'!EB$3:EB$500)))</f>
        <v>0</v>
      </c>
      <c r="HC41" s="133" t="n">
        <f aca="false">IF(OR(HC$4="",$B41=""),0,SUMIF('DADOS BRUTOS'!$A$3:$A$500,$B41,'DADOS BRUTOS'!EC$3:EC$500)+IF($C41="",0,SUMIF('DADOS BRUTOS'!$A$3:$A$500,$C41,'DADOS BRUTOS'!EC$3:EC$500)))</f>
        <v>0</v>
      </c>
      <c r="HD41" s="133" t="n">
        <f aca="false">IF(OR(HD$4="",$B41=""),0,SUMIF('DADOS BRUTOS'!$A$3:$A$500,$B41,'DADOS BRUTOS'!ED$3:ED$500)+IF($C41="",0,SUMIF('DADOS BRUTOS'!$A$3:$A$500,$C41,'DADOS BRUTOS'!ED$3:ED$500)))</f>
        <v>0</v>
      </c>
      <c r="HE41" s="133" t="n">
        <f aca="false">IF(OR(HE$4="",$B41=""),0,SUMIF('DADOS BRUTOS'!$A$3:$A$500,$B41,'DADOS BRUTOS'!EE$3:EE$500)+IF($C41="",0,SUMIF('DADOS BRUTOS'!$A$3:$A$500,$C41,'DADOS BRUTOS'!EE$3:EE$500)))</f>
        <v>0</v>
      </c>
      <c r="HF41" s="133" t="n">
        <f aca="false">IF(OR(HF$4="",$B41=""),0,SUMIF('DADOS BRUTOS'!$A$3:$A$500,$B41,'DADOS BRUTOS'!EF$3:EF$500)+IF($C41="",0,SUMIF('DADOS BRUTOS'!$A$3:$A$500,$C41,'DADOS BRUTOS'!EF$3:EF$500)))</f>
        <v>0</v>
      </c>
      <c r="HG41" s="133" t="n">
        <f aca="false">IF(OR(HG$4="",$B41=""),0,SUMIF('DADOS BRUTOS'!$A$3:$A$500,$B41,'DADOS BRUTOS'!EG$3:EG$500)+IF($C41="",0,SUMIF('DADOS BRUTOS'!$A$3:$A$500,$C41,'DADOS BRUTOS'!EG$3:EG$500)))</f>
        <v>0</v>
      </c>
      <c r="HH41" s="133" t="n">
        <f aca="false">IF(OR(HH$4="",$B41=""),0,SUMIF('DADOS BRUTOS'!$A$3:$A$500,$B41,'DADOS BRUTOS'!EH$3:EH$500)+IF($C41="",0,SUMIF('DADOS BRUTOS'!$A$3:$A$500,$C41,'DADOS BRUTOS'!EH$3:EH$500)))</f>
        <v>0</v>
      </c>
      <c r="HI41" s="133" t="n">
        <f aca="false">IF(OR(HI$4="",$B41=""),0,SUMIF('DADOS BRUTOS'!$A$3:$A$500,$B41,'DADOS BRUTOS'!EI$3:EI$500)+IF($C41="",0,SUMIF('DADOS BRUTOS'!$A$3:$A$500,$C41,'DADOS BRUTOS'!EI$3:EI$500)))</f>
        <v>0</v>
      </c>
      <c r="HJ41" s="133" t="n">
        <f aca="false">IF(OR(HJ$4="",$B41=""),0,SUMIF('DADOS BRUTOS'!$A$3:$A$500,$B41,'DADOS BRUTOS'!EJ$3:EJ$500)+IF($C41="",0,SUMIF('DADOS BRUTOS'!$A$3:$A$500,$C41,'DADOS BRUTOS'!EJ$3:EJ$500)))</f>
        <v>0</v>
      </c>
      <c r="HK41" s="133" t="n">
        <f aca="false">IF(OR(HK$4="",$B41=""),0,SUMIF('DADOS BRUTOS'!$A$3:$A$500,$B41,'DADOS BRUTOS'!EK$3:EK$500)+IF($C41="",0,SUMIF('DADOS BRUTOS'!$A$3:$A$500,$C41,'DADOS BRUTOS'!EK$3:EK$500)))</f>
        <v>0</v>
      </c>
      <c r="HL41" s="133" t="n">
        <f aca="false">IF(OR(HL$4="",$B41=""),0,SUMIF('DADOS BRUTOS'!$A$3:$A$500,$B41,'DADOS BRUTOS'!EL$3:EL$500)+IF($C41="",0,SUMIF('DADOS BRUTOS'!$A$3:$A$500,$C41,'DADOS BRUTOS'!EL$3:EL$500)))</f>
        <v>0</v>
      </c>
      <c r="HM41" s="133" t="n">
        <f aca="false">IF(OR(HM$4="",$B41=""),0,SUMIF('DADOS BRUTOS'!$A$3:$A$500,$B41,'DADOS BRUTOS'!EM$3:EM$500)+IF($C41="",0,SUMIF('DADOS BRUTOS'!$A$3:$A$500,$C41,'DADOS BRUTOS'!EM$3:EM$500)))</f>
        <v>0</v>
      </c>
      <c r="HN41" s="133" t="n">
        <f aca="false">IF(OR(HN$4="",$B41=""),0,SUMIF('DADOS BRUTOS'!$A$3:$A$500,$B41,'DADOS BRUTOS'!EN$3:EN$500)+IF($C41="",0,SUMIF('DADOS BRUTOS'!$A$3:$A$500,$C41,'DADOS BRUTOS'!EN$3:EN$500)))</f>
        <v>0</v>
      </c>
      <c r="HO41" s="133" t="n">
        <f aca="false">IF(OR(HO$4="",$B41=""),0,SUMIF('DADOS BRUTOS'!$A$3:$A$500,$B41,'DADOS BRUTOS'!EO$3:EO$500)+IF($C41="",0,SUMIF('DADOS BRUTOS'!$A$3:$A$500,$C41,'DADOS BRUTOS'!EO$3:EO$500)))</f>
        <v>0</v>
      </c>
      <c r="HP41" s="133" t="n">
        <f aca="false">IF(OR(HP$4="",$B41=""),0,SUMIF('DADOS BRUTOS'!$A$3:$A$500,$B41,'DADOS BRUTOS'!EP$3:EP$500)+IF($C41="",0,SUMIF('DADOS BRUTOS'!$A$3:$A$500,$C41,'DADOS BRUTOS'!EP$3:EP$500)))</f>
        <v>0</v>
      </c>
      <c r="HQ41" s="133" t="n">
        <f aca="false">IF(OR(HQ$4="",$B41=""),0,SUMIF('DADOS BRUTOS'!$A$3:$A$500,$B41,'DADOS BRUTOS'!EQ$3:EQ$500)+IF($C41="",0,SUMIF('DADOS BRUTOS'!$A$3:$A$500,$C41,'DADOS BRUTOS'!EQ$3:EQ$500)))</f>
        <v>0</v>
      </c>
      <c r="HR41" s="133" t="n">
        <f aca="false">IF(OR(HR$4="",$B41=""),0,SUMIF('DADOS BRUTOS'!$A$3:$A$500,$B41,'DADOS BRUTOS'!ER$3:ER$500)+IF($C41="",0,SUMIF('DADOS BRUTOS'!$A$3:$A$500,$C41,'DADOS BRUTOS'!ER$3:ER$500)))</f>
        <v>0</v>
      </c>
      <c r="HS41" s="133" t="n">
        <f aca="false">IF(OR(HS$4="",$B41=""),0,SUMIF('DADOS BRUTOS'!$A$3:$A$500,$B41,'DADOS BRUTOS'!ES$3:ES$500)+IF($C41="",0,SUMIF('DADOS BRUTOS'!$A$3:$A$500,$C41,'DADOS BRUTOS'!ES$3:ES$500)))</f>
        <v>0</v>
      </c>
      <c r="HT41" s="133" t="n">
        <f aca="false">IF(OR(HT$4="",$B41=""),0,SUMIF('DADOS BRUTOS'!$A$3:$A$500,$B41,'DADOS BRUTOS'!ET$3:ET$500)+IF($C41="",0,SUMIF('DADOS BRUTOS'!$A$3:$A$500,$C41,'DADOS BRUTOS'!ET$3:ET$500)))</f>
        <v>0</v>
      </c>
      <c r="HU41" s="133" t="n">
        <f aca="false">IF(OR(HU$4="",$B41=""),0,SUMIF('DADOS BRUTOS'!$A$3:$A$500,$B41,'DADOS BRUTOS'!EU$3:EU$500)+IF($C41="",0,SUMIF('DADOS BRUTOS'!$A$3:$A$500,$C41,'DADOS BRUTOS'!EU$3:EU$500)))</f>
        <v>0</v>
      </c>
      <c r="HV41" s="133" t="n">
        <f aca="false">IF(OR(HV$4="",$B41=""),0,SUMIF('DADOS BRUTOS'!$A$3:$A$500,$B41,'DADOS BRUTOS'!EV$3:EV$500)+IF($C41="",0,SUMIF('DADOS BRUTOS'!$A$3:$A$500,$C41,'DADOS BRUTOS'!EV$3:EV$500)))</f>
        <v>0</v>
      </c>
      <c r="HW41" s="133" t="n">
        <f aca="false">IF(OR(HW$4="",$B41=""),0,SUMIF('DADOS BRUTOS'!$A$3:$A$500,$B41,'DADOS BRUTOS'!EW$3:EW$500)+IF($C41="",0,SUMIF('DADOS BRUTOS'!$A$3:$A$500,$C41,'DADOS BRUTOS'!EW$3:EW$500)))</f>
        <v>0</v>
      </c>
      <c r="HX41" s="133" t="n">
        <f aca="false">IF(OR(HX$4="",$B41=""),0,SUMIF('DADOS BRUTOS'!$A$3:$A$500,$B41,'DADOS BRUTOS'!EX$3:EX$500)+IF($C41="",0,SUMIF('DADOS BRUTOS'!$A$3:$A$500,$C41,'DADOS BRUTOS'!EX$3:EX$500)))</f>
        <v>0</v>
      </c>
      <c r="HY41" s="133" t="n">
        <f aca="false">IF(OR(HY$4="",$B41=""),0,SUMIF('DADOS BRUTOS'!$A$3:$A$500,$B41,'DADOS BRUTOS'!EY$3:EY$500)+IF($C41="",0,SUMIF('DADOS BRUTOS'!$A$3:$A$500,$C41,'DADOS BRUTOS'!EY$3:EY$500)))</f>
        <v>0</v>
      </c>
      <c r="HZ41" s="133" t="n">
        <f aca="false">IF(OR(HZ$4="",$B41=""),0,SUMIF('DADOS BRUTOS'!$A$3:$A$500,$B41,'DADOS BRUTOS'!EZ$3:EZ$500)+IF($C41="",0,SUMIF('DADOS BRUTOS'!$A$3:$A$500,$C41,'DADOS BRUTOS'!EZ$3:EZ$500)))</f>
        <v>0</v>
      </c>
      <c r="IA41" s="133" t="n">
        <f aca="false">IF(OR(IA$4="",$B41=""),0,SUMIF('DADOS BRUTOS'!$A$3:$A$500,$B41,'DADOS BRUTOS'!FA$3:FA$500)+IF($C41="",0,SUMIF('DADOS BRUTOS'!$A$3:$A$500,$C41,'DADOS BRUTOS'!FA$3:FA$500)))</f>
        <v>0</v>
      </c>
      <c r="IB41" s="133" t="n">
        <f aca="false">IF(OR(IB$4="",$B41=""),0,SUMIF('DADOS BRUTOS'!$A$3:$A$500,$B41,'DADOS BRUTOS'!FB$3:FB$500)+IF($C41="",0,SUMIF('DADOS BRUTOS'!$A$3:$A$500,$C41,'DADOS BRUTOS'!FB$3:FB$500)))</f>
        <v>0</v>
      </c>
      <c r="IC41" s="133" t="n">
        <f aca="false">IF(OR(IC$4="",$B41=""),0,SUMIF('DADOS BRUTOS'!$A$3:$A$500,$B41,'DADOS BRUTOS'!FC$3:FC$500)+IF($C41="",0,SUMIF('DADOS BRUTOS'!$A$3:$A$500,$C41,'DADOS BRUTOS'!FC$3:FC$500)))</f>
        <v>0</v>
      </c>
      <c r="ID41" s="133" t="n">
        <f aca="false">IF(OR(ID$4="",$B41=""),0,SUMIF('DADOS BRUTOS'!$A$3:$A$500,$B41,'DADOS BRUTOS'!FD$3:FD$500)+IF($C41="",0,SUMIF('DADOS BRUTOS'!$A$3:$A$500,$C41,'DADOS BRUTOS'!FD$3:FD$500)))</f>
        <v>0</v>
      </c>
      <c r="IE41" s="133" t="n">
        <f aca="false">IF(OR(IE$4="",$B41=""),0,SUMIF('DADOS BRUTOS'!$A$3:$A$500,$B41,'DADOS BRUTOS'!FE$3:FE$500)+IF($C41="",0,SUMIF('DADOS BRUTOS'!$A$3:$A$500,$C41,'DADOS BRUTOS'!FE$3:FE$500)))</f>
        <v>0</v>
      </c>
      <c r="IF41" s="133" t="n">
        <f aca="false">IF(OR(IF$4="",$B41=""),0,SUMIF('DADOS BRUTOS'!$A$3:$A$500,$B41,'DADOS BRUTOS'!FF$3:FF$500)+IF($C41="",0,SUMIF('DADOS BRUTOS'!$A$3:$A$500,$C41,'DADOS BRUTOS'!FF$3:FF$500)))</f>
        <v>0</v>
      </c>
      <c r="IG41" s="133" t="n">
        <f aca="false">IF(OR(IG$4="",$B41=""),0,SUMIF('DADOS BRUTOS'!$A$3:$A$500,$B41,'DADOS BRUTOS'!FG$3:FG$500)+IF($C41="",0,SUMIF('DADOS BRUTOS'!$A$3:$A$500,$C41,'DADOS BRUTOS'!FG$3:FG$500)))</f>
        <v>0</v>
      </c>
      <c r="IH41" s="133" t="n">
        <f aca="false">IF(OR(IH$4="",$B41=""),0,SUMIF('DADOS BRUTOS'!$A$3:$A$500,$B41,'DADOS BRUTOS'!FH$3:FH$500)+IF($C41="",0,SUMIF('DADOS BRUTOS'!$A$3:$A$500,$C41,'DADOS BRUTOS'!FH$3:FH$500)))</f>
        <v>0</v>
      </c>
      <c r="II41" s="133" t="n">
        <f aca="false">IF(OR(II$4="",$B41=""),0,SUMIF('DADOS BRUTOS'!$A$3:$A$500,$B41,'DADOS BRUTOS'!FI$3:FI$500)+IF($C41="",0,SUMIF('DADOS BRUTOS'!$A$3:$A$500,$C41,'DADOS BRUTOS'!FI$3:FI$500)))</f>
        <v>0</v>
      </c>
      <c r="IJ41" s="133" t="n">
        <f aca="false">IF(OR(IJ$4="",$B41=""),0,SUMIF('DADOS BRUTOS'!$A$3:$A$500,$B41,'DADOS BRUTOS'!FJ$3:FJ$500)+IF($C41="",0,SUMIF('DADOS BRUTOS'!$A$3:$A$500,$C41,'DADOS BRUTOS'!FJ$3:FJ$500)))</f>
        <v>0</v>
      </c>
      <c r="IK41" s="133" t="n">
        <f aca="false">IF(OR(IK$4="",$B41=""),0,SUMIF('DADOS BRUTOS'!$A$3:$A$500,$B41,'DADOS BRUTOS'!FK$3:FK$500)+IF($C41="",0,SUMIF('DADOS BRUTOS'!$A$3:$A$500,$C41,'DADOS BRUTOS'!FK$3:FK$500)))</f>
        <v>0</v>
      </c>
      <c r="IL41" s="133" t="n">
        <f aca="false">IF(OR(IL$4="",$B41=""),0,SUMIF('DADOS BRUTOS'!$A$3:$A$500,$B41,'DADOS BRUTOS'!FL$3:FL$500)+IF($C41="",0,SUMIF('DADOS BRUTOS'!$A$3:$A$500,$C41,'DADOS BRUTOS'!FL$3:FL$500)))</f>
        <v>0</v>
      </c>
      <c r="IM41" s="133" t="n">
        <f aca="false">IF(OR(IM$4="",$B41=""),0,SUMIF('DADOS BRUTOS'!$A$3:$A$500,$B41,'DADOS BRUTOS'!FM$3:FM$500)+IF($C41="",0,SUMIF('DADOS BRUTOS'!$A$3:$A$500,$C41,'DADOS BRUTOS'!FM$3:FM$500)))</f>
        <v>0</v>
      </c>
      <c r="IN41" s="133" t="n">
        <f aca="false">IF(OR(IN$4="",$B41=""),0,SUMIF('DADOS BRUTOS'!$A$3:$A$500,$B41,'DADOS BRUTOS'!FN$3:FN$500)+IF($C41="",0,SUMIF('DADOS BRUTOS'!$A$3:$A$500,$C41,'DADOS BRUTOS'!FN$3:FN$500)))</f>
        <v>0</v>
      </c>
      <c r="IO41" s="133" t="n">
        <f aca="false">IF(OR(IO$4="",$B41=""),0,SUMIF('DADOS BRUTOS'!$A$3:$A$500,$B41,'DADOS BRUTOS'!FO$3:FO$500)+IF($C41="",0,SUMIF('DADOS BRUTOS'!$A$3:$A$500,$C41,'DADOS BRUTOS'!FO$3:FO$500)))</f>
        <v>0</v>
      </c>
      <c r="IP41" s="133" t="n">
        <f aca="false">IF(OR(IP$4="",$B41=""),0,SUMIF('DADOS BRUTOS'!$A$3:$A$500,$B41,'DADOS BRUTOS'!FP$3:FP$500)+IF($C41="",0,SUMIF('DADOS BRUTOS'!$A$3:$A$500,$C41,'DADOS BRUTOS'!FP$3:FP$500)))</f>
        <v>0</v>
      </c>
      <c r="IQ41" s="133" t="n">
        <f aca="false">IF(OR(IQ$4="",$B41=""),0,SUMIF('DADOS BRUTOS'!$A$3:$A$500,$B41,'DADOS BRUTOS'!FQ$3:FQ$500)+IF($C41="",0,SUMIF('DADOS BRUTOS'!$A$3:$A$500,$C41,'DADOS BRUTOS'!FQ$3:FQ$500)))</f>
        <v>0</v>
      </c>
      <c r="IR41" s="133" t="n">
        <f aca="false">IF(OR(IR$4="",$B41=""),0,SUMIF('DADOS BRUTOS'!$A$3:$A$500,$B41,'DADOS BRUTOS'!FR$3:FR$500)+IF($C41="",0,SUMIF('DADOS BRUTOS'!$A$3:$A$500,$C41,'DADOS BRUTOS'!FR$3:FR$500)))</f>
        <v>0</v>
      </c>
      <c r="IS41" s="133" t="n">
        <f aca="false">IF(OR(IS$4="",$B41=""),0,SUMIF('DADOS BRUTOS'!$A$3:$A$500,$B41,'DADOS BRUTOS'!FS$3:FS$500)+IF($C41="",0,SUMIF('DADOS BRUTOS'!$A$3:$A$500,$C41,'DADOS BRUTOS'!FS$3:FS$500)))</f>
        <v>0</v>
      </c>
      <c r="IT41" s="133" t="n">
        <f aca="false">IF(OR(IT$4="",$B41=""),0,SUMIF('DADOS BRUTOS'!$A$3:$A$500,$B41,'DADOS BRUTOS'!FT$3:FT$500)+IF($C41="",0,SUMIF('DADOS BRUTOS'!$A$3:$A$500,$C41,'DADOS BRUTOS'!FT$3:FT$500)))</f>
        <v>0</v>
      </c>
      <c r="IU41" s="133" t="n">
        <f aca="false">IF(OR(IU$4="",$B41=""),0,SUMIF('DADOS BRUTOS'!$A$3:$A$500,$B41,'DADOS BRUTOS'!FU$3:FU$500)+IF($C41="",0,SUMIF('DADOS BRUTOS'!$A$3:$A$500,$C41,'DADOS BRUTOS'!FU$3:FU$500)))</f>
        <v>0</v>
      </c>
      <c r="IV41" s="133" t="n">
        <f aca="false">IF(OR(IV$4="",$B41=""),0,SUMIF('DADOS BRUTOS'!$A$3:$A$500,$B41,'DADOS BRUTOS'!FV$3:FV$500)+IF($C41="",0,SUMIF('DADOS BRUTOS'!$A$3:$A$500,$C41,'DADOS BRUTOS'!FV$3:FV$500)))</f>
        <v>0</v>
      </c>
      <c r="IW41" s="133" t="n">
        <f aca="false">IF(OR(IW$4="",$B41=""),0,SUMIF('DADOS BRUTOS'!$A$3:$A$500,$B41,'DADOS BRUTOS'!FW$3:FW$500)+IF($C41="",0,SUMIF('DADOS BRUTOS'!$A$3:$A$500,$C41,'DADOS BRUTOS'!FW$3:FW$500)))</f>
        <v>0</v>
      </c>
      <c r="IX41" s="133" t="n">
        <f aca="false">IF(OR(IX$4="",$B41=""),0,SUMIF('DADOS BRUTOS'!$A$3:$A$500,$B41,'DADOS BRUTOS'!FX$3:FX$500)+IF($C41="",0,SUMIF('DADOS BRUTOS'!$A$3:$A$500,$C41,'DADOS BRUTOS'!FX$3:FX$500)))</f>
        <v>0</v>
      </c>
      <c r="IY41" s="133" t="n">
        <f aca="false">IF(OR(IY$4="",$B41=""),0,SUMIF('DADOS BRUTOS'!$A$3:$A$500,$B41,'DADOS BRUTOS'!FY$3:FY$500)+IF($C41="",0,SUMIF('DADOS BRUTOS'!$A$3:$A$500,$C41,'DADOS BRUTOS'!FY$3:FY$500)))</f>
        <v>0</v>
      </c>
      <c r="IZ41" s="133" t="n">
        <f aca="false">IF(OR(IZ$4="",$B41=""),0,SUMIF('DADOS BRUTOS'!$A$3:$A$500,$B41,'DADOS BRUTOS'!FZ$3:FZ$500)+IF($C41="",0,SUMIF('DADOS BRUTOS'!$A$3:$A$500,$C41,'DADOS BRUTOS'!FZ$3:FZ$500)))</f>
        <v>0</v>
      </c>
      <c r="JA41" s="133" t="n">
        <f aca="false">IF(OR(JA$4="",$B41=""),0,SUMIF('DADOS BRUTOS'!$A$3:$A$500,$B41,'DADOS BRUTOS'!GA$3:GA$500)+IF($C41="",0,SUMIF('DADOS BRUTOS'!$A$3:$A$500,$C41,'DADOS BRUTOS'!GA$3:GA$500)))</f>
        <v>0</v>
      </c>
      <c r="JB41" s="133" t="n">
        <f aca="false">IF(OR(JB$4="",$B41=""),0,SUMIF('DADOS BRUTOS'!$A$3:$A$500,$B41,'DADOS BRUTOS'!GB$3:GB$500)+IF($C41="",0,SUMIF('DADOS BRUTOS'!$A$3:$A$500,$C41,'DADOS BRUTOS'!GB$3:GB$500)))</f>
        <v>0</v>
      </c>
      <c r="JC41" s="133" t="n">
        <f aca="false">IF(OR(JC$4="",$B41=""),0,SUMIF('DADOS BRUTOS'!$A$3:$A$500,$B41,'DADOS BRUTOS'!GC$3:GC$500)+IF($C41="",0,SUMIF('DADOS BRUTOS'!$A$3:$A$500,$C41,'DADOS BRUTOS'!GC$3:GC$500)))</f>
        <v>0</v>
      </c>
      <c r="JD41" s="133" t="n">
        <f aca="false">IF(OR(JD$4="",$B41=""),0,SUMIF('DADOS BRUTOS'!$A$3:$A$500,$B41,'DADOS BRUTOS'!GD$3:GD$500)+IF($C41="",0,SUMIF('DADOS BRUTOS'!$A$3:$A$500,$C41,'DADOS BRUTOS'!GD$3:GD$500)))</f>
        <v>0</v>
      </c>
      <c r="JE41" s="133" t="n">
        <f aca="false">IF(OR(JE$4="",$B41=""),0,SUMIF('DADOS BRUTOS'!$A$3:$A$500,$B41,'DADOS BRUTOS'!GE$3:GE$500)+IF($C41="",0,SUMIF('DADOS BRUTOS'!$A$3:$A$500,$C41,'DADOS BRUTOS'!GE$3:GE$500)))</f>
        <v>0</v>
      </c>
      <c r="JF41" s="133" t="n">
        <f aca="false">IF(OR(JF$4="",$B41=""),0,SUMIF('DADOS BRUTOS'!$A$3:$A$500,$B41,'DADOS BRUTOS'!GF$3:GF$500)+IF($C41="",0,SUMIF('DADOS BRUTOS'!$A$3:$A$500,$C41,'DADOS BRUTOS'!GF$3:GF$500)))</f>
        <v>0</v>
      </c>
      <c r="JG41" s="133" t="n">
        <f aca="false">IF(OR(JG$4="",$B41=""),0,SUMIF('DADOS BRUTOS'!$A$3:$A$500,$B41,'DADOS BRUTOS'!GG$3:GG$500)+IF($C41="",0,SUMIF('DADOS BRUTOS'!$A$3:$A$500,$C41,'DADOS BRUTOS'!GG$3:GG$500)))</f>
        <v>0</v>
      </c>
      <c r="JH41" s="133" t="n">
        <f aca="false">IF(OR(JH$4="",$B41=""),0,SUMIF('DADOS BRUTOS'!$A$3:$A$500,$B41,'DADOS BRUTOS'!GH$3:GH$500)+IF($C41="",0,SUMIF('DADOS BRUTOS'!$A$3:$A$500,$C41,'DADOS BRUTOS'!GH$3:GH$500)))</f>
        <v>0</v>
      </c>
      <c r="JI41" s="133" t="n">
        <f aca="false">IF(OR(JI$4="",$B41=""),0,SUMIF('DADOS BRUTOS'!$A$3:$A$500,$B41,'DADOS BRUTOS'!GI$3:GI$500)+IF($C41="",0,SUMIF('DADOS BRUTOS'!$A$3:$A$500,$C41,'DADOS BRUTOS'!GI$3:GI$500)))</f>
        <v>0</v>
      </c>
      <c r="JJ41" s="133" t="n">
        <f aca="false">IF(OR(JJ$4="",$B41=""),0,SUMIF('DADOS BRUTOS'!$A$3:$A$500,$B41,'DADOS BRUTOS'!GJ$3:GJ$500)+IF($C41="",0,SUMIF('DADOS BRUTOS'!$A$3:$A$500,$C41,'DADOS BRUTOS'!GJ$3:GJ$500)))</f>
        <v>0</v>
      </c>
      <c r="JK41" s="133" t="n">
        <f aca="false">IF(OR(JK$4="",$B41=""),0,SUMIF('DADOS BRUTOS'!$A$3:$A$500,$B41,'DADOS BRUTOS'!GK$3:GK$500)+IF($C41="",0,SUMIF('DADOS BRUTOS'!$A$3:$A$500,$C41,'DADOS BRUTOS'!GK$3:GK$500)))</f>
        <v>0</v>
      </c>
      <c r="JL41" s="133" t="n">
        <f aca="false">IF(OR(JL$4="",$B41=""),0,SUMIF('DADOS BRUTOS'!$A$3:$A$500,$B41,'DADOS BRUTOS'!GL$3:GL$500)+IF($C41="",0,SUMIF('DADOS BRUTOS'!$A$3:$A$500,$C41,'DADOS BRUTOS'!GL$3:GL$500)))</f>
        <v>0</v>
      </c>
      <c r="JM41" s="133" t="n">
        <f aca="false">IF(OR(JM$4="",$B41=""),0,SUMIF('DADOS BRUTOS'!$A$3:$A$500,$B41,'DADOS BRUTOS'!GM$3:GM$500)+IF($C41="",0,SUMIF('DADOS BRUTOS'!$A$3:$A$500,$C41,'DADOS BRUTOS'!GM$3:GM$500)))</f>
        <v>0</v>
      </c>
      <c r="JN41" s="133" t="n">
        <f aca="false">IF(OR(JN$4="",$B41=""),0,SUMIF('DADOS BRUTOS'!$A$3:$A$500,$B41,'DADOS BRUTOS'!GN$3:GN$500)+IF($C41="",0,SUMIF('DADOS BRUTOS'!$A$3:$A$500,$C41,'DADOS BRUTOS'!GN$3:GN$500)))</f>
        <v>0</v>
      </c>
      <c r="JO41" s="133" t="n">
        <f aca="false">IF(OR(JO$4="",$B41=""),0,SUMIF('DADOS BRUTOS'!$A$3:$A$500,$B41,'DADOS BRUTOS'!GO$3:GO$500)+IF($C41="",0,SUMIF('DADOS BRUTOS'!$A$3:$A$500,$C41,'DADOS BRUTOS'!GO$3:GO$500)))</f>
        <v>0</v>
      </c>
      <c r="JP41" s="133" t="n">
        <f aca="false">IF(OR(JP$4="",$B41=""),0,SUMIF('DADOS BRUTOS'!$A$3:$A$500,$B41,'DADOS BRUTOS'!GP$3:GP$500)+IF($C41="",0,SUMIF('DADOS BRUTOS'!$A$3:$A$500,$C41,'DADOS BRUTOS'!GP$3:GP$500)))</f>
        <v>0</v>
      </c>
      <c r="JQ41" s="133" t="n">
        <f aca="false">IF(OR(JQ$4="",$B41=""),0,SUMIF('DADOS BRUTOS'!$A$3:$A$500,$B41,'DADOS BRUTOS'!GQ$3:GQ$500)+IF($C41="",0,SUMIF('DADOS BRUTOS'!$A$3:$A$500,$C41,'DADOS BRUTOS'!GQ$3:GQ$500)))</f>
        <v>0</v>
      </c>
      <c r="JR41" s="133" t="n">
        <f aca="false">IF(OR(JR$4="",$B41=""),0,SUMIF('DADOS BRUTOS'!$A$3:$A$500,$B41,'DADOS BRUTOS'!GR$3:GR$500)+IF($C41="",0,SUMIF('DADOS BRUTOS'!$A$3:$A$500,$C41,'DADOS BRUTOS'!GR$3:GR$500)))</f>
        <v>0</v>
      </c>
      <c r="JS41" s="133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137450</v>
      </c>
      <c r="E42" s="50" t="n">
        <f aca="false">SUMIF($CB$4:$JS$4,E$4,$CB42:$JS42)</f>
        <v>36922.46</v>
      </c>
      <c r="F42" s="50" t="n">
        <f aca="false">SUMIF($CB$4:$JS$4,F$4,$CB42:$JS42)</f>
        <v>0</v>
      </c>
      <c r="G42" s="50" t="n">
        <f aca="false">SUMIF($CB$4:$JS$4,G$4,$CB42:$JS42)</f>
        <v>34045.51</v>
      </c>
      <c r="H42" s="50" t="n">
        <f aca="false">SUMIF($CB$4:$JS$4,H$4,$CB42:$JS42)</f>
        <v>14154.82</v>
      </c>
      <c r="I42" s="50" t="n">
        <f aca="false">SUMIF($CB$4:$JS$4,I$4,$CB42:$JS42)</f>
        <v>71756.69</v>
      </c>
      <c r="J42" s="50" t="n">
        <f aca="false">SUMIF($CB$4:$JS$4,J$4,$CB42:$JS42)</f>
        <v>6521.51</v>
      </c>
      <c r="K42" s="50" t="n">
        <f aca="false">SUMIF($CB$4:$JS$4,K$4,$CB42:$JS42)</f>
        <v>13570.62</v>
      </c>
      <c r="L42" s="50" t="n">
        <f aca="false">SUMIF($CB$4:$JS$4,L$4,$CB42:$JS42)</f>
        <v>26242.32</v>
      </c>
      <c r="M42" s="50" t="n">
        <f aca="false">SUMIF($CB$4:$JS$4,M$4,$CB42:$JS42)</f>
        <v>34986.5</v>
      </c>
      <c r="N42" s="50" t="n">
        <f aca="false">SUMIF($CB$4:$JS$4,N$4,$CB42:$JS42)</f>
        <v>70987.17</v>
      </c>
      <c r="O42" s="50" t="n">
        <f aca="false">SUMIF($CB$4:$JS$4,O$4,$CB42:$JS42)</f>
        <v>119467.69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566105.29</v>
      </c>
      <c r="BZ42" s="45" t="n">
        <f aca="false">SUMPRODUCT(($CB$4:$JS$4&lt;&gt;"")*($CB$4:$JS$4&lt;=$D$4),$CB42:$JS42,$CB$1:$JS$1)</f>
        <v>121.837103655049</v>
      </c>
      <c r="CB42" s="133" t="n">
        <f aca="false">IF(OR(CB$4="",$B42=""),0,SUMIF('DADOS BRUTOS'!$A$3:$A$500,$B42,'DADOS BRUTOS'!B$3:B$500)+IF($C42="",0,SUMIF('DADOS BRUTOS'!$A$3:$A$500,$C42,'DADOS BRUTOS'!B$3:B$500)))</f>
        <v>0</v>
      </c>
      <c r="CC42" s="133" t="n">
        <f aca="false">IF(OR(CC$4="",$B42=""),0,SUMIF('DADOS BRUTOS'!$A$3:$A$500,$B42,'DADOS BRUTOS'!C$3:C$500)+IF($C42="",0,SUMIF('DADOS BRUTOS'!$A$3:$A$500,$C42,'DADOS BRUTOS'!C$3:C$500)))</f>
        <v>0</v>
      </c>
      <c r="CD42" s="133" t="n">
        <f aca="false">IF(OR(CD$4="",$B42=""),0,SUMIF('DADOS BRUTOS'!$A$3:$A$500,$B42,'DADOS BRUTOS'!D$3:D$500)+IF($C42="",0,SUMIF('DADOS BRUTOS'!$A$3:$A$500,$C42,'DADOS BRUTOS'!D$3:D$500)))</f>
        <v>0</v>
      </c>
      <c r="CE42" s="133" t="n">
        <f aca="false">IF(OR(CE$4="",$B42=""),0,SUMIF('DADOS BRUTOS'!$A$3:$A$500,$B42,'DADOS BRUTOS'!E$3:E$500)+IF($C42="",0,SUMIF('DADOS BRUTOS'!$A$3:$A$500,$C42,'DADOS BRUTOS'!E$3:E$500)))</f>
        <v>0</v>
      </c>
      <c r="CF42" s="133" t="n">
        <f aca="false">IF(OR(CF$4="",$B42=""),0,SUMIF('DADOS BRUTOS'!$A$3:$A$500,$B42,'DADOS BRUTOS'!F$3:F$500)+IF($C42="",0,SUMIF('DADOS BRUTOS'!$A$3:$A$500,$C42,'DADOS BRUTOS'!F$3:F$500)))</f>
        <v>0</v>
      </c>
      <c r="CG42" s="133" t="n">
        <f aca="false">IF(OR(CG$4="",$B42=""),0,SUMIF('DADOS BRUTOS'!$A$3:$A$500,$B42,'DADOS BRUTOS'!G$3:G$500)+IF($C42="",0,SUMIF('DADOS BRUTOS'!$A$3:$A$500,$C42,'DADOS BRUTOS'!G$3:G$500)))</f>
        <v>0</v>
      </c>
      <c r="CH42" s="133" t="n">
        <f aca="false">IF(OR(CH$4="",$B42=""),0,SUMIF('DADOS BRUTOS'!$A$3:$A$500,$B42,'DADOS BRUTOS'!H$3:H$500)+IF($C42="",0,SUMIF('DADOS BRUTOS'!$A$3:$A$500,$C42,'DADOS BRUTOS'!H$3:H$500)))</f>
        <v>45000</v>
      </c>
      <c r="CI42" s="133" t="n">
        <f aca="false">IF(OR(CI$4="",$B42=""),0,SUMIF('DADOS BRUTOS'!$A$3:$A$500,$B42,'DADOS BRUTOS'!I$3:I$500)+IF($C42="",0,SUMIF('DADOS BRUTOS'!$A$3:$A$500,$C42,'DADOS BRUTOS'!I$3:I$500)))</f>
        <v>55000</v>
      </c>
      <c r="CJ42" s="133" t="n">
        <f aca="false">IF(OR(CJ$4="",$B42=""),0,SUMIF('DADOS BRUTOS'!$A$3:$A$500,$B42,'DADOS BRUTOS'!J$3:J$500)+IF($C42="",0,SUMIF('DADOS BRUTOS'!$A$3:$A$500,$C42,'DADOS BRUTOS'!J$3:J$500)))</f>
        <v>0</v>
      </c>
      <c r="CK42" s="133" t="n">
        <f aca="false">IF(OR(CK$4="",$B42=""),0,SUMIF('DADOS BRUTOS'!$A$3:$A$500,$B42,'DADOS BRUTOS'!K$3:K$500)+IF($C42="",0,SUMIF('DADOS BRUTOS'!$A$3:$A$500,$C42,'DADOS BRUTOS'!K$3:K$500)))</f>
        <v>37450</v>
      </c>
      <c r="CL42" s="133" t="n">
        <f aca="false">IF(OR(CL$4="",$B42=""),0,SUMIF('DADOS BRUTOS'!$A$3:$A$500,$B42,'DADOS BRUTOS'!L$3:L$500)+IF($C42="",0,SUMIF('DADOS BRUTOS'!$A$3:$A$500,$C42,'DADOS BRUTOS'!L$3:L$500)))</f>
        <v>0</v>
      </c>
      <c r="CM42" s="133" t="n">
        <f aca="false">IF(OR(CM$4="",$B42=""),0,SUMIF('DADOS BRUTOS'!$A$3:$A$500,$B42,'DADOS BRUTOS'!M$3:M$500)+IF($C42="",0,SUMIF('DADOS BRUTOS'!$A$3:$A$500,$C42,'DADOS BRUTOS'!M$3:M$500)))</f>
        <v>0</v>
      </c>
      <c r="CN42" s="133" t="n">
        <f aca="false">IF(OR(CN$4="",$B42=""),0,SUMIF('DADOS BRUTOS'!$A$3:$A$500,$B42,'DADOS BRUTOS'!N$3:N$500)+IF($C42="",0,SUMIF('DADOS BRUTOS'!$A$3:$A$500,$C42,'DADOS BRUTOS'!N$3:N$500)))</f>
        <v>0</v>
      </c>
      <c r="CO42" s="133" t="n">
        <f aca="false">IF(OR(CO$4="",$B42=""),0,SUMIF('DADOS BRUTOS'!$A$3:$A$500,$B42,'DADOS BRUTOS'!O$3:O$500)+IF($C42="",0,SUMIF('DADOS BRUTOS'!$A$3:$A$500,$C42,'DADOS BRUTOS'!O$3:O$500)))</f>
        <v>36922.46</v>
      </c>
      <c r="CP42" s="133" t="n">
        <f aca="false">IF(OR(CP$4="",$B42=""),0,SUMIF('DADOS BRUTOS'!$A$3:$A$500,$B42,'DADOS BRUTOS'!P$3:P$500)+IF($C42="",0,SUMIF('DADOS BRUTOS'!$A$3:$A$500,$C42,'DADOS BRUTOS'!P$3:P$500)))</f>
        <v>0</v>
      </c>
      <c r="CQ42" s="133" t="n">
        <f aca="false">IF(OR(CQ$4="",$B42=""),0,SUMIF('DADOS BRUTOS'!$A$3:$A$500,$B42,'DADOS BRUTOS'!Q$3:Q$500)+IF($C42="",0,SUMIF('DADOS BRUTOS'!$A$3:$A$500,$C42,'DADOS BRUTOS'!Q$3:Q$500)))</f>
        <v>34045.51</v>
      </c>
      <c r="CR42" s="133" t="n">
        <f aca="false">IF(OR(CR$4="",$B42=""),0,SUMIF('DADOS BRUTOS'!$A$3:$A$500,$B42,'DADOS BRUTOS'!R$3:R$500)+IF($C42="",0,SUMIF('DADOS BRUTOS'!$A$3:$A$500,$C42,'DADOS BRUTOS'!R$3:R$500)))</f>
        <v>14154.82</v>
      </c>
      <c r="CS42" s="133" t="n">
        <f aca="false">IF(OR(CS$4="",$B42=""),0,SUMIF('DADOS BRUTOS'!$A$3:$A$500,$B42,'DADOS BRUTOS'!S$3:S$500)+IF($C42="",0,SUMIF('DADOS BRUTOS'!$A$3:$A$500,$C42,'DADOS BRUTOS'!S$3:S$500)))</f>
        <v>71756.69</v>
      </c>
      <c r="CT42" s="133" t="n">
        <f aca="false">IF(OR(CT$4="",$B42=""),0,SUMIF('DADOS BRUTOS'!$A$3:$A$500,$B42,'DADOS BRUTOS'!T$3:T$500)+IF($C42="",0,SUMIF('DADOS BRUTOS'!$A$3:$A$500,$C42,'DADOS BRUTOS'!T$3:T$500)))</f>
        <v>6521.51</v>
      </c>
      <c r="CU42" s="133" t="n">
        <f aca="false">IF(OR(CU$4="",$B42=""),0,SUMIF('DADOS BRUTOS'!$A$3:$A$500,$B42,'DADOS BRUTOS'!U$3:U$500)+IF($C42="",0,SUMIF('DADOS BRUTOS'!$A$3:$A$500,$C42,'DADOS BRUTOS'!U$3:U$500)))</f>
        <v>13570.62</v>
      </c>
      <c r="CV42" s="133" t="n">
        <f aca="false">IF(OR(CV$4="",$B42=""),0,SUMIF('DADOS BRUTOS'!$A$3:$A$500,$B42,'DADOS BRUTOS'!V$3:V$500)+IF($C42="",0,SUMIF('DADOS BRUTOS'!$A$3:$A$500,$C42,'DADOS BRUTOS'!V$3:V$500)))</f>
        <v>26242.32</v>
      </c>
      <c r="CW42" s="133" t="n">
        <f aca="false">IF(OR(CW$4="",$B42=""),0,SUMIF('DADOS BRUTOS'!$A$3:$A$500,$B42,'DADOS BRUTOS'!W$3:W$500)+IF($C42="",0,SUMIF('DADOS BRUTOS'!$A$3:$A$500,$C42,'DADOS BRUTOS'!W$3:W$500)))</f>
        <v>34986.5</v>
      </c>
      <c r="CX42" s="133" t="n">
        <f aca="false">IF(OR(CX$4="",$B42=""),0,SUMIF('DADOS BRUTOS'!$A$3:$A$500,$B42,'DADOS BRUTOS'!X$3:X$500)+IF($C42="",0,SUMIF('DADOS BRUTOS'!$A$3:$A$500,$C42,'DADOS BRUTOS'!X$3:X$500)))</f>
        <v>70987.17</v>
      </c>
      <c r="CY42" s="133" t="n">
        <f aca="false">IF(OR(CY$4="",$B42=""),0,SUMIF('DADOS BRUTOS'!$A$3:$A$500,$B42,'DADOS BRUTOS'!Y$3:Y$500)+IF($C42="",0,SUMIF('DADOS BRUTOS'!$A$3:$A$500,$C42,'DADOS BRUTOS'!Y$3:Y$500)))</f>
        <v>119467.69</v>
      </c>
      <c r="CZ42" s="133" t="n">
        <f aca="false">IF(OR(CZ$4="",$B42=""),0,SUMIF('DADOS BRUTOS'!$A$3:$A$500,$B42,'DADOS BRUTOS'!Z$3:Z$500)+IF($C42="",0,SUMIF('DADOS BRUTOS'!$A$3:$A$500,$C42,'DADOS BRUTOS'!Z$3:Z$500)))</f>
        <v>0</v>
      </c>
      <c r="DA42" s="133" t="n">
        <f aca="false">IF(OR(DA$4="",$B42=""),0,SUMIF('DADOS BRUTOS'!$A$3:$A$500,$B42,'DADOS BRUTOS'!AA$3:AA$500)+IF($C42="",0,SUMIF('DADOS BRUTOS'!$A$3:$A$500,$C42,'DADOS BRUTOS'!AA$3:AA$500)))</f>
        <v>0</v>
      </c>
      <c r="DB42" s="133" t="n">
        <f aca="false">IF(OR(DB$4="",$B42=""),0,SUMIF('DADOS BRUTOS'!$A$3:$A$500,$B42,'DADOS BRUTOS'!AB$3:AB$500)+IF($C42="",0,SUMIF('DADOS BRUTOS'!$A$3:$A$500,$C42,'DADOS BRUTOS'!AB$3:AB$500)))</f>
        <v>0</v>
      </c>
      <c r="DC42" s="133" t="n">
        <f aca="false">IF(OR(DC$4="",$B42=""),0,SUMIF('DADOS BRUTOS'!$A$3:$A$500,$B42,'DADOS BRUTOS'!AC$3:AC$500)+IF($C42="",0,SUMIF('DADOS BRUTOS'!$A$3:$A$500,$C42,'DADOS BRUTOS'!AC$3:AC$500)))</f>
        <v>0</v>
      </c>
      <c r="DD42" s="133" t="n">
        <f aca="false">IF(OR(DD$4="",$B42=""),0,SUMIF('DADOS BRUTOS'!$A$3:$A$500,$B42,'DADOS BRUTOS'!AD$3:AD$500)+IF($C42="",0,SUMIF('DADOS BRUTOS'!$A$3:$A$500,$C42,'DADOS BRUTOS'!AD$3:AD$500)))</f>
        <v>0</v>
      </c>
      <c r="DE42" s="133" t="n">
        <f aca="false">IF(OR(DE$4="",$B42=""),0,SUMIF('DADOS BRUTOS'!$A$3:$A$500,$B42,'DADOS BRUTOS'!AE$3:AE$500)+IF($C42="",0,SUMIF('DADOS BRUTOS'!$A$3:$A$500,$C42,'DADOS BRUTOS'!AE$3:AE$500)))</f>
        <v>0</v>
      </c>
      <c r="DF42" s="133" t="n">
        <f aca="false">IF(OR(DF$4="",$B42=""),0,SUMIF('DADOS BRUTOS'!$A$3:$A$500,$B42,'DADOS BRUTOS'!AF$3:AF$500)+IF($C42="",0,SUMIF('DADOS BRUTOS'!$A$3:$A$500,$C42,'DADOS BRUTOS'!AF$3:AF$500)))</f>
        <v>0</v>
      </c>
      <c r="DG42" s="133" t="n">
        <f aca="false">IF(OR(DG$4="",$B42=""),0,SUMIF('DADOS BRUTOS'!$A$3:$A$500,$B42,'DADOS BRUTOS'!AG$3:AG$500)+IF($C42="",0,SUMIF('DADOS BRUTOS'!$A$3:$A$500,$C42,'DADOS BRUTOS'!AG$3:AG$500)))</f>
        <v>0</v>
      </c>
      <c r="DH42" s="133" t="n">
        <f aca="false">IF(OR(DH$4="",$B42=""),0,SUMIF('DADOS BRUTOS'!$A$3:$A$500,$B42,'DADOS BRUTOS'!AH$3:AH$500)+IF($C42="",0,SUMIF('DADOS BRUTOS'!$A$3:$A$500,$C42,'DADOS BRUTOS'!AH$3:AH$500)))</f>
        <v>0</v>
      </c>
      <c r="DI42" s="133" t="n">
        <f aca="false">IF(OR(DI$4="",$B42=""),0,SUMIF('DADOS BRUTOS'!$A$3:$A$500,$B42,'DADOS BRUTOS'!AI$3:AI$500)+IF($C42="",0,SUMIF('DADOS BRUTOS'!$A$3:$A$500,$C42,'DADOS BRUTOS'!AI$3:AI$500)))</f>
        <v>0</v>
      </c>
      <c r="DJ42" s="133" t="n">
        <f aca="false">IF(OR(DJ$4="",$B42=""),0,SUMIF('DADOS BRUTOS'!$A$3:$A$500,$B42,'DADOS BRUTOS'!AJ$3:AJ$500)+IF($C42="",0,SUMIF('DADOS BRUTOS'!$A$3:$A$500,$C42,'DADOS BRUTOS'!AJ$3:AJ$500)))</f>
        <v>0</v>
      </c>
      <c r="DK42" s="133" t="n">
        <f aca="false">IF(OR(DK$4="",$B42=""),0,SUMIF('DADOS BRUTOS'!$A$3:$A$500,$B42,'DADOS BRUTOS'!AK$3:AK$500)+IF($C42="",0,SUMIF('DADOS BRUTOS'!$A$3:$A$500,$C42,'DADOS BRUTOS'!AK$3:AK$500)))</f>
        <v>0</v>
      </c>
      <c r="DL42" s="133" t="n">
        <f aca="false">IF(OR(DL$4="",$B42=""),0,SUMIF('DADOS BRUTOS'!$A$3:$A$500,$B42,'DADOS BRUTOS'!AL$3:AL$500)+IF($C42="",0,SUMIF('DADOS BRUTOS'!$A$3:$A$500,$C42,'DADOS BRUTOS'!AL$3:AL$500)))</f>
        <v>0</v>
      </c>
      <c r="DM42" s="133" t="n">
        <f aca="false">IF(OR(DM$4="",$B42=""),0,SUMIF('DADOS BRUTOS'!$A$3:$A$500,$B42,'DADOS BRUTOS'!AM$3:AM$500)+IF($C42="",0,SUMIF('DADOS BRUTOS'!$A$3:$A$500,$C42,'DADOS BRUTOS'!AM$3:AM$500)))</f>
        <v>0</v>
      </c>
      <c r="DN42" s="133" t="n">
        <f aca="false">IF(OR(DN$4="",$B42=""),0,SUMIF('DADOS BRUTOS'!$A$3:$A$500,$B42,'DADOS BRUTOS'!AN$3:AN$500)+IF($C42="",0,SUMIF('DADOS BRUTOS'!$A$3:$A$500,$C42,'DADOS BRUTOS'!AN$3:AN$500)))</f>
        <v>0</v>
      </c>
      <c r="DO42" s="133" t="n">
        <f aca="false">IF(OR(DO$4="",$B42=""),0,SUMIF('DADOS BRUTOS'!$A$3:$A$500,$B42,'DADOS BRUTOS'!AO$3:AO$500)+IF($C42="",0,SUMIF('DADOS BRUTOS'!$A$3:$A$500,$C42,'DADOS BRUTOS'!AO$3:AO$500)))</f>
        <v>0</v>
      </c>
      <c r="DP42" s="133" t="n">
        <f aca="false">IF(OR(DP$4="",$B42=""),0,SUMIF('DADOS BRUTOS'!$A$3:$A$500,$B42,'DADOS BRUTOS'!AP$3:AP$500)+IF($C42="",0,SUMIF('DADOS BRUTOS'!$A$3:$A$500,$C42,'DADOS BRUTOS'!AP$3:AP$500)))</f>
        <v>0</v>
      </c>
      <c r="DQ42" s="133" t="n">
        <f aca="false">IF(OR(DQ$4="",$B42=""),0,SUMIF('DADOS BRUTOS'!$A$3:$A$500,$B42,'DADOS BRUTOS'!AQ$3:AQ$500)+IF($C42="",0,SUMIF('DADOS BRUTOS'!$A$3:$A$500,$C42,'DADOS BRUTOS'!AQ$3:AQ$500)))</f>
        <v>0</v>
      </c>
      <c r="DR42" s="133" t="n">
        <f aca="false">IF(OR(DR$4="",$B42=""),0,SUMIF('DADOS BRUTOS'!$A$3:$A$500,$B42,'DADOS BRUTOS'!AR$3:AR$500)+IF($C42="",0,SUMIF('DADOS BRUTOS'!$A$3:$A$500,$C42,'DADOS BRUTOS'!AR$3:AR$500)))</f>
        <v>0</v>
      </c>
      <c r="DS42" s="133" t="n">
        <f aca="false">IF(OR(DS$4="",$B42=""),0,SUMIF('DADOS BRUTOS'!$A$3:$A$500,$B42,'DADOS BRUTOS'!AS$3:AS$500)+IF($C42="",0,SUMIF('DADOS BRUTOS'!$A$3:$A$500,$C42,'DADOS BRUTOS'!AS$3:AS$500)))</f>
        <v>0</v>
      </c>
      <c r="DT42" s="133" t="n">
        <f aca="false">IF(OR(DT$4="",$B42=""),0,SUMIF('DADOS BRUTOS'!$A$3:$A$500,$B42,'DADOS BRUTOS'!AT$3:AT$500)+IF($C42="",0,SUMIF('DADOS BRUTOS'!$A$3:$A$500,$C42,'DADOS BRUTOS'!AT$3:AT$500)))</f>
        <v>0</v>
      </c>
      <c r="DU42" s="133" t="n">
        <f aca="false">IF(OR(DU$4="",$B42=""),0,SUMIF('DADOS BRUTOS'!$A$3:$A$500,$B42,'DADOS BRUTOS'!AU$3:AU$500)+IF($C42="",0,SUMIF('DADOS BRUTOS'!$A$3:$A$500,$C42,'DADOS BRUTOS'!AU$3:AU$500)))</f>
        <v>0</v>
      </c>
      <c r="DV42" s="133" t="n">
        <f aca="false">IF(OR(DV$4="",$B42=""),0,SUMIF('DADOS BRUTOS'!$A$3:$A$500,$B42,'DADOS BRUTOS'!AV$3:AV$500)+IF($C42="",0,SUMIF('DADOS BRUTOS'!$A$3:$A$500,$C42,'DADOS BRUTOS'!AV$3:AV$500)))</f>
        <v>0</v>
      </c>
      <c r="DW42" s="133" t="n">
        <f aca="false">IF(OR(DW$4="",$B42=""),0,SUMIF('DADOS BRUTOS'!$A$3:$A$500,$B42,'DADOS BRUTOS'!AW$3:AW$500)+IF($C42="",0,SUMIF('DADOS BRUTOS'!$A$3:$A$500,$C42,'DADOS BRUTOS'!AW$3:AW$500)))</f>
        <v>0</v>
      </c>
      <c r="DX42" s="133" t="n">
        <f aca="false">IF(OR(DX$4="",$B42=""),0,SUMIF('DADOS BRUTOS'!$A$3:$A$500,$B42,'DADOS BRUTOS'!AX$3:AX$500)+IF($C42="",0,SUMIF('DADOS BRUTOS'!$A$3:$A$500,$C42,'DADOS BRUTOS'!AX$3:AX$500)))</f>
        <v>0</v>
      </c>
      <c r="DY42" s="133" t="n">
        <f aca="false">IF(OR(DY$4="",$B42=""),0,SUMIF('DADOS BRUTOS'!$A$3:$A$500,$B42,'DADOS BRUTOS'!AY$3:AY$500)+IF($C42="",0,SUMIF('DADOS BRUTOS'!$A$3:$A$500,$C42,'DADOS BRUTOS'!AY$3:AY$500)))</f>
        <v>0</v>
      </c>
      <c r="DZ42" s="133" t="n">
        <f aca="false">IF(OR(DZ$4="",$B42=""),0,SUMIF('DADOS BRUTOS'!$A$3:$A$500,$B42,'DADOS BRUTOS'!AZ$3:AZ$500)+IF($C42="",0,SUMIF('DADOS BRUTOS'!$A$3:$A$500,$C42,'DADOS BRUTOS'!AZ$3:AZ$500)))</f>
        <v>0</v>
      </c>
      <c r="EA42" s="133" t="n">
        <f aca="false">IF(OR(EA$4="",$B42=""),0,SUMIF('DADOS BRUTOS'!$A$3:$A$500,$B42,'DADOS BRUTOS'!BA$3:BA$500)+IF($C42="",0,SUMIF('DADOS BRUTOS'!$A$3:$A$500,$C42,'DADOS BRUTOS'!BA$3:BA$500)))</f>
        <v>0</v>
      </c>
      <c r="EB42" s="133" t="n">
        <f aca="false">IF(OR(EB$4="",$B42=""),0,SUMIF('DADOS BRUTOS'!$A$3:$A$500,$B42,'DADOS BRUTOS'!BB$3:BB$500)+IF($C42="",0,SUMIF('DADOS BRUTOS'!$A$3:$A$500,$C42,'DADOS BRUTOS'!BB$3:BB$500)))</f>
        <v>0</v>
      </c>
      <c r="EC42" s="133" t="n">
        <f aca="false">IF(OR(EC$4="",$B42=""),0,SUMIF('DADOS BRUTOS'!$A$3:$A$500,$B42,'DADOS BRUTOS'!BC$3:BC$500)+IF($C42="",0,SUMIF('DADOS BRUTOS'!$A$3:$A$500,$C42,'DADOS BRUTOS'!BC$3:BC$500)))</f>
        <v>0</v>
      </c>
      <c r="ED42" s="133" t="n">
        <f aca="false">IF(OR(ED$4="",$B42=""),0,SUMIF('DADOS BRUTOS'!$A$3:$A$500,$B42,'DADOS BRUTOS'!BD$3:BD$500)+IF($C42="",0,SUMIF('DADOS BRUTOS'!$A$3:$A$500,$C42,'DADOS BRUTOS'!BD$3:BD$500)))</f>
        <v>0</v>
      </c>
      <c r="EE42" s="133" t="n">
        <f aca="false">IF(OR(EE$4="",$B42=""),0,SUMIF('DADOS BRUTOS'!$A$3:$A$500,$B42,'DADOS BRUTOS'!BE$3:BE$500)+IF($C42="",0,SUMIF('DADOS BRUTOS'!$A$3:$A$500,$C42,'DADOS BRUTOS'!BE$3:BE$500)))</f>
        <v>0</v>
      </c>
      <c r="EF42" s="133" t="n">
        <f aca="false">IF(OR(EF$4="",$B42=""),0,SUMIF('DADOS BRUTOS'!$A$3:$A$500,$B42,'DADOS BRUTOS'!BF$3:BF$500)+IF($C42="",0,SUMIF('DADOS BRUTOS'!$A$3:$A$500,$C42,'DADOS BRUTOS'!BF$3:BF$500)))</f>
        <v>0</v>
      </c>
      <c r="EG42" s="133" t="n">
        <f aca="false">IF(OR(EG$4="",$B42=""),0,SUMIF('DADOS BRUTOS'!$A$3:$A$500,$B42,'DADOS BRUTOS'!BG$3:BG$500)+IF($C42="",0,SUMIF('DADOS BRUTOS'!$A$3:$A$500,$C42,'DADOS BRUTOS'!BG$3:BG$500)))</f>
        <v>0</v>
      </c>
      <c r="EH42" s="133" t="n">
        <f aca="false">IF(OR(EH$4="",$B42=""),0,SUMIF('DADOS BRUTOS'!$A$3:$A$500,$B42,'DADOS BRUTOS'!BH$3:BH$500)+IF($C42="",0,SUMIF('DADOS BRUTOS'!$A$3:$A$500,$C42,'DADOS BRUTOS'!BH$3:BH$500)))</f>
        <v>0</v>
      </c>
      <c r="EI42" s="133" t="n">
        <f aca="false">IF(OR(EI$4="",$B42=""),0,SUMIF('DADOS BRUTOS'!$A$3:$A$500,$B42,'DADOS BRUTOS'!BI$3:BI$500)+IF($C42="",0,SUMIF('DADOS BRUTOS'!$A$3:$A$500,$C42,'DADOS BRUTOS'!BI$3:BI$500)))</f>
        <v>0</v>
      </c>
      <c r="EJ42" s="133" t="n">
        <f aca="false">IF(OR(EJ$4="",$B42=""),0,SUMIF('DADOS BRUTOS'!$A$3:$A$500,$B42,'DADOS BRUTOS'!BJ$3:BJ$500)+IF($C42="",0,SUMIF('DADOS BRUTOS'!$A$3:$A$500,$C42,'DADOS BRUTOS'!BJ$3:BJ$500)))</f>
        <v>0</v>
      </c>
      <c r="EK42" s="133" t="n">
        <f aca="false">IF(OR(EK$4="",$B42=""),0,SUMIF('DADOS BRUTOS'!$A$3:$A$500,$B42,'DADOS BRUTOS'!BK$3:BK$500)+IF($C42="",0,SUMIF('DADOS BRUTOS'!$A$3:$A$500,$C42,'DADOS BRUTOS'!BK$3:BK$500)))</f>
        <v>0</v>
      </c>
      <c r="EL42" s="133" t="n">
        <f aca="false">IF(OR(EL$4="",$B42=""),0,SUMIF('DADOS BRUTOS'!$A$3:$A$500,$B42,'DADOS BRUTOS'!BL$3:BL$500)+IF($C42="",0,SUMIF('DADOS BRUTOS'!$A$3:$A$500,$C42,'DADOS BRUTOS'!BL$3:BL$500)))</f>
        <v>0</v>
      </c>
      <c r="EM42" s="133" t="n">
        <f aca="false">IF(OR(EM$4="",$B42=""),0,SUMIF('DADOS BRUTOS'!$A$3:$A$500,$B42,'DADOS BRUTOS'!BM$3:BM$500)+IF($C42="",0,SUMIF('DADOS BRUTOS'!$A$3:$A$500,$C42,'DADOS BRUTOS'!BM$3:BM$500)))</f>
        <v>0</v>
      </c>
      <c r="EN42" s="133" t="n">
        <f aca="false">IF(OR(EN$4="",$B42=""),0,SUMIF('DADOS BRUTOS'!$A$3:$A$500,$B42,'DADOS BRUTOS'!BN$3:BN$500)+IF($C42="",0,SUMIF('DADOS BRUTOS'!$A$3:$A$500,$C42,'DADOS BRUTOS'!BN$3:BN$500)))</f>
        <v>0</v>
      </c>
      <c r="EO42" s="133" t="n">
        <f aca="false">IF(OR(EO$4="",$B42=""),0,SUMIF('DADOS BRUTOS'!$A$3:$A$500,$B42,'DADOS BRUTOS'!BO$3:BO$500)+IF($C42="",0,SUMIF('DADOS BRUTOS'!$A$3:$A$500,$C42,'DADOS BRUTOS'!BO$3:BO$500)))</f>
        <v>0</v>
      </c>
      <c r="EP42" s="133" t="n">
        <f aca="false">IF(OR(EP$4="",$B42=""),0,SUMIF('DADOS BRUTOS'!$A$3:$A$500,$B42,'DADOS BRUTOS'!BP$3:BP$500)+IF($C42="",0,SUMIF('DADOS BRUTOS'!$A$3:$A$500,$C42,'DADOS BRUTOS'!BP$3:BP$500)))</f>
        <v>0</v>
      </c>
      <c r="EQ42" s="133" t="n">
        <f aca="false">IF(OR(EQ$4="",$B42=""),0,SUMIF('DADOS BRUTOS'!$A$3:$A$500,$B42,'DADOS BRUTOS'!BQ$3:BQ$500)+IF($C42="",0,SUMIF('DADOS BRUTOS'!$A$3:$A$500,$C42,'DADOS BRUTOS'!BQ$3:BQ$500)))</f>
        <v>0</v>
      </c>
      <c r="ER42" s="133" t="n">
        <f aca="false">IF(OR(ER$4="",$B42=""),0,SUMIF('DADOS BRUTOS'!$A$3:$A$500,$B42,'DADOS BRUTOS'!BR$3:BR$500)+IF($C42="",0,SUMIF('DADOS BRUTOS'!$A$3:$A$500,$C42,'DADOS BRUTOS'!BR$3:BR$500)))</f>
        <v>0</v>
      </c>
      <c r="ES42" s="133" t="n">
        <f aca="false">IF(OR(ES$4="",$B42=""),0,SUMIF('DADOS BRUTOS'!$A$3:$A$500,$B42,'DADOS BRUTOS'!BS$3:BS$500)+IF($C42="",0,SUMIF('DADOS BRUTOS'!$A$3:$A$500,$C42,'DADOS BRUTOS'!BS$3:BS$500)))</f>
        <v>0</v>
      </c>
      <c r="ET42" s="133" t="n">
        <f aca="false">IF(OR(ET$4="",$B42=""),0,SUMIF('DADOS BRUTOS'!$A$3:$A$500,$B42,'DADOS BRUTOS'!BT$3:BT$500)+IF($C42="",0,SUMIF('DADOS BRUTOS'!$A$3:$A$500,$C42,'DADOS BRUTOS'!BT$3:BT$500)))</f>
        <v>0</v>
      </c>
      <c r="EU42" s="133" t="n">
        <f aca="false">IF(OR(EU$4="",$B42=""),0,SUMIF('DADOS BRUTOS'!$A$3:$A$500,$B42,'DADOS BRUTOS'!BU$3:BU$500)+IF($C42="",0,SUMIF('DADOS BRUTOS'!$A$3:$A$500,$C42,'DADOS BRUTOS'!BU$3:BU$500)))</f>
        <v>0</v>
      </c>
      <c r="EV42" s="133" t="n">
        <f aca="false">IF(OR(EV$4="",$B42=""),0,SUMIF('DADOS BRUTOS'!$A$3:$A$500,$B42,'DADOS BRUTOS'!BV$3:BV$500)+IF($C42="",0,SUMIF('DADOS BRUTOS'!$A$3:$A$500,$C42,'DADOS BRUTOS'!BV$3:BV$500)))</f>
        <v>0</v>
      </c>
      <c r="EW42" s="133" t="n">
        <f aca="false">IF(OR(EW$4="",$B42=""),0,SUMIF('DADOS BRUTOS'!$A$3:$A$500,$B42,'DADOS BRUTOS'!BW$3:BW$500)+IF($C42="",0,SUMIF('DADOS BRUTOS'!$A$3:$A$500,$C42,'DADOS BRUTOS'!BW$3:BW$500)))</f>
        <v>0</v>
      </c>
      <c r="EX42" s="133" t="n">
        <f aca="false">IF(OR(EX$4="",$B42=""),0,SUMIF('DADOS BRUTOS'!$A$3:$A$500,$B42,'DADOS BRUTOS'!BX$3:BX$500)+IF($C42="",0,SUMIF('DADOS BRUTOS'!$A$3:$A$500,$C42,'DADOS BRUTOS'!BX$3:BX$500)))</f>
        <v>0</v>
      </c>
      <c r="EY42" s="133" t="n">
        <f aca="false">IF(OR(EY$4="",$B42=""),0,SUMIF('DADOS BRUTOS'!$A$3:$A$500,$B42,'DADOS BRUTOS'!BY$3:BY$500)+IF($C42="",0,SUMIF('DADOS BRUTOS'!$A$3:$A$500,$C42,'DADOS BRUTOS'!BY$3:BY$500)))</f>
        <v>0</v>
      </c>
      <c r="EZ42" s="133" t="n">
        <f aca="false">IF(OR(EZ$4="",$B42=""),0,SUMIF('DADOS BRUTOS'!$A$3:$A$500,$B42,'DADOS BRUTOS'!BZ$3:BZ$500)+IF($C42="",0,SUMIF('DADOS BRUTOS'!$A$3:$A$500,$C42,'DADOS BRUTOS'!BZ$3:BZ$500)))</f>
        <v>0</v>
      </c>
      <c r="FA42" s="133" t="n">
        <f aca="false">IF(OR(FA$4="",$B42=""),0,SUMIF('DADOS BRUTOS'!$A$3:$A$500,$B42,'DADOS BRUTOS'!CA$3:CA$500)+IF($C42="",0,SUMIF('DADOS BRUTOS'!$A$3:$A$500,$C42,'DADOS BRUTOS'!CA$3:CA$500)))</f>
        <v>0</v>
      </c>
      <c r="FB42" s="133" t="n">
        <f aca="false">IF(OR(FB$4="",$B42=""),0,SUMIF('DADOS BRUTOS'!$A$3:$A$500,$B42,'DADOS BRUTOS'!CB$3:CB$500)+IF($C42="",0,SUMIF('DADOS BRUTOS'!$A$3:$A$500,$C42,'DADOS BRUTOS'!CB$3:CB$500)))</f>
        <v>0</v>
      </c>
      <c r="FC42" s="133" t="n">
        <f aca="false">IF(OR(FC$4="",$B42=""),0,SUMIF('DADOS BRUTOS'!$A$3:$A$500,$B42,'DADOS BRUTOS'!CC$3:CC$500)+IF($C42="",0,SUMIF('DADOS BRUTOS'!$A$3:$A$500,$C42,'DADOS BRUTOS'!CC$3:CC$500)))</f>
        <v>0</v>
      </c>
      <c r="FD42" s="133" t="n">
        <f aca="false">IF(OR(FD$4="",$B42=""),0,SUMIF('DADOS BRUTOS'!$A$3:$A$500,$B42,'DADOS BRUTOS'!CD$3:CD$500)+IF($C42="",0,SUMIF('DADOS BRUTOS'!$A$3:$A$500,$C42,'DADOS BRUTOS'!CD$3:CD$500)))</f>
        <v>0</v>
      </c>
      <c r="FE42" s="133" t="n">
        <f aca="false">IF(OR(FE$4="",$B42=""),0,SUMIF('DADOS BRUTOS'!$A$3:$A$500,$B42,'DADOS BRUTOS'!CE$3:CE$500)+IF($C42="",0,SUMIF('DADOS BRUTOS'!$A$3:$A$500,$C42,'DADOS BRUTOS'!CE$3:CE$500)))</f>
        <v>0</v>
      </c>
      <c r="FF42" s="133" t="n">
        <f aca="false">IF(OR(FF$4="",$B42=""),0,SUMIF('DADOS BRUTOS'!$A$3:$A$500,$B42,'DADOS BRUTOS'!CF$3:CF$500)+IF($C42="",0,SUMIF('DADOS BRUTOS'!$A$3:$A$500,$C42,'DADOS BRUTOS'!CF$3:CF$500)))</f>
        <v>0</v>
      </c>
      <c r="FG42" s="133" t="n">
        <f aca="false">IF(OR(FG$4="",$B42=""),0,SUMIF('DADOS BRUTOS'!$A$3:$A$500,$B42,'DADOS BRUTOS'!CG$3:CG$500)+IF($C42="",0,SUMIF('DADOS BRUTOS'!$A$3:$A$500,$C42,'DADOS BRUTOS'!CG$3:CG$500)))</f>
        <v>0</v>
      </c>
      <c r="FH42" s="133" t="n">
        <f aca="false">IF(OR(FH$4="",$B42=""),0,SUMIF('DADOS BRUTOS'!$A$3:$A$500,$B42,'DADOS BRUTOS'!CH$3:CH$500)+IF($C42="",0,SUMIF('DADOS BRUTOS'!$A$3:$A$500,$C42,'DADOS BRUTOS'!CH$3:CH$500)))</f>
        <v>0</v>
      </c>
      <c r="FI42" s="133" t="n">
        <f aca="false">IF(OR(FI$4="",$B42=""),0,SUMIF('DADOS BRUTOS'!$A$3:$A$500,$B42,'DADOS BRUTOS'!CI$3:CI$500)+IF($C42="",0,SUMIF('DADOS BRUTOS'!$A$3:$A$500,$C42,'DADOS BRUTOS'!CI$3:CI$500)))</f>
        <v>0</v>
      </c>
      <c r="FJ42" s="133" t="n">
        <f aca="false">IF(OR(FJ$4="",$B42=""),0,SUMIF('DADOS BRUTOS'!$A$3:$A$500,$B42,'DADOS BRUTOS'!CJ$3:CJ$500)+IF($C42="",0,SUMIF('DADOS BRUTOS'!$A$3:$A$500,$C42,'DADOS BRUTOS'!CJ$3:CJ$500)))</f>
        <v>0</v>
      </c>
      <c r="FK42" s="133" t="n">
        <f aca="false">IF(OR(FK$4="",$B42=""),0,SUMIF('DADOS BRUTOS'!$A$3:$A$500,$B42,'DADOS BRUTOS'!CK$3:CK$500)+IF($C42="",0,SUMIF('DADOS BRUTOS'!$A$3:$A$500,$C42,'DADOS BRUTOS'!CK$3:CK$500)))</f>
        <v>0</v>
      </c>
      <c r="FL42" s="133" t="n">
        <f aca="false">IF(OR(FL$4="",$B42=""),0,SUMIF('DADOS BRUTOS'!$A$3:$A$500,$B42,'DADOS BRUTOS'!CL$3:CL$500)+IF($C42="",0,SUMIF('DADOS BRUTOS'!$A$3:$A$500,$C42,'DADOS BRUTOS'!CL$3:CL$500)))</f>
        <v>0</v>
      </c>
      <c r="FM42" s="133" t="n">
        <f aca="false">IF(OR(FM$4="",$B42=""),0,SUMIF('DADOS BRUTOS'!$A$3:$A$500,$B42,'DADOS BRUTOS'!CM$3:CM$500)+IF($C42="",0,SUMIF('DADOS BRUTOS'!$A$3:$A$500,$C42,'DADOS BRUTOS'!CM$3:CM$500)))</f>
        <v>0</v>
      </c>
      <c r="FN42" s="133" t="n">
        <f aca="false">IF(OR(FN$4="",$B42=""),0,SUMIF('DADOS BRUTOS'!$A$3:$A$500,$B42,'DADOS BRUTOS'!CN$3:CN$500)+IF($C42="",0,SUMIF('DADOS BRUTOS'!$A$3:$A$500,$C42,'DADOS BRUTOS'!CN$3:CN$500)))</f>
        <v>0</v>
      </c>
      <c r="FO42" s="133" t="n">
        <f aca="false">IF(OR(FO$4="",$B42=""),0,SUMIF('DADOS BRUTOS'!$A$3:$A$500,$B42,'DADOS BRUTOS'!CO$3:CO$500)+IF($C42="",0,SUMIF('DADOS BRUTOS'!$A$3:$A$500,$C42,'DADOS BRUTOS'!CO$3:CO$500)))</f>
        <v>0</v>
      </c>
      <c r="FP42" s="133" t="n">
        <f aca="false">IF(OR(FP$4="",$B42=""),0,SUMIF('DADOS BRUTOS'!$A$3:$A$500,$B42,'DADOS BRUTOS'!CP$3:CP$500)+IF($C42="",0,SUMIF('DADOS BRUTOS'!$A$3:$A$500,$C42,'DADOS BRUTOS'!CP$3:CP$500)))</f>
        <v>0</v>
      </c>
      <c r="FQ42" s="133" t="n">
        <f aca="false">IF(OR(FQ$4="",$B42=""),0,SUMIF('DADOS BRUTOS'!$A$3:$A$500,$B42,'DADOS BRUTOS'!CQ$3:CQ$500)+IF($C42="",0,SUMIF('DADOS BRUTOS'!$A$3:$A$500,$C42,'DADOS BRUTOS'!CQ$3:CQ$500)))</f>
        <v>0</v>
      </c>
      <c r="FR42" s="133" t="n">
        <f aca="false">IF(OR(FR$4="",$B42=""),0,SUMIF('DADOS BRUTOS'!$A$3:$A$500,$B42,'DADOS BRUTOS'!CR$3:CR$500)+IF($C42="",0,SUMIF('DADOS BRUTOS'!$A$3:$A$500,$C42,'DADOS BRUTOS'!CR$3:CR$500)))</f>
        <v>0</v>
      </c>
      <c r="FS42" s="133" t="n">
        <f aca="false">IF(OR(FS$4="",$B42=""),0,SUMIF('DADOS BRUTOS'!$A$3:$A$500,$B42,'DADOS BRUTOS'!CS$3:CS$500)+IF($C42="",0,SUMIF('DADOS BRUTOS'!$A$3:$A$500,$C42,'DADOS BRUTOS'!CS$3:CS$500)))</f>
        <v>0</v>
      </c>
      <c r="FT42" s="133" t="n">
        <f aca="false">IF(OR(FT$4="",$B42=""),0,SUMIF('DADOS BRUTOS'!$A$3:$A$500,$B42,'DADOS BRUTOS'!CT$3:CT$500)+IF($C42="",0,SUMIF('DADOS BRUTOS'!$A$3:$A$500,$C42,'DADOS BRUTOS'!CT$3:CT$500)))</f>
        <v>0</v>
      </c>
      <c r="FU42" s="133" t="n">
        <f aca="false">IF(OR(FU$4="",$B42=""),0,SUMIF('DADOS BRUTOS'!$A$3:$A$500,$B42,'DADOS BRUTOS'!CU$3:CU$500)+IF($C42="",0,SUMIF('DADOS BRUTOS'!$A$3:$A$500,$C42,'DADOS BRUTOS'!CU$3:CU$500)))</f>
        <v>0</v>
      </c>
      <c r="FV42" s="133" t="n">
        <f aca="false">IF(OR(FV$4="",$B42=""),0,SUMIF('DADOS BRUTOS'!$A$3:$A$500,$B42,'DADOS BRUTOS'!CV$3:CV$500)+IF($C42="",0,SUMIF('DADOS BRUTOS'!$A$3:$A$500,$C42,'DADOS BRUTOS'!CV$3:CV$500)))</f>
        <v>0</v>
      </c>
      <c r="FW42" s="133" t="n">
        <f aca="false">IF(OR(FW$4="",$B42=""),0,SUMIF('DADOS BRUTOS'!$A$3:$A$500,$B42,'DADOS BRUTOS'!CW$3:CW$500)+IF($C42="",0,SUMIF('DADOS BRUTOS'!$A$3:$A$500,$C42,'DADOS BRUTOS'!CW$3:CW$500)))</f>
        <v>0</v>
      </c>
      <c r="FX42" s="133" t="n">
        <f aca="false">IF(OR(FX$4="",$B42=""),0,SUMIF('DADOS BRUTOS'!$A$3:$A$500,$B42,'DADOS BRUTOS'!CX$3:CX$500)+IF($C42="",0,SUMIF('DADOS BRUTOS'!$A$3:$A$500,$C42,'DADOS BRUTOS'!CX$3:CX$500)))</f>
        <v>0</v>
      </c>
      <c r="FY42" s="133" t="n">
        <f aca="false">IF(OR(FY$4="",$B42=""),0,SUMIF('DADOS BRUTOS'!$A$3:$A$500,$B42,'DADOS BRUTOS'!CY$3:CY$500)+IF($C42="",0,SUMIF('DADOS BRUTOS'!$A$3:$A$500,$C42,'DADOS BRUTOS'!CY$3:CY$500)))</f>
        <v>0</v>
      </c>
      <c r="FZ42" s="133" t="n">
        <f aca="false">IF(OR(FZ$4="",$B42=""),0,SUMIF('DADOS BRUTOS'!$A$3:$A$500,$B42,'DADOS BRUTOS'!CZ$3:CZ$500)+IF($C42="",0,SUMIF('DADOS BRUTOS'!$A$3:$A$500,$C42,'DADOS BRUTOS'!CZ$3:CZ$500)))</f>
        <v>0</v>
      </c>
      <c r="GA42" s="133" t="n">
        <f aca="false">IF(OR(GA$4="",$B42=""),0,SUMIF('DADOS BRUTOS'!$A$3:$A$500,$B42,'DADOS BRUTOS'!DA$3:DA$500)+IF($C42="",0,SUMIF('DADOS BRUTOS'!$A$3:$A$500,$C42,'DADOS BRUTOS'!DA$3:DA$500)))</f>
        <v>0</v>
      </c>
      <c r="GB42" s="133" t="n">
        <f aca="false">IF(OR(GB$4="",$B42=""),0,SUMIF('DADOS BRUTOS'!$A$3:$A$500,$B42,'DADOS BRUTOS'!DB$3:DB$500)+IF($C42="",0,SUMIF('DADOS BRUTOS'!$A$3:$A$500,$C42,'DADOS BRUTOS'!DB$3:DB$500)))</f>
        <v>0</v>
      </c>
      <c r="GC42" s="133" t="n">
        <f aca="false">IF(OR(GC$4="",$B42=""),0,SUMIF('DADOS BRUTOS'!$A$3:$A$500,$B42,'DADOS BRUTOS'!DC$3:DC$500)+IF($C42="",0,SUMIF('DADOS BRUTOS'!$A$3:$A$500,$C42,'DADOS BRUTOS'!DC$3:DC$500)))</f>
        <v>0</v>
      </c>
      <c r="GD42" s="133" t="n">
        <f aca="false">IF(OR(GD$4="",$B42=""),0,SUMIF('DADOS BRUTOS'!$A$3:$A$500,$B42,'DADOS BRUTOS'!DD$3:DD$500)+IF($C42="",0,SUMIF('DADOS BRUTOS'!$A$3:$A$500,$C42,'DADOS BRUTOS'!DD$3:DD$500)))</f>
        <v>0</v>
      </c>
      <c r="GE42" s="133" t="n">
        <f aca="false">IF(OR(GE$4="",$B42=""),0,SUMIF('DADOS BRUTOS'!$A$3:$A$500,$B42,'DADOS BRUTOS'!DE$3:DE$500)+IF($C42="",0,SUMIF('DADOS BRUTOS'!$A$3:$A$500,$C42,'DADOS BRUTOS'!DE$3:DE$500)))</f>
        <v>0</v>
      </c>
      <c r="GF42" s="133" t="n">
        <f aca="false">IF(OR(GF$4="",$B42=""),0,SUMIF('DADOS BRUTOS'!$A$3:$A$500,$B42,'DADOS BRUTOS'!DF$3:DF$500)+IF($C42="",0,SUMIF('DADOS BRUTOS'!$A$3:$A$500,$C42,'DADOS BRUTOS'!DF$3:DF$500)))</f>
        <v>0</v>
      </c>
      <c r="GG42" s="133" t="n">
        <f aca="false">IF(OR(GG$4="",$B42=""),0,SUMIF('DADOS BRUTOS'!$A$3:$A$500,$B42,'DADOS BRUTOS'!DG$3:DG$500)+IF($C42="",0,SUMIF('DADOS BRUTOS'!$A$3:$A$500,$C42,'DADOS BRUTOS'!DG$3:DG$500)))</f>
        <v>0</v>
      </c>
      <c r="GH42" s="133" t="n">
        <f aca="false">IF(OR(GH$4="",$B42=""),0,SUMIF('DADOS BRUTOS'!$A$3:$A$500,$B42,'DADOS BRUTOS'!DH$3:DH$500)+IF($C42="",0,SUMIF('DADOS BRUTOS'!$A$3:$A$500,$C42,'DADOS BRUTOS'!DH$3:DH$500)))</f>
        <v>0</v>
      </c>
      <c r="GI42" s="133" t="n">
        <f aca="false">IF(OR(GI$4="",$B42=""),0,SUMIF('DADOS BRUTOS'!$A$3:$A$500,$B42,'DADOS BRUTOS'!DI$3:DI$500)+IF($C42="",0,SUMIF('DADOS BRUTOS'!$A$3:$A$500,$C42,'DADOS BRUTOS'!DI$3:DI$500)))</f>
        <v>0</v>
      </c>
      <c r="GJ42" s="133" t="n">
        <f aca="false">IF(OR(GJ$4="",$B42=""),0,SUMIF('DADOS BRUTOS'!$A$3:$A$500,$B42,'DADOS BRUTOS'!DJ$3:DJ$500)+IF($C42="",0,SUMIF('DADOS BRUTOS'!$A$3:$A$500,$C42,'DADOS BRUTOS'!DJ$3:DJ$500)))</f>
        <v>0</v>
      </c>
      <c r="GK42" s="133" t="n">
        <f aca="false">IF(OR(GK$4="",$B42=""),0,SUMIF('DADOS BRUTOS'!$A$3:$A$500,$B42,'DADOS BRUTOS'!DK$3:DK$500)+IF($C42="",0,SUMIF('DADOS BRUTOS'!$A$3:$A$500,$C42,'DADOS BRUTOS'!DK$3:DK$500)))</f>
        <v>0</v>
      </c>
      <c r="GL42" s="133" t="n">
        <f aca="false">IF(OR(GL$4="",$B42=""),0,SUMIF('DADOS BRUTOS'!$A$3:$A$500,$B42,'DADOS BRUTOS'!DL$3:DL$500)+IF($C42="",0,SUMIF('DADOS BRUTOS'!$A$3:$A$500,$C42,'DADOS BRUTOS'!DL$3:DL$500)))</f>
        <v>0</v>
      </c>
      <c r="GM42" s="133" t="n">
        <f aca="false">IF(OR(GM$4="",$B42=""),0,SUMIF('DADOS BRUTOS'!$A$3:$A$500,$B42,'DADOS BRUTOS'!DM$3:DM$500)+IF($C42="",0,SUMIF('DADOS BRUTOS'!$A$3:$A$500,$C42,'DADOS BRUTOS'!DM$3:DM$500)))</f>
        <v>0</v>
      </c>
      <c r="GN42" s="133" t="n">
        <f aca="false">IF(OR(GN$4="",$B42=""),0,SUMIF('DADOS BRUTOS'!$A$3:$A$500,$B42,'DADOS BRUTOS'!DN$3:DN$500)+IF($C42="",0,SUMIF('DADOS BRUTOS'!$A$3:$A$500,$C42,'DADOS BRUTOS'!DN$3:DN$500)))</f>
        <v>0</v>
      </c>
      <c r="GO42" s="133" t="n">
        <f aca="false">IF(OR(GO$4="",$B42=""),0,SUMIF('DADOS BRUTOS'!$A$3:$A$500,$B42,'DADOS BRUTOS'!DO$3:DO$500)+IF($C42="",0,SUMIF('DADOS BRUTOS'!$A$3:$A$500,$C42,'DADOS BRUTOS'!DO$3:DO$500)))</f>
        <v>0</v>
      </c>
      <c r="GP42" s="133" t="n">
        <f aca="false">IF(OR(GP$4="",$B42=""),0,SUMIF('DADOS BRUTOS'!$A$3:$A$500,$B42,'DADOS BRUTOS'!DP$3:DP$500)+IF($C42="",0,SUMIF('DADOS BRUTOS'!$A$3:$A$500,$C42,'DADOS BRUTOS'!DP$3:DP$500)))</f>
        <v>0</v>
      </c>
      <c r="GQ42" s="133" t="n">
        <f aca="false">IF(OR(GQ$4="",$B42=""),0,SUMIF('DADOS BRUTOS'!$A$3:$A$500,$B42,'DADOS BRUTOS'!DQ$3:DQ$500)+IF($C42="",0,SUMIF('DADOS BRUTOS'!$A$3:$A$500,$C42,'DADOS BRUTOS'!DQ$3:DQ$500)))</f>
        <v>0</v>
      </c>
      <c r="GR42" s="133" t="n">
        <f aca="false">IF(OR(GR$4="",$B42=""),0,SUMIF('DADOS BRUTOS'!$A$3:$A$500,$B42,'DADOS BRUTOS'!DR$3:DR$500)+IF($C42="",0,SUMIF('DADOS BRUTOS'!$A$3:$A$500,$C42,'DADOS BRUTOS'!DR$3:DR$500)))</f>
        <v>0</v>
      </c>
      <c r="GS42" s="133" t="n">
        <f aca="false">IF(OR(GS$4="",$B42=""),0,SUMIF('DADOS BRUTOS'!$A$3:$A$500,$B42,'DADOS BRUTOS'!DS$3:DS$500)+IF($C42="",0,SUMIF('DADOS BRUTOS'!$A$3:$A$500,$C42,'DADOS BRUTOS'!DS$3:DS$500)))</f>
        <v>0</v>
      </c>
      <c r="GT42" s="133" t="n">
        <f aca="false">IF(OR(GT$4="",$B42=""),0,SUMIF('DADOS BRUTOS'!$A$3:$A$500,$B42,'DADOS BRUTOS'!DT$3:DT$500)+IF($C42="",0,SUMIF('DADOS BRUTOS'!$A$3:$A$500,$C42,'DADOS BRUTOS'!DT$3:DT$500)))</f>
        <v>0</v>
      </c>
      <c r="GU42" s="133" t="n">
        <f aca="false">IF(OR(GU$4="",$B42=""),0,SUMIF('DADOS BRUTOS'!$A$3:$A$500,$B42,'DADOS BRUTOS'!DU$3:DU$500)+IF($C42="",0,SUMIF('DADOS BRUTOS'!$A$3:$A$500,$C42,'DADOS BRUTOS'!DU$3:DU$500)))</f>
        <v>0</v>
      </c>
      <c r="GV42" s="133" t="n">
        <f aca="false">IF(OR(GV$4="",$B42=""),0,SUMIF('DADOS BRUTOS'!$A$3:$A$500,$B42,'DADOS BRUTOS'!DV$3:DV$500)+IF($C42="",0,SUMIF('DADOS BRUTOS'!$A$3:$A$500,$C42,'DADOS BRUTOS'!DV$3:DV$500)))</f>
        <v>0</v>
      </c>
      <c r="GW42" s="133" t="n">
        <f aca="false">IF(OR(GW$4="",$B42=""),0,SUMIF('DADOS BRUTOS'!$A$3:$A$500,$B42,'DADOS BRUTOS'!DW$3:DW$500)+IF($C42="",0,SUMIF('DADOS BRUTOS'!$A$3:$A$500,$C42,'DADOS BRUTOS'!DW$3:DW$500)))</f>
        <v>0</v>
      </c>
      <c r="GX42" s="133" t="n">
        <f aca="false">IF(OR(GX$4="",$B42=""),0,SUMIF('DADOS BRUTOS'!$A$3:$A$500,$B42,'DADOS BRUTOS'!DX$3:DX$500)+IF($C42="",0,SUMIF('DADOS BRUTOS'!$A$3:$A$500,$C42,'DADOS BRUTOS'!DX$3:DX$500)))</f>
        <v>0</v>
      </c>
      <c r="GY42" s="133" t="n">
        <f aca="false">IF(OR(GY$4="",$B42=""),0,SUMIF('DADOS BRUTOS'!$A$3:$A$500,$B42,'DADOS BRUTOS'!DY$3:DY$500)+IF($C42="",0,SUMIF('DADOS BRUTOS'!$A$3:$A$500,$C42,'DADOS BRUTOS'!DY$3:DY$500)))</f>
        <v>0</v>
      </c>
      <c r="GZ42" s="133" t="n">
        <f aca="false">IF(OR(GZ$4="",$B42=""),0,SUMIF('DADOS BRUTOS'!$A$3:$A$500,$B42,'DADOS BRUTOS'!DZ$3:DZ$500)+IF($C42="",0,SUMIF('DADOS BRUTOS'!$A$3:$A$500,$C42,'DADOS BRUTOS'!DZ$3:DZ$500)))</f>
        <v>0</v>
      </c>
      <c r="HA42" s="133" t="n">
        <f aca="false">IF(OR(HA$4="",$B42=""),0,SUMIF('DADOS BRUTOS'!$A$3:$A$500,$B42,'DADOS BRUTOS'!EA$3:EA$500)+IF($C42="",0,SUMIF('DADOS BRUTOS'!$A$3:$A$500,$C42,'DADOS BRUTOS'!EA$3:EA$500)))</f>
        <v>0</v>
      </c>
      <c r="HB42" s="133" t="n">
        <f aca="false">IF(OR(HB$4="",$B42=""),0,SUMIF('DADOS BRUTOS'!$A$3:$A$500,$B42,'DADOS BRUTOS'!EB$3:EB$500)+IF($C42="",0,SUMIF('DADOS BRUTOS'!$A$3:$A$500,$C42,'DADOS BRUTOS'!EB$3:EB$500)))</f>
        <v>0</v>
      </c>
      <c r="HC42" s="133" t="n">
        <f aca="false">IF(OR(HC$4="",$B42=""),0,SUMIF('DADOS BRUTOS'!$A$3:$A$500,$B42,'DADOS BRUTOS'!EC$3:EC$500)+IF($C42="",0,SUMIF('DADOS BRUTOS'!$A$3:$A$500,$C42,'DADOS BRUTOS'!EC$3:EC$500)))</f>
        <v>0</v>
      </c>
      <c r="HD42" s="133" t="n">
        <f aca="false">IF(OR(HD$4="",$B42=""),0,SUMIF('DADOS BRUTOS'!$A$3:$A$500,$B42,'DADOS BRUTOS'!ED$3:ED$500)+IF($C42="",0,SUMIF('DADOS BRUTOS'!$A$3:$A$500,$C42,'DADOS BRUTOS'!ED$3:ED$500)))</f>
        <v>0</v>
      </c>
      <c r="HE42" s="133" t="n">
        <f aca="false">IF(OR(HE$4="",$B42=""),0,SUMIF('DADOS BRUTOS'!$A$3:$A$500,$B42,'DADOS BRUTOS'!EE$3:EE$500)+IF($C42="",0,SUMIF('DADOS BRUTOS'!$A$3:$A$500,$C42,'DADOS BRUTOS'!EE$3:EE$500)))</f>
        <v>0</v>
      </c>
      <c r="HF42" s="133" t="n">
        <f aca="false">IF(OR(HF$4="",$B42=""),0,SUMIF('DADOS BRUTOS'!$A$3:$A$500,$B42,'DADOS BRUTOS'!EF$3:EF$500)+IF($C42="",0,SUMIF('DADOS BRUTOS'!$A$3:$A$500,$C42,'DADOS BRUTOS'!EF$3:EF$500)))</f>
        <v>0</v>
      </c>
      <c r="HG42" s="133" t="n">
        <f aca="false">IF(OR(HG$4="",$B42=""),0,SUMIF('DADOS BRUTOS'!$A$3:$A$500,$B42,'DADOS BRUTOS'!EG$3:EG$500)+IF($C42="",0,SUMIF('DADOS BRUTOS'!$A$3:$A$500,$C42,'DADOS BRUTOS'!EG$3:EG$500)))</f>
        <v>0</v>
      </c>
      <c r="HH42" s="133" t="n">
        <f aca="false">IF(OR(HH$4="",$B42=""),0,SUMIF('DADOS BRUTOS'!$A$3:$A$500,$B42,'DADOS BRUTOS'!EH$3:EH$500)+IF($C42="",0,SUMIF('DADOS BRUTOS'!$A$3:$A$500,$C42,'DADOS BRUTOS'!EH$3:EH$500)))</f>
        <v>0</v>
      </c>
      <c r="HI42" s="133" t="n">
        <f aca="false">IF(OR(HI$4="",$B42=""),0,SUMIF('DADOS BRUTOS'!$A$3:$A$500,$B42,'DADOS BRUTOS'!EI$3:EI$500)+IF($C42="",0,SUMIF('DADOS BRUTOS'!$A$3:$A$500,$C42,'DADOS BRUTOS'!EI$3:EI$500)))</f>
        <v>0</v>
      </c>
      <c r="HJ42" s="133" t="n">
        <f aca="false">IF(OR(HJ$4="",$B42=""),0,SUMIF('DADOS BRUTOS'!$A$3:$A$500,$B42,'DADOS BRUTOS'!EJ$3:EJ$500)+IF($C42="",0,SUMIF('DADOS BRUTOS'!$A$3:$A$500,$C42,'DADOS BRUTOS'!EJ$3:EJ$500)))</f>
        <v>0</v>
      </c>
      <c r="HK42" s="133" t="n">
        <f aca="false">IF(OR(HK$4="",$B42=""),0,SUMIF('DADOS BRUTOS'!$A$3:$A$500,$B42,'DADOS BRUTOS'!EK$3:EK$500)+IF($C42="",0,SUMIF('DADOS BRUTOS'!$A$3:$A$500,$C42,'DADOS BRUTOS'!EK$3:EK$500)))</f>
        <v>0</v>
      </c>
      <c r="HL42" s="133" t="n">
        <f aca="false">IF(OR(HL$4="",$B42=""),0,SUMIF('DADOS BRUTOS'!$A$3:$A$500,$B42,'DADOS BRUTOS'!EL$3:EL$500)+IF($C42="",0,SUMIF('DADOS BRUTOS'!$A$3:$A$500,$C42,'DADOS BRUTOS'!EL$3:EL$500)))</f>
        <v>0</v>
      </c>
      <c r="HM42" s="133" t="n">
        <f aca="false">IF(OR(HM$4="",$B42=""),0,SUMIF('DADOS BRUTOS'!$A$3:$A$500,$B42,'DADOS BRUTOS'!EM$3:EM$500)+IF($C42="",0,SUMIF('DADOS BRUTOS'!$A$3:$A$500,$C42,'DADOS BRUTOS'!EM$3:EM$500)))</f>
        <v>0</v>
      </c>
      <c r="HN42" s="133" t="n">
        <f aca="false">IF(OR(HN$4="",$B42=""),0,SUMIF('DADOS BRUTOS'!$A$3:$A$500,$B42,'DADOS BRUTOS'!EN$3:EN$500)+IF($C42="",0,SUMIF('DADOS BRUTOS'!$A$3:$A$500,$C42,'DADOS BRUTOS'!EN$3:EN$500)))</f>
        <v>0</v>
      </c>
      <c r="HO42" s="133" t="n">
        <f aca="false">IF(OR(HO$4="",$B42=""),0,SUMIF('DADOS BRUTOS'!$A$3:$A$500,$B42,'DADOS BRUTOS'!EO$3:EO$500)+IF($C42="",0,SUMIF('DADOS BRUTOS'!$A$3:$A$500,$C42,'DADOS BRUTOS'!EO$3:EO$500)))</f>
        <v>0</v>
      </c>
      <c r="HP42" s="133" t="n">
        <f aca="false">IF(OR(HP$4="",$B42=""),0,SUMIF('DADOS BRUTOS'!$A$3:$A$500,$B42,'DADOS BRUTOS'!EP$3:EP$500)+IF($C42="",0,SUMIF('DADOS BRUTOS'!$A$3:$A$500,$C42,'DADOS BRUTOS'!EP$3:EP$500)))</f>
        <v>0</v>
      </c>
      <c r="HQ42" s="133" t="n">
        <f aca="false">IF(OR(HQ$4="",$B42=""),0,SUMIF('DADOS BRUTOS'!$A$3:$A$500,$B42,'DADOS BRUTOS'!EQ$3:EQ$500)+IF($C42="",0,SUMIF('DADOS BRUTOS'!$A$3:$A$500,$C42,'DADOS BRUTOS'!EQ$3:EQ$500)))</f>
        <v>0</v>
      </c>
      <c r="HR42" s="133" t="n">
        <f aca="false">IF(OR(HR$4="",$B42=""),0,SUMIF('DADOS BRUTOS'!$A$3:$A$500,$B42,'DADOS BRUTOS'!ER$3:ER$500)+IF($C42="",0,SUMIF('DADOS BRUTOS'!$A$3:$A$500,$C42,'DADOS BRUTOS'!ER$3:ER$500)))</f>
        <v>0</v>
      </c>
      <c r="HS42" s="133" t="n">
        <f aca="false">IF(OR(HS$4="",$B42=""),0,SUMIF('DADOS BRUTOS'!$A$3:$A$500,$B42,'DADOS BRUTOS'!ES$3:ES$500)+IF($C42="",0,SUMIF('DADOS BRUTOS'!$A$3:$A$500,$C42,'DADOS BRUTOS'!ES$3:ES$500)))</f>
        <v>0</v>
      </c>
      <c r="HT42" s="133" t="n">
        <f aca="false">IF(OR(HT$4="",$B42=""),0,SUMIF('DADOS BRUTOS'!$A$3:$A$500,$B42,'DADOS BRUTOS'!ET$3:ET$500)+IF($C42="",0,SUMIF('DADOS BRUTOS'!$A$3:$A$500,$C42,'DADOS BRUTOS'!ET$3:ET$500)))</f>
        <v>0</v>
      </c>
      <c r="HU42" s="133" t="n">
        <f aca="false">IF(OR(HU$4="",$B42=""),0,SUMIF('DADOS BRUTOS'!$A$3:$A$500,$B42,'DADOS BRUTOS'!EU$3:EU$500)+IF($C42="",0,SUMIF('DADOS BRUTOS'!$A$3:$A$500,$C42,'DADOS BRUTOS'!EU$3:EU$500)))</f>
        <v>0</v>
      </c>
      <c r="HV42" s="133" t="n">
        <f aca="false">IF(OR(HV$4="",$B42=""),0,SUMIF('DADOS BRUTOS'!$A$3:$A$500,$B42,'DADOS BRUTOS'!EV$3:EV$500)+IF($C42="",0,SUMIF('DADOS BRUTOS'!$A$3:$A$500,$C42,'DADOS BRUTOS'!EV$3:EV$500)))</f>
        <v>0</v>
      </c>
      <c r="HW42" s="133" t="n">
        <f aca="false">IF(OR(HW$4="",$B42=""),0,SUMIF('DADOS BRUTOS'!$A$3:$A$500,$B42,'DADOS BRUTOS'!EW$3:EW$500)+IF($C42="",0,SUMIF('DADOS BRUTOS'!$A$3:$A$500,$C42,'DADOS BRUTOS'!EW$3:EW$500)))</f>
        <v>0</v>
      </c>
      <c r="HX42" s="133" t="n">
        <f aca="false">IF(OR(HX$4="",$B42=""),0,SUMIF('DADOS BRUTOS'!$A$3:$A$500,$B42,'DADOS BRUTOS'!EX$3:EX$500)+IF($C42="",0,SUMIF('DADOS BRUTOS'!$A$3:$A$500,$C42,'DADOS BRUTOS'!EX$3:EX$500)))</f>
        <v>0</v>
      </c>
      <c r="HY42" s="133" t="n">
        <f aca="false">IF(OR(HY$4="",$B42=""),0,SUMIF('DADOS BRUTOS'!$A$3:$A$500,$B42,'DADOS BRUTOS'!EY$3:EY$500)+IF($C42="",0,SUMIF('DADOS BRUTOS'!$A$3:$A$500,$C42,'DADOS BRUTOS'!EY$3:EY$500)))</f>
        <v>0</v>
      </c>
      <c r="HZ42" s="133" t="n">
        <f aca="false">IF(OR(HZ$4="",$B42=""),0,SUMIF('DADOS BRUTOS'!$A$3:$A$500,$B42,'DADOS BRUTOS'!EZ$3:EZ$500)+IF($C42="",0,SUMIF('DADOS BRUTOS'!$A$3:$A$500,$C42,'DADOS BRUTOS'!EZ$3:EZ$500)))</f>
        <v>0</v>
      </c>
      <c r="IA42" s="133" t="n">
        <f aca="false">IF(OR(IA$4="",$B42=""),0,SUMIF('DADOS BRUTOS'!$A$3:$A$500,$B42,'DADOS BRUTOS'!FA$3:FA$500)+IF($C42="",0,SUMIF('DADOS BRUTOS'!$A$3:$A$500,$C42,'DADOS BRUTOS'!FA$3:FA$500)))</f>
        <v>0</v>
      </c>
      <c r="IB42" s="133" t="n">
        <f aca="false">IF(OR(IB$4="",$B42=""),0,SUMIF('DADOS BRUTOS'!$A$3:$A$500,$B42,'DADOS BRUTOS'!FB$3:FB$500)+IF($C42="",0,SUMIF('DADOS BRUTOS'!$A$3:$A$500,$C42,'DADOS BRUTOS'!FB$3:FB$500)))</f>
        <v>0</v>
      </c>
      <c r="IC42" s="133" t="n">
        <f aca="false">IF(OR(IC$4="",$B42=""),0,SUMIF('DADOS BRUTOS'!$A$3:$A$500,$B42,'DADOS BRUTOS'!FC$3:FC$500)+IF($C42="",0,SUMIF('DADOS BRUTOS'!$A$3:$A$500,$C42,'DADOS BRUTOS'!FC$3:FC$500)))</f>
        <v>0</v>
      </c>
      <c r="ID42" s="133" t="n">
        <f aca="false">IF(OR(ID$4="",$B42=""),0,SUMIF('DADOS BRUTOS'!$A$3:$A$500,$B42,'DADOS BRUTOS'!FD$3:FD$500)+IF($C42="",0,SUMIF('DADOS BRUTOS'!$A$3:$A$500,$C42,'DADOS BRUTOS'!FD$3:FD$500)))</f>
        <v>0</v>
      </c>
      <c r="IE42" s="133" t="n">
        <f aca="false">IF(OR(IE$4="",$B42=""),0,SUMIF('DADOS BRUTOS'!$A$3:$A$500,$B42,'DADOS BRUTOS'!FE$3:FE$500)+IF($C42="",0,SUMIF('DADOS BRUTOS'!$A$3:$A$500,$C42,'DADOS BRUTOS'!FE$3:FE$500)))</f>
        <v>0</v>
      </c>
      <c r="IF42" s="133" t="n">
        <f aca="false">IF(OR(IF$4="",$B42=""),0,SUMIF('DADOS BRUTOS'!$A$3:$A$500,$B42,'DADOS BRUTOS'!FF$3:FF$500)+IF($C42="",0,SUMIF('DADOS BRUTOS'!$A$3:$A$500,$C42,'DADOS BRUTOS'!FF$3:FF$500)))</f>
        <v>0</v>
      </c>
      <c r="IG42" s="133" t="n">
        <f aca="false">IF(OR(IG$4="",$B42=""),0,SUMIF('DADOS BRUTOS'!$A$3:$A$500,$B42,'DADOS BRUTOS'!FG$3:FG$500)+IF($C42="",0,SUMIF('DADOS BRUTOS'!$A$3:$A$500,$C42,'DADOS BRUTOS'!FG$3:FG$500)))</f>
        <v>0</v>
      </c>
      <c r="IH42" s="133" t="n">
        <f aca="false">IF(OR(IH$4="",$B42=""),0,SUMIF('DADOS BRUTOS'!$A$3:$A$500,$B42,'DADOS BRUTOS'!FH$3:FH$500)+IF($C42="",0,SUMIF('DADOS BRUTOS'!$A$3:$A$500,$C42,'DADOS BRUTOS'!FH$3:FH$500)))</f>
        <v>0</v>
      </c>
      <c r="II42" s="133" t="n">
        <f aca="false">IF(OR(II$4="",$B42=""),0,SUMIF('DADOS BRUTOS'!$A$3:$A$500,$B42,'DADOS BRUTOS'!FI$3:FI$500)+IF($C42="",0,SUMIF('DADOS BRUTOS'!$A$3:$A$500,$C42,'DADOS BRUTOS'!FI$3:FI$500)))</f>
        <v>0</v>
      </c>
      <c r="IJ42" s="133" t="n">
        <f aca="false">IF(OR(IJ$4="",$B42=""),0,SUMIF('DADOS BRUTOS'!$A$3:$A$500,$B42,'DADOS BRUTOS'!FJ$3:FJ$500)+IF($C42="",0,SUMIF('DADOS BRUTOS'!$A$3:$A$500,$C42,'DADOS BRUTOS'!FJ$3:FJ$500)))</f>
        <v>0</v>
      </c>
      <c r="IK42" s="133" t="n">
        <f aca="false">IF(OR(IK$4="",$B42=""),0,SUMIF('DADOS BRUTOS'!$A$3:$A$500,$B42,'DADOS BRUTOS'!FK$3:FK$500)+IF($C42="",0,SUMIF('DADOS BRUTOS'!$A$3:$A$500,$C42,'DADOS BRUTOS'!FK$3:FK$500)))</f>
        <v>0</v>
      </c>
      <c r="IL42" s="133" t="n">
        <f aca="false">IF(OR(IL$4="",$B42=""),0,SUMIF('DADOS BRUTOS'!$A$3:$A$500,$B42,'DADOS BRUTOS'!FL$3:FL$500)+IF($C42="",0,SUMIF('DADOS BRUTOS'!$A$3:$A$500,$C42,'DADOS BRUTOS'!FL$3:FL$500)))</f>
        <v>0</v>
      </c>
      <c r="IM42" s="133" t="n">
        <f aca="false">IF(OR(IM$4="",$B42=""),0,SUMIF('DADOS BRUTOS'!$A$3:$A$500,$B42,'DADOS BRUTOS'!FM$3:FM$500)+IF($C42="",0,SUMIF('DADOS BRUTOS'!$A$3:$A$500,$C42,'DADOS BRUTOS'!FM$3:FM$500)))</f>
        <v>0</v>
      </c>
      <c r="IN42" s="133" t="n">
        <f aca="false">IF(OR(IN$4="",$B42=""),0,SUMIF('DADOS BRUTOS'!$A$3:$A$500,$B42,'DADOS BRUTOS'!FN$3:FN$500)+IF($C42="",0,SUMIF('DADOS BRUTOS'!$A$3:$A$500,$C42,'DADOS BRUTOS'!FN$3:FN$500)))</f>
        <v>0</v>
      </c>
      <c r="IO42" s="133" t="n">
        <f aca="false">IF(OR(IO$4="",$B42=""),0,SUMIF('DADOS BRUTOS'!$A$3:$A$500,$B42,'DADOS BRUTOS'!FO$3:FO$500)+IF($C42="",0,SUMIF('DADOS BRUTOS'!$A$3:$A$500,$C42,'DADOS BRUTOS'!FO$3:FO$500)))</f>
        <v>0</v>
      </c>
      <c r="IP42" s="133" t="n">
        <f aca="false">IF(OR(IP$4="",$B42=""),0,SUMIF('DADOS BRUTOS'!$A$3:$A$500,$B42,'DADOS BRUTOS'!FP$3:FP$500)+IF($C42="",0,SUMIF('DADOS BRUTOS'!$A$3:$A$500,$C42,'DADOS BRUTOS'!FP$3:FP$500)))</f>
        <v>0</v>
      </c>
      <c r="IQ42" s="133" t="n">
        <f aca="false">IF(OR(IQ$4="",$B42=""),0,SUMIF('DADOS BRUTOS'!$A$3:$A$500,$B42,'DADOS BRUTOS'!FQ$3:FQ$500)+IF($C42="",0,SUMIF('DADOS BRUTOS'!$A$3:$A$500,$C42,'DADOS BRUTOS'!FQ$3:FQ$500)))</f>
        <v>0</v>
      </c>
      <c r="IR42" s="133" t="n">
        <f aca="false">IF(OR(IR$4="",$B42=""),0,SUMIF('DADOS BRUTOS'!$A$3:$A$500,$B42,'DADOS BRUTOS'!FR$3:FR$500)+IF($C42="",0,SUMIF('DADOS BRUTOS'!$A$3:$A$500,$C42,'DADOS BRUTOS'!FR$3:FR$500)))</f>
        <v>0</v>
      </c>
      <c r="IS42" s="133" t="n">
        <f aca="false">IF(OR(IS$4="",$B42=""),0,SUMIF('DADOS BRUTOS'!$A$3:$A$500,$B42,'DADOS BRUTOS'!FS$3:FS$500)+IF($C42="",0,SUMIF('DADOS BRUTOS'!$A$3:$A$500,$C42,'DADOS BRUTOS'!FS$3:FS$500)))</f>
        <v>0</v>
      </c>
      <c r="IT42" s="133" t="n">
        <f aca="false">IF(OR(IT$4="",$B42=""),0,SUMIF('DADOS BRUTOS'!$A$3:$A$500,$B42,'DADOS BRUTOS'!FT$3:FT$500)+IF($C42="",0,SUMIF('DADOS BRUTOS'!$A$3:$A$500,$C42,'DADOS BRUTOS'!FT$3:FT$500)))</f>
        <v>0</v>
      </c>
      <c r="IU42" s="133" t="n">
        <f aca="false">IF(OR(IU$4="",$B42=""),0,SUMIF('DADOS BRUTOS'!$A$3:$A$500,$B42,'DADOS BRUTOS'!FU$3:FU$500)+IF($C42="",0,SUMIF('DADOS BRUTOS'!$A$3:$A$500,$C42,'DADOS BRUTOS'!FU$3:FU$500)))</f>
        <v>0</v>
      </c>
      <c r="IV42" s="133" t="n">
        <f aca="false">IF(OR(IV$4="",$B42=""),0,SUMIF('DADOS BRUTOS'!$A$3:$A$500,$B42,'DADOS BRUTOS'!FV$3:FV$500)+IF($C42="",0,SUMIF('DADOS BRUTOS'!$A$3:$A$500,$C42,'DADOS BRUTOS'!FV$3:FV$500)))</f>
        <v>0</v>
      </c>
      <c r="IW42" s="133" t="n">
        <f aca="false">IF(OR(IW$4="",$B42=""),0,SUMIF('DADOS BRUTOS'!$A$3:$A$500,$B42,'DADOS BRUTOS'!FW$3:FW$500)+IF($C42="",0,SUMIF('DADOS BRUTOS'!$A$3:$A$500,$C42,'DADOS BRUTOS'!FW$3:FW$500)))</f>
        <v>0</v>
      </c>
      <c r="IX42" s="133" t="n">
        <f aca="false">IF(OR(IX$4="",$B42=""),0,SUMIF('DADOS BRUTOS'!$A$3:$A$500,$B42,'DADOS BRUTOS'!FX$3:FX$500)+IF($C42="",0,SUMIF('DADOS BRUTOS'!$A$3:$A$500,$C42,'DADOS BRUTOS'!FX$3:FX$500)))</f>
        <v>0</v>
      </c>
      <c r="IY42" s="133" t="n">
        <f aca="false">IF(OR(IY$4="",$B42=""),0,SUMIF('DADOS BRUTOS'!$A$3:$A$500,$B42,'DADOS BRUTOS'!FY$3:FY$500)+IF($C42="",0,SUMIF('DADOS BRUTOS'!$A$3:$A$500,$C42,'DADOS BRUTOS'!FY$3:FY$500)))</f>
        <v>0</v>
      </c>
      <c r="IZ42" s="133" t="n">
        <f aca="false">IF(OR(IZ$4="",$B42=""),0,SUMIF('DADOS BRUTOS'!$A$3:$A$500,$B42,'DADOS BRUTOS'!FZ$3:FZ$500)+IF($C42="",0,SUMIF('DADOS BRUTOS'!$A$3:$A$500,$C42,'DADOS BRUTOS'!FZ$3:FZ$500)))</f>
        <v>0</v>
      </c>
      <c r="JA42" s="133" t="n">
        <f aca="false">IF(OR(JA$4="",$B42=""),0,SUMIF('DADOS BRUTOS'!$A$3:$A$500,$B42,'DADOS BRUTOS'!GA$3:GA$500)+IF($C42="",0,SUMIF('DADOS BRUTOS'!$A$3:$A$500,$C42,'DADOS BRUTOS'!GA$3:GA$500)))</f>
        <v>0</v>
      </c>
      <c r="JB42" s="133" t="n">
        <f aca="false">IF(OR(JB$4="",$B42=""),0,SUMIF('DADOS BRUTOS'!$A$3:$A$500,$B42,'DADOS BRUTOS'!GB$3:GB$500)+IF($C42="",0,SUMIF('DADOS BRUTOS'!$A$3:$A$500,$C42,'DADOS BRUTOS'!GB$3:GB$500)))</f>
        <v>0</v>
      </c>
      <c r="JC42" s="133" t="n">
        <f aca="false">IF(OR(JC$4="",$B42=""),0,SUMIF('DADOS BRUTOS'!$A$3:$A$500,$B42,'DADOS BRUTOS'!GC$3:GC$500)+IF($C42="",0,SUMIF('DADOS BRUTOS'!$A$3:$A$500,$C42,'DADOS BRUTOS'!GC$3:GC$500)))</f>
        <v>0</v>
      </c>
      <c r="JD42" s="133" t="n">
        <f aca="false">IF(OR(JD$4="",$B42=""),0,SUMIF('DADOS BRUTOS'!$A$3:$A$500,$B42,'DADOS BRUTOS'!GD$3:GD$500)+IF($C42="",0,SUMIF('DADOS BRUTOS'!$A$3:$A$500,$C42,'DADOS BRUTOS'!GD$3:GD$500)))</f>
        <v>0</v>
      </c>
      <c r="JE42" s="133" t="n">
        <f aca="false">IF(OR(JE$4="",$B42=""),0,SUMIF('DADOS BRUTOS'!$A$3:$A$500,$B42,'DADOS BRUTOS'!GE$3:GE$500)+IF($C42="",0,SUMIF('DADOS BRUTOS'!$A$3:$A$500,$C42,'DADOS BRUTOS'!GE$3:GE$500)))</f>
        <v>0</v>
      </c>
      <c r="JF42" s="133" t="n">
        <f aca="false">IF(OR(JF$4="",$B42=""),0,SUMIF('DADOS BRUTOS'!$A$3:$A$500,$B42,'DADOS BRUTOS'!GF$3:GF$500)+IF($C42="",0,SUMIF('DADOS BRUTOS'!$A$3:$A$500,$C42,'DADOS BRUTOS'!GF$3:GF$500)))</f>
        <v>0</v>
      </c>
      <c r="JG42" s="133" t="n">
        <f aca="false">IF(OR(JG$4="",$B42=""),0,SUMIF('DADOS BRUTOS'!$A$3:$A$500,$B42,'DADOS BRUTOS'!GG$3:GG$500)+IF($C42="",0,SUMIF('DADOS BRUTOS'!$A$3:$A$500,$C42,'DADOS BRUTOS'!GG$3:GG$500)))</f>
        <v>0</v>
      </c>
      <c r="JH42" s="133" t="n">
        <f aca="false">IF(OR(JH$4="",$B42=""),0,SUMIF('DADOS BRUTOS'!$A$3:$A$500,$B42,'DADOS BRUTOS'!GH$3:GH$500)+IF($C42="",0,SUMIF('DADOS BRUTOS'!$A$3:$A$500,$C42,'DADOS BRUTOS'!GH$3:GH$500)))</f>
        <v>0</v>
      </c>
      <c r="JI42" s="133" t="n">
        <f aca="false">IF(OR(JI$4="",$B42=""),0,SUMIF('DADOS BRUTOS'!$A$3:$A$500,$B42,'DADOS BRUTOS'!GI$3:GI$500)+IF($C42="",0,SUMIF('DADOS BRUTOS'!$A$3:$A$500,$C42,'DADOS BRUTOS'!GI$3:GI$500)))</f>
        <v>0</v>
      </c>
      <c r="JJ42" s="133" t="n">
        <f aca="false">IF(OR(JJ$4="",$B42=""),0,SUMIF('DADOS BRUTOS'!$A$3:$A$500,$B42,'DADOS BRUTOS'!GJ$3:GJ$500)+IF($C42="",0,SUMIF('DADOS BRUTOS'!$A$3:$A$500,$C42,'DADOS BRUTOS'!GJ$3:GJ$500)))</f>
        <v>0</v>
      </c>
      <c r="JK42" s="133" t="n">
        <f aca="false">IF(OR(JK$4="",$B42=""),0,SUMIF('DADOS BRUTOS'!$A$3:$A$500,$B42,'DADOS BRUTOS'!GK$3:GK$500)+IF($C42="",0,SUMIF('DADOS BRUTOS'!$A$3:$A$500,$C42,'DADOS BRUTOS'!GK$3:GK$500)))</f>
        <v>0</v>
      </c>
      <c r="JL42" s="133" t="n">
        <f aca="false">IF(OR(JL$4="",$B42=""),0,SUMIF('DADOS BRUTOS'!$A$3:$A$500,$B42,'DADOS BRUTOS'!GL$3:GL$500)+IF($C42="",0,SUMIF('DADOS BRUTOS'!$A$3:$A$500,$C42,'DADOS BRUTOS'!GL$3:GL$500)))</f>
        <v>0</v>
      </c>
      <c r="JM42" s="133" t="n">
        <f aca="false">IF(OR(JM$4="",$B42=""),0,SUMIF('DADOS BRUTOS'!$A$3:$A$500,$B42,'DADOS BRUTOS'!GM$3:GM$500)+IF($C42="",0,SUMIF('DADOS BRUTOS'!$A$3:$A$500,$C42,'DADOS BRUTOS'!GM$3:GM$500)))</f>
        <v>0</v>
      </c>
      <c r="JN42" s="133" t="n">
        <f aca="false">IF(OR(JN$4="",$B42=""),0,SUMIF('DADOS BRUTOS'!$A$3:$A$500,$B42,'DADOS BRUTOS'!GN$3:GN$500)+IF($C42="",0,SUMIF('DADOS BRUTOS'!$A$3:$A$500,$C42,'DADOS BRUTOS'!GN$3:GN$500)))</f>
        <v>0</v>
      </c>
      <c r="JO42" s="133" t="n">
        <f aca="false">IF(OR(JO$4="",$B42=""),0,SUMIF('DADOS BRUTOS'!$A$3:$A$500,$B42,'DADOS BRUTOS'!GO$3:GO$500)+IF($C42="",0,SUMIF('DADOS BRUTOS'!$A$3:$A$500,$C42,'DADOS BRUTOS'!GO$3:GO$500)))</f>
        <v>0</v>
      </c>
      <c r="JP42" s="133" t="n">
        <f aca="false">IF(OR(JP$4="",$B42=""),0,SUMIF('DADOS BRUTOS'!$A$3:$A$500,$B42,'DADOS BRUTOS'!GP$3:GP$500)+IF($C42="",0,SUMIF('DADOS BRUTOS'!$A$3:$A$500,$C42,'DADOS BRUTOS'!GP$3:GP$500)))</f>
        <v>0</v>
      </c>
      <c r="JQ42" s="133" t="n">
        <f aca="false">IF(OR(JQ$4="",$B42=""),0,SUMIF('DADOS BRUTOS'!$A$3:$A$500,$B42,'DADOS BRUTOS'!GQ$3:GQ$500)+IF($C42="",0,SUMIF('DADOS BRUTOS'!$A$3:$A$500,$C42,'DADOS BRUTOS'!GQ$3:GQ$500)))</f>
        <v>0</v>
      </c>
      <c r="JR42" s="133" t="n">
        <f aca="false">IF(OR(JR$4="",$B42=""),0,SUMIF('DADOS BRUTOS'!$A$3:$A$500,$B42,'DADOS BRUTOS'!GR$3:GR$500)+IF($C42="",0,SUMIF('DADOS BRUTOS'!$A$3:$A$500,$C42,'DADOS BRUTOS'!GR$3:GR$500)))</f>
        <v>0</v>
      </c>
      <c r="JS42" s="133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4" t="n">
        <f aca="false">SUM(D5:D42)</f>
        <v>1055724.07</v>
      </c>
      <c r="E44" s="134" t="n">
        <f aca="false">SUM(E5:E42)</f>
        <v>50287.85</v>
      </c>
      <c r="F44" s="134" t="n">
        <f aca="false">SUM(F5:F42)</f>
        <v>339691.77</v>
      </c>
      <c r="G44" s="134" t="n">
        <f aca="false">SUM(G5:G42)</f>
        <v>249008.27</v>
      </c>
      <c r="H44" s="134" t="n">
        <f aca="false">SUM(H5:H42)</f>
        <v>226944.64</v>
      </c>
      <c r="I44" s="134" t="n">
        <f aca="false">SUM(I5:I42)</f>
        <v>298199.84</v>
      </c>
      <c r="J44" s="134" t="n">
        <f aca="false">SUM(J5:J42)</f>
        <v>190147.17</v>
      </c>
      <c r="K44" s="134" t="n">
        <f aca="false">SUM(K5:K42)</f>
        <v>221993.72</v>
      </c>
      <c r="L44" s="134" t="n">
        <f aca="false">SUM(L5:L42)</f>
        <v>395599.15</v>
      </c>
      <c r="M44" s="134" t="n">
        <f aca="false">SUM(M5:M42)</f>
        <v>708213.46</v>
      </c>
      <c r="N44" s="134" t="n">
        <f aca="false">SUM(N5:N42)</f>
        <v>1252862.63</v>
      </c>
      <c r="O44" s="134" t="n">
        <f aca="false">SUM(O5:O42)</f>
        <v>2178586.91</v>
      </c>
      <c r="P44" s="134" t="n">
        <f aca="false">SUM(P5:P42)</f>
        <v>1568106.2</v>
      </c>
      <c r="Q44" s="134" t="n">
        <f aca="false">SUM(Q5:Q42)</f>
        <v>1972982.14</v>
      </c>
      <c r="R44" s="134" t="n">
        <f aca="false">SUM(R5:R42)</f>
        <v>1105526.59</v>
      </c>
      <c r="S44" s="134" t="n">
        <f aca="false">SUM(S5:S42)</f>
        <v>1636768.81</v>
      </c>
      <c r="T44" s="134" t="n">
        <f aca="false">SUM(T5:T42)</f>
        <v>1444679.81</v>
      </c>
      <c r="U44" s="134" t="n">
        <f aca="false">SUM(U5:U42)</f>
        <v>956706.51</v>
      </c>
      <c r="V44" s="134" t="n">
        <f aca="false">SUM(V5:V42)</f>
        <v>1340691.29</v>
      </c>
      <c r="W44" s="134" t="n">
        <f aca="false">SUM(W5:W42)</f>
        <v>2331705.56</v>
      </c>
      <c r="X44" s="134" t="n">
        <f aca="false">SUM(X5:X42)</f>
        <v>1709644.9</v>
      </c>
      <c r="Y44" s="134" t="n">
        <f aca="false">SUM(Y5:Y42)</f>
        <v>2122347.81</v>
      </c>
      <c r="Z44" s="134" t="n">
        <f aca="false">SUM(Z5:Z42)</f>
        <v>1469066.98</v>
      </c>
      <c r="AA44" s="134" t="n">
        <f aca="false">SUM(AA5:AA42)</f>
        <v>332940.1</v>
      </c>
      <c r="AB44" s="134" t="n">
        <f aca="false">SUM(AB5:AB42)</f>
        <v>172586.36</v>
      </c>
      <c r="AC44" s="134" t="n">
        <f aca="false">SUM(AC5:AC42)</f>
        <v>573539.76</v>
      </c>
      <c r="AD44" s="134" t="n">
        <f aca="false">SUM(AD5:AD42)</f>
        <v>26708.56</v>
      </c>
      <c r="AE44" s="134" t="n">
        <f aca="false">SUM(AE5:AE42)</f>
        <v>57142.79</v>
      </c>
      <c r="AF44" s="134" t="n">
        <f aca="false">SUM(AF5:AF42)</f>
        <v>1183.78</v>
      </c>
      <c r="AG44" s="134" t="n">
        <f aca="false">SUM(AG5:AG42)</f>
        <v>159.9</v>
      </c>
      <c r="AH44" s="134" t="n">
        <f aca="false">SUM(AH5:AH42)</f>
        <v>159.9</v>
      </c>
      <c r="AI44" s="134" t="n">
        <f aca="false">SUM(AI5:AI42)</f>
        <v>159.9</v>
      </c>
      <c r="AJ44" s="134" t="n">
        <f aca="false">SUM(AJ5:AJ42)</f>
        <v>159.9</v>
      </c>
      <c r="AK44" s="134" t="n">
        <f aca="false">SUM(AK5:AK42)</f>
        <v>3859.9</v>
      </c>
      <c r="AL44" s="134" t="n">
        <f aca="false">SUM(AL5:AL42)</f>
        <v>1023.42</v>
      </c>
      <c r="AM44" s="134" t="n">
        <f aca="false">SUM(AM5:AM42)</f>
        <v>159.9</v>
      </c>
      <c r="AN44" s="134" t="n">
        <f aca="false">SUM(AN5:AN42)</f>
        <v>11516.59</v>
      </c>
      <c r="AO44" s="134" t="n">
        <f aca="false">SUM(AO5:AO42)</f>
        <v>159.9</v>
      </c>
      <c r="AP44" s="134" t="n">
        <f aca="false">SUM(AP5:AP42)</f>
        <v>159.9</v>
      </c>
      <c r="AQ44" s="134" t="n">
        <f aca="false">SUM(AQ5:AQ42)</f>
        <v>159.9</v>
      </c>
      <c r="AR44" s="134" t="n">
        <f aca="false">SUM(AR5:AR42)</f>
        <v>159.9</v>
      </c>
      <c r="AS44" s="134" t="n">
        <f aca="false">SUM(AS5:AS42)</f>
        <v>159.9</v>
      </c>
      <c r="AT44" s="134" t="n">
        <f aca="false">SUM(AT5:AT42)</f>
        <v>159.9</v>
      </c>
      <c r="AU44" s="134" t="n">
        <f aca="false">SUM(AU5:AU42)</f>
        <v>32795.48</v>
      </c>
      <c r="AV44" s="134" t="n">
        <f aca="false">SUM(AV5:AV42)</f>
        <v>159.9</v>
      </c>
      <c r="AW44" s="134" t="n">
        <f aca="false">SUM(AW5:AW42)</f>
        <v>159.9</v>
      </c>
      <c r="AX44" s="134" t="n">
        <f aca="false">SUM(AX5:AX42)</f>
        <v>159.9</v>
      </c>
      <c r="AY44" s="134" t="n">
        <f aca="false">SUM(AY5:AY42)</f>
        <v>387.42</v>
      </c>
      <c r="AZ44" s="134" t="n">
        <f aca="false">SUM(AZ5:AZ42)</f>
        <v>159.9</v>
      </c>
      <c r="BA44" s="134" t="n">
        <f aca="false">SUM(BA5:BA42)</f>
        <v>159.9</v>
      </c>
      <c r="BB44" s="134" t="n">
        <f aca="false">SUM(BB5:BB42)</f>
        <v>4554.59</v>
      </c>
      <c r="BC44" s="134" t="n">
        <f aca="false">SUM(BC5:BC42)</f>
        <v>159.9</v>
      </c>
      <c r="BD44" s="134" t="n">
        <f aca="false">SUM(BD5:BD42)</f>
        <v>159.9</v>
      </c>
      <c r="BE44" s="134" t="n">
        <f aca="false">SUM(BE5:BE42)</f>
        <v>159.9</v>
      </c>
      <c r="BF44" s="134" t="n">
        <f aca="false">SUM(BF5:BF42)</f>
        <v>159.9</v>
      </c>
      <c r="BG44" s="134" t="n">
        <f aca="false">SUM(BG5:BG42)</f>
        <v>0</v>
      </c>
      <c r="BH44" s="134" t="n">
        <f aca="false">SUM(BH5:BH42)</f>
        <v>0</v>
      </c>
      <c r="BI44" s="134" t="n">
        <f aca="false">SUM(BI5:BI42)</f>
        <v>0</v>
      </c>
      <c r="BJ44" s="134" t="n">
        <f aca="false">SUM(BJ5:BJ42)</f>
        <v>0</v>
      </c>
      <c r="BK44" s="134" t="n">
        <f aca="false">SUM(BK5:BK42)</f>
        <v>0</v>
      </c>
      <c r="BL44" s="134" t="n">
        <f aca="false">SUM(BL5:BL42)</f>
        <v>0</v>
      </c>
      <c r="BM44" s="134" t="n">
        <f aca="false">SUM(BM5:BM42)</f>
        <v>0</v>
      </c>
      <c r="BN44" s="134" t="n">
        <f aca="false">SUM(BN5:BN42)</f>
        <v>0</v>
      </c>
      <c r="BO44" s="134" t="n">
        <f aca="false">SUM(BO5:BO42)</f>
        <v>0</v>
      </c>
      <c r="BP44" s="134" t="n">
        <f aca="false">SUM(BP5:BP42)</f>
        <v>0</v>
      </c>
      <c r="BQ44" s="134" t="n">
        <f aca="false">SUM(BQ5:BQ42)</f>
        <v>0</v>
      </c>
      <c r="BR44" s="134" t="n">
        <f aca="false">SUM(BR5:BR42)</f>
        <v>0</v>
      </c>
      <c r="BS44" s="134" t="n">
        <f aca="false">SUM(BS5:BS42)</f>
        <v>0</v>
      </c>
      <c r="BT44" s="134" t="n">
        <f aca="false">SUM(BT5:BT42)</f>
        <v>0</v>
      </c>
      <c r="BU44" s="134" t="n">
        <f aca="false">SUM(BU5:BU42)</f>
        <v>0</v>
      </c>
      <c r="BV44" s="134" t="n">
        <f aca="false">SUM(BV5:BV42)</f>
        <v>0</v>
      </c>
      <c r="BW44" s="134" t="n">
        <f aca="false">SUM(BW5:BW42)</f>
        <v>0</v>
      </c>
      <c r="BX44" s="134" t="n">
        <f aca="false">SUM(BX5:BX42)</f>
        <v>0</v>
      </c>
      <c r="BY44" s="134" t="n">
        <f aca="false">SUM(BY5:BY42)</f>
        <v>26046922.83</v>
      </c>
      <c r="BZ44" s="134" t="n">
        <f aca="false">SUM(BZ5:BZ42)</f>
        <v>937.784818819305</v>
      </c>
      <c r="CB44" s="133" t="n">
        <f aca="false">SUM(CB5:CB42)</f>
        <v>2437.9</v>
      </c>
      <c r="CC44" s="133" t="n">
        <f aca="false">SUM(CC5:CC42)</f>
        <v>2253.29</v>
      </c>
      <c r="CD44" s="133" t="n">
        <f aca="false">SUM(CD5:CD42)</f>
        <v>8527.57</v>
      </c>
      <c r="CE44" s="133" t="n">
        <f aca="false">SUM(CE5:CE42)</f>
        <v>164529.3</v>
      </c>
      <c r="CF44" s="133" t="n">
        <f aca="false">SUM(CF5:CF42)</f>
        <v>73951.98</v>
      </c>
      <c r="CG44" s="133" t="n">
        <f aca="false">SUM(CG5:CG42)</f>
        <v>86798.41</v>
      </c>
      <c r="CH44" s="133" t="n">
        <f aca="false">SUM(CH5:CH42)</f>
        <v>91882.83</v>
      </c>
      <c r="CI44" s="133" t="n">
        <f aca="false">SUM(CI5:CI42)</f>
        <v>150391.6</v>
      </c>
      <c r="CJ44" s="133" t="n">
        <f aca="false">SUM(CJ5:CJ42)</f>
        <v>119483.12</v>
      </c>
      <c r="CK44" s="133" t="n">
        <f aca="false">SUM(CK5:CK42)</f>
        <v>143785.1</v>
      </c>
      <c r="CL44" s="133" t="n">
        <f aca="false">SUM(CL5:CL42)</f>
        <v>62913.13</v>
      </c>
      <c r="CM44" s="133" t="n">
        <f aca="false">SUM(CM5:CM42)</f>
        <v>72135.4</v>
      </c>
      <c r="CN44" s="133" t="n">
        <f aca="false">SUM(CN5:CN42)</f>
        <v>76634.44</v>
      </c>
      <c r="CO44" s="133" t="n">
        <f aca="false">SUM(CO5:CO42)</f>
        <v>50287.85</v>
      </c>
      <c r="CP44" s="133" t="n">
        <f aca="false">SUM(CP5:CP42)</f>
        <v>339691.77</v>
      </c>
      <c r="CQ44" s="133" t="n">
        <f aca="false">SUM(CQ5:CQ42)</f>
        <v>249008.27</v>
      </c>
      <c r="CR44" s="133" t="n">
        <f aca="false">SUM(CR5:CR42)</f>
        <v>226944.64</v>
      </c>
      <c r="CS44" s="133" t="n">
        <f aca="false">SUM(CS5:CS42)</f>
        <v>298199.84</v>
      </c>
      <c r="CT44" s="133" t="n">
        <f aca="false">SUM(CT5:CT42)</f>
        <v>190147.17</v>
      </c>
      <c r="CU44" s="133" t="n">
        <f aca="false">SUM(CU5:CU42)</f>
        <v>221993.72</v>
      </c>
      <c r="CV44" s="133" t="n">
        <f aca="false">SUM(CV5:CV42)</f>
        <v>395599.15</v>
      </c>
      <c r="CW44" s="133" t="n">
        <f aca="false">SUM(CW5:CW42)</f>
        <v>708213.46</v>
      </c>
      <c r="CX44" s="133" t="n">
        <f aca="false">SUM(CX5:CX42)</f>
        <v>1252862.63</v>
      </c>
      <c r="CY44" s="133" t="n">
        <f aca="false">SUM(CY5:CY42)</f>
        <v>2178586.91</v>
      </c>
      <c r="CZ44" s="133" t="n">
        <f aca="false">SUM(CZ5:CZ42)</f>
        <v>1568106.2</v>
      </c>
      <c r="DA44" s="133" t="n">
        <f aca="false">SUM(DA5:DA42)</f>
        <v>1972982.14</v>
      </c>
      <c r="DB44" s="133" t="n">
        <f aca="false">SUM(DB5:DB42)</f>
        <v>1105526.59</v>
      </c>
      <c r="DC44" s="133" t="n">
        <f aca="false">SUM(DC5:DC42)</f>
        <v>1636768.81</v>
      </c>
      <c r="DD44" s="133" t="n">
        <f aca="false">SUM(DD5:DD42)</f>
        <v>1444679.81</v>
      </c>
      <c r="DE44" s="133" t="n">
        <f aca="false">SUM(DE5:DE42)</f>
        <v>956706.51</v>
      </c>
      <c r="DF44" s="133" t="n">
        <f aca="false">SUM(DF5:DF42)</f>
        <v>1340691.29</v>
      </c>
      <c r="DG44" s="133" t="n">
        <f aca="false">SUM(DG5:DG42)</f>
        <v>2331705.56</v>
      </c>
      <c r="DH44" s="133" t="n">
        <f aca="false">SUM(DH5:DH42)</f>
        <v>1709644.9</v>
      </c>
      <c r="DI44" s="133" t="n">
        <f aca="false">SUM(DI5:DI42)</f>
        <v>2122347.81</v>
      </c>
      <c r="DJ44" s="133" t="n">
        <f aca="false">SUM(DJ5:DJ42)</f>
        <v>1469066.98</v>
      </c>
      <c r="DK44" s="133" t="n">
        <f aca="false">SUM(DK5:DK42)</f>
        <v>332940.1</v>
      </c>
      <c r="DL44" s="133" t="n">
        <f aca="false">SUM(DL5:DL42)</f>
        <v>172586.36</v>
      </c>
      <c r="DM44" s="133" t="n">
        <f aca="false">SUM(DM5:DM42)</f>
        <v>573539.76</v>
      </c>
      <c r="DN44" s="133" t="n">
        <f aca="false">SUM(DN5:DN42)</f>
        <v>26708.56</v>
      </c>
      <c r="DO44" s="133" t="n">
        <f aca="false">SUM(DO5:DO42)</f>
        <v>57142.79</v>
      </c>
      <c r="DP44" s="133" t="n">
        <f aca="false">SUM(DP5:DP42)</f>
        <v>1183.78</v>
      </c>
      <c r="DQ44" s="133" t="n">
        <f aca="false">SUM(DQ5:DQ42)</f>
        <v>159.9</v>
      </c>
      <c r="DR44" s="133" t="n">
        <f aca="false">SUM(DR5:DR42)</f>
        <v>159.9</v>
      </c>
      <c r="DS44" s="133" t="n">
        <f aca="false">SUM(DS5:DS42)</f>
        <v>159.9</v>
      </c>
      <c r="DT44" s="133" t="n">
        <f aca="false">SUM(DT5:DT42)</f>
        <v>159.9</v>
      </c>
      <c r="DU44" s="133" t="n">
        <f aca="false">SUM(DU5:DU42)</f>
        <v>3859.9</v>
      </c>
      <c r="DV44" s="133" t="n">
        <f aca="false">SUM(DV5:DV42)</f>
        <v>1023.42</v>
      </c>
      <c r="DW44" s="133" t="n">
        <f aca="false">SUM(DW5:DW42)</f>
        <v>159.9</v>
      </c>
      <c r="DX44" s="133" t="n">
        <f aca="false">SUM(DX5:DX42)</f>
        <v>11516.59</v>
      </c>
      <c r="DY44" s="133" t="n">
        <f aca="false">SUM(DY5:DY42)</f>
        <v>159.9</v>
      </c>
      <c r="DZ44" s="133" t="n">
        <f aca="false">SUM(DZ5:DZ42)</f>
        <v>159.9</v>
      </c>
      <c r="EA44" s="133" t="n">
        <f aca="false">SUM(EA5:EA42)</f>
        <v>159.9</v>
      </c>
      <c r="EB44" s="133" t="n">
        <f aca="false">SUM(EB5:EB42)</f>
        <v>159.9</v>
      </c>
      <c r="EC44" s="133" t="n">
        <f aca="false">SUM(EC5:EC42)</f>
        <v>159.9</v>
      </c>
      <c r="ED44" s="133" t="n">
        <f aca="false">SUM(ED5:ED42)</f>
        <v>159.9</v>
      </c>
      <c r="EE44" s="133" t="n">
        <f aca="false">SUM(EE5:EE42)</f>
        <v>32795.48</v>
      </c>
      <c r="EF44" s="133" t="n">
        <f aca="false">SUM(EF5:EF42)</f>
        <v>159.9</v>
      </c>
      <c r="EG44" s="133" t="n">
        <f aca="false">SUM(EG5:EG42)</f>
        <v>159.9</v>
      </c>
      <c r="EH44" s="133" t="n">
        <f aca="false">SUM(EH5:EH42)</f>
        <v>159.9</v>
      </c>
      <c r="EI44" s="133" t="n">
        <f aca="false">SUM(EI5:EI42)</f>
        <v>387.42</v>
      </c>
      <c r="EJ44" s="133" t="n">
        <f aca="false">SUM(EJ5:EJ42)</f>
        <v>159.9</v>
      </c>
      <c r="EK44" s="133" t="n">
        <f aca="false">SUM(EK5:EK42)</f>
        <v>159.9</v>
      </c>
      <c r="EL44" s="133" t="n">
        <f aca="false">SUM(EL5:EL42)</f>
        <v>4554.59</v>
      </c>
      <c r="EM44" s="133" t="n">
        <f aca="false">SUM(EM5:EM42)</f>
        <v>159.9</v>
      </c>
      <c r="EN44" s="133" t="n">
        <f aca="false">SUM(EN5:EN42)</f>
        <v>159.9</v>
      </c>
      <c r="EO44" s="133" t="n">
        <f aca="false">SUM(EO5:EO42)</f>
        <v>159.9</v>
      </c>
      <c r="EP44" s="133" t="n">
        <f aca="false">SUM(EP5:EP42)</f>
        <v>159.9</v>
      </c>
      <c r="EQ44" s="133" t="n">
        <f aca="false">SUM(EQ5:EQ42)</f>
        <v>0</v>
      </c>
      <c r="ER44" s="133" t="n">
        <f aca="false">SUM(ER5:ER42)</f>
        <v>0</v>
      </c>
      <c r="ES44" s="133" t="n">
        <f aca="false">SUM(ES5:ES42)</f>
        <v>0</v>
      </c>
      <c r="ET44" s="133" t="n">
        <f aca="false">SUM(ET5:ET42)</f>
        <v>0</v>
      </c>
      <c r="EU44" s="133" t="n">
        <f aca="false">SUM(EU5:EU42)</f>
        <v>0</v>
      </c>
      <c r="EV44" s="133" t="n">
        <f aca="false">SUM(EV5:EV42)</f>
        <v>0</v>
      </c>
      <c r="EW44" s="133" t="n">
        <f aca="false">SUM(EW5:EW42)</f>
        <v>0</v>
      </c>
      <c r="EX44" s="133" t="n">
        <f aca="false">SUM(EX5:EX42)</f>
        <v>0</v>
      </c>
      <c r="EY44" s="133" t="n">
        <f aca="false">SUM(EY5:EY42)</f>
        <v>0</v>
      </c>
      <c r="EZ44" s="133" t="n">
        <f aca="false">SUM(EZ5:EZ42)</f>
        <v>0</v>
      </c>
      <c r="FA44" s="133" t="n">
        <f aca="false">SUM(FA5:FA42)</f>
        <v>0</v>
      </c>
      <c r="FB44" s="133" t="n">
        <f aca="false">SUM(FB5:FB42)</f>
        <v>0</v>
      </c>
      <c r="FC44" s="133" t="n">
        <f aca="false">SUM(FC5:FC42)</f>
        <v>0</v>
      </c>
      <c r="FD44" s="133" t="n">
        <f aca="false">SUM(FD5:FD42)</f>
        <v>0</v>
      </c>
      <c r="FE44" s="133" t="n">
        <f aca="false">SUM(FE5:FE42)</f>
        <v>0</v>
      </c>
      <c r="FF44" s="133" t="n">
        <f aca="false">SUM(FF5:FF42)</f>
        <v>0</v>
      </c>
      <c r="FG44" s="133" t="n">
        <f aca="false">SUM(FG5:FG42)</f>
        <v>0</v>
      </c>
      <c r="FH44" s="133" t="n">
        <f aca="false">SUM(FH5:FH42)</f>
        <v>0</v>
      </c>
      <c r="FI44" s="133" t="n">
        <f aca="false">SUM(FI5:FI42)</f>
        <v>0</v>
      </c>
      <c r="FJ44" s="133" t="n">
        <f aca="false">SUM(FJ5:FJ42)</f>
        <v>0</v>
      </c>
      <c r="FK44" s="133" t="n">
        <f aca="false">SUM(FK5:FK42)</f>
        <v>0</v>
      </c>
      <c r="FL44" s="133" t="n">
        <f aca="false">SUM(FL5:FL42)</f>
        <v>0</v>
      </c>
      <c r="FM44" s="133" t="n">
        <f aca="false">SUM(FM5:FM42)</f>
        <v>0</v>
      </c>
      <c r="FN44" s="133" t="n">
        <f aca="false">SUM(FN5:FN42)</f>
        <v>0</v>
      </c>
      <c r="FO44" s="133" t="n">
        <f aca="false">SUM(FO5:FO42)</f>
        <v>0</v>
      </c>
      <c r="FP44" s="133" t="n">
        <f aca="false">SUM(FP5:FP42)</f>
        <v>0</v>
      </c>
      <c r="FQ44" s="133" t="n">
        <f aca="false">SUM(FQ5:FQ42)</f>
        <v>0</v>
      </c>
      <c r="FR44" s="133" t="n">
        <f aca="false">SUM(FR5:FR42)</f>
        <v>0</v>
      </c>
      <c r="FS44" s="133" t="n">
        <f aca="false">SUM(FS5:FS42)</f>
        <v>0</v>
      </c>
      <c r="FT44" s="133" t="n">
        <f aca="false">SUM(FT5:FT42)</f>
        <v>0</v>
      </c>
      <c r="FU44" s="133" t="n">
        <f aca="false">SUM(FU5:FU42)</f>
        <v>0</v>
      </c>
      <c r="FV44" s="133" t="n">
        <f aca="false">SUM(FV5:FV42)</f>
        <v>0</v>
      </c>
      <c r="FW44" s="133" t="n">
        <f aca="false">SUM(FW5:FW42)</f>
        <v>0</v>
      </c>
      <c r="FX44" s="133" t="n">
        <f aca="false">SUM(FX5:FX42)</f>
        <v>0</v>
      </c>
      <c r="FY44" s="133" t="n">
        <f aca="false">SUM(FY5:FY42)</f>
        <v>0</v>
      </c>
      <c r="FZ44" s="133" t="n">
        <f aca="false">SUM(FZ5:FZ42)</f>
        <v>0</v>
      </c>
      <c r="GA44" s="133" t="n">
        <f aca="false">SUM(GA5:GA42)</f>
        <v>0</v>
      </c>
      <c r="GB44" s="133" t="n">
        <f aca="false">SUM(GB5:GB42)</f>
        <v>0</v>
      </c>
      <c r="GC44" s="133" t="n">
        <f aca="false">SUM(GC5:GC42)</f>
        <v>0</v>
      </c>
      <c r="GD44" s="133" t="n">
        <f aca="false">SUM(GD5:GD42)</f>
        <v>0</v>
      </c>
      <c r="GE44" s="133" t="n">
        <f aca="false">SUM(GE5:GE42)</f>
        <v>0</v>
      </c>
      <c r="GF44" s="133" t="n">
        <f aca="false">SUM(GF5:GF42)</f>
        <v>0</v>
      </c>
      <c r="GG44" s="133" t="n">
        <f aca="false">SUM(GG5:GG42)</f>
        <v>0</v>
      </c>
      <c r="GH44" s="133" t="n">
        <f aca="false">SUM(GH5:GH42)</f>
        <v>0</v>
      </c>
      <c r="GI44" s="133" t="n">
        <f aca="false">SUM(GI5:GI42)</f>
        <v>0</v>
      </c>
      <c r="GJ44" s="133" t="n">
        <f aca="false">SUM(GJ5:GJ42)</f>
        <v>0</v>
      </c>
      <c r="GK44" s="133" t="n">
        <f aca="false">SUM(GK5:GK42)</f>
        <v>0</v>
      </c>
      <c r="GL44" s="133" t="n">
        <f aca="false">SUM(GL5:GL42)</f>
        <v>0</v>
      </c>
      <c r="GM44" s="133" t="n">
        <f aca="false">SUM(GM5:GM42)</f>
        <v>0</v>
      </c>
      <c r="GN44" s="133" t="n">
        <f aca="false">SUM(GN5:GN42)</f>
        <v>0</v>
      </c>
      <c r="GO44" s="133" t="n">
        <f aca="false">SUM(GO5:GO42)</f>
        <v>0</v>
      </c>
      <c r="GP44" s="133" t="n">
        <f aca="false">SUM(GP5:GP42)</f>
        <v>0</v>
      </c>
      <c r="GQ44" s="133" t="n">
        <f aca="false">SUM(GQ5:GQ42)</f>
        <v>0</v>
      </c>
      <c r="GR44" s="133" t="n">
        <f aca="false">SUM(GR5:GR42)</f>
        <v>0</v>
      </c>
      <c r="GS44" s="133" t="n">
        <f aca="false">SUM(GS5:GS42)</f>
        <v>0</v>
      </c>
      <c r="GT44" s="133" t="n">
        <f aca="false">SUM(GT5:GT42)</f>
        <v>0</v>
      </c>
      <c r="GU44" s="133" t="n">
        <f aca="false">SUM(GU5:GU42)</f>
        <v>0</v>
      </c>
      <c r="GV44" s="133" t="n">
        <f aca="false">SUM(GV5:GV42)</f>
        <v>0</v>
      </c>
      <c r="GW44" s="133" t="n">
        <f aca="false">SUM(GW5:GW42)</f>
        <v>0</v>
      </c>
      <c r="GX44" s="133" t="n">
        <f aca="false">SUM(GX5:GX42)</f>
        <v>0</v>
      </c>
      <c r="GY44" s="133" t="n">
        <f aca="false">SUM(GY5:GY42)</f>
        <v>0</v>
      </c>
      <c r="GZ44" s="133" t="n">
        <f aca="false">SUM(GZ5:GZ42)</f>
        <v>0</v>
      </c>
      <c r="HA44" s="133" t="n">
        <f aca="false">SUM(HA5:HA42)</f>
        <v>0</v>
      </c>
      <c r="HB44" s="133" t="n">
        <f aca="false">SUM(HB5:HB42)</f>
        <v>0</v>
      </c>
      <c r="HC44" s="133" t="n">
        <f aca="false">SUM(HC5:HC42)</f>
        <v>0</v>
      </c>
      <c r="HD44" s="133" t="n">
        <f aca="false">SUM(HD5:HD42)</f>
        <v>0</v>
      </c>
      <c r="HE44" s="133" t="n">
        <f aca="false">SUM(HE5:HE42)</f>
        <v>0</v>
      </c>
      <c r="HF44" s="133" t="n">
        <f aca="false">SUM(HF5:HF42)</f>
        <v>0</v>
      </c>
      <c r="HG44" s="133" t="n">
        <f aca="false">SUM(HG5:HG42)</f>
        <v>0</v>
      </c>
      <c r="HH44" s="133" t="n">
        <f aca="false">SUM(HH5:HH42)</f>
        <v>0</v>
      </c>
      <c r="HI44" s="133" t="n">
        <f aca="false">SUM(HI5:HI42)</f>
        <v>0</v>
      </c>
      <c r="HJ44" s="133" t="n">
        <f aca="false">SUM(HJ5:HJ42)</f>
        <v>0</v>
      </c>
      <c r="HK44" s="133" t="n">
        <f aca="false">SUM(HK5:HK42)</f>
        <v>0</v>
      </c>
      <c r="HL44" s="133" t="n">
        <f aca="false">SUM(HL5:HL42)</f>
        <v>0</v>
      </c>
      <c r="HM44" s="133" t="n">
        <f aca="false">SUM(HM5:HM42)</f>
        <v>0</v>
      </c>
      <c r="HN44" s="133" t="n">
        <f aca="false">SUM(HN5:HN42)</f>
        <v>0</v>
      </c>
      <c r="HO44" s="133" t="n">
        <f aca="false">SUM(HO5:HO42)</f>
        <v>0</v>
      </c>
      <c r="HP44" s="133" t="n">
        <f aca="false">SUM(HP5:HP42)</f>
        <v>0</v>
      </c>
      <c r="HQ44" s="133" t="n">
        <f aca="false">SUM(HQ5:HQ42)</f>
        <v>0</v>
      </c>
      <c r="HR44" s="133" t="n">
        <f aca="false">SUM(HR5:HR42)</f>
        <v>0</v>
      </c>
      <c r="HS44" s="133" t="n">
        <f aca="false">SUM(HS5:HS42)</f>
        <v>0</v>
      </c>
      <c r="HT44" s="133" t="n">
        <f aca="false">SUM(HT5:HT42)</f>
        <v>0</v>
      </c>
      <c r="HU44" s="133" t="n">
        <f aca="false">SUM(HU5:HU42)</f>
        <v>0</v>
      </c>
      <c r="HV44" s="133" t="n">
        <f aca="false">SUM(HV5:HV42)</f>
        <v>0</v>
      </c>
      <c r="HW44" s="133" t="n">
        <f aca="false">SUM(HW5:HW42)</f>
        <v>0</v>
      </c>
      <c r="HX44" s="133" t="n">
        <f aca="false">SUM(HX5:HX42)</f>
        <v>0</v>
      </c>
      <c r="HY44" s="133" t="n">
        <f aca="false">SUM(HY5:HY42)</f>
        <v>0</v>
      </c>
      <c r="HZ44" s="133" t="n">
        <f aca="false">SUM(HZ5:HZ42)</f>
        <v>0</v>
      </c>
      <c r="IA44" s="133" t="n">
        <f aca="false">SUM(IA5:IA42)</f>
        <v>0</v>
      </c>
      <c r="IB44" s="133" t="n">
        <f aca="false">SUM(IB5:IB42)</f>
        <v>0</v>
      </c>
      <c r="IC44" s="133" t="n">
        <f aca="false">SUM(IC5:IC42)</f>
        <v>0</v>
      </c>
      <c r="ID44" s="133" t="n">
        <f aca="false">SUM(ID5:ID42)</f>
        <v>0</v>
      </c>
      <c r="IE44" s="133" t="n">
        <f aca="false">SUM(IE5:IE42)</f>
        <v>0</v>
      </c>
      <c r="IF44" s="133" t="n">
        <f aca="false">SUM(IF5:IF42)</f>
        <v>0</v>
      </c>
      <c r="IG44" s="133" t="n">
        <f aca="false">SUM(IG5:IG42)</f>
        <v>0</v>
      </c>
      <c r="IH44" s="133" t="n">
        <f aca="false">SUM(IH5:IH42)</f>
        <v>0</v>
      </c>
      <c r="II44" s="133" t="n">
        <f aca="false">SUM(II5:II42)</f>
        <v>0</v>
      </c>
      <c r="IJ44" s="133" t="n">
        <f aca="false">SUM(IJ5:IJ42)</f>
        <v>0</v>
      </c>
      <c r="IK44" s="133" t="n">
        <f aca="false">SUM(IK5:IK42)</f>
        <v>0</v>
      </c>
      <c r="IL44" s="133" t="n">
        <f aca="false">SUM(IL5:IL42)</f>
        <v>0</v>
      </c>
      <c r="IM44" s="133" t="n">
        <f aca="false">SUM(IM5:IM42)</f>
        <v>0</v>
      </c>
      <c r="IN44" s="133" t="n">
        <f aca="false">SUM(IN5:IN42)</f>
        <v>0</v>
      </c>
      <c r="IO44" s="133" t="n">
        <f aca="false">SUM(IO5:IO42)</f>
        <v>0</v>
      </c>
      <c r="IP44" s="133" t="n">
        <f aca="false">SUM(IP5:IP42)</f>
        <v>0</v>
      </c>
      <c r="IQ44" s="133" t="n">
        <f aca="false">SUM(IQ5:IQ42)</f>
        <v>0</v>
      </c>
      <c r="IR44" s="133" t="n">
        <f aca="false">SUM(IR5:IR42)</f>
        <v>0</v>
      </c>
      <c r="IS44" s="133" t="n">
        <f aca="false">SUM(IS5:IS42)</f>
        <v>0</v>
      </c>
      <c r="IT44" s="133" t="n">
        <f aca="false">SUM(IT5:IT42)</f>
        <v>0</v>
      </c>
      <c r="IU44" s="133" t="n">
        <f aca="false">SUM(IU5:IU42)</f>
        <v>0</v>
      </c>
      <c r="IV44" s="133" t="n">
        <f aca="false">SUM(IV5:IV42)</f>
        <v>0</v>
      </c>
      <c r="IW44" s="133" t="n">
        <f aca="false">SUM(IW5:IW42)</f>
        <v>0</v>
      </c>
      <c r="IX44" s="133" t="n">
        <f aca="false">SUM(IX5:IX42)</f>
        <v>0</v>
      </c>
      <c r="IY44" s="133" t="n">
        <f aca="false">SUM(IY5:IY42)</f>
        <v>0</v>
      </c>
      <c r="IZ44" s="133" t="n">
        <f aca="false">SUM(IZ5:IZ42)</f>
        <v>0</v>
      </c>
      <c r="JA44" s="133" t="n">
        <f aca="false">SUM(JA5:JA42)</f>
        <v>0</v>
      </c>
      <c r="JB44" s="133" t="n">
        <f aca="false">SUM(JB5:JB42)</f>
        <v>0</v>
      </c>
      <c r="JC44" s="133" t="n">
        <f aca="false">SUM(JC5:JC42)</f>
        <v>0</v>
      </c>
      <c r="JD44" s="133" t="n">
        <f aca="false">SUM(JD5:JD42)</f>
        <v>0</v>
      </c>
      <c r="JE44" s="133" t="n">
        <f aca="false">SUM(JE5:JE42)</f>
        <v>0</v>
      </c>
      <c r="JF44" s="133" t="n">
        <f aca="false">SUM(JF5:JF42)</f>
        <v>0</v>
      </c>
      <c r="JG44" s="133" t="n">
        <f aca="false">SUM(JG5:JG42)</f>
        <v>0</v>
      </c>
      <c r="JH44" s="133" t="n">
        <f aca="false">SUM(JH5:JH42)</f>
        <v>0</v>
      </c>
      <c r="JI44" s="133" t="n">
        <f aca="false">SUM(JI5:JI42)</f>
        <v>0</v>
      </c>
      <c r="JJ44" s="133" t="n">
        <f aca="false">SUM(JJ5:JJ42)</f>
        <v>0</v>
      </c>
      <c r="JK44" s="133" t="n">
        <f aca="false">SUM(JK5:JK42)</f>
        <v>0</v>
      </c>
      <c r="JL44" s="133" t="n">
        <f aca="false">SUM(JL5:JL42)</f>
        <v>0</v>
      </c>
      <c r="JM44" s="133" t="n">
        <f aca="false">SUM(JM5:JM42)</f>
        <v>0</v>
      </c>
      <c r="JN44" s="133" t="n">
        <f aca="false">SUM(JN5:JN42)</f>
        <v>0</v>
      </c>
      <c r="JO44" s="133" t="n">
        <f aca="false">SUM(JO5:JO42)</f>
        <v>0</v>
      </c>
      <c r="JP44" s="133" t="n">
        <f aca="false">SUM(JP5:JP42)</f>
        <v>0</v>
      </c>
      <c r="JQ44" s="133" t="n">
        <f aca="false">SUM(JQ5:JQ42)</f>
        <v>0</v>
      </c>
      <c r="JR44" s="133" t="n">
        <f aca="false">SUM(JR5:JR42)</f>
        <v>0</v>
      </c>
      <c r="JS44" s="133" t="n">
        <f aca="false">SUM(JS5:JS42)</f>
        <v>0</v>
      </c>
    </row>
    <row r="45" customFormat="false" ht="15" hidden="false" customHeight="false" outlineLevel="0" collapsed="false">
      <c r="A45" s="42" t="s">
        <v>2879</v>
      </c>
      <c r="D45" s="116" t="n">
        <f aca="false">D44</f>
        <v>1055724.07</v>
      </c>
      <c r="E45" s="116" t="n">
        <f aca="false">D45+E44</f>
        <v>1106011.92</v>
      </c>
      <c r="F45" s="116" t="n">
        <f aca="false">E45+F44</f>
        <v>1445703.69</v>
      </c>
      <c r="G45" s="116" t="n">
        <f aca="false">F45+G44</f>
        <v>1694711.96</v>
      </c>
      <c r="H45" s="116" t="n">
        <f aca="false">G45+H44</f>
        <v>1921656.6</v>
      </c>
      <c r="I45" s="116" t="n">
        <f aca="false">H45+I44</f>
        <v>2219856.44</v>
      </c>
      <c r="J45" s="116" t="n">
        <f aca="false">I45+J44</f>
        <v>2410003.61</v>
      </c>
      <c r="K45" s="116" t="n">
        <f aca="false">J45+K44</f>
        <v>2631997.33</v>
      </c>
      <c r="L45" s="116" t="n">
        <f aca="false">K45+L44</f>
        <v>3027596.48</v>
      </c>
      <c r="M45" s="116" t="n">
        <f aca="false">L45+M44</f>
        <v>3735809.94</v>
      </c>
      <c r="N45" s="116" t="n">
        <f aca="false">M45+N44</f>
        <v>4988672.57</v>
      </c>
      <c r="O45" s="116" t="n">
        <f aca="false">N45+O44</f>
        <v>7167259.48</v>
      </c>
      <c r="P45" s="116" t="n">
        <f aca="false">O45+P44</f>
        <v>8735365.68</v>
      </c>
      <c r="Q45" s="116" t="n">
        <f aca="false">P45+Q44</f>
        <v>10708347.82</v>
      </c>
      <c r="R45" s="116" t="n">
        <f aca="false">Q45+R44</f>
        <v>11813874.41</v>
      </c>
      <c r="S45" s="116" t="n">
        <f aca="false">R45+S44</f>
        <v>13450643.22</v>
      </c>
      <c r="T45" s="116" t="n">
        <f aca="false">S45+T44</f>
        <v>14895323.03</v>
      </c>
      <c r="U45" s="116" t="n">
        <f aca="false">T45+U44</f>
        <v>15852029.54</v>
      </c>
      <c r="V45" s="116" t="n">
        <f aca="false">U45+V44</f>
        <v>17192720.83</v>
      </c>
      <c r="W45" s="116" t="n">
        <f aca="false">V45+W44</f>
        <v>19524426.39</v>
      </c>
      <c r="X45" s="116" t="n">
        <f aca="false">W45+X44</f>
        <v>21234071.29</v>
      </c>
      <c r="Y45" s="116" t="n">
        <f aca="false">X45+Y44</f>
        <v>23356419.1</v>
      </c>
      <c r="Z45" s="116" t="n">
        <f aca="false">Y45+Z44</f>
        <v>24825486.08</v>
      </c>
      <c r="AA45" s="116" t="n">
        <f aca="false">Z45+AA44</f>
        <v>25158426.18</v>
      </c>
      <c r="AB45" s="116" t="n">
        <f aca="false">AA45+AB44</f>
        <v>25331012.54</v>
      </c>
      <c r="AC45" s="116" t="n">
        <f aca="false">AB45+AC44</f>
        <v>25904552.3</v>
      </c>
      <c r="AD45" s="116" t="n">
        <f aca="false">AC45+AD44</f>
        <v>25931260.86</v>
      </c>
      <c r="AE45" s="116" t="n">
        <f aca="false">AD45+AE44</f>
        <v>25988403.65</v>
      </c>
      <c r="AF45" s="116" t="n">
        <f aca="false">AE45+AF44</f>
        <v>25989587.43</v>
      </c>
      <c r="AG45" s="116" t="n">
        <f aca="false">AF45+AG44</f>
        <v>25989747.33</v>
      </c>
      <c r="AH45" s="116" t="n">
        <f aca="false">AG45+AH44</f>
        <v>25989907.23</v>
      </c>
      <c r="AI45" s="116" t="n">
        <f aca="false">AH45+AI44</f>
        <v>25990067.13</v>
      </c>
      <c r="AJ45" s="116" t="n">
        <f aca="false">AI45+AJ44</f>
        <v>25990227.03</v>
      </c>
      <c r="AK45" s="116" t="n">
        <f aca="false">AJ45+AK44</f>
        <v>25994086.93</v>
      </c>
      <c r="AL45" s="116" t="n">
        <f aca="false">AK45+AL44</f>
        <v>25995110.35</v>
      </c>
      <c r="AM45" s="116" t="n">
        <f aca="false">AL45+AM44</f>
        <v>25995270.25</v>
      </c>
      <c r="AN45" s="116" t="n">
        <f aca="false">AM45+AN44</f>
        <v>26006786.84</v>
      </c>
      <c r="AO45" s="116" t="n">
        <f aca="false">AN45+AO44</f>
        <v>26006946.74</v>
      </c>
      <c r="AP45" s="116" t="n">
        <f aca="false">AO45+AP44</f>
        <v>26007106.64</v>
      </c>
      <c r="AQ45" s="116" t="n">
        <f aca="false">AP45+AQ44</f>
        <v>26007266.54</v>
      </c>
      <c r="AR45" s="116" t="n">
        <f aca="false">AQ45+AR44</f>
        <v>26007426.44</v>
      </c>
      <c r="AS45" s="116" t="n">
        <f aca="false">AR45+AS44</f>
        <v>26007586.34</v>
      </c>
      <c r="AT45" s="116" t="n">
        <f aca="false">AS45+AT44</f>
        <v>26007746.24</v>
      </c>
      <c r="AU45" s="116" t="n">
        <f aca="false">AT45+AU44</f>
        <v>26040541.72</v>
      </c>
      <c r="AV45" s="116" t="n">
        <f aca="false">AU45+AV44</f>
        <v>26040701.62</v>
      </c>
      <c r="AW45" s="116" t="n">
        <f aca="false">AV45+AW44</f>
        <v>26040861.52</v>
      </c>
      <c r="AX45" s="116" t="n">
        <f aca="false">AW45+AX44</f>
        <v>26041021.42</v>
      </c>
      <c r="AY45" s="116" t="n">
        <f aca="false">AX45+AY44</f>
        <v>26041408.84</v>
      </c>
      <c r="AZ45" s="116" t="n">
        <f aca="false">AY45+AZ44</f>
        <v>26041568.74</v>
      </c>
      <c r="BA45" s="116" t="n">
        <f aca="false">AZ45+BA44</f>
        <v>26041728.64</v>
      </c>
      <c r="BB45" s="116" t="n">
        <f aca="false">BA45+BB44</f>
        <v>26046283.23</v>
      </c>
      <c r="BC45" s="116" t="n">
        <f aca="false">BB45+BC44</f>
        <v>26046443.13</v>
      </c>
      <c r="BD45" s="116" t="n">
        <f aca="false">BC45+BD44</f>
        <v>26046603.03</v>
      </c>
      <c r="BE45" s="116" t="n">
        <f aca="false">BD45+BE44</f>
        <v>26046762.93</v>
      </c>
      <c r="BF45" s="116" t="n">
        <f aca="false">BE45+BF44</f>
        <v>26046922.83</v>
      </c>
      <c r="BG45" s="116" t="n">
        <f aca="false">BF45+BG44</f>
        <v>26046922.83</v>
      </c>
      <c r="BH45" s="116" t="n">
        <f aca="false">BG45+BH44</f>
        <v>26046922.83</v>
      </c>
      <c r="BI45" s="116" t="n">
        <f aca="false">BH45+BI44</f>
        <v>26046922.83</v>
      </c>
      <c r="BJ45" s="116" t="n">
        <f aca="false">BI45+BJ44</f>
        <v>26046922.83</v>
      </c>
      <c r="BK45" s="116" t="n">
        <f aca="false">BJ45+BK44</f>
        <v>26046922.83</v>
      </c>
      <c r="BL45" s="116" t="n">
        <f aca="false">BK45+BL44</f>
        <v>26046922.83</v>
      </c>
      <c r="BM45" s="116" t="n">
        <f aca="false">BL45+BM44</f>
        <v>26046922.83</v>
      </c>
      <c r="BN45" s="116" t="n">
        <f aca="false">BM45+BN44</f>
        <v>26046922.83</v>
      </c>
      <c r="BO45" s="116" t="n">
        <f aca="false">BN45+BO44</f>
        <v>26046922.83</v>
      </c>
      <c r="BP45" s="116" t="n">
        <f aca="false">BO45+BP44</f>
        <v>26046922.83</v>
      </c>
      <c r="BQ45" s="116" t="n">
        <f aca="false">BP45+BQ44</f>
        <v>26046922.83</v>
      </c>
      <c r="BR45" s="116" t="n">
        <f aca="false">BQ45+BR44</f>
        <v>26046922.83</v>
      </c>
      <c r="BS45" s="116" t="n">
        <f aca="false">BR45+BS44</f>
        <v>26046922.83</v>
      </c>
      <c r="BT45" s="116" t="n">
        <f aca="false">BS45+BT44</f>
        <v>26046922.83</v>
      </c>
      <c r="BU45" s="116" t="n">
        <f aca="false">BT45+BU44</f>
        <v>26046922.83</v>
      </c>
      <c r="BV45" s="116" t="n">
        <f aca="false">BU45+BV44</f>
        <v>26046922.83</v>
      </c>
      <c r="BW45" s="116" t="n">
        <f aca="false">BV45+BW44</f>
        <v>26046922.83</v>
      </c>
    </row>
    <row r="49" customFormat="false" ht="15" hidden="false" customHeight="false" outlineLevel="0" collapsed="false">
      <c r="A49" s="62" t="s">
        <v>2880</v>
      </c>
      <c r="B49" s="62"/>
      <c r="C49" s="62"/>
    </row>
    <row r="50" customFormat="false" ht="15" hidden="false" customHeight="false" outlineLevel="0" collapsed="false">
      <c r="A50" s="55" t="s">
        <v>2881</v>
      </c>
    </row>
    <row r="51" customFormat="false" ht="15" hidden="false" customHeight="false" outlineLevel="0" collapsed="false">
      <c r="A51" s="55" t="s">
        <v>2882</v>
      </c>
    </row>
    <row r="52" customFormat="false" ht="15" hidden="false" customHeight="false" outlineLevel="0" collapsed="false">
      <c r="A52" s="55" t="s">
        <v>2883</v>
      </c>
    </row>
    <row r="53" customFormat="false" ht="15" hidden="false" customHeight="false" outlineLevel="0" collapsed="false">
      <c r="A53" s="55" t="s">
        <v>2884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2885</v>
      </c>
    </row>
    <row r="56" customFormat="false" ht="15" hidden="false" customHeight="false" outlineLevel="0" collapsed="false">
      <c r="A56" s="55" t="s">
        <v>2886</v>
      </c>
    </row>
    <row r="57" customFormat="false" ht="15" hidden="false" customHeight="false" outlineLevel="0" collapsed="false">
      <c r="A57" s="55" t="s">
        <v>2887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2888</v>
      </c>
      <c r="B1" s="4" t="s">
        <v>2889</v>
      </c>
    </row>
    <row r="2" customFormat="false" ht="15" hidden="false" customHeight="false" outlineLevel="0" collapsed="false">
      <c r="A2" s="4" t="s">
        <v>2890</v>
      </c>
      <c r="B2" s="135" t="n">
        <v>45078</v>
      </c>
      <c r="C2" s="135" t="n">
        <v>45231</v>
      </c>
      <c r="D2" s="135" t="n">
        <v>45323</v>
      </c>
      <c r="E2" s="135" t="n">
        <v>45352</v>
      </c>
      <c r="F2" s="135" t="n">
        <v>45383</v>
      </c>
      <c r="G2" s="135" t="n">
        <v>45413</v>
      </c>
      <c r="H2" s="135" t="n">
        <v>45444</v>
      </c>
      <c r="I2" s="135" t="n">
        <v>45474</v>
      </c>
      <c r="J2" s="135" t="n">
        <v>45505</v>
      </c>
      <c r="K2" s="135" t="n">
        <v>45536</v>
      </c>
      <c r="L2" s="135" t="n">
        <v>45566</v>
      </c>
      <c r="M2" s="135" t="n">
        <v>45597</v>
      </c>
      <c r="N2" s="135" t="n">
        <v>45627</v>
      </c>
      <c r="O2" s="135" t="n">
        <v>45658</v>
      </c>
      <c r="P2" s="135" t="n">
        <v>45689</v>
      </c>
      <c r="Q2" s="135" t="n">
        <v>45717</v>
      </c>
      <c r="R2" s="135" t="n">
        <v>45748</v>
      </c>
      <c r="S2" s="135" t="n">
        <v>45778</v>
      </c>
      <c r="T2" s="135" t="n">
        <v>45809</v>
      </c>
      <c r="U2" s="135" t="n">
        <v>45839</v>
      </c>
      <c r="V2" s="135" t="n">
        <v>45870</v>
      </c>
      <c r="W2" s="135" t="n">
        <v>45901</v>
      </c>
      <c r="X2" s="135" t="n">
        <v>45931</v>
      </c>
      <c r="Y2" s="135" t="n">
        <v>45962</v>
      </c>
      <c r="Z2" s="135" t="n">
        <v>45992</v>
      </c>
      <c r="AA2" s="135" t="n">
        <v>46023</v>
      </c>
      <c r="AB2" s="135" t="n">
        <v>46054</v>
      </c>
      <c r="AC2" s="135" t="n">
        <v>46082</v>
      </c>
      <c r="AD2" s="135" t="n">
        <v>46113</v>
      </c>
      <c r="AE2" s="135" t="n">
        <v>46143</v>
      </c>
      <c r="AF2" s="135" t="n">
        <v>46174</v>
      </c>
      <c r="AG2" s="135" t="n">
        <v>46204</v>
      </c>
      <c r="AH2" s="135" t="n">
        <v>46235</v>
      </c>
      <c r="AI2" s="135" t="n">
        <v>46266</v>
      </c>
      <c r="AJ2" s="135" t="n">
        <v>46296</v>
      </c>
      <c r="AK2" s="135" t="n">
        <v>46327</v>
      </c>
      <c r="AL2" s="135" t="n">
        <v>46357</v>
      </c>
      <c r="AM2" s="135" t="n">
        <v>46388</v>
      </c>
      <c r="AN2" s="135" t="n">
        <v>46419</v>
      </c>
      <c r="AO2" s="135" t="n">
        <v>46447</v>
      </c>
      <c r="AP2" s="135" t="n">
        <v>46478</v>
      </c>
      <c r="AQ2" s="135" t="n">
        <v>46508</v>
      </c>
      <c r="AR2" s="135" t="n">
        <v>46539</v>
      </c>
      <c r="AS2" s="135" t="n">
        <v>46569</v>
      </c>
      <c r="AT2" s="135" t="n">
        <v>46600</v>
      </c>
      <c r="AU2" s="135" t="n">
        <v>46631</v>
      </c>
      <c r="AV2" s="135" t="n">
        <v>46661</v>
      </c>
      <c r="AW2" s="135" t="n">
        <v>46692</v>
      </c>
      <c r="AX2" s="135" t="n">
        <v>46722</v>
      </c>
      <c r="AY2" s="135" t="n">
        <v>46753</v>
      </c>
      <c r="AZ2" s="135" t="n">
        <v>46784</v>
      </c>
      <c r="BA2" s="135" t="n">
        <v>46813</v>
      </c>
      <c r="BB2" s="135" t="n">
        <v>46844</v>
      </c>
      <c r="BC2" s="135" t="n">
        <v>46874</v>
      </c>
      <c r="BD2" s="135" t="n">
        <v>46905</v>
      </c>
      <c r="BE2" s="135" t="n">
        <v>46935</v>
      </c>
      <c r="BF2" s="135" t="n">
        <v>46966</v>
      </c>
      <c r="BG2" s="135" t="n">
        <v>46997</v>
      </c>
      <c r="BH2" s="135" t="n">
        <v>47027</v>
      </c>
      <c r="BI2" s="135" t="n">
        <v>47058</v>
      </c>
      <c r="BJ2" s="135" t="n">
        <v>47088</v>
      </c>
      <c r="BK2" s="135" t="n">
        <v>47119</v>
      </c>
      <c r="BL2" s="135" t="n">
        <v>47150</v>
      </c>
      <c r="BM2" s="135" t="n">
        <v>47178</v>
      </c>
      <c r="BN2" s="135" t="n">
        <v>47209</v>
      </c>
      <c r="BO2" s="135" t="n">
        <v>47239</v>
      </c>
      <c r="BP2" s="135" t="n">
        <v>47270</v>
      </c>
    </row>
    <row r="3" customFormat="false" ht="15" hidden="false" customHeight="false" outlineLevel="0" collapsed="false">
      <c r="A3" s="4" t="s">
        <v>2882</v>
      </c>
    </row>
    <row r="4" customFormat="false" ht="15" hidden="false" customHeight="false" outlineLevel="0" collapsed="false">
      <c r="A4" s="4" t="s">
        <v>2883</v>
      </c>
    </row>
    <row r="5" customFormat="false" ht="15" hidden="false" customHeight="false" outlineLevel="0" collapsed="false">
      <c r="A5" s="4" t="s">
        <v>67</v>
      </c>
      <c r="I5" s="136" t="n">
        <v>1566.87</v>
      </c>
      <c r="J5" s="136" t="n">
        <v>22290.15</v>
      </c>
      <c r="K5" s="136" t="n">
        <v>36188.25</v>
      </c>
      <c r="L5" s="136" t="n">
        <v>585.7</v>
      </c>
      <c r="M5" s="136" t="n">
        <v>750</v>
      </c>
      <c r="T5" s="136" t="n">
        <v>61557.78</v>
      </c>
      <c r="U5" s="136" t="n">
        <v>70633.03</v>
      </c>
      <c r="V5" s="136" t="n">
        <v>66792.52</v>
      </c>
      <c r="W5" s="136" t="n">
        <v>71201.4</v>
      </c>
      <c r="X5" s="136" t="n">
        <v>59244.3</v>
      </c>
      <c r="Y5" s="136" t="n">
        <v>40715.62</v>
      </c>
      <c r="Z5" s="136" t="n">
        <v>51460.01</v>
      </c>
      <c r="AA5" s="136" t="n">
        <v>22683.91</v>
      </c>
      <c r="AB5" s="136" t="n">
        <v>17563.67</v>
      </c>
      <c r="AC5" s="136" t="n">
        <v>14403.47</v>
      </c>
      <c r="AD5" s="136" t="n">
        <v>13639.33</v>
      </c>
      <c r="AE5" s="136" t="n">
        <v>19885.18</v>
      </c>
      <c r="AF5" s="136" t="n">
        <v>14872.41</v>
      </c>
      <c r="AG5" s="136" t="n">
        <v>28641.88</v>
      </c>
      <c r="AH5" s="136" t="n">
        <v>16434.13</v>
      </c>
      <c r="AI5" s="136" t="n">
        <v>19390.05</v>
      </c>
      <c r="AJ5" s="136" t="n">
        <v>10528.99</v>
      </c>
      <c r="AK5" s="136" t="n">
        <v>3994.37</v>
      </c>
      <c r="AL5" s="136" t="n">
        <v>3526.47</v>
      </c>
      <c r="AO5" s="136" t="n">
        <v>665</v>
      </c>
      <c r="AU5" s="136" t="n">
        <v>3700</v>
      </c>
    </row>
    <row r="6" customFormat="false" ht="15" hidden="false" customHeight="false" outlineLevel="0" collapsed="false">
      <c r="A6" s="4" t="s">
        <v>69</v>
      </c>
      <c r="G6" s="136" t="n">
        <v>6616.43</v>
      </c>
      <c r="H6" s="136" t="n">
        <v>433.57</v>
      </c>
      <c r="K6" s="136" t="n">
        <v>21110.48</v>
      </c>
      <c r="L6" s="136" t="n">
        <v>14927.61</v>
      </c>
      <c r="P6" s="136" t="n">
        <v>14421.7</v>
      </c>
      <c r="Q6" s="136" t="n">
        <v>608.73</v>
      </c>
      <c r="U6" s="136" t="n">
        <v>20181.97</v>
      </c>
      <c r="V6" s="136" t="n">
        <v>6015.91</v>
      </c>
      <c r="W6" s="136" t="n">
        <v>9715.37</v>
      </c>
      <c r="X6" s="136" t="n">
        <v>28769</v>
      </c>
      <c r="Y6" s="136" t="n">
        <v>255492.31</v>
      </c>
      <c r="Z6" s="136" t="n">
        <v>61293.83</v>
      </c>
      <c r="AA6" s="136" t="n">
        <v>26405.03</v>
      </c>
      <c r="AB6" s="136" t="n">
        <v>27423.86</v>
      </c>
      <c r="AC6" s="136" t="n">
        <v>42679.98</v>
      </c>
      <c r="AD6" s="136" t="n">
        <v>22203.86</v>
      </c>
      <c r="AE6" s="136" t="n">
        <v>22652.84</v>
      </c>
      <c r="AF6" s="136" t="n">
        <v>18615.9</v>
      </c>
      <c r="AG6" s="136" t="n">
        <v>42382.64</v>
      </c>
      <c r="AH6" s="136" t="n">
        <v>32608.81</v>
      </c>
      <c r="AI6" s="136" t="n">
        <v>28595.43</v>
      </c>
      <c r="AJ6" s="136" t="n">
        <v>9922.49</v>
      </c>
    </row>
    <row r="7" customFormat="false" ht="15" hidden="false" customHeight="false" outlineLevel="0" collapsed="false">
      <c r="A7" s="4" t="s">
        <v>70</v>
      </c>
      <c r="X7" s="136" t="n">
        <v>451.95</v>
      </c>
      <c r="Y7" s="136" t="n">
        <v>2796.26</v>
      </c>
      <c r="Z7" s="136" t="n">
        <v>159.9</v>
      </c>
      <c r="AA7" s="136" t="n">
        <v>2417.06</v>
      </c>
      <c r="AB7" s="136" t="n">
        <v>1957.61</v>
      </c>
      <c r="AC7" s="136" t="n">
        <v>2936.03</v>
      </c>
      <c r="AD7" s="136" t="n">
        <v>1594.43</v>
      </c>
      <c r="AE7" s="136" t="n">
        <v>6339.97</v>
      </c>
      <c r="AF7" s="136" t="n">
        <v>2360.61</v>
      </c>
      <c r="AG7" s="136" t="n">
        <v>4502.73</v>
      </c>
      <c r="AH7" s="136" t="n">
        <v>10541.48</v>
      </c>
      <c r="AI7" s="136" t="n">
        <v>3836.72</v>
      </c>
      <c r="AJ7" s="136" t="n">
        <v>2339.05</v>
      </c>
      <c r="AK7" s="136" t="n">
        <v>159.9</v>
      </c>
      <c r="AL7" s="136" t="n">
        <v>159.9</v>
      </c>
      <c r="AM7" s="136" t="n">
        <v>159.9</v>
      </c>
      <c r="AN7" s="136" t="n">
        <v>159.9</v>
      </c>
      <c r="AO7" s="136" t="n">
        <v>159.9</v>
      </c>
      <c r="AP7" s="136" t="n">
        <v>159.9</v>
      </c>
      <c r="AQ7" s="136" t="n">
        <v>159.9</v>
      </c>
      <c r="AR7" s="136" t="n">
        <v>159.9</v>
      </c>
      <c r="AS7" s="136" t="n">
        <v>159.9</v>
      </c>
      <c r="AT7" s="136" t="n">
        <v>159.9</v>
      </c>
      <c r="AU7" s="136" t="n">
        <v>159.9</v>
      </c>
      <c r="AV7" s="136" t="n">
        <v>159.9</v>
      </c>
      <c r="AW7" s="136" t="n">
        <v>159.9</v>
      </c>
      <c r="AX7" s="136" t="n">
        <v>159.9</v>
      </c>
      <c r="AY7" s="136" t="n">
        <v>159.9</v>
      </c>
      <c r="AZ7" s="136" t="n">
        <v>159.9</v>
      </c>
      <c r="BA7" s="136" t="n">
        <v>159.9</v>
      </c>
      <c r="BB7" s="136" t="n">
        <v>159.9</v>
      </c>
      <c r="BC7" s="136" t="n">
        <v>159.9</v>
      </c>
      <c r="BD7" s="136" t="n">
        <v>159.9</v>
      </c>
      <c r="BE7" s="136" t="n">
        <v>159.9</v>
      </c>
      <c r="BF7" s="136" t="n">
        <v>159.9</v>
      </c>
      <c r="BG7" s="136" t="n">
        <v>159.9</v>
      </c>
      <c r="BH7" s="136" t="n">
        <v>159.9</v>
      </c>
      <c r="BI7" s="136" t="n">
        <v>159.9</v>
      </c>
      <c r="BJ7" s="136" t="n">
        <v>159.9</v>
      </c>
      <c r="BK7" s="136" t="n">
        <v>159.9</v>
      </c>
      <c r="BL7" s="136" t="n">
        <v>159.9</v>
      </c>
      <c r="BM7" s="136" t="n">
        <v>159.9</v>
      </c>
      <c r="BN7" s="136" t="n">
        <v>159.9</v>
      </c>
      <c r="BO7" s="136" t="n">
        <v>159.9</v>
      </c>
      <c r="BP7" s="136" t="n">
        <v>159.9</v>
      </c>
    </row>
    <row r="8" customFormat="false" ht="15" hidden="false" customHeight="false" outlineLevel="0" collapsed="false">
      <c r="A8" s="4" t="s">
        <v>72</v>
      </c>
      <c r="U8" s="136" t="n">
        <v>12009.9</v>
      </c>
      <c r="V8" s="136" t="n">
        <v>107813.99</v>
      </c>
      <c r="W8" s="136" t="n">
        <v>236848.02</v>
      </c>
      <c r="X8" s="136" t="n">
        <v>285810.89</v>
      </c>
      <c r="Y8" s="136" t="n">
        <v>200940.58</v>
      </c>
      <c r="Z8" s="136" t="n">
        <v>146047.49</v>
      </c>
      <c r="AA8" s="136" t="n">
        <v>4650</v>
      </c>
      <c r="AB8" s="136" t="n">
        <v>860</v>
      </c>
      <c r="AC8" s="136" t="n">
        <v>2632</v>
      </c>
      <c r="AD8" s="136" t="n">
        <v>346.94</v>
      </c>
      <c r="AE8" s="136" t="n">
        <v>4280</v>
      </c>
      <c r="AF8" s="136" t="n">
        <v>6148</v>
      </c>
      <c r="AG8" s="136" t="n">
        <v>52256.6</v>
      </c>
      <c r="AJ8" s="136" t="n">
        <v>24240</v>
      </c>
      <c r="AK8" s="136" t="n">
        <v>1528.38</v>
      </c>
      <c r="AL8" s="136" t="n">
        <v>1803.27</v>
      </c>
      <c r="AO8" s="136" t="n">
        <v>9357.88</v>
      </c>
    </row>
    <row r="9" customFormat="false" ht="15" hidden="false" customHeight="false" outlineLevel="0" collapsed="false">
      <c r="A9" s="4" t="s">
        <v>83</v>
      </c>
      <c r="G9" s="136" t="n">
        <v>10.59</v>
      </c>
      <c r="I9" s="136" t="n">
        <v>823.84</v>
      </c>
      <c r="J9" s="136" t="n">
        <v>649.99</v>
      </c>
      <c r="K9" s="136" t="n">
        <v>284.74</v>
      </c>
      <c r="L9" s="136" t="n">
        <v>1.31</v>
      </c>
      <c r="N9" s="136" t="n">
        <v>5847.44</v>
      </c>
      <c r="O9" s="136" t="n">
        <v>1467.74</v>
      </c>
      <c r="R9" s="136" t="n">
        <v>66.6</v>
      </c>
      <c r="W9" s="136" t="n">
        <v>850.17</v>
      </c>
      <c r="X9" s="136" t="n">
        <v>4204.06</v>
      </c>
      <c r="Y9" s="136" t="n">
        <v>713.41</v>
      </c>
      <c r="Z9" s="136" t="n">
        <v>1784.1</v>
      </c>
      <c r="AA9" s="136" t="n">
        <v>1122.95</v>
      </c>
      <c r="AB9" s="136" t="n">
        <v>1160.97</v>
      </c>
      <c r="AC9" s="136" t="n">
        <v>2280.62</v>
      </c>
      <c r="AD9" s="136" t="n">
        <v>1594.82</v>
      </c>
      <c r="AE9" s="136" t="n">
        <v>1922.39</v>
      </c>
      <c r="AF9" s="136" t="n">
        <v>1559.18</v>
      </c>
      <c r="AG9" s="136" t="n">
        <v>2538.36</v>
      </c>
      <c r="AH9" s="136" t="n">
        <v>5139.73</v>
      </c>
      <c r="AI9" s="136" t="n">
        <v>5732.7</v>
      </c>
      <c r="AJ9" s="136" t="n">
        <v>1203.5</v>
      </c>
      <c r="AK9" s="136" t="n">
        <v>4669.99</v>
      </c>
    </row>
    <row r="10" customFormat="false" ht="15" hidden="false" customHeight="false" outlineLevel="0" collapsed="false">
      <c r="A10" s="4" t="s">
        <v>78</v>
      </c>
      <c r="U10" s="136" t="n">
        <v>672.9</v>
      </c>
      <c r="V10" s="136" t="n">
        <v>5281.41</v>
      </c>
      <c r="W10" s="136" t="n">
        <v>6232.49</v>
      </c>
      <c r="X10" s="136" t="n">
        <v>9500.17</v>
      </c>
      <c r="Y10" s="136" t="n">
        <v>55945.36</v>
      </c>
      <c r="Z10" s="136" t="n">
        <v>58948.93</v>
      </c>
      <c r="AA10" s="136" t="n">
        <v>144547.58</v>
      </c>
      <c r="AB10" s="136" t="n">
        <v>11787.59</v>
      </c>
      <c r="AC10" s="136" t="n">
        <v>6734.81</v>
      </c>
      <c r="AD10" s="136" t="n">
        <v>2323.6</v>
      </c>
      <c r="AE10" s="136" t="n">
        <v>28516.02</v>
      </c>
      <c r="AF10" s="136" t="n">
        <v>24451.29</v>
      </c>
      <c r="AG10" s="136" t="n">
        <v>63176.57</v>
      </c>
      <c r="AH10" s="136" t="n">
        <v>125549</v>
      </c>
      <c r="AI10" s="136" t="n">
        <v>107406.86</v>
      </c>
      <c r="AJ10" s="136" t="n">
        <v>73087.59</v>
      </c>
      <c r="AK10" s="136" t="n">
        <v>12181.83</v>
      </c>
      <c r="AL10" s="136" t="n">
        <v>6653</v>
      </c>
      <c r="AN10" s="136" t="n">
        <v>1456.4</v>
      </c>
      <c r="AO10" s="136" t="n">
        <v>1802.48</v>
      </c>
      <c r="BE10" s="136" t="n">
        <v>2846.91</v>
      </c>
    </row>
    <row r="11" customFormat="false" ht="15" hidden="false" customHeight="false" outlineLevel="0" collapsed="false">
      <c r="A11" s="4" t="s">
        <v>73</v>
      </c>
      <c r="V11" s="136" t="n">
        <v>1930</v>
      </c>
      <c r="W11" s="136" t="n">
        <v>145877.57</v>
      </c>
      <c r="X11" s="136" t="n">
        <v>521095.71</v>
      </c>
      <c r="Y11" s="136" t="n">
        <v>1121245.4</v>
      </c>
      <c r="Z11" s="136" t="n">
        <v>876284.06</v>
      </c>
      <c r="AA11" s="136" t="n">
        <v>1371139.53</v>
      </c>
      <c r="AB11" s="136" t="n">
        <v>644213.9</v>
      </c>
      <c r="AC11" s="136" t="n">
        <v>1233027.32</v>
      </c>
      <c r="AD11" s="136" t="n">
        <v>606377.66</v>
      </c>
      <c r="AE11" s="136" t="n">
        <v>43774.24</v>
      </c>
      <c r="AF11" s="136" t="n">
        <v>15692.87</v>
      </c>
      <c r="AG11" s="136" t="n">
        <v>78401.44</v>
      </c>
      <c r="AH11" s="136" t="n">
        <v>37660.47</v>
      </c>
      <c r="AI11" s="136" t="n">
        <v>102068.64</v>
      </c>
      <c r="AJ11" s="136" t="n">
        <v>34599.67</v>
      </c>
      <c r="AK11" s="136" t="n">
        <v>10360.68</v>
      </c>
      <c r="AL11" s="136" t="n">
        <v>5768</v>
      </c>
      <c r="AN11" s="136" t="n">
        <v>2828</v>
      </c>
      <c r="AO11" s="136" t="n">
        <v>9483.38</v>
      </c>
      <c r="BE11" s="136" t="n">
        <v>2044</v>
      </c>
    </row>
    <row r="12" customFormat="false" ht="15" hidden="false" customHeight="false" outlineLevel="0" collapsed="false">
      <c r="A12" s="4" t="s">
        <v>74</v>
      </c>
      <c r="AD12" s="136" t="n">
        <v>20138.34</v>
      </c>
      <c r="AE12" s="136" t="n">
        <v>304245.22</v>
      </c>
      <c r="AF12" s="136" t="n">
        <v>700460.71</v>
      </c>
      <c r="AG12" s="136" t="n">
        <v>1455797.59</v>
      </c>
      <c r="AH12" s="136" t="n">
        <v>480698.83</v>
      </c>
      <c r="AI12" s="136" t="n">
        <v>50605.81</v>
      </c>
      <c r="AJ12" s="136" t="n">
        <v>8834.66</v>
      </c>
      <c r="AL12" s="136" t="n">
        <v>19943.08</v>
      </c>
      <c r="AM12" s="136" t="n">
        <v>22778.61</v>
      </c>
      <c r="AN12" s="136" t="n">
        <v>2356.48</v>
      </c>
      <c r="AO12" s="136" t="n">
        <v>2007.28</v>
      </c>
      <c r="BE12" s="136" t="n">
        <v>3768.88</v>
      </c>
    </row>
    <row r="13" customFormat="false" ht="15" hidden="false" customHeight="false" outlineLevel="0" collapsed="false">
      <c r="A13" s="4" t="s">
        <v>77</v>
      </c>
      <c r="X13" s="136" t="n">
        <v>2235.2</v>
      </c>
      <c r="AD13" s="136" t="n">
        <v>209001.57</v>
      </c>
      <c r="AE13" s="136" t="n">
        <v>3214.66</v>
      </c>
      <c r="AF13" s="136" t="n">
        <v>94109.06</v>
      </c>
      <c r="AG13" s="136" t="n">
        <v>6139.34</v>
      </c>
      <c r="AH13" s="136" t="n">
        <v>6662.65</v>
      </c>
      <c r="AI13" s="136" t="n">
        <v>4679.03</v>
      </c>
    </row>
    <row r="14" customFormat="false" ht="15" hidden="false" customHeight="false" outlineLevel="0" collapsed="false">
      <c r="A14" s="4" t="s">
        <v>136</v>
      </c>
      <c r="U14" s="136" t="n">
        <v>625.36</v>
      </c>
      <c r="V14" s="136" t="n">
        <v>357.65</v>
      </c>
      <c r="W14" s="136" t="n">
        <v>1634.25</v>
      </c>
      <c r="X14" s="136" t="n">
        <v>14678.51</v>
      </c>
      <c r="Y14" s="136" t="n">
        <v>8642.57</v>
      </c>
      <c r="Z14" s="136" t="n">
        <v>1681.62</v>
      </c>
      <c r="AA14" s="136" t="n">
        <v>525.75</v>
      </c>
      <c r="AB14" s="136" t="n">
        <v>5117.4</v>
      </c>
      <c r="AD14" s="136" t="n">
        <v>6926.87</v>
      </c>
      <c r="AE14" s="136" t="n">
        <v>18523.32</v>
      </c>
      <c r="AF14" s="136" t="n">
        <v>20.75</v>
      </c>
      <c r="AJ14" s="136" t="n">
        <v>620.4</v>
      </c>
      <c r="AK14" s="136" t="n">
        <v>167.05</v>
      </c>
    </row>
    <row r="15" customFormat="false" ht="15" hidden="false" customHeight="false" outlineLevel="0" collapsed="false">
      <c r="A15" s="4" t="s">
        <v>82</v>
      </c>
      <c r="B15" s="136" t="n">
        <v>2437.9</v>
      </c>
      <c r="C15" s="136" t="n">
        <v>2253.29</v>
      </c>
      <c r="D15" s="136" t="n">
        <v>8527.57</v>
      </c>
      <c r="E15" s="136" t="n">
        <v>35000</v>
      </c>
      <c r="F15" s="136" t="n">
        <v>35655</v>
      </c>
      <c r="G15" s="136" t="n">
        <v>35655</v>
      </c>
      <c r="H15" s="136" t="n">
        <v>36678.64</v>
      </c>
      <c r="I15" s="136" t="n">
        <v>39561.28</v>
      </c>
      <c r="J15" s="136" t="n">
        <v>39540.39</v>
      </c>
      <c r="K15" s="136" t="n">
        <v>39540.39</v>
      </c>
      <c r="L15" s="136" t="n">
        <v>39790.39</v>
      </c>
      <c r="M15" s="136" t="n">
        <v>36732</v>
      </c>
      <c r="N15" s="136" t="n">
        <v>35837</v>
      </c>
      <c r="O15" s="136" t="n">
        <v>940</v>
      </c>
      <c r="P15" s="136" t="n">
        <v>61357.36</v>
      </c>
      <c r="Q15" s="136" t="n">
        <v>118973.07</v>
      </c>
      <c r="R15" s="136" t="n">
        <v>60617.36</v>
      </c>
      <c r="S15" s="136" t="n">
        <v>23912.84</v>
      </c>
      <c r="T15" s="136" t="n">
        <v>27131.75</v>
      </c>
      <c r="U15" s="136" t="n">
        <v>51487.59</v>
      </c>
      <c r="V15" s="136" t="n">
        <v>89901.3</v>
      </c>
      <c r="W15" s="136" t="n">
        <v>109406.48</v>
      </c>
      <c r="X15" s="136" t="n">
        <v>164098.29</v>
      </c>
      <c r="Y15" s="136" t="n">
        <v>234224.1</v>
      </c>
      <c r="Z15" s="136" t="n">
        <v>187300.46</v>
      </c>
      <c r="AA15" s="136" t="n">
        <v>207035.09</v>
      </c>
      <c r="AB15" s="136" t="n">
        <v>189783.71</v>
      </c>
      <c r="AC15" s="136" t="n">
        <v>215160.73</v>
      </c>
      <c r="AD15" s="136" t="n">
        <v>203548.11</v>
      </c>
      <c r="AE15" s="136" t="n">
        <v>207785.71</v>
      </c>
      <c r="AF15" s="136" t="n">
        <v>205254.17</v>
      </c>
      <c r="AG15" s="136" t="n">
        <v>256382.45</v>
      </c>
      <c r="AH15" s="136" t="n">
        <v>298850.74</v>
      </c>
      <c r="AI15" s="136" t="n">
        <v>257613.12</v>
      </c>
      <c r="AJ15" s="136" t="n">
        <v>128856.07</v>
      </c>
      <c r="AK15" s="136" t="n">
        <v>92763.43</v>
      </c>
      <c r="AL15" s="136" t="n">
        <v>92720.76</v>
      </c>
      <c r="AM15" s="136" t="n">
        <v>1930.87</v>
      </c>
      <c r="AN15" s="136" t="n">
        <v>1037.4</v>
      </c>
      <c r="AO15" s="136" t="n">
        <v>4340.17</v>
      </c>
      <c r="AV15" s="136" t="n">
        <v>863.52</v>
      </c>
      <c r="AX15" s="136" t="n">
        <v>8451.69</v>
      </c>
    </row>
    <row r="16" customFormat="false" ht="15" hidden="false" customHeight="false" outlineLevel="0" collapsed="false">
      <c r="A16" s="4" t="s">
        <v>63</v>
      </c>
      <c r="E16" s="136" t="n">
        <v>129412.72</v>
      </c>
      <c r="F16" s="136" t="n">
        <v>38210.98</v>
      </c>
      <c r="G16" s="136" t="n">
        <v>44489.71</v>
      </c>
      <c r="H16" s="136" t="n">
        <v>9769.88</v>
      </c>
      <c r="I16" s="136" t="n">
        <v>53439.61</v>
      </c>
      <c r="J16" s="136" t="n">
        <v>56848.49</v>
      </c>
      <c r="K16" s="136" t="n">
        <v>9211.24</v>
      </c>
      <c r="L16" s="136" t="n">
        <v>7608.12</v>
      </c>
      <c r="M16" s="136" t="n">
        <v>34653.4</v>
      </c>
      <c r="N16" s="136" t="n">
        <v>34950</v>
      </c>
      <c r="O16" s="136" t="n">
        <v>10917.03</v>
      </c>
      <c r="P16" s="136" t="n">
        <v>263811.08</v>
      </c>
      <c r="Q16" s="136" t="n">
        <v>95377.59</v>
      </c>
      <c r="R16" s="136" t="n">
        <v>152105.86</v>
      </c>
      <c r="S16" s="136" t="n">
        <v>202477.1</v>
      </c>
      <c r="T16" s="136" t="n">
        <v>65133.61</v>
      </c>
      <c r="U16" s="136" t="n">
        <v>46336.42</v>
      </c>
      <c r="V16" s="136" t="n">
        <v>89390.73</v>
      </c>
      <c r="W16" s="136" t="n">
        <v>31201.11</v>
      </c>
      <c r="X16" s="136" t="n">
        <v>59081.79</v>
      </c>
      <c r="Y16" s="136" t="n">
        <v>118743.26</v>
      </c>
      <c r="Z16" s="136" t="n">
        <v>73812.68</v>
      </c>
      <c r="AA16" s="136" t="n">
        <v>141055.81</v>
      </c>
      <c r="AB16" s="136" t="n">
        <v>93013.12</v>
      </c>
      <c r="AC16" s="136" t="n">
        <v>46600</v>
      </c>
      <c r="AD16" s="136" t="n">
        <v>145577.73</v>
      </c>
      <c r="AE16" s="136" t="n">
        <v>925</v>
      </c>
      <c r="AF16" s="136" t="n">
        <v>925</v>
      </c>
      <c r="AG16" s="136" t="n">
        <v>17537.85</v>
      </c>
      <c r="AH16" s="136" t="n">
        <v>33676.72</v>
      </c>
      <c r="AI16" s="136" t="n">
        <v>54437.23</v>
      </c>
    </row>
    <row r="17" customFormat="false" ht="15" hidden="false" customHeight="false" outlineLevel="0" collapsed="false">
      <c r="A17" s="4" t="s">
        <v>84</v>
      </c>
      <c r="M17" s="136" t="n">
        <v>23840.31</v>
      </c>
      <c r="O17" s="136" t="n">
        <v>4462.26</v>
      </c>
      <c r="Q17" s="136" t="n">
        <v>21548.26</v>
      </c>
      <c r="V17" s="136" t="n">
        <v>26.25</v>
      </c>
      <c r="X17" s="136" t="n">
        <v>196.21</v>
      </c>
      <c r="Y17" s="136" t="n">
        <v>196.21</v>
      </c>
    </row>
    <row r="18" customFormat="false" ht="15" hidden="false" customHeight="false" outlineLevel="0" collapsed="false">
      <c r="A18" s="4" t="s">
        <v>64</v>
      </c>
      <c r="W18" s="136" t="n">
        <v>29594.38</v>
      </c>
      <c r="X18" s="136" t="n">
        <v>15763.13</v>
      </c>
      <c r="Y18" s="136" t="n">
        <v>1931.88</v>
      </c>
      <c r="Z18" s="136" t="n">
        <v>29895.53</v>
      </c>
      <c r="AA18" s="136" t="n">
        <v>16064.28</v>
      </c>
      <c r="AB18" s="136" t="n">
        <v>2233.03</v>
      </c>
      <c r="AC18" s="136" t="n">
        <v>29895.47</v>
      </c>
      <c r="AD18" s="136" t="n">
        <v>2232.98</v>
      </c>
      <c r="AE18" s="136" t="n">
        <v>301.15</v>
      </c>
      <c r="AJ18" s="136" t="n">
        <v>18870.38</v>
      </c>
      <c r="AK18" s="136" t="n">
        <v>18870.38</v>
      </c>
      <c r="AL18" s="136" t="n">
        <v>18870.38</v>
      </c>
      <c r="AM18" s="136" t="n">
        <v>18870.38</v>
      </c>
      <c r="AN18" s="136" t="n">
        <v>18870.38</v>
      </c>
      <c r="AO18" s="136" t="n">
        <v>18871.43</v>
      </c>
    </row>
    <row r="19" customFormat="false" ht="15" hidden="false" customHeight="false" outlineLevel="0" collapsed="false">
      <c r="A19" s="4" t="s">
        <v>81</v>
      </c>
      <c r="T19" s="136" t="n">
        <v>29688.12</v>
      </c>
      <c r="U19" s="136" t="n">
        <v>5465.88</v>
      </c>
      <c r="W19" s="136" t="n">
        <v>15003.12</v>
      </c>
      <c r="X19" s="136" t="n">
        <v>8525.88</v>
      </c>
      <c r="Y19" s="136" t="n">
        <v>9755.94</v>
      </c>
      <c r="Z19" s="136" t="n">
        <v>13712.62</v>
      </c>
      <c r="AA19" s="136" t="n">
        <v>9641.44</v>
      </c>
      <c r="AB19" s="136" t="n">
        <v>1604.07</v>
      </c>
      <c r="AC19" s="136" t="n">
        <v>10302.97</v>
      </c>
      <c r="AD19" s="136" t="n">
        <v>3859.6</v>
      </c>
      <c r="AE19" s="136" t="n">
        <v>140.4</v>
      </c>
      <c r="AF19" s="136" t="n">
        <v>665</v>
      </c>
      <c r="AK19" s="136" t="n">
        <v>3801</v>
      </c>
      <c r="AX19" s="136" t="n">
        <v>2905</v>
      </c>
    </row>
    <row r="20" customFormat="false" ht="15" hidden="false" customHeight="false" outlineLevel="0" collapsed="false">
      <c r="A20" s="4" t="s">
        <v>80</v>
      </c>
      <c r="H20" s="136" t="n">
        <v>45000</v>
      </c>
      <c r="I20" s="136" t="n">
        <v>55000</v>
      </c>
      <c r="K20" s="136" t="n">
        <v>37450</v>
      </c>
      <c r="O20" s="136" t="n">
        <v>36922.46</v>
      </c>
      <c r="Q20" s="136" t="n">
        <v>34045.51</v>
      </c>
      <c r="R20" s="136" t="n">
        <v>14154.82</v>
      </c>
      <c r="S20" s="136" t="n">
        <v>71756.69</v>
      </c>
      <c r="T20" s="136" t="n">
        <v>6521.51</v>
      </c>
      <c r="U20" s="136" t="n">
        <v>13570.62</v>
      </c>
      <c r="V20" s="136" t="n">
        <v>26242.32</v>
      </c>
      <c r="W20" s="136" t="n">
        <v>34986.5</v>
      </c>
      <c r="X20" s="136" t="n">
        <v>70987.17</v>
      </c>
      <c r="Y20" s="136" t="n">
        <v>119467.69</v>
      </c>
    </row>
    <row r="21" customFormat="false" ht="15" hidden="false" customHeight="false" outlineLevel="0" collapsed="false">
      <c r="A21" s="4" t="s">
        <v>66</v>
      </c>
      <c r="J21" s="136" t="n">
        <v>154.1</v>
      </c>
      <c r="O21" s="136" t="n">
        <v>40.62</v>
      </c>
      <c r="T21" s="136" t="n">
        <v>64.24</v>
      </c>
      <c r="Y21" s="136" t="n">
        <v>103.03</v>
      </c>
      <c r="AH21" s="136" t="n">
        <v>5543.2</v>
      </c>
    </row>
    <row r="22" customFormat="false" ht="15" hidden="false" customHeight="false" outlineLevel="0" collapsed="false">
      <c r="A22" s="4" t="s">
        <v>71</v>
      </c>
      <c r="Y22" s="136" t="n">
        <v>3866</v>
      </c>
      <c r="Z22" s="136" t="n">
        <v>58166.5</v>
      </c>
      <c r="AA22" s="136" t="n">
        <v>21398.48</v>
      </c>
      <c r="AB22" s="136" t="n">
        <v>104829.66</v>
      </c>
      <c r="AC22" s="136" t="n">
        <v>21701.49</v>
      </c>
      <c r="AD22" s="136" t="n">
        <v>203306.37</v>
      </c>
      <c r="AE22" s="136" t="n">
        <v>269416.54</v>
      </c>
      <c r="AF22" s="136" t="n">
        <v>202541.18</v>
      </c>
      <c r="AG22" s="136" t="n">
        <v>53252.58</v>
      </c>
      <c r="AI22" s="136" t="n">
        <v>58007.08</v>
      </c>
      <c r="AO22" s="136" t="n">
        <v>2100</v>
      </c>
      <c r="AP22" s="136" t="n">
        <v>1023.88</v>
      </c>
    </row>
    <row r="23" customFormat="false" ht="15" hidden="false" customHeight="false" outlineLevel="0" collapsed="false">
      <c r="A23" s="4" t="s">
        <v>79</v>
      </c>
      <c r="E23" s="136" t="n">
        <v>116.58</v>
      </c>
      <c r="F23" s="136" t="n">
        <v>86</v>
      </c>
      <c r="G23" s="136" t="n">
        <v>26.68</v>
      </c>
      <c r="H23" s="136" t="n">
        <v>0.74</v>
      </c>
      <c r="P23" s="136" t="n">
        <v>101.63</v>
      </c>
      <c r="Q23" s="136" t="n">
        <v>3.37</v>
      </c>
      <c r="S23" s="136" t="n">
        <v>53.21</v>
      </c>
      <c r="T23" s="136" t="n">
        <v>50.16</v>
      </c>
      <c r="U23" s="136" t="n">
        <v>1010.05</v>
      </c>
      <c r="V23" s="136" t="n">
        <v>1873.32</v>
      </c>
      <c r="W23" s="136" t="n">
        <v>15662.6</v>
      </c>
      <c r="X23" s="136" t="n">
        <v>8416.58</v>
      </c>
      <c r="Y23" s="136" t="n">
        <v>4003.5</v>
      </c>
      <c r="Z23" s="136" t="n">
        <v>7558.47</v>
      </c>
      <c r="AA23" s="136" t="n">
        <v>4295.23</v>
      </c>
      <c r="AB23" s="136" t="n">
        <v>3978</v>
      </c>
      <c r="AC23" s="136" t="n">
        <v>8413.92</v>
      </c>
      <c r="AD23" s="136" t="n">
        <v>2007.6</v>
      </c>
      <c r="AE23" s="136" t="n">
        <v>2550.05</v>
      </c>
      <c r="AF23" s="136" t="n">
        <v>3240.62</v>
      </c>
      <c r="AG23" s="136" t="n">
        <v>1114.34</v>
      </c>
      <c r="AH23" s="136" t="n">
        <v>5722.12</v>
      </c>
      <c r="AI23" s="136" t="n">
        <v>14050.89</v>
      </c>
      <c r="AJ23" s="136" t="n">
        <v>2180.92</v>
      </c>
    </row>
    <row r="24" customFormat="false" ht="15" hidden="false" customHeight="false" outlineLevel="0" collapsed="false">
      <c r="A24" s="4" t="s">
        <v>76</v>
      </c>
      <c r="AE24" s="136" t="n">
        <v>22233.82</v>
      </c>
      <c r="AF24" s="136" t="n">
        <v>49774.54</v>
      </c>
      <c r="AG24" s="136" t="n">
        <v>269581.19</v>
      </c>
      <c r="AH24" s="136" t="n">
        <v>650557.02</v>
      </c>
      <c r="AI24" s="136" t="n">
        <v>1415388.68</v>
      </c>
      <c r="AJ24" s="136" t="n">
        <v>1153768.07</v>
      </c>
      <c r="AK24" s="136" t="n">
        <v>184443.09</v>
      </c>
      <c r="AL24" s="136" t="n">
        <v>23141.5</v>
      </c>
      <c r="AM24" s="136" t="n">
        <v>529800</v>
      </c>
      <c r="AO24" s="136" t="n">
        <v>8355.27</v>
      </c>
      <c r="BE24" s="136" t="n">
        <v>23975.79</v>
      </c>
      <c r="BI24" s="136" t="n">
        <v>227.52</v>
      </c>
      <c r="BL24" s="136" t="n">
        <v>4394.69</v>
      </c>
    </row>
    <row r="25" customFormat="false" ht="15" hidden="false" customHeight="false" outlineLevel="0" collapsed="false">
      <c r="A25" s="4" t="s">
        <v>2874</v>
      </c>
      <c r="AI25" s="136" t="n">
        <v>535.57</v>
      </c>
      <c r="AJ25" s="136" t="n">
        <v>15.19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2891</v>
      </c>
    </row>
    <row r="3" customFormat="false" ht="15" hidden="false" customHeight="false" outlineLevel="0" collapsed="false">
      <c r="B3" s="2" t="s">
        <v>2892</v>
      </c>
    </row>
    <row r="4" customFormat="false" ht="15" hidden="false" customHeight="false" outlineLevel="0" collapsed="false">
      <c r="B4" s="2" t="s">
        <v>2893</v>
      </c>
    </row>
    <row r="5" customFormat="false" ht="15" hidden="false" customHeight="false" outlineLevel="0" collapsed="false">
      <c r="B5" s="2" t="s">
        <v>2894</v>
      </c>
    </row>
    <row r="6" customFormat="false" ht="15" hidden="false" customHeight="false" outlineLevel="0" collapsed="false">
      <c r="B6" s="2" t="s">
        <v>2895</v>
      </c>
    </row>
    <row r="7" customFormat="false" ht="15" hidden="false" customHeight="false" outlineLevel="0" collapsed="false">
      <c r="B7" s="2" t="s">
        <v>2896</v>
      </c>
    </row>
    <row r="8" customFormat="false" ht="15" hidden="false" customHeight="false" outlineLevel="0" collapsed="false">
      <c r="B8" s="2" t="s">
        <v>2897</v>
      </c>
    </row>
    <row r="10" customFormat="false" ht="15" hidden="false" customHeight="false" outlineLevel="0" collapsed="false">
      <c r="B10" s="2" t="s">
        <v>2898</v>
      </c>
    </row>
    <row r="11" customFormat="false" ht="15" hidden="false" customHeight="false" outlineLevel="0" collapsed="false">
      <c r="B11" s="2" t="s">
        <v>2899</v>
      </c>
    </row>
    <row r="12" customFormat="false" ht="15" hidden="false" customHeight="false" outlineLevel="0" collapsed="false">
      <c r="B12" s="2" t="s">
        <v>2900</v>
      </c>
    </row>
    <row r="14" customFormat="false" ht="15" hidden="false" customHeight="false" outlineLevel="0" collapsed="false">
      <c r="B14" s="2" t="s">
        <v>2901</v>
      </c>
    </row>
    <row r="15" customFormat="false" ht="15" hidden="false" customHeight="false" outlineLevel="0" collapsed="false">
      <c r="B15" s="2" t="s">
        <v>2902</v>
      </c>
    </row>
    <row r="16" customFormat="false" ht="15" hidden="false" customHeight="false" outlineLevel="0" collapsed="false">
      <c r="B16" s="2" t="s">
        <v>2903</v>
      </c>
    </row>
    <row r="18" customFormat="false" ht="15" hidden="false" customHeight="false" outlineLevel="0" collapsed="false">
      <c r="B18" s="2" t="s">
        <v>2904</v>
      </c>
    </row>
    <row r="19" customFormat="false" ht="15" hidden="false" customHeight="false" outlineLevel="0" collapsed="false">
      <c r="B19" s="2" t="s">
        <v>2905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HISTORICOS'!D5)</f>
        <v>418594.15</v>
      </c>
      <c r="D5" s="45" t="n">
        <f aca="false">IF(B5&lt;='VALOR POR PL'!$P$5,0,IF($K$17&gt;0,$K$18*P5/$K$17,0))</f>
        <v>0</v>
      </c>
      <c r="E5" s="45" t="n">
        <f aca="false">L5+D5/$K$2</f>
        <v>373.966007423308</v>
      </c>
      <c r="F5" s="117" t="n">
        <f aca="false">IF($K$9=0,0,E5/$K$9)</f>
        <v>0.182678248495598</v>
      </c>
      <c r="G5" s="117" t="n">
        <f aca="false">F5</f>
        <v>0.182678248495598</v>
      </c>
      <c r="H5" s="138"/>
      <c r="I5" s="42" t="s">
        <v>2920</v>
      </c>
      <c r="J5" s="56" t="n">
        <f aca="false">'VALOR POR PL'!F11</f>
        <v>2400000</v>
      </c>
      <c r="K5" s="56" t="n">
        <f aca="false">'VALOR POR PL'!G11</f>
        <v>1972.53897</v>
      </c>
      <c r="L5" s="56" t="n">
        <f aca="false">'DADOS HISTORICOS'!$BZ$5</f>
        <v>373.966007423308</v>
      </c>
      <c r="M5" s="139" t="n">
        <f aca="false">'CP RESUMO'!D5</f>
        <v>0</v>
      </c>
      <c r="N5" s="140" t="n">
        <v>0</v>
      </c>
      <c r="O5" s="139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HISTORICOS'!E5)</f>
        <v>10917.03</v>
      </c>
      <c r="D6" s="45" t="n">
        <f aca="false">IF(B6&lt;='VALOR POR PL'!$P$5,0,IF($K$17&gt;0,$K$18*P6/$K$17,0))</f>
        <v>0</v>
      </c>
      <c r="E6" s="45" t="n">
        <f aca="false">L6+D6/$K$2</f>
        <v>9.33785013634233</v>
      </c>
      <c r="F6" s="117" t="n">
        <f aca="false">IF($K$9=0,0,E6/$K$9)</f>
        <v>0.00456143626361876</v>
      </c>
      <c r="G6" s="117" t="n">
        <f aca="false">G5+F6</f>
        <v>0.187239684759217</v>
      </c>
      <c r="H6" s="138"/>
      <c r="I6" s="42" t="s">
        <v>2921</v>
      </c>
      <c r="K6" s="52" t="n">
        <f aca="false">'VALOR POR PL'!H11</f>
        <v>2047.22345746143</v>
      </c>
      <c r="L6" s="45" t="n">
        <f aca="false">C6/IF(B6&lt;='VALOR POR PL'!$P$5,IFERROR(INDEX('"INCC-FGV"'!$B$2:$B$800,MATCH(B6,'"INCC-FGV"'!$A$2:$A$800,0)),$K$2),$K$2)</f>
        <v>9.33785013634233</v>
      </c>
      <c r="M6" s="139" t="n">
        <f aca="false">'CP RESUMO'!E5</f>
        <v>0</v>
      </c>
      <c r="N6" s="140" t="n">
        <f aca="false">MAX(0,M6-M5)</f>
        <v>0</v>
      </c>
      <c r="O6" s="139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HISTORICOS'!F5)</f>
        <v>263811.08</v>
      </c>
      <c r="D7" s="45" t="n">
        <f aca="false">IF(B7&lt;='VALOR POR PL'!$P$5,0,IF($K$17&gt;0,$K$18*P7/$K$17,0))</f>
        <v>0</v>
      </c>
      <c r="E7" s="45" t="n">
        <f aca="false">L7+D7/$K$2</f>
        <v>224.754386488041</v>
      </c>
      <c r="F7" s="117" t="n">
        <f aca="false">IF($K$9=0,0,E7/$K$9)</f>
        <v>0.109790025965817</v>
      </c>
      <c r="G7" s="117" t="n">
        <f aca="false">G6+F7</f>
        <v>0.297029710725034</v>
      </c>
      <c r="H7" s="138"/>
      <c r="I7" s="42" t="s">
        <v>2922</v>
      </c>
      <c r="J7" s="45" t="n">
        <f aca="false">C78+D78</f>
        <v>2469182.34229771</v>
      </c>
      <c r="L7" s="45" t="n">
        <f aca="false">C7/IF(B7&lt;='VALOR POR PL'!$P$5,IFERROR(INDEX('"INCC-FGV"'!$B$2:$B$800,MATCH(B7,'"INCC-FGV"'!$A$2:$A$800,0)),$K$2),$K$2)</f>
        <v>224.754386488041</v>
      </c>
      <c r="M7" s="139" t="n">
        <f aca="false">'CP RESUMO'!F5</f>
        <v>0</v>
      </c>
      <c r="N7" s="140" t="n">
        <f aca="false">MAX(0,M7-M6)</f>
        <v>0</v>
      </c>
      <c r="O7" s="139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HISTORICOS'!G5)</f>
        <v>95377.59</v>
      </c>
      <c r="D8" s="45" t="n">
        <f aca="false">IF(B8&lt;='VALOR POR PL'!$P$5,0,IF($K$17&gt;0,$K$18*P8/$K$17,0))</f>
        <v>0</v>
      </c>
      <c r="E8" s="45" t="n">
        <f aca="false">L8+D8/$K$2</f>
        <v>80.9391744301103</v>
      </c>
      <c r="F8" s="117" t="n">
        <f aca="false">IF($K$9=0,0,E8/$K$9)</f>
        <v>0.0395378893430695</v>
      </c>
      <c r="G8" s="117" t="n">
        <f aca="false">G7+F8</f>
        <v>0.336567600068104</v>
      </c>
      <c r="H8" s="138"/>
      <c r="I8" s="42" t="s">
        <v>2923</v>
      </c>
      <c r="K8" s="66" t="n">
        <f aca="false">SUM(L5:L76)</f>
        <v>1809.28983658116</v>
      </c>
      <c r="L8" s="45" t="n">
        <f aca="false">C8/IF(B8&lt;='VALOR POR PL'!$P$5,IFERROR(INDEX('"INCC-FGV"'!$B$2:$B$800,MATCH(B8,'"INCC-FGV"'!$A$2:$A$800,0)),$K$2),$K$2)</f>
        <v>80.9391744301103</v>
      </c>
      <c r="M8" s="139" t="n">
        <f aca="false">'CP RESUMO'!G5</f>
        <v>0</v>
      </c>
      <c r="N8" s="140" t="n">
        <f aca="false">MAX(0,M8-M7)</f>
        <v>0</v>
      </c>
      <c r="O8" s="139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HISTORICOS'!H5)</f>
        <v>152105.86</v>
      </c>
      <c r="D9" s="45" t="n">
        <f aca="false">IF(B9&lt;='VALOR POR PL'!$P$5,0,IF($K$17&gt;0,$K$18*P9/$K$17,0))</f>
        <v>0</v>
      </c>
      <c r="E9" s="45" t="n">
        <f aca="false">L9+D9/$K$2</f>
        <v>128.417678237039</v>
      </c>
      <c r="F9" s="117" t="n">
        <f aca="false">IF($K$9=0,0,E9/$K$9)</f>
        <v>0.0627306120624467</v>
      </c>
      <c r="G9" s="117" t="n">
        <f aca="false">G8+F9</f>
        <v>0.39929821213055</v>
      </c>
      <c r="H9" s="138"/>
      <c r="I9" s="42" t="s">
        <v>2924</v>
      </c>
      <c r="J9" s="45" t="n">
        <f aca="false">C78+D78</f>
        <v>2469182.34229771</v>
      </c>
      <c r="K9" s="45" t="n">
        <f aca="false">E78</f>
        <v>2047.12936818156</v>
      </c>
      <c r="L9" s="45" t="n">
        <f aca="false">C9/IF(B9&lt;='VALOR POR PL'!$P$5,IFERROR(INDEX('"INCC-FGV"'!$B$2:$B$800,MATCH(B9,'"INCC-FGV"'!$A$2:$A$800,0)),$K$2),$K$2)</f>
        <v>128.417678237039</v>
      </c>
      <c r="M9" s="139" t="n">
        <f aca="false">'CP RESUMO'!H5</f>
        <v>0</v>
      </c>
      <c r="N9" s="140" t="n">
        <f aca="false">MAX(0,M9-M8)</f>
        <v>0</v>
      </c>
      <c r="O9" s="139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HISTORICOS'!I5)</f>
        <v>202477.1</v>
      </c>
      <c r="D10" s="45" t="n">
        <f aca="false">IF(B10&lt;='VALOR POR PL'!$P$5,0,IF($K$17&gt;0,$K$18*P10/$K$17,0))</f>
        <v>0</v>
      </c>
      <c r="E10" s="45" t="n">
        <f aca="false">L10+D10/$K$2</f>
        <v>169.95929748927</v>
      </c>
      <c r="F10" s="117" t="n">
        <f aca="false">IF($K$9=0,0,E10/$K$9)</f>
        <v>0.08302323249861</v>
      </c>
      <c r="G10" s="117" t="n">
        <f aca="false">G9+F10</f>
        <v>0.48232144462916</v>
      </c>
      <c r="H10" s="138"/>
      <c r="I10" s="42" t="s">
        <v>2925</v>
      </c>
      <c r="K10" s="52" t="n">
        <f aca="false">IF(K6-K8&gt;0,(K6-K8)*'VALOR POR PL'!$G$65,K6-K8)</f>
        <v>237.839531600399</v>
      </c>
      <c r="L10" s="45" t="n">
        <f aca="false">C10/IF(B10&lt;='VALOR POR PL'!$P$5,IFERROR(INDEX('"INCC-FGV"'!$B$2:$B$800,MATCH(B10,'"INCC-FGV"'!$A$2:$A$800,0)),$K$2),$K$2)</f>
        <v>169.95929748927</v>
      </c>
      <c r="M10" s="139" t="n">
        <f aca="false">'CP RESUMO'!I5</f>
        <v>0</v>
      </c>
      <c r="N10" s="140" t="n">
        <f aca="false">MAX(0,M10-M9)</f>
        <v>0</v>
      </c>
      <c r="O10" s="139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HISTORICOS'!J5)</f>
        <v>65133.61</v>
      </c>
      <c r="D11" s="45" t="n">
        <f aca="false">IF(B11&lt;='VALOR POR PL'!$P$5,0,IF($K$17&gt;0,$K$18*P11/$K$17,0))</f>
        <v>0</v>
      </c>
      <c r="E11" s="45" t="n">
        <f aca="false">L11+D11/$K$2</f>
        <v>54.300226175877</v>
      </c>
      <c r="F11" s="117" t="n">
        <f aca="false">IF($K$9=0,0,E11/$K$9)</f>
        <v>0.0265250584647277</v>
      </c>
      <c r="G11" s="117" t="n">
        <f aca="false">G10+F11</f>
        <v>0.508846503093888</v>
      </c>
      <c r="H11" s="138"/>
      <c r="I11" s="42" t="s">
        <v>2926</v>
      </c>
      <c r="K11" s="56" t="n">
        <f aca="false">SUMPRODUCT((B5:B76&gt;'VALOR POR PL'!$P$5)*H5:H76)</f>
        <v>533315.27</v>
      </c>
      <c r="L11" s="45" t="n">
        <f aca="false">C11/IF(B11&lt;='VALOR POR PL'!$P$5,IFERROR(INDEX('"INCC-FGV"'!$B$2:$B$800,MATCH(B11,'"INCC-FGV"'!$A$2:$A$800,0)),$K$2),$K$2)</f>
        <v>54.300226175877</v>
      </c>
      <c r="M11" s="139" t="n">
        <f aca="false">'CP RESUMO'!J5</f>
        <v>0</v>
      </c>
      <c r="N11" s="140" t="n">
        <f aca="false">MAX(0,M11-M10)</f>
        <v>0</v>
      </c>
      <c r="O11" s="139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HISTORICOS'!K5)</f>
        <v>46336.42</v>
      </c>
      <c r="D12" s="45" t="n">
        <f aca="false">IF(B12&lt;='VALOR POR PL'!$P$5,0,IF($K$17&gt;0,$K$18*P12/$K$17,0))</f>
        <v>0</v>
      </c>
      <c r="E12" s="45" t="n">
        <f aca="false">L12+D12/$K$2</f>
        <v>38.2796613880052</v>
      </c>
      <c r="F12" s="117" t="n">
        <f aca="false">IF($K$9=0,0,E12/$K$9)</f>
        <v>0.0186991901845502</v>
      </c>
      <c r="G12" s="117" t="n">
        <f aca="false">G11+F12</f>
        <v>0.527545693278438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38.2796613880052</v>
      </c>
      <c r="M12" s="139" t="n">
        <f aca="false">'CP RESUMO'!K5</f>
        <v>0</v>
      </c>
      <c r="N12" s="140" t="n">
        <f aca="false">MAX(0,M12-M11)</f>
        <v>0</v>
      </c>
      <c r="O12" s="139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HISTORICOS'!L5)</f>
        <v>89390.73</v>
      </c>
      <c r="D13" s="45" t="n">
        <f aca="false">IF(B13&lt;='VALOR POR PL'!$P$5,0,IF($K$17&gt;0,$K$18*P13/$K$17,0))</f>
        <v>0</v>
      </c>
      <c r="E13" s="45" t="n">
        <f aca="false">L13+D13/$K$2</f>
        <v>73.4694576997237</v>
      </c>
      <c r="F13" s="117" t="n">
        <f aca="false">IF($K$9=0,0,E13/$K$9)</f>
        <v>0.035889015536417</v>
      </c>
      <c r="G13" s="117" t="n">
        <f aca="false">G12+F13</f>
        <v>0.563434708814855</v>
      </c>
      <c r="H13" s="138"/>
      <c r="I13" s="42" t="s">
        <v>2928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73.4694576997237</v>
      </c>
      <c r="M13" s="139" t="n">
        <f aca="false">'CP RESUMO'!L5</f>
        <v>0</v>
      </c>
      <c r="N13" s="140" t="n">
        <f aca="false">MAX(0,M13-M12)</f>
        <v>0</v>
      </c>
      <c r="O13" s="139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HISTORICOS'!M5)</f>
        <v>31201.11</v>
      </c>
      <c r="D14" s="45" t="n">
        <f aca="false">IF(B14&lt;='VALOR POR PL'!$P$5,0,IF($K$17&gt;0,$K$18*P14/$K$17,0))</f>
        <v>0</v>
      </c>
      <c r="E14" s="45" t="n">
        <f aca="false">L14+D14/$K$2</f>
        <v>25.6009737870124</v>
      </c>
      <c r="F14" s="117" t="n">
        <f aca="false">IF($K$9=0,0,E14/$K$9)</f>
        <v>0.0125057918590428</v>
      </c>
      <c r="G14" s="117" t="n">
        <f aca="false">G13+F14</f>
        <v>0.575940500673898</v>
      </c>
      <c r="H14" s="138"/>
      <c r="I14" s="42" t="s">
        <v>2929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25.6009737870124</v>
      </c>
      <c r="M14" s="139" t="n">
        <f aca="false">'CP RESUMO'!M5</f>
        <v>0</v>
      </c>
      <c r="N14" s="140" t="n">
        <f aca="false">MAX(0,M14-M13)</f>
        <v>0</v>
      </c>
      <c r="O14" s="139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HISTORICOS'!N5)</f>
        <v>59081.79</v>
      </c>
      <c r="D15" s="45" t="n">
        <f aca="false">IF(B15&lt;='VALOR POR PL'!$P$5,0,IF($K$17&gt;0,$K$18*P15/$K$17,0))</f>
        <v>0</v>
      </c>
      <c r="E15" s="45" t="n">
        <f aca="false">L15+D15/$K$2</f>
        <v>48.3343559486762</v>
      </c>
      <c r="F15" s="117" t="n">
        <f aca="false">IF($K$9=0,0,E15/$K$9)</f>
        <v>0.0236107970018577</v>
      </c>
      <c r="G15" s="117" t="n">
        <f aca="false">G14+F15</f>
        <v>0.599551297675756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48.3343559486762</v>
      </c>
      <c r="M15" s="139" t="n">
        <f aca="false">'CP RESUMO'!N5</f>
        <v>0</v>
      </c>
      <c r="N15" s="140" t="n">
        <f aca="false">MAX(0,M15-M14)</f>
        <v>0</v>
      </c>
      <c r="O15" s="139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HISTORICOS'!O5)</f>
        <v>118743.26</v>
      </c>
      <c r="D16" s="45" t="n">
        <f aca="false">IF(B16&lt;='VALOR POR PL'!$P$5,0,IF($K$17&gt;0,$K$18*P16/$K$17,0))</f>
        <v>0</v>
      </c>
      <c r="E16" s="45" t="n">
        <f aca="false">L16+D16/$K$2</f>
        <v>96.8832105532406</v>
      </c>
      <c r="F16" s="117" t="n">
        <f aca="false">IF($K$9=0,0,E16/$K$9)</f>
        <v>0.0473263742189878</v>
      </c>
      <c r="G16" s="117" t="n">
        <f aca="false">G15+F16</f>
        <v>0.646877671894743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96.8832105532406</v>
      </c>
      <c r="M16" s="139" t="n">
        <f aca="false">'CP RESUMO'!O5</f>
        <v>0</v>
      </c>
      <c r="N16" s="140" t="n">
        <f aca="false">MAX(0,M16-M15)</f>
        <v>0</v>
      </c>
      <c r="O16" s="139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HISTORICOS'!P5)</f>
        <v>73812.68</v>
      </c>
      <c r="D17" s="45" t="n">
        <f aca="false">IF(B17&lt;='VALOR POR PL'!$P$5,0,IF($K$17&gt;0,$K$18*P17/$K$17,0))</f>
        <v>0</v>
      </c>
      <c r="E17" s="45" t="n">
        <f aca="false">L17+D17/$K$2</f>
        <v>60.1001660205787</v>
      </c>
      <c r="F17" s="117" t="n">
        <f aca="false">IF($K$9=0,0,E17/$K$9)</f>
        <v>0.0293582647754035</v>
      </c>
      <c r="G17" s="117" t="n">
        <f aca="false">G16+F17</f>
        <v>0.676235936670147</v>
      </c>
      <c r="H17" s="138"/>
      <c r="I17" s="42" t="s">
        <v>2933</v>
      </c>
      <c r="K17" s="45" t="n">
        <f aca="false">SUM(P5:P76)</f>
        <v>533315.27</v>
      </c>
      <c r="L17" s="45" t="n">
        <f aca="false">C17/IF(B17&lt;='VALOR POR PL'!$P$5,IFERROR(INDEX('"INCC-FGV"'!$B$2:$B$800,MATCH(B17,'"INCC-FGV"'!$A$2:$A$800,0)),$K$2),$K$2)</f>
        <v>60.1001660205787</v>
      </c>
      <c r="M17" s="139" t="n">
        <f aca="false">'CP RESUMO'!P5</f>
        <v>0</v>
      </c>
      <c r="N17" s="140" t="n">
        <f aca="false">MAX(0,M17-M16)</f>
        <v>0</v>
      </c>
      <c r="O17" s="139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HISTORICOS'!Q5)</f>
        <v>141055.81</v>
      </c>
      <c r="D18" s="45" t="n">
        <f aca="false">IF(B18&lt;='VALOR POR PL'!$P$5,0,IF($K$17&gt;0,$K$18*P18/$K$17,0))</f>
        <v>0</v>
      </c>
      <c r="E18" s="45" t="n">
        <f aca="false">L18+D18/$K$2</f>
        <v>114.027247388112</v>
      </c>
      <c r="F18" s="117" t="n">
        <f aca="false">IF($K$9=0,0,E18/$K$9)</f>
        <v>0.0557010461382812</v>
      </c>
      <c r="G18" s="117" t="n">
        <f aca="false">G17+F18</f>
        <v>0.731936982808428</v>
      </c>
      <c r="H18" s="138"/>
      <c r="I18" s="42" t="s">
        <v>2934</v>
      </c>
      <c r="K18" s="45" t="n">
        <f aca="false">MAX(0,K10)*$K$2</f>
        <v>308451.472297709</v>
      </c>
      <c r="L18" s="45" t="n">
        <f aca="false">C18/IF(B18&lt;='VALOR POR PL'!$P$5,IFERROR(INDEX('"INCC-FGV"'!$B$2:$B$800,MATCH(B18,'"INCC-FGV"'!$A$2:$A$800,0)),$K$2),$K$2)</f>
        <v>114.027247388112</v>
      </c>
      <c r="M18" s="139" t="n">
        <f aca="false">'CP RESUMO'!Q5</f>
        <v>0</v>
      </c>
      <c r="N18" s="140" t="n">
        <f aca="false">MAX(0,M18-M17)</f>
        <v>0</v>
      </c>
      <c r="O18" s="139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HISTORICOS'!R5)</f>
        <v>93013.12</v>
      </c>
      <c r="D19" s="45" t="n">
        <f aca="false">IF(B19&lt;='VALOR POR PL'!$P$5,0,IF($K$17&gt;0,$K$18*P19/$K$17,0))</f>
        <v>0</v>
      </c>
      <c r="E19" s="45" t="n">
        <f aca="false">L19+D19/$K$2</f>
        <v>74.9814950813434</v>
      </c>
      <c r="F19" s="117" t="n">
        <f aca="false">IF($K$9=0,0,E19/$K$9)</f>
        <v>0.0366276290335029</v>
      </c>
      <c r="G19" s="117" t="n">
        <f aca="false">G18+F19</f>
        <v>0.768564611841931</v>
      </c>
      <c r="H19" s="138"/>
      <c r="I19" s="42" t="s">
        <v>2935</v>
      </c>
      <c r="K19" s="142" t="n">
        <f aca="false">IF(AND(K16="PREVISÃO INFORMADA",K11&gt;0),K18/K11-1,"")</f>
        <v>-0.421633900904976</v>
      </c>
      <c r="L19" s="45" t="n">
        <f aca="false">C19/IF(B19&lt;='VALOR POR PL'!$P$5,IFERROR(INDEX('"INCC-FGV"'!$B$2:$B$800,MATCH(B19,'"INCC-FGV"'!$A$2:$A$800,0)),$K$2),$K$2)</f>
        <v>74.9814950813434</v>
      </c>
      <c r="M19" s="139" t="n">
        <f aca="false">'CP RESUMO'!R5</f>
        <v>0</v>
      </c>
      <c r="N19" s="140" t="n">
        <f aca="false">MAX(0,M19-M18)</f>
        <v>0</v>
      </c>
      <c r="O19" s="139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HISTORICOS'!S5)</f>
        <v>46600</v>
      </c>
      <c r="D20" s="45" t="n">
        <f aca="false">IF(B20&lt;='VALOR POR PL'!$P$5,0,IF($K$17&gt;0,$K$18*P20/$K$17,0))</f>
        <v>0</v>
      </c>
      <c r="E20" s="45" t="n">
        <f aca="false">L20+D20/$K$2</f>
        <v>37.36426388792</v>
      </c>
      <c r="F20" s="117" t="n">
        <f aca="false">IF($K$9=0,0,E20/$K$9)</f>
        <v>0.0182520286546962</v>
      </c>
      <c r="G20" s="117" t="n">
        <f aca="false">G19+F20</f>
        <v>0.786816640496627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37.36426388792</v>
      </c>
      <c r="M20" s="139" t="n">
        <f aca="false">'CP RESUMO'!S5</f>
        <v>0</v>
      </c>
      <c r="N20" s="140" t="n">
        <f aca="false">MAX(0,M20-M19)</f>
        <v>0</v>
      </c>
      <c r="O20" s="139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HISTORICOS'!T5)</f>
        <v>145577.73</v>
      </c>
      <c r="D21" s="45" t="n">
        <f aca="false">IF(B21&lt;='VALOR POR PL'!$P$5,0,IF($K$17&gt;0,$K$18*P21/$K$17,0))</f>
        <v>0</v>
      </c>
      <c r="E21" s="45" t="n">
        <f aca="false">L21+D21/$K$2</f>
        <v>115.56980023054</v>
      </c>
      <c r="F21" s="117" t="n">
        <f aca="false">IF($K$9=0,0,E21/$K$9)</f>
        <v>0.0564545660996496</v>
      </c>
      <c r="G21" s="117" t="n">
        <f aca="false">G20+F21</f>
        <v>0.843271206596277</v>
      </c>
      <c r="H21" s="138"/>
      <c r="K21" s="143"/>
      <c r="L21" s="45" t="n">
        <f aca="false">C21/IF(B21&lt;='VALOR POR PL'!$P$5,IFERROR(INDEX('"INCC-FGV"'!$B$2:$B$800,MATCH(B21,'"INCC-FGV"'!$A$2:$A$800,0)),$K$2),$K$2)</f>
        <v>115.56980023054</v>
      </c>
      <c r="M21" s="139" t="n">
        <f aca="false">'CP RESUMO'!T5</f>
        <v>0</v>
      </c>
      <c r="N21" s="140" t="n">
        <f aca="false">MAX(0,M21-M20)</f>
        <v>0</v>
      </c>
      <c r="O21" s="139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HISTORICOS'!U5)</f>
        <v>925</v>
      </c>
      <c r="D22" s="45" t="n">
        <f aca="false">IF(B22&lt;='VALOR POR PL'!$P$5,0,IF($K$17&gt;0,$K$18*P22/$K$17,0))</f>
        <v>0</v>
      </c>
      <c r="E22" s="45" t="n">
        <f aca="false">L22+D22/$K$2</f>
        <v>0.727948091398802</v>
      </c>
      <c r="F22" s="117" t="n">
        <f aca="false">IF($K$9=0,0,E22/$K$9)</f>
        <v>0.000355594571947072</v>
      </c>
      <c r="G22" s="117" t="n">
        <f aca="false">G21+F22</f>
        <v>0.843626801168224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0.727948091398802</v>
      </c>
      <c r="M22" s="139" t="n">
        <f aca="false">'CP RESUMO'!U5</f>
        <v>0</v>
      </c>
      <c r="N22" s="140" t="n">
        <f aca="false">MAX(0,M22-M21)</f>
        <v>0</v>
      </c>
      <c r="O22" s="139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HISTORICOS'!V5)</f>
        <v>925</v>
      </c>
      <c r="D23" s="45" t="n">
        <f aca="false">IF(B23&lt;='VALOR POR PL'!$P$5,0,IF($K$17&gt;0,$K$18*P23/$K$17,0))</f>
        <v>0</v>
      </c>
      <c r="E23" s="45" t="n">
        <f aca="false">L23+D23/$K$2</f>
        <v>0.722294538438173</v>
      </c>
      <c r="F23" s="117" t="n">
        <f aca="false">IF($K$9=0,0,E23/$K$9)</f>
        <v>0.000352832874006286</v>
      </c>
      <c r="G23" s="117" t="n">
        <f aca="false">G22+F23</f>
        <v>0.84397963404223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0.722294538438173</v>
      </c>
      <c r="M23" s="139" t="n">
        <f aca="false">'CP RESUMO'!V5</f>
        <v>0</v>
      </c>
      <c r="N23" s="140" t="n">
        <f aca="false">MAX(0,M23-M22)</f>
        <v>0</v>
      </c>
      <c r="O23" s="139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HISTORICOS'!W5)</f>
        <v>17537.85</v>
      </c>
      <c r="D24" s="45" t="n">
        <f aca="false">IF(B24&lt;='VALOR POR PL'!$P$5,0,IF($K$17&gt;0,$K$18*P24/$K$17,0))</f>
        <v>0</v>
      </c>
      <c r="E24" s="45" t="n">
        <f aca="false">L24+D24/$K$2</f>
        <v>13.6117882913404</v>
      </c>
      <c r="F24" s="117" t="n">
        <f aca="false">IF($K$9=0,0,E24/$K$9)</f>
        <v>0.00664920766753084</v>
      </c>
      <c r="G24" s="117" t="n">
        <f aca="false">G23+F24</f>
        <v>0.850628841709761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13.6117882913404</v>
      </c>
      <c r="M24" s="139" t="n">
        <f aca="false">'CP RESUMO'!W5</f>
        <v>0</v>
      </c>
      <c r="N24" s="140" t="n">
        <f aca="false">MAX(0,M24-M23)</f>
        <v>0</v>
      </c>
      <c r="O24" s="139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HISTORICOS'!X5)</f>
        <v>33676.72</v>
      </c>
      <c r="D25" s="45" t="n">
        <f aca="false">IF(B25&lt;='VALOR POR PL'!$P$5,0,IF($K$17&gt;0,$K$18*P25/$K$17,0))</f>
        <v>0</v>
      </c>
      <c r="E25" s="45" t="n">
        <f aca="false">L25+D25/$K$2</f>
        <v>25.967311003486</v>
      </c>
      <c r="F25" s="117" t="n">
        <f aca="false">IF($K$9=0,0,E25/$K$9)</f>
        <v>0.0126847435277393</v>
      </c>
      <c r="G25" s="117" t="n">
        <f aca="false">G24+F25</f>
        <v>0.863313585237501</v>
      </c>
      <c r="H25" s="138"/>
      <c r="L25" s="45" t="n">
        <f aca="false">C25/IF(B25&lt;='VALOR POR PL'!$P$5,IFERROR(INDEX('"INCC-FGV"'!$B$2:$B$800,MATCH(B25,'"INCC-FGV"'!$A$2:$A$800,0)),$K$2),$K$2)</f>
        <v>25.967311003486</v>
      </c>
      <c r="M25" s="139" t="n">
        <f aca="false">'CP RESUMO'!X5</f>
        <v>0</v>
      </c>
      <c r="N25" s="140" t="n">
        <f aca="false">MAX(0,M25-M24)</f>
        <v>0</v>
      </c>
      <c r="O25" s="139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HISTORICOS'!Y5)</f>
        <v>54437.23</v>
      </c>
      <c r="D26" s="45" t="n">
        <f aca="false">IF(B26&lt;='VALOR POR PL'!$P$5,0,IF($K$17&gt;0,$K$18*P26/$K$17,0))</f>
        <v>8578.90434787649</v>
      </c>
      <c r="E26" s="45" t="n">
        <f aca="false">L26+D26/$K$2</f>
        <v>48.5902296556425</v>
      </c>
      <c r="F26" s="117" t="n">
        <f aca="false">IF($K$9=0,0,E26/$K$9)</f>
        <v>0.0237357884708598</v>
      </c>
      <c r="G26" s="117" t="n">
        <f aca="false">G25+F26</f>
        <v>0.88704937370836</v>
      </c>
      <c r="H26" s="138" t="n">
        <v>14833</v>
      </c>
      <c r="L26" s="45" t="n">
        <f aca="false">C26/IF(B26&lt;='VALOR POR PL'!$P$5,IFERROR(INDEX('"INCC-FGV"'!$B$2:$B$800,MATCH(B26,'"INCC-FGV"'!$A$2:$A$800,0)),$K$2),$K$2)</f>
        <v>41.9752422913603</v>
      </c>
      <c r="M26" s="139" t="n">
        <f aca="false">'CP RESUMO'!Y5</f>
        <v>0</v>
      </c>
      <c r="N26" s="140" t="n">
        <f aca="false">MAX(0,M26-M25)</f>
        <v>0</v>
      </c>
      <c r="O26" s="139" t="str">
        <f aca="false">IF(B26&lt;='VALOR POR PL'!$P$5,'CP RESUMO'!Y47,"")</f>
        <v/>
      </c>
      <c r="P26" s="66" t="n">
        <f aca="false">IF(B26&lt;='VALOR POR PL'!$P$5,0,IF(OR($K$16="CURVA PREVISION",$K$16="MDO PREVISION + MATERIAL PREMISSA"),N26,IF($K$16="PREVISÃO INFORMADA",MAX(0,H26),0)))</f>
        <v>14833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57836.6099095024</v>
      </c>
      <c r="E27" s="45" t="n">
        <f aca="false">L27+D27/$K$2</f>
        <v>44.5964226001627</v>
      </c>
      <c r="F27" s="117" t="n">
        <f aca="false">IF($K$9=0,0,E27/$K$9)</f>
        <v>0.0217848580032717</v>
      </c>
      <c r="G27" s="117" t="n">
        <f aca="false">G26+F27</f>
        <v>0.908834231711632</v>
      </c>
      <c r="H27" s="138" t="n">
        <v>100000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RESUMO'!Z5</f>
        <v>0</v>
      </c>
      <c r="N27" s="140" t="n">
        <f aca="false">MAX(0,M27-M26)</f>
        <v>0</v>
      </c>
      <c r="O27" s="139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100000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57836.6099095024</v>
      </c>
      <c r="E28" s="45" t="n">
        <f aca="false">L28+D28/$K$2</f>
        <v>44.5964226001627</v>
      </c>
      <c r="F28" s="117" t="n">
        <f aca="false">IF($K$9=0,0,E28/$K$9)</f>
        <v>0.0217848580032717</v>
      </c>
      <c r="G28" s="117" t="n">
        <f aca="false">G27+F28</f>
        <v>0.930619089714904</v>
      </c>
      <c r="H28" s="138" t="n">
        <v>100000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RESUMO'!AA5</f>
        <v>0</v>
      </c>
      <c r="N28" s="140" t="n">
        <f aca="false">MAX(0,M28-M27)</f>
        <v>0</v>
      </c>
      <c r="O28" s="139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100000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8578.90434787649</v>
      </c>
      <c r="E29" s="45" t="n">
        <f aca="false">L29+D29/$K$2</f>
        <v>6.61498736428213</v>
      </c>
      <c r="F29" s="117" t="n">
        <f aca="false">IF($K$9=0,0,E29/$K$9)</f>
        <v>0.00323134798762529</v>
      </c>
      <c r="G29" s="117" t="n">
        <f aca="false">G28+F29</f>
        <v>0.933850437702529</v>
      </c>
      <c r="H29" s="138" t="n">
        <v>14833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RESUMO'!AB5</f>
        <v>0</v>
      </c>
      <c r="N29" s="140" t="n">
        <f aca="false">MAX(0,M29-M28)</f>
        <v>0</v>
      </c>
      <c r="O29" s="139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14833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8578.90434787649</v>
      </c>
      <c r="E30" s="45" t="n">
        <f aca="false">L30+D30/$K$2</f>
        <v>6.61498736428213</v>
      </c>
      <c r="F30" s="117" t="n">
        <f aca="false">IF($K$9=0,0,E30/$K$9)</f>
        <v>0.00323134798762529</v>
      </c>
      <c r="G30" s="117" t="n">
        <f aca="false">G29+F30</f>
        <v>0.937081785690154</v>
      </c>
      <c r="H30" s="138" t="n">
        <v>14833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RESUMO'!AC5</f>
        <v>0</v>
      </c>
      <c r="N30" s="140" t="n">
        <f aca="false">MAX(0,M30-M29)</f>
        <v>0</v>
      </c>
      <c r="O30" s="139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14833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636.202709004526</v>
      </c>
      <c r="E31" s="45" t="n">
        <f aca="false">L31+D31/$K$2</f>
        <v>0.490560648601789</v>
      </c>
      <c r="F31" s="117" t="n">
        <f aca="false">IF($K$9=0,0,E31/$K$9)</f>
        <v>0.000239633438035989</v>
      </c>
      <c r="G31" s="117" t="n">
        <f aca="false">G30+F31</f>
        <v>0.93732141912819</v>
      </c>
      <c r="H31" s="138" t="n">
        <v>1100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RESUMO'!AD5</f>
        <v>0</v>
      </c>
      <c r="N31" s="140" t="n">
        <f aca="false">MAX(0,M31-M30)</f>
        <v>0</v>
      </c>
      <c r="O31" s="139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1100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636.202709004526</v>
      </c>
      <c r="E32" s="45" t="n">
        <f aca="false">L32+D32/$K$2</f>
        <v>0.490560648601789</v>
      </c>
      <c r="F32" s="117" t="n">
        <f aca="false">IF($K$9=0,0,E32/$K$9)</f>
        <v>0.000239633438035989</v>
      </c>
      <c r="G32" s="117" t="n">
        <f aca="false">G31+F32</f>
        <v>0.937561052566226</v>
      </c>
      <c r="H32" s="138" t="n">
        <v>1100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RESUMO'!AE5</f>
        <v>0</v>
      </c>
      <c r="N32" s="140" t="n">
        <f aca="false">MAX(0,M32-M31)</f>
        <v>0</v>
      </c>
      <c r="O32" s="139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1100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636.202709004526</v>
      </c>
      <c r="E33" s="45" t="n">
        <f aca="false">L33+D33/$K$2</f>
        <v>0.490560648601789</v>
      </c>
      <c r="F33" s="117" t="n">
        <f aca="false">IF($K$9=0,0,E33/$K$9)</f>
        <v>0.000239633438035989</v>
      </c>
      <c r="G33" s="117" t="n">
        <f aca="false">G32+F33</f>
        <v>0.937800686004262</v>
      </c>
      <c r="H33" s="138" t="n">
        <v>1100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RESUMO'!AF5</f>
        <v>0</v>
      </c>
      <c r="N33" s="140" t="n">
        <f aca="false">MAX(0,M33-M32)</f>
        <v>0</v>
      </c>
      <c r="O33" s="139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1100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636.202709004526</v>
      </c>
      <c r="E34" s="45" t="n">
        <f aca="false">L34+D34/$K$2</f>
        <v>0.490560648601789</v>
      </c>
      <c r="F34" s="117" t="n">
        <f aca="false">IF($K$9=0,0,E34/$K$9)</f>
        <v>0.000239633438035989</v>
      </c>
      <c r="G34" s="117" t="n">
        <f aca="false">G33+F34</f>
        <v>0.938040319442298</v>
      </c>
      <c r="H34" s="138" t="n">
        <v>1100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RESUMO'!AG5</f>
        <v>0</v>
      </c>
      <c r="N34" s="140" t="n">
        <f aca="false">MAX(0,M34-M33)</f>
        <v>0</v>
      </c>
      <c r="O34" s="139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1100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636.202709004526</v>
      </c>
      <c r="E35" s="45" t="n">
        <f aca="false">L35+D35/$K$2</f>
        <v>0.490560648601789</v>
      </c>
      <c r="F35" s="117" t="n">
        <f aca="false">IF($K$9=0,0,E35/$K$9)</f>
        <v>0.000239633438035989</v>
      </c>
      <c r="G35" s="117" t="n">
        <f aca="false">G34+F35</f>
        <v>0.938279952880334</v>
      </c>
      <c r="H35" s="138" t="n">
        <v>1100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RESUMO'!AH5</f>
        <v>0</v>
      </c>
      <c r="N35" s="140" t="n">
        <f aca="false">MAX(0,M35-M34)</f>
        <v>0</v>
      </c>
      <c r="O35" s="139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1100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636.202709004526</v>
      </c>
      <c r="E36" s="45" t="n">
        <f aca="false">L36+D36/$K$2</f>
        <v>0.490560648601789</v>
      </c>
      <c r="F36" s="117" t="n">
        <f aca="false">IF($K$9=0,0,E36/$K$9)</f>
        <v>0.000239633438035989</v>
      </c>
      <c r="G36" s="117" t="n">
        <f aca="false">G35+F36</f>
        <v>0.93851958631837</v>
      </c>
      <c r="H36" s="138" t="n">
        <v>1100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RESUMO'!AI5</f>
        <v>0</v>
      </c>
      <c r="N36" s="140" t="n">
        <f aca="false">MAX(0,M36-M35)</f>
        <v>0</v>
      </c>
      <c r="O36" s="139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1100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636.202709004526</v>
      </c>
      <c r="E37" s="45" t="n">
        <f aca="false">L37+D37/$K$2</f>
        <v>0.490560648601789</v>
      </c>
      <c r="F37" s="117" t="n">
        <f aca="false">IF($K$9=0,0,E37/$K$9)</f>
        <v>0.000239633438035989</v>
      </c>
      <c r="G37" s="117" t="n">
        <f aca="false">G36+F37</f>
        <v>0.938759219756406</v>
      </c>
      <c r="H37" s="138" t="n">
        <v>1100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RESUMO'!AJ5</f>
        <v>0</v>
      </c>
      <c r="N37" s="140" t="n">
        <f aca="false">MAX(0,M37-M36)</f>
        <v>0</v>
      </c>
      <c r="O37" s="139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1100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636.202709004526</v>
      </c>
      <c r="E38" s="45" t="n">
        <f aca="false">L38+D38/$K$2</f>
        <v>0.490560648601789</v>
      </c>
      <c r="F38" s="117" t="n">
        <f aca="false">IF($K$9=0,0,E38/$K$9)</f>
        <v>0.000239633438035989</v>
      </c>
      <c r="G38" s="117" t="n">
        <f aca="false">G37+F38</f>
        <v>0.938998853194442</v>
      </c>
      <c r="H38" s="138" t="n">
        <v>1100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RESUMO'!AK5</f>
        <v>0</v>
      </c>
      <c r="N38" s="140" t="n">
        <f aca="false">MAX(0,M38-M37)</f>
        <v>0</v>
      </c>
      <c r="O38" s="139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1100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636.202709004526</v>
      </c>
      <c r="E39" s="45" t="n">
        <f aca="false">L39+D39/$K$2</f>
        <v>0.490560648601789</v>
      </c>
      <c r="F39" s="117" t="n">
        <f aca="false">IF($K$9=0,0,E39/$K$9)</f>
        <v>0.000239633438035989</v>
      </c>
      <c r="G39" s="117" t="n">
        <f aca="false">G38+F39</f>
        <v>0.939238486632478</v>
      </c>
      <c r="H39" s="138" t="n">
        <v>1100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RESUMO'!AL5</f>
        <v>0</v>
      </c>
      <c r="N39" s="140" t="n">
        <f aca="false">MAX(0,M39-M38)</f>
        <v>0</v>
      </c>
      <c r="O39" s="139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1100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636.202709004526</v>
      </c>
      <c r="E40" s="45" t="n">
        <f aca="false">L40+D40/$K$2</f>
        <v>0.490560648601789</v>
      </c>
      <c r="F40" s="117" t="n">
        <f aca="false">IF($K$9=0,0,E40/$K$9)</f>
        <v>0.000239633438035989</v>
      </c>
      <c r="G40" s="117" t="n">
        <f aca="false">G39+F40</f>
        <v>0.939478120070514</v>
      </c>
      <c r="H40" s="138" t="n">
        <v>1100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RESUMO'!AM5</f>
        <v>0</v>
      </c>
      <c r="N40" s="140" t="n">
        <f aca="false">MAX(0,M40-M39)</f>
        <v>0</v>
      </c>
      <c r="O40" s="139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1100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636.202709004526</v>
      </c>
      <c r="E41" s="45" t="n">
        <f aca="false">L41+D41/$K$2</f>
        <v>0.490560648601789</v>
      </c>
      <c r="F41" s="117" t="n">
        <f aca="false">IF($K$9=0,0,E41/$K$9)</f>
        <v>0.000239633438035989</v>
      </c>
      <c r="G41" s="117" t="n">
        <f aca="false">G40+F41</f>
        <v>0.93971775350855</v>
      </c>
      <c r="H41" s="138" t="n">
        <v>1100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RESUMO'!AN5</f>
        <v>0</v>
      </c>
      <c r="N41" s="140" t="n">
        <f aca="false">MAX(0,M41-M40)</f>
        <v>0</v>
      </c>
      <c r="O41" s="139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1100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636.202709004526</v>
      </c>
      <c r="E42" s="45" t="n">
        <f aca="false">L42+D42/$K$2</f>
        <v>0.490560648601789</v>
      </c>
      <c r="F42" s="117" t="n">
        <f aca="false">IF($K$9=0,0,E42/$K$9)</f>
        <v>0.000239633438035989</v>
      </c>
      <c r="G42" s="117" t="n">
        <f aca="false">G41+F42</f>
        <v>0.939957386946586</v>
      </c>
      <c r="H42" s="138" t="n">
        <v>1100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RESUMO'!AO5</f>
        <v>0</v>
      </c>
      <c r="N42" s="140" t="n">
        <f aca="false">MAX(0,M42-M41)</f>
        <v>0</v>
      </c>
      <c r="O42" s="139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1100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636.202709004526</v>
      </c>
      <c r="E43" s="45" t="n">
        <f aca="false">L43+D43/$K$2</f>
        <v>0.490560648601789</v>
      </c>
      <c r="F43" s="117" t="n">
        <f aca="false">IF($K$9=0,0,E43/$K$9)</f>
        <v>0.000239633438035989</v>
      </c>
      <c r="G43" s="117" t="n">
        <f aca="false">G42+F43</f>
        <v>0.940197020384622</v>
      </c>
      <c r="H43" s="138" t="n">
        <v>1100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RESUMO'!AP5</f>
        <v>0</v>
      </c>
      <c r="N43" s="140" t="n">
        <f aca="false">MAX(0,M43-M42)</f>
        <v>0</v>
      </c>
      <c r="O43" s="139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1100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636.202709004526</v>
      </c>
      <c r="E44" s="45" t="n">
        <f aca="false">L44+D44/$K$2</f>
        <v>0.490560648601789</v>
      </c>
      <c r="F44" s="117" t="n">
        <f aca="false">IF($K$9=0,0,E44/$K$9)</f>
        <v>0.000239633438035989</v>
      </c>
      <c r="G44" s="117" t="n">
        <f aca="false">G43+F44</f>
        <v>0.940436653822658</v>
      </c>
      <c r="H44" s="138" t="n">
        <v>1100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RESUMO'!AQ5</f>
        <v>0</v>
      </c>
      <c r="N44" s="140" t="n">
        <f aca="false">MAX(0,M44-M43)</f>
        <v>0</v>
      </c>
      <c r="O44" s="139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1100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636.202709004526</v>
      </c>
      <c r="E45" s="45" t="n">
        <f aca="false">L45+D45/$K$2</f>
        <v>0.490560648601789</v>
      </c>
      <c r="F45" s="117" t="n">
        <f aca="false">IF($K$9=0,0,E45/$K$9)</f>
        <v>0.000239633438035989</v>
      </c>
      <c r="G45" s="117" t="n">
        <f aca="false">G44+F45</f>
        <v>0.940676287260694</v>
      </c>
      <c r="H45" s="138" t="n">
        <v>1100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RESUMO'!AR5</f>
        <v>0</v>
      </c>
      <c r="N45" s="140" t="n">
        <f aca="false">MAX(0,M45-M44)</f>
        <v>0</v>
      </c>
      <c r="O45" s="139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1100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636.202709004526</v>
      </c>
      <c r="E46" s="45" t="n">
        <f aca="false">L46+D46/$K$2</f>
        <v>0.490560648601789</v>
      </c>
      <c r="F46" s="117" t="n">
        <f aca="false">IF($K$9=0,0,E46/$K$9)</f>
        <v>0.000239633438035989</v>
      </c>
      <c r="G46" s="117" t="n">
        <f aca="false">G45+F46</f>
        <v>0.94091592069873</v>
      </c>
      <c r="H46" s="138" t="n">
        <v>1100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RESUMO'!AS5</f>
        <v>0</v>
      </c>
      <c r="N46" s="140" t="n">
        <f aca="false">MAX(0,M46-M45)</f>
        <v>0</v>
      </c>
      <c r="O46" s="139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1100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636.202709004526</v>
      </c>
      <c r="E47" s="45" t="n">
        <f aca="false">L47+D47/$K$2</f>
        <v>0.490560648601789</v>
      </c>
      <c r="F47" s="117" t="n">
        <f aca="false">IF($K$9=0,0,E47/$K$9)</f>
        <v>0.000239633438035989</v>
      </c>
      <c r="G47" s="117" t="n">
        <f aca="false">G46+F47</f>
        <v>0.941155554136766</v>
      </c>
      <c r="H47" s="138" t="n">
        <v>1100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RESUMO'!AT5</f>
        <v>0</v>
      </c>
      <c r="N47" s="140" t="n">
        <f aca="false">MAX(0,M47-M46)</f>
        <v>0</v>
      </c>
      <c r="O47" s="139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1100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636.202709004526</v>
      </c>
      <c r="E48" s="45" t="n">
        <f aca="false">L48+D48/$K$2</f>
        <v>0.490560648601789</v>
      </c>
      <c r="F48" s="117" t="n">
        <f aca="false">IF($K$9=0,0,E48/$K$9)</f>
        <v>0.000239633438035989</v>
      </c>
      <c r="G48" s="117" t="n">
        <f aca="false">G47+F48</f>
        <v>0.941395187574802</v>
      </c>
      <c r="H48" s="138" t="n">
        <v>1100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RESUMO'!AU5</f>
        <v>0</v>
      </c>
      <c r="N48" s="140" t="n">
        <f aca="false">MAX(0,M48-M47)</f>
        <v>0</v>
      </c>
      <c r="O48" s="139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1100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636.202709004526</v>
      </c>
      <c r="E49" s="45" t="n">
        <f aca="false">L49+D49/$K$2</f>
        <v>0.490560648601789</v>
      </c>
      <c r="F49" s="117" t="n">
        <f aca="false">IF($K$9=0,0,E49/$K$9)</f>
        <v>0.000239633438035989</v>
      </c>
      <c r="G49" s="117" t="n">
        <f aca="false">G48+F49</f>
        <v>0.941634821012838</v>
      </c>
      <c r="H49" s="138" t="n">
        <v>1100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RESUMO'!AV5</f>
        <v>0</v>
      </c>
      <c r="N49" s="140" t="n">
        <f aca="false">MAX(0,M49-M48)</f>
        <v>0</v>
      </c>
      <c r="O49" s="139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1100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636.202709004526</v>
      </c>
      <c r="E50" s="45" t="n">
        <f aca="false">L50+D50/$K$2</f>
        <v>0.490560648601789</v>
      </c>
      <c r="F50" s="117" t="n">
        <f aca="false">IF($K$9=0,0,E50/$K$9)</f>
        <v>0.000239633438035989</v>
      </c>
      <c r="G50" s="117" t="n">
        <f aca="false">G49+F50</f>
        <v>0.941874454450874</v>
      </c>
      <c r="H50" s="138" t="n">
        <v>1100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RESUMO'!AW5</f>
        <v>0</v>
      </c>
      <c r="N50" s="140" t="n">
        <f aca="false">MAX(0,M50-M49)</f>
        <v>0</v>
      </c>
      <c r="O50" s="139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1100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636.202709004526</v>
      </c>
      <c r="E51" s="45" t="n">
        <f aca="false">L51+D51/$K$2</f>
        <v>0.490560648601789</v>
      </c>
      <c r="F51" s="117" t="n">
        <f aca="false">IF($K$9=0,0,E51/$K$9)</f>
        <v>0.000239633438035989</v>
      </c>
      <c r="G51" s="117" t="n">
        <f aca="false">G50+F51</f>
        <v>0.94211408788891</v>
      </c>
      <c r="H51" s="138" t="n">
        <v>1100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RESUMO'!AX5</f>
        <v>0</v>
      </c>
      <c r="N51" s="140" t="n">
        <f aca="false">MAX(0,M51-M50)</f>
        <v>0</v>
      </c>
      <c r="O51" s="139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1100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153045.079836976</v>
      </c>
      <c r="E52" s="45" t="n">
        <f aca="false">L52+D52/$K$2</f>
        <v>118.009390037987</v>
      </c>
      <c r="F52" s="117" t="n">
        <f aca="false">IF($K$9=0,0,E52/$K$9)</f>
        <v>0.0576462786730541</v>
      </c>
      <c r="G52" s="117" t="n">
        <f aca="false">G51+F52</f>
        <v>0.999760366561964</v>
      </c>
      <c r="H52" s="138" t="n">
        <v>264616.27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RESUMO'!AY5</f>
        <v>0</v>
      </c>
      <c r="N52" s="140" t="n">
        <f aca="false">MAX(0,M52-M51)</f>
        <v>0</v>
      </c>
      <c r="O52" s="139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264616.27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636.202709004526</v>
      </c>
      <c r="E53" s="45" t="n">
        <f aca="false">L53+D53/$K$2</f>
        <v>0.490560648601789</v>
      </c>
      <c r="F53" s="117" t="n">
        <f aca="false">IF($K$9=0,0,E53/$K$9)</f>
        <v>0.000239633438035989</v>
      </c>
      <c r="G53" s="117" t="n">
        <f aca="false">G52+F53</f>
        <v>1</v>
      </c>
      <c r="H53" s="138" t="n">
        <v>1100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RESUMO'!AZ5</f>
        <v>0</v>
      </c>
      <c r="N53" s="140" t="n">
        <f aca="false">MAX(0,M53-M52)</f>
        <v>0</v>
      </c>
      <c r="O53" s="139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1100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RESUMO'!BA5</f>
        <v>0</v>
      </c>
      <c r="N54" s="140" t="n">
        <f aca="false">MAX(0,M54-M53)</f>
        <v>0</v>
      </c>
      <c r="O54" s="139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RESUMO'!BB5</f>
        <v>0</v>
      </c>
      <c r="N55" s="140" t="n">
        <f aca="false">MAX(0,M55-M54)</f>
        <v>0</v>
      </c>
      <c r="O55" s="139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RESUMO'!BC5</f>
        <v>0</v>
      </c>
      <c r="N56" s="140" t="n">
        <f aca="false">MAX(0,M56-M55)</f>
        <v>0</v>
      </c>
      <c r="O56" s="139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RESUMO'!BD5</f>
        <v>0</v>
      </c>
      <c r="N57" s="140" t="n">
        <f aca="false">MAX(0,M57-M56)</f>
        <v>0</v>
      </c>
      <c r="O57" s="139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RESUMO'!BE5</f>
        <v>0</v>
      </c>
      <c r="N58" s="140" t="n">
        <f aca="false">MAX(0,M58-M57)</f>
        <v>0</v>
      </c>
      <c r="O58" s="139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RESUMO'!BF5</f>
        <v>0</v>
      </c>
      <c r="N59" s="140" t="n">
        <f aca="false">MAX(0,M59-M58)</f>
        <v>0</v>
      </c>
      <c r="O59" s="139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RESUMO'!BG5</f>
        <v>0</v>
      </c>
      <c r="N60" s="140" t="n">
        <f aca="false">MAX(0,M60-M59)</f>
        <v>0</v>
      </c>
      <c r="O60" s="139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RESUMO'!BH5</f>
        <v>0</v>
      </c>
      <c r="N61" s="140" t="n">
        <f aca="false">MAX(0,M61-M60)</f>
        <v>0</v>
      </c>
      <c r="O61" s="139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RESUMO'!BI5</f>
        <v>0</v>
      </c>
      <c r="N62" s="140" t="n">
        <f aca="false">MAX(0,M62-M61)</f>
        <v>0</v>
      </c>
      <c r="O62" s="139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RESUMO'!BJ5</f>
        <v>0</v>
      </c>
      <c r="N63" s="140" t="n">
        <f aca="false">MAX(0,M63-M62)</f>
        <v>0</v>
      </c>
      <c r="O63" s="139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RESUMO'!BK5</f>
        <v>0</v>
      </c>
      <c r="N64" s="140" t="n">
        <f aca="false">MAX(0,M64-M63)</f>
        <v>0</v>
      </c>
      <c r="O64" s="139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RESUMO'!BL5</f>
        <v>0</v>
      </c>
      <c r="N65" s="140" t="n">
        <f aca="false">MAX(0,M65-M64)</f>
        <v>0</v>
      </c>
      <c r="O65" s="139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RESUMO'!BM5</f>
        <v>0</v>
      </c>
      <c r="N66" s="140" t="n">
        <f aca="false">MAX(0,M66-M65)</f>
        <v>0</v>
      </c>
      <c r="O66" s="139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RESUMO'!BN5</f>
        <v>0</v>
      </c>
      <c r="N67" s="140" t="n">
        <f aca="false">MAX(0,M67-M66)</f>
        <v>0</v>
      </c>
      <c r="O67" s="139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RESUMO'!BO5</f>
        <v>0</v>
      </c>
      <c r="N68" s="140" t="n">
        <f aca="false">MAX(0,M68-M67)</f>
        <v>0</v>
      </c>
      <c r="O68" s="139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RESUMO'!BP5</f>
        <v>0</v>
      </c>
      <c r="N69" s="140" t="n">
        <f aca="false">MAX(0,M69-M68)</f>
        <v>0</v>
      </c>
      <c r="O69" s="139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RESUMO'!BQ5</f>
        <v>0</v>
      </c>
      <c r="N70" s="140" t="n">
        <f aca="false">MAX(0,M70-M69)</f>
        <v>0</v>
      </c>
      <c r="O70" s="139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RESUMO'!BR5</f>
        <v>0</v>
      </c>
      <c r="N71" s="140" t="n">
        <f aca="false">MAX(0,M71-M70)</f>
        <v>0</v>
      </c>
      <c r="O71" s="139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RESUMO'!BS5</f>
        <v>0</v>
      </c>
      <c r="N72" s="140" t="n">
        <f aca="false">MAX(0,M72-M71)</f>
        <v>0</v>
      </c>
      <c r="O72" s="139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RESUMO'!BT5</f>
        <v>0</v>
      </c>
      <c r="N73" s="140" t="n">
        <f aca="false">MAX(0,M73-M72)</f>
        <v>0</v>
      </c>
      <c r="O73" s="139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RESUMO'!BU5</f>
        <v>0</v>
      </c>
      <c r="N74" s="140" t="n">
        <f aca="false">MAX(0,M74-M73)</f>
        <v>0</v>
      </c>
      <c r="O74" s="139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RESUMO'!BV5</f>
        <v>0</v>
      </c>
      <c r="N75" s="140" t="n">
        <f aca="false">MAX(0,M75-M74)</f>
        <v>0</v>
      </c>
      <c r="O75" s="139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RESUMO'!BW5</f>
        <v>0</v>
      </c>
      <c r="N76" s="140" t="n">
        <f aca="false">MAX(0,M76-M75)</f>
        <v>0</v>
      </c>
      <c r="O76" s="139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2160730.87</v>
      </c>
      <c r="D78" s="61" t="n">
        <f aca="false">SUM(D5:D76)</f>
        <v>308451.472297709</v>
      </c>
      <c r="E78" s="61" t="n">
        <f aca="false">SUM(E5:E76)</f>
        <v>2047.12936818156</v>
      </c>
      <c r="F78" s="145" t="n">
        <f aca="false">SUM(F5:F76)</f>
        <v>1</v>
      </c>
      <c r="H78" s="61" t="n">
        <f aca="false">SUM(H5:H76)</f>
        <v>533315.27</v>
      </c>
      <c r="L78" s="61" t="n">
        <f aca="false">SUM(L5:L76)</f>
        <v>1809.28983658116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HISTORICOS'!D42)</f>
        <v>137450</v>
      </c>
      <c r="D5" s="45" t="n">
        <f aca="false">IF(B5&lt;='VALOR POR PL'!$P$5,0,IF($K$17&gt;0,$K$18*P5/$K$17,0))</f>
        <v>0</v>
      </c>
      <c r="E5" s="45" t="n">
        <f aca="false">L5+D5/$K$2</f>
        <v>121.837103655049</v>
      </c>
      <c r="F5" s="117" t="n">
        <f aca="false">IF($K$9=0,0,E5/$K$9)</f>
        <v>0.255442595718001</v>
      </c>
      <c r="G5" s="117" t="n">
        <f aca="false">F5</f>
        <v>0.255442595718001</v>
      </c>
      <c r="H5" s="138"/>
      <c r="I5" s="42" t="s">
        <v>2920</v>
      </c>
      <c r="J5" s="56" t="n">
        <f aca="false">'VALOR POR PL'!F48</f>
        <v>566105.29</v>
      </c>
      <c r="K5" s="56" t="n">
        <f aca="false">'VALOR POR PL'!G48</f>
        <v>477</v>
      </c>
      <c r="L5" s="56" t="n">
        <f aca="false">'DADOS HISTORICOS'!$BZ$42</f>
        <v>121.837103655049</v>
      </c>
      <c r="M5" s="139" t="n">
        <f aca="false">'CP RESUMO'!D42</f>
        <v>0</v>
      </c>
      <c r="N5" s="140" t="n">
        <v>0</v>
      </c>
      <c r="O5" s="139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HISTORICOS'!E42)</f>
        <v>36922.46</v>
      </c>
      <c r="D6" s="45" t="n">
        <f aca="false">IF(B6&lt;='VALOR POR PL'!$P$5,0,IF($K$17&gt;0,$K$18*P6/$K$17,0))</f>
        <v>0</v>
      </c>
      <c r="E6" s="45" t="n">
        <f aca="false">L6+D6/$K$2</f>
        <v>31.5815197123297</v>
      </c>
      <c r="F6" s="117" t="n">
        <f aca="false">IF($K$9=0,0,E6/$K$9)</f>
        <v>0.0662135353683154</v>
      </c>
      <c r="G6" s="117" t="n">
        <f aca="false">G5+F6</f>
        <v>0.321656131086317</v>
      </c>
      <c r="H6" s="138"/>
      <c r="I6" s="42" t="s">
        <v>2921</v>
      </c>
      <c r="K6" s="52" t="n">
        <f aca="false">'VALOR POR PL'!H48</f>
        <v>476.964710261372</v>
      </c>
      <c r="L6" s="45" t="n">
        <f aca="false">C6/IF(B6&lt;='VALOR POR PL'!$P$5,IFERROR(INDEX('"INCC-FGV"'!$B$2:$B$800,MATCH(B6,'"INCC-FGV"'!$A$2:$A$800,0)),$K$2),$K$2)</f>
        <v>31.5815197123297</v>
      </c>
      <c r="M6" s="139" t="n">
        <f aca="false">'CP RESUMO'!E42</f>
        <v>0</v>
      </c>
      <c r="N6" s="140" t="n">
        <f aca="false">MAX(0,M6-M5)</f>
        <v>0</v>
      </c>
      <c r="O6" s="139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0.321656131086317</v>
      </c>
      <c r="H7" s="138"/>
      <c r="I7" s="42" t="s">
        <v>2922</v>
      </c>
      <c r="J7" s="45" t="n">
        <f aca="false">C78+D78</f>
        <v>566105.29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RESUMO'!F42</f>
        <v>0</v>
      </c>
      <c r="N7" s="140" t="n">
        <f aca="false">MAX(0,M7-M6)</f>
        <v>0</v>
      </c>
      <c r="O7" s="139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HISTORICOS'!G42)</f>
        <v>34045.51</v>
      </c>
      <c r="D8" s="45" t="n">
        <f aca="false">IF(B8&lt;='VALOR POR PL'!$P$5,0,IF($K$17&gt;0,$K$18*P8/$K$17,0))</f>
        <v>0</v>
      </c>
      <c r="E8" s="45" t="n">
        <f aca="false">L8+D8/$K$2</f>
        <v>28.8916450127547</v>
      </c>
      <c r="F8" s="117" t="n">
        <f aca="false">IF($K$9=0,0,E8/$K$9)</f>
        <v>0.0605739678244171</v>
      </c>
      <c r="G8" s="117" t="n">
        <f aca="false">G7+F8</f>
        <v>0.382230098910734</v>
      </c>
      <c r="H8" s="138"/>
      <c r="I8" s="42" t="s">
        <v>2923</v>
      </c>
      <c r="K8" s="66" t="n">
        <f aca="false">SUM(L5:L76)</f>
        <v>476.964710261372</v>
      </c>
      <c r="L8" s="45" t="n">
        <f aca="false">C8/IF(B8&lt;='VALOR POR PL'!$P$5,IFERROR(INDEX('"INCC-FGV"'!$B$2:$B$800,MATCH(B8,'"INCC-FGV"'!$A$2:$A$800,0)),$K$2),$K$2)</f>
        <v>28.8916450127547</v>
      </c>
      <c r="M8" s="139" t="n">
        <f aca="false">'CP RESUMO'!G42</f>
        <v>0</v>
      </c>
      <c r="N8" s="140" t="n">
        <f aca="false">MAX(0,M8-M7)</f>
        <v>0</v>
      </c>
      <c r="O8" s="139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HISTORICOS'!H42)</f>
        <v>14154.82</v>
      </c>
      <c r="D9" s="45" t="n">
        <f aca="false">IF(B9&lt;='VALOR POR PL'!$P$5,0,IF($K$17&gt;0,$K$18*P9/$K$17,0))</f>
        <v>0</v>
      </c>
      <c r="E9" s="45" t="n">
        <f aca="false">L9+D9/$K$2</f>
        <v>11.9504213727414</v>
      </c>
      <c r="F9" s="117" t="n">
        <f aca="false">IF($K$9=0,0,E9/$K$9)</f>
        <v>0.0250551479294824</v>
      </c>
      <c r="G9" s="117" t="n">
        <f aca="false">G8+F9</f>
        <v>0.407285246840216</v>
      </c>
      <c r="H9" s="138"/>
      <c r="I9" s="42" t="s">
        <v>2924</v>
      </c>
      <c r="J9" s="45" t="n">
        <f aca="false">C78+D78</f>
        <v>566105.29</v>
      </c>
      <c r="K9" s="45" t="n">
        <f aca="false">E78</f>
        <v>476.964710261372</v>
      </c>
      <c r="L9" s="45" t="n">
        <f aca="false">C9/IF(B9&lt;='VALOR POR PL'!$P$5,IFERROR(INDEX('"INCC-FGV"'!$B$2:$B$800,MATCH(B9,'"INCC-FGV"'!$A$2:$A$800,0)),$K$2),$K$2)</f>
        <v>11.9504213727414</v>
      </c>
      <c r="M9" s="139" t="n">
        <f aca="false">'CP RESUMO'!H42</f>
        <v>0</v>
      </c>
      <c r="N9" s="140" t="n">
        <f aca="false">MAX(0,M9-M8)</f>
        <v>0</v>
      </c>
      <c r="O9" s="139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HISTORICOS'!I42)</f>
        <v>71756.69</v>
      </c>
      <c r="D10" s="45" t="n">
        <f aca="false">IF(B10&lt;='VALOR POR PL'!$P$5,0,IF($K$17&gt;0,$K$18*P10/$K$17,0))</f>
        <v>0</v>
      </c>
      <c r="E10" s="45" t="n">
        <f aca="false">L10+D10/$K$2</f>
        <v>60.2325725850249</v>
      </c>
      <c r="F10" s="117" t="n">
        <f aca="false">IF($K$9=0,0,E10/$K$9)</f>
        <v>0.12628307983628</v>
      </c>
      <c r="G10" s="117" t="n">
        <f aca="false">G9+F10</f>
        <v>0.533568326676496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60.2325725850249</v>
      </c>
      <c r="M10" s="139" t="n">
        <f aca="false">'CP RESUMO'!I42</f>
        <v>0</v>
      </c>
      <c r="N10" s="140" t="n">
        <f aca="false">MAX(0,M10-M9)</f>
        <v>0</v>
      </c>
      <c r="O10" s="139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HISTORICOS'!J42)</f>
        <v>6521.51</v>
      </c>
      <c r="D11" s="45" t="n">
        <f aca="false">IF(B11&lt;='VALOR POR PL'!$P$5,0,IF($K$17&gt;0,$K$18*P11/$K$17,0))</f>
        <v>0</v>
      </c>
      <c r="E11" s="45" t="n">
        <f aca="false">L11+D11/$K$2</f>
        <v>5.43681623064104</v>
      </c>
      <c r="F11" s="117" t="n">
        <f aca="false">IF($K$9=0,0,E11/$K$9)</f>
        <v>0.0113987809028088</v>
      </c>
      <c r="G11" s="117" t="n">
        <f aca="false">G10+F11</f>
        <v>0.544967107579305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5.43681623064104</v>
      </c>
      <c r="M11" s="139" t="n">
        <f aca="false">'CP RESUMO'!J42</f>
        <v>0</v>
      </c>
      <c r="N11" s="140" t="n">
        <f aca="false">MAX(0,M11-M10)</f>
        <v>0</v>
      </c>
      <c r="O11" s="139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HISTORICOS'!K42)</f>
        <v>13570.62</v>
      </c>
      <c r="D12" s="45" t="n">
        <f aca="false">IF(B12&lt;='VALOR POR PL'!$P$5,0,IF($K$17&gt;0,$K$18*P12/$K$17,0))</f>
        <v>0</v>
      </c>
      <c r="E12" s="45" t="n">
        <f aca="false">L12+D12/$K$2</f>
        <v>11.2110244689877</v>
      </c>
      <c r="F12" s="117" t="n">
        <f aca="false">IF($K$9=0,0,E12/$K$9)</f>
        <v>0.0235049349098472</v>
      </c>
      <c r="G12" s="117" t="n">
        <f aca="false">G11+F12</f>
        <v>0.568472042489152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11.2110244689877</v>
      </c>
      <c r="M12" s="139" t="n">
        <f aca="false">'CP RESUMO'!K42</f>
        <v>0</v>
      </c>
      <c r="N12" s="140" t="n">
        <f aca="false">MAX(0,M12-M11)</f>
        <v>0</v>
      </c>
      <c r="O12" s="139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HISTORICOS'!L42)</f>
        <v>26242.32</v>
      </c>
      <c r="D13" s="45" t="n">
        <f aca="false">IF(B13&lt;='VALOR POR PL'!$P$5,0,IF($K$17&gt;0,$K$18*P13/$K$17,0))</f>
        <v>0</v>
      </c>
      <c r="E13" s="45" t="n">
        <f aca="false">L13+D13/$K$2</f>
        <v>21.5683328593761</v>
      </c>
      <c r="F13" s="117" t="n">
        <f aca="false">IF($K$9=0,0,E13/$K$9)</f>
        <v>0.0452199762275009</v>
      </c>
      <c r="G13" s="117" t="n">
        <f aca="false">G12+F13</f>
        <v>0.613692018716653</v>
      </c>
      <c r="H13" s="138"/>
      <c r="I13" s="42" t="s">
        <v>2928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21.5683328593761</v>
      </c>
      <c r="M13" s="139" t="n">
        <f aca="false">'CP RESUMO'!L42</f>
        <v>0</v>
      </c>
      <c r="N13" s="140" t="n">
        <f aca="false">MAX(0,M13-M12)</f>
        <v>0</v>
      </c>
      <c r="O13" s="139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HISTORICOS'!M42)</f>
        <v>34986.5</v>
      </c>
      <c r="D14" s="45" t="n">
        <f aca="false">IF(B14&lt;='VALOR POR PL'!$P$5,0,IF($K$17&gt;0,$K$18*P14/$K$17,0))</f>
        <v>0</v>
      </c>
      <c r="E14" s="45" t="n">
        <f aca="false">L14+D14/$K$2</f>
        <v>28.7069424581148</v>
      </c>
      <c r="F14" s="117" t="n">
        <f aca="false">IF($K$9=0,0,E14/$K$9)</f>
        <v>0.0601867220792575</v>
      </c>
      <c r="G14" s="117" t="n">
        <f aca="false">G13+F14</f>
        <v>0.673878740795911</v>
      </c>
      <c r="H14" s="138"/>
      <c r="I14" s="42" t="s">
        <v>2929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28.7069424581148</v>
      </c>
      <c r="M14" s="139" t="n">
        <f aca="false">'CP RESUMO'!M42</f>
        <v>0</v>
      </c>
      <c r="N14" s="140" t="n">
        <f aca="false">MAX(0,M14-M13)</f>
        <v>0</v>
      </c>
      <c r="O14" s="139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HISTORICOS'!N42)</f>
        <v>70987.17</v>
      </c>
      <c r="D15" s="45" t="n">
        <f aca="false">IF(B15&lt;='VALOR POR PL'!$P$5,0,IF($K$17&gt;0,$K$18*P15/$K$17,0))</f>
        <v>0</v>
      </c>
      <c r="E15" s="45" t="n">
        <f aca="false">L15+D15/$K$2</f>
        <v>58.0740553488509</v>
      </c>
      <c r="F15" s="117" t="n">
        <f aca="false">IF($K$9=0,0,E15/$K$9)</f>
        <v>0.121757551658333</v>
      </c>
      <c r="G15" s="117" t="n">
        <f aca="false">G14+F15</f>
        <v>0.795636292454244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58.0740553488509</v>
      </c>
      <c r="M15" s="139" t="n">
        <f aca="false">'CP RESUMO'!N42</f>
        <v>0</v>
      </c>
      <c r="N15" s="140" t="n">
        <f aca="false">MAX(0,M15-M14)</f>
        <v>0</v>
      </c>
      <c r="O15" s="139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HISTORICOS'!O42)</f>
        <v>119467.69</v>
      </c>
      <c r="D16" s="45" t="n">
        <f aca="false">IF(B16&lt;='VALOR POR PL'!$P$5,0,IF($K$17&gt;0,$K$18*P16/$K$17,0))</f>
        <v>0</v>
      </c>
      <c r="E16" s="45" t="n">
        <f aca="false">L16+D16/$K$2</f>
        <v>97.4742765575013</v>
      </c>
      <c r="F16" s="117" t="n">
        <f aca="false">IF($K$9=0,0,E16/$K$9)</f>
        <v>0.204363707545756</v>
      </c>
      <c r="G16" s="117" t="n">
        <f aca="false">G15+F16</f>
        <v>1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97.4742765575013</v>
      </c>
      <c r="M16" s="139" t="n">
        <f aca="false">'CP RESUMO'!O42</f>
        <v>0</v>
      </c>
      <c r="N16" s="140" t="n">
        <f aca="false">MAX(0,M16-M15)</f>
        <v>0</v>
      </c>
      <c r="O16" s="139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RESUMO'!P42</f>
        <v>0</v>
      </c>
      <c r="N17" s="140" t="n">
        <f aca="false">MAX(0,M17-M16)</f>
        <v>0</v>
      </c>
      <c r="O17" s="139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RESUMO'!Q42</f>
        <v>0</v>
      </c>
      <c r="N18" s="140" t="n">
        <f aca="false">MAX(0,M18-M17)</f>
        <v>0</v>
      </c>
      <c r="O18" s="139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RESUMO'!R42</f>
        <v>0</v>
      </c>
      <c r="N19" s="140" t="n">
        <f aca="false">MAX(0,M19-M18)</f>
        <v>0</v>
      </c>
      <c r="O19" s="139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RESUMO'!S42</f>
        <v>0</v>
      </c>
      <c r="N20" s="140" t="n">
        <f aca="false">MAX(0,M20-M19)</f>
        <v>0</v>
      </c>
      <c r="O20" s="139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RESUMO'!T42</f>
        <v>0</v>
      </c>
      <c r="N21" s="140" t="n">
        <f aca="false">MAX(0,M21-M20)</f>
        <v>0</v>
      </c>
      <c r="O21" s="139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RESUMO'!U42</f>
        <v>0</v>
      </c>
      <c r="N22" s="140" t="n">
        <f aca="false">MAX(0,M22-M21)</f>
        <v>0</v>
      </c>
      <c r="O22" s="139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RESUMO'!V42</f>
        <v>0</v>
      </c>
      <c r="N23" s="140" t="n">
        <f aca="false">MAX(0,M23-M22)</f>
        <v>0</v>
      </c>
      <c r="O23" s="139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8"/>
      <c r="I24" s="144" t="s">
        <v>2940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RESUMO'!W42</f>
        <v>0</v>
      </c>
      <c r="N24" s="140" t="n">
        <f aca="false">MAX(0,M24-M23)</f>
        <v>0</v>
      </c>
      <c r="O24" s="139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RESUMO'!X42</f>
        <v>0</v>
      </c>
      <c r="N25" s="140" t="n">
        <f aca="false">MAX(0,M25-M24)</f>
        <v>0</v>
      </c>
      <c r="O25" s="139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RESUMO'!Y42</f>
        <v>0</v>
      </c>
      <c r="N26" s="140" t="n">
        <f aca="false">MAX(0,M26-M25)</f>
        <v>0</v>
      </c>
      <c r="O26" s="139" t="str">
        <f aca="false">IF(B26&lt;='VALOR POR PL'!$P$5,'CP RESUMO'!Y84,"")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RESUMO'!Z42</f>
        <v>0</v>
      </c>
      <c r="N27" s="140" t="n">
        <f aca="false">MAX(0,M27-M26)</f>
        <v>0</v>
      </c>
      <c r="O27" s="139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RESUMO'!AA42</f>
        <v>0</v>
      </c>
      <c r="N28" s="140" t="n">
        <f aca="false">MAX(0,M28-M27)</f>
        <v>0</v>
      </c>
      <c r="O28" s="139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RESUMO'!AB42</f>
        <v>0</v>
      </c>
      <c r="N29" s="140" t="n">
        <f aca="false">MAX(0,M29-M28)</f>
        <v>0</v>
      </c>
      <c r="O29" s="139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RESUMO'!AC42</f>
        <v>0</v>
      </c>
      <c r="N30" s="140" t="n">
        <f aca="false">MAX(0,M30-M29)</f>
        <v>0</v>
      </c>
      <c r="O30" s="139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RESUMO'!AD42</f>
        <v>0</v>
      </c>
      <c r="N31" s="140" t="n">
        <f aca="false">MAX(0,M31-M30)</f>
        <v>0</v>
      </c>
      <c r="O31" s="139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RESUMO'!AE42</f>
        <v>0</v>
      </c>
      <c r="N32" s="140" t="n">
        <f aca="false">MAX(0,M32-M31)</f>
        <v>0</v>
      </c>
      <c r="O32" s="139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RESUMO'!AF42</f>
        <v>0</v>
      </c>
      <c r="N33" s="140" t="n">
        <f aca="false">MAX(0,M33-M32)</f>
        <v>0</v>
      </c>
      <c r="O33" s="139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RESUMO'!AG42</f>
        <v>0</v>
      </c>
      <c r="N34" s="140" t="n">
        <f aca="false">MAX(0,M34-M33)</f>
        <v>0</v>
      </c>
      <c r="O34" s="139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RESUMO'!AH42</f>
        <v>0</v>
      </c>
      <c r="N35" s="140" t="n">
        <f aca="false">MAX(0,M35-M34)</f>
        <v>0</v>
      </c>
      <c r="O35" s="139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RESUMO'!AI42</f>
        <v>0</v>
      </c>
      <c r="N36" s="140" t="n">
        <f aca="false">MAX(0,M36-M35)</f>
        <v>0</v>
      </c>
      <c r="O36" s="139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RESUMO'!AJ42</f>
        <v>0</v>
      </c>
      <c r="N37" s="140" t="n">
        <f aca="false">MAX(0,M37-M36)</f>
        <v>0</v>
      </c>
      <c r="O37" s="139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RESUMO'!AK42</f>
        <v>0</v>
      </c>
      <c r="N38" s="140" t="n">
        <f aca="false">MAX(0,M38-M37)</f>
        <v>0</v>
      </c>
      <c r="O38" s="139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RESUMO'!AL42</f>
        <v>0</v>
      </c>
      <c r="N39" s="140" t="n">
        <f aca="false">MAX(0,M39-M38)</f>
        <v>0</v>
      </c>
      <c r="O39" s="139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RESUMO'!AM42</f>
        <v>0</v>
      </c>
      <c r="N40" s="140" t="n">
        <f aca="false">MAX(0,M40-M39)</f>
        <v>0</v>
      </c>
      <c r="O40" s="139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RESUMO'!AN42</f>
        <v>0</v>
      </c>
      <c r="N41" s="140" t="n">
        <f aca="false">MAX(0,M41-M40)</f>
        <v>0</v>
      </c>
      <c r="O41" s="139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RESUMO'!AO42</f>
        <v>0</v>
      </c>
      <c r="N42" s="140" t="n">
        <f aca="false">MAX(0,M42-M41)</f>
        <v>0</v>
      </c>
      <c r="O42" s="139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RESUMO'!AP42</f>
        <v>0</v>
      </c>
      <c r="N43" s="140" t="n">
        <f aca="false">MAX(0,M43-M42)</f>
        <v>0</v>
      </c>
      <c r="O43" s="139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RESUMO'!AQ42</f>
        <v>0</v>
      </c>
      <c r="N44" s="140" t="n">
        <f aca="false">MAX(0,M44-M43)</f>
        <v>0</v>
      </c>
      <c r="O44" s="139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RESUMO'!AR42</f>
        <v>0</v>
      </c>
      <c r="N45" s="140" t="n">
        <f aca="false">MAX(0,M45-M44)</f>
        <v>0</v>
      </c>
      <c r="O45" s="139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RESUMO'!AS42</f>
        <v>0</v>
      </c>
      <c r="N46" s="140" t="n">
        <f aca="false">MAX(0,M46-M45)</f>
        <v>0</v>
      </c>
      <c r="O46" s="139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RESUMO'!AT42</f>
        <v>0</v>
      </c>
      <c r="N47" s="140" t="n">
        <f aca="false">MAX(0,M47-M46)</f>
        <v>0</v>
      </c>
      <c r="O47" s="139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RESUMO'!AU42</f>
        <v>0</v>
      </c>
      <c r="N48" s="140" t="n">
        <f aca="false">MAX(0,M48-M47)</f>
        <v>0</v>
      </c>
      <c r="O48" s="139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RESUMO'!AV42</f>
        <v>0</v>
      </c>
      <c r="N49" s="140" t="n">
        <f aca="false">MAX(0,M49-M48)</f>
        <v>0</v>
      </c>
      <c r="O49" s="139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RESUMO'!AW42</f>
        <v>0</v>
      </c>
      <c r="N50" s="140" t="n">
        <f aca="false">MAX(0,M50-M49)</f>
        <v>0</v>
      </c>
      <c r="O50" s="139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RESUMO'!AX42</f>
        <v>0</v>
      </c>
      <c r="N51" s="140" t="n">
        <f aca="false">MAX(0,M51-M50)</f>
        <v>0</v>
      </c>
      <c r="O51" s="139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RESUMO'!AY42</f>
        <v>0</v>
      </c>
      <c r="N52" s="140" t="n">
        <f aca="false">MAX(0,M52-M51)</f>
        <v>0</v>
      </c>
      <c r="O52" s="139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RESUMO'!AZ42</f>
        <v>0</v>
      </c>
      <c r="N53" s="140" t="n">
        <f aca="false">MAX(0,M53-M52)</f>
        <v>0</v>
      </c>
      <c r="O53" s="139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RESUMO'!BA42</f>
        <v>0</v>
      </c>
      <c r="N54" s="140" t="n">
        <f aca="false">MAX(0,M54-M53)</f>
        <v>0</v>
      </c>
      <c r="O54" s="139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RESUMO'!BB42</f>
        <v>0</v>
      </c>
      <c r="N55" s="140" t="n">
        <f aca="false">MAX(0,M55-M54)</f>
        <v>0</v>
      </c>
      <c r="O55" s="139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RESUMO'!BC42</f>
        <v>0</v>
      </c>
      <c r="N56" s="140" t="n">
        <f aca="false">MAX(0,M56-M55)</f>
        <v>0</v>
      </c>
      <c r="O56" s="139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RESUMO'!BD42</f>
        <v>0</v>
      </c>
      <c r="N57" s="140" t="n">
        <f aca="false">MAX(0,M57-M56)</f>
        <v>0</v>
      </c>
      <c r="O57" s="139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RESUMO'!BE42</f>
        <v>0</v>
      </c>
      <c r="N58" s="140" t="n">
        <f aca="false">MAX(0,M58-M57)</f>
        <v>0</v>
      </c>
      <c r="O58" s="139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RESUMO'!BF42</f>
        <v>0</v>
      </c>
      <c r="N59" s="140" t="n">
        <f aca="false">MAX(0,M59-M58)</f>
        <v>0</v>
      </c>
      <c r="O59" s="139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RESUMO'!BG42</f>
        <v>0</v>
      </c>
      <c r="N60" s="140" t="n">
        <f aca="false">MAX(0,M60-M59)</f>
        <v>0</v>
      </c>
      <c r="O60" s="139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RESUMO'!BH42</f>
        <v>0</v>
      </c>
      <c r="N61" s="140" t="n">
        <f aca="false">MAX(0,M61-M60)</f>
        <v>0</v>
      </c>
      <c r="O61" s="139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RESUMO'!BI42</f>
        <v>0</v>
      </c>
      <c r="N62" s="140" t="n">
        <f aca="false">MAX(0,M62-M61)</f>
        <v>0</v>
      </c>
      <c r="O62" s="139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RESUMO'!BJ42</f>
        <v>0</v>
      </c>
      <c r="N63" s="140" t="n">
        <f aca="false">MAX(0,M63-M62)</f>
        <v>0</v>
      </c>
      <c r="O63" s="139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RESUMO'!BK42</f>
        <v>0</v>
      </c>
      <c r="N64" s="140" t="n">
        <f aca="false">MAX(0,M64-M63)</f>
        <v>0</v>
      </c>
      <c r="O64" s="139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RESUMO'!BL42</f>
        <v>0</v>
      </c>
      <c r="N65" s="140" t="n">
        <f aca="false">MAX(0,M65-M64)</f>
        <v>0</v>
      </c>
      <c r="O65" s="139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RESUMO'!BM42</f>
        <v>0</v>
      </c>
      <c r="N66" s="140" t="n">
        <f aca="false">MAX(0,M66-M65)</f>
        <v>0</v>
      </c>
      <c r="O66" s="139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RESUMO'!BN42</f>
        <v>0</v>
      </c>
      <c r="N67" s="140" t="n">
        <f aca="false">MAX(0,M67-M66)</f>
        <v>0</v>
      </c>
      <c r="O67" s="139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RESUMO'!BO42</f>
        <v>0</v>
      </c>
      <c r="N68" s="140" t="n">
        <f aca="false">MAX(0,M68-M67)</f>
        <v>0</v>
      </c>
      <c r="O68" s="139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RESUMO'!BP42</f>
        <v>0</v>
      </c>
      <c r="N69" s="140" t="n">
        <f aca="false">MAX(0,M69-M68)</f>
        <v>0</v>
      </c>
      <c r="O69" s="139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RESUMO'!BQ42</f>
        <v>0</v>
      </c>
      <c r="N70" s="140" t="n">
        <f aca="false">MAX(0,M70-M69)</f>
        <v>0</v>
      </c>
      <c r="O70" s="139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RESUMO'!BR42</f>
        <v>0</v>
      </c>
      <c r="N71" s="140" t="n">
        <f aca="false">MAX(0,M71-M70)</f>
        <v>0</v>
      </c>
      <c r="O71" s="139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RESUMO'!BS42</f>
        <v>0</v>
      </c>
      <c r="N72" s="140" t="n">
        <f aca="false">MAX(0,M72-M71)</f>
        <v>0</v>
      </c>
      <c r="O72" s="139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RESUMO'!BT42</f>
        <v>0</v>
      </c>
      <c r="N73" s="140" t="n">
        <f aca="false">MAX(0,M73-M72)</f>
        <v>0</v>
      </c>
      <c r="O73" s="139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RESUMO'!BU42</f>
        <v>0</v>
      </c>
      <c r="N74" s="140" t="n">
        <f aca="false">MAX(0,M74-M73)</f>
        <v>0</v>
      </c>
      <c r="O74" s="139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RESUMO'!BV42</f>
        <v>0</v>
      </c>
      <c r="N75" s="140" t="n">
        <f aca="false">MAX(0,M75-M74)</f>
        <v>0</v>
      </c>
      <c r="O75" s="139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RESUMO'!BW42</f>
        <v>0</v>
      </c>
      <c r="N76" s="140" t="n">
        <f aca="false">MAX(0,M76-M75)</f>
        <v>0</v>
      </c>
      <c r="O76" s="139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566105.29</v>
      </c>
      <c r="D78" s="61" t="n">
        <f aca="false">SUM(D5:D76)</f>
        <v>0</v>
      </c>
      <c r="E78" s="61" t="n">
        <f aca="false">SUM(E5:E76)</f>
        <v>476.964710261372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476.964710261372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PL'!F12</f>
        <v>126154.98</v>
      </c>
      <c r="K5" s="56" t="n">
        <f aca="false">'VALOR POR PL'!G12</f>
        <v>103.685673</v>
      </c>
      <c r="L5" s="56" t="n">
        <f aca="false">'DADOS HISTORICOS'!$BZ$6</f>
        <v>0</v>
      </c>
      <c r="M5" s="139" t="n">
        <f aca="false">'CP RESUMO'!D6</f>
        <v>0</v>
      </c>
      <c r="N5" s="140" t="n">
        <v>0</v>
      </c>
      <c r="O5" s="139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PL'!H12</f>
        <v>191.166414165265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RESUMO'!E6</f>
        <v>0</v>
      </c>
      <c r="N6" s="140" t="n">
        <f aca="false">MAX(0,M6-M5)</f>
        <v>0</v>
      </c>
      <c r="O6" s="139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241135.16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RESUMO'!F6</f>
        <v>0</v>
      </c>
      <c r="N7" s="140" t="n">
        <f aca="false">MAX(0,M7-M6)</f>
        <v>0</v>
      </c>
      <c r="O7" s="139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191.166414165265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RESUMO'!G6</f>
        <v>0</v>
      </c>
      <c r="N8" s="140" t="n">
        <f aca="false">MAX(0,M8-M7)</f>
        <v>0</v>
      </c>
      <c r="O8" s="139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241135.16</v>
      </c>
      <c r="K9" s="45" t="n">
        <f aca="false">E78</f>
        <v>191.166414165265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RESUMO'!H6</f>
        <v>0</v>
      </c>
      <c r="N9" s="140" t="n">
        <f aca="false">MAX(0,M9-M8)</f>
        <v>0</v>
      </c>
      <c r="O9" s="139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RESUMO'!I6</f>
        <v>0</v>
      </c>
      <c r="N10" s="140" t="n">
        <f aca="false">MAX(0,M10-M9)</f>
        <v>0</v>
      </c>
      <c r="O10" s="139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RESUMO'!J6</f>
        <v>0</v>
      </c>
      <c r="N11" s="140" t="n">
        <f aca="false">MAX(0,M11-M10)</f>
        <v>0</v>
      </c>
      <c r="O11" s="139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RESUMO'!K6</f>
        <v>0</v>
      </c>
      <c r="N12" s="140" t="n">
        <f aca="false">MAX(0,M12-M11)</f>
        <v>0</v>
      </c>
      <c r="O12" s="139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RESUMO'!L6</f>
        <v>0</v>
      </c>
      <c r="N13" s="140" t="n">
        <f aca="false">MAX(0,M13-M12)</f>
        <v>0</v>
      </c>
      <c r="O13" s="139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HISTORICOS'!M6)</f>
        <v>29594.38</v>
      </c>
      <c r="D14" s="45" t="n">
        <f aca="false">IF(B14&lt;='VALOR POR PL'!$P$5,0,IF($K$17&gt;0,$K$18*P14/$K$17,0))</f>
        <v>0</v>
      </c>
      <c r="E14" s="45" t="n">
        <f aca="false">L14+D14/$K$2</f>
        <v>24.2826279777509</v>
      </c>
      <c r="F14" s="117" t="n">
        <f aca="false">IF($K$9=0,0,E14/$K$9)</f>
        <v>0.127023505063804</v>
      </c>
      <c r="G14" s="117" t="n">
        <f aca="false">G13+F14</f>
        <v>0.127023505063804</v>
      </c>
      <c r="H14" s="138"/>
      <c r="I14" s="42" t="s">
        <v>2929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24.2826279777509</v>
      </c>
      <c r="M14" s="139" t="n">
        <f aca="false">'CP RESUMO'!M6</f>
        <v>0</v>
      </c>
      <c r="N14" s="140" t="n">
        <f aca="false">MAX(0,M14-M13)</f>
        <v>0</v>
      </c>
      <c r="O14" s="139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HISTORICOS'!N6)</f>
        <v>15763.13</v>
      </c>
      <c r="D15" s="45" t="n">
        <f aca="false">IF(B15&lt;='VALOR POR PL'!$P$5,0,IF($K$17&gt;0,$K$18*P15/$K$17,0))</f>
        <v>0</v>
      </c>
      <c r="E15" s="45" t="n">
        <f aca="false">L15+D15/$K$2</f>
        <v>12.8956948712159</v>
      </c>
      <c r="F15" s="117" t="n">
        <f aca="false">IF($K$9=0,0,E15/$K$9)</f>
        <v>0.0674579524208026</v>
      </c>
      <c r="G15" s="117" t="n">
        <f aca="false">G14+F15</f>
        <v>0.194481457484607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12.8956948712159</v>
      </c>
      <c r="M15" s="139" t="n">
        <f aca="false">'CP RESUMO'!N6</f>
        <v>0</v>
      </c>
      <c r="N15" s="140" t="n">
        <f aca="false">MAX(0,M15-M14)</f>
        <v>0</v>
      </c>
      <c r="O15" s="139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HISTORICOS'!O6)</f>
        <v>1931.88</v>
      </c>
      <c r="D16" s="45" t="n">
        <f aca="false">IF(B16&lt;='VALOR POR PL'!$P$5,0,IF($K$17&gt;0,$K$18*P16/$K$17,0))</f>
        <v>0</v>
      </c>
      <c r="E16" s="45" t="n">
        <f aca="false">L16+D16/$K$2</f>
        <v>1.57623040502336</v>
      </c>
      <c r="F16" s="117" t="n">
        <f aca="false">IF($K$9=0,0,E16/$K$9)</f>
        <v>0.00824533123093838</v>
      </c>
      <c r="G16" s="117" t="n">
        <f aca="false">G15+F16</f>
        <v>0.202726788715545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1.57623040502336</v>
      </c>
      <c r="M16" s="139" t="n">
        <f aca="false">'CP RESUMO'!O6</f>
        <v>0</v>
      </c>
      <c r="N16" s="140" t="n">
        <f aca="false">MAX(0,M16-M15)</f>
        <v>0</v>
      </c>
      <c r="O16" s="139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HISTORICOS'!P6)</f>
        <v>29895.53</v>
      </c>
      <c r="D17" s="45" t="n">
        <f aca="false">IF(B17&lt;='VALOR POR PL'!$P$5,0,IF($K$17&gt;0,$K$18*P17/$K$17,0))</f>
        <v>0</v>
      </c>
      <c r="E17" s="45" t="n">
        <f aca="false">L17+D17/$K$2</f>
        <v>24.3417027572118</v>
      </c>
      <c r="F17" s="117" t="n">
        <f aca="false">IF($K$9=0,0,E17/$K$9)</f>
        <v>0.127332527857996</v>
      </c>
      <c r="G17" s="117" t="n">
        <f aca="false">G16+F17</f>
        <v>0.330059316573541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24.3417027572118</v>
      </c>
      <c r="M17" s="139" t="n">
        <f aca="false">'CP RESUMO'!P6</f>
        <v>0</v>
      </c>
      <c r="N17" s="140" t="n">
        <f aca="false">MAX(0,M17-M16)</f>
        <v>0</v>
      </c>
      <c r="O17" s="139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HISTORICOS'!Q6)</f>
        <v>16064.28</v>
      </c>
      <c r="D18" s="45" t="n">
        <f aca="false">IF(B18&lt;='VALOR POR PL'!$P$5,0,IF($K$17&gt;0,$K$18*P18/$K$17,0))</f>
        <v>0</v>
      </c>
      <c r="E18" s="45" t="n">
        <f aca="false">L18+D18/$K$2</f>
        <v>12.986105497334</v>
      </c>
      <c r="F18" s="117" t="n">
        <f aca="false">IF($K$9=0,0,E18/$K$9)</f>
        <v>0.067930894420122</v>
      </c>
      <c r="G18" s="117" t="n">
        <f aca="false">G17+F18</f>
        <v>0.397990210993663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12.986105497334</v>
      </c>
      <c r="M18" s="139" t="n">
        <f aca="false">'CP RESUMO'!Q6</f>
        <v>0</v>
      </c>
      <c r="N18" s="140" t="n">
        <f aca="false">MAX(0,M18-M17)</f>
        <v>0</v>
      </c>
      <c r="O18" s="139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HISTORICOS'!R6)</f>
        <v>2233.03</v>
      </c>
      <c r="D19" s="45" t="n">
        <f aca="false">IF(B19&lt;='VALOR POR PL'!$P$5,0,IF($K$17&gt;0,$K$18*P19/$K$17,0))</f>
        <v>0</v>
      </c>
      <c r="E19" s="45" t="n">
        <f aca="false">L19+D19/$K$2</f>
        <v>1.80013236800886</v>
      </c>
      <c r="F19" s="117" t="n">
        <f aca="false">IF($K$9=0,0,E19/$K$9)</f>
        <v>0.00941657234022619</v>
      </c>
      <c r="G19" s="117" t="n">
        <f aca="false">G18+F19</f>
        <v>0.407406783333889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1.80013236800886</v>
      </c>
      <c r="M19" s="139" t="n">
        <f aca="false">'CP RESUMO'!R6</f>
        <v>0</v>
      </c>
      <c r="N19" s="140" t="n">
        <f aca="false">MAX(0,M19-M18)</f>
        <v>0</v>
      </c>
      <c r="O19" s="139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HISTORICOS'!S6)</f>
        <v>29895.47</v>
      </c>
      <c r="D20" s="45" t="n">
        <f aca="false">IF(B20&lt;='VALOR POR PL'!$P$5,0,IF($K$17&gt;0,$K$18*P20/$K$17,0))</f>
        <v>0</v>
      </c>
      <c r="E20" s="45" t="n">
        <f aca="false">L20+D20/$K$2</f>
        <v>23.9704341230343</v>
      </c>
      <c r="F20" s="117" t="n">
        <f aca="false">IF($K$9=0,0,E20/$K$9)</f>
        <v>0.125390405148844</v>
      </c>
      <c r="G20" s="117" t="n">
        <f aca="false">G19+F20</f>
        <v>0.532797188482733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23.9704341230343</v>
      </c>
      <c r="M20" s="139" t="n">
        <f aca="false">'CP RESUMO'!S6</f>
        <v>0</v>
      </c>
      <c r="N20" s="140" t="n">
        <f aca="false">MAX(0,M20-M19)</f>
        <v>0</v>
      </c>
      <c r="O20" s="139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HISTORICOS'!T6)</f>
        <v>2232.98</v>
      </c>
      <c r="D21" s="45" t="n">
        <f aca="false">IF(B21&lt;='VALOR POR PL'!$P$5,0,IF($K$17&gt;0,$K$18*P21/$K$17,0))</f>
        <v>0</v>
      </c>
      <c r="E21" s="45" t="n">
        <f aca="false">L21+D21/$K$2</f>
        <v>1.77269595094518</v>
      </c>
      <c r="F21" s="117" t="n">
        <f aca="false">IF($K$9=0,0,E21/$K$9)</f>
        <v>0.00927305122443039</v>
      </c>
      <c r="G21" s="117" t="n">
        <f aca="false">G20+F21</f>
        <v>0.542070239707163</v>
      </c>
      <c r="H21" s="138"/>
      <c r="K21" s="143"/>
      <c r="L21" s="45" t="n">
        <f aca="false">C21/IF(B21&lt;='VALOR POR PL'!$P$5,IFERROR(INDEX('"INCC-FGV"'!$B$2:$B$800,MATCH(B21,'"INCC-FGV"'!$A$2:$A$800,0)),$K$2),$K$2)</f>
        <v>1.77269595094518</v>
      </c>
      <c r="M21" s="139" t="n">
        <f aca="false">'CP RESUMO'!T6</f>
        <v>0</v>
      </c>
      <c r="N21" s="140" t="n">
        <f aca="false">MAX(0,M21-M20)</f>
        <v>0</v>
      </c>
      <c r="O21" s="139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HISTORICOS'!U6)</f>
        <v>301.15</v>
      </c>
      <c r="D22" s="45" t="n">
        <f aca="false">IF(B22&lt;='VALOR POR PL'!$P$5,0,IF($K$17&gt;0,$K$18*P22/$K$17,0))</f>
        <v>0</v>
      </c>
      <c r="E22" s="45" t="n">
        <f aca="false">L22+D22/$K$2</f>
        <v>0.236996289432161</v>
      </c>
      <c r="F22" s="117" t="n">
        <f aca="false">IF($K$9=0,0,E22/$K$9)</f>
        <v>0.00123973811229872</v>
      </c>
      <c r="G22" s="117" t="n">
        <f aca="false">G21+F22</f>
        <v>0.543309977819462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0.236996289432161</v>
      </c>
      <c r="M22" s="139" t="n">
        <f aca="false">'CP RESUMO'!U6</f>
        <v>0</v>
      </c>
      <c r="N22" s="140" t="n">
        <f aca="false">MAX(0,M22-M21)</f>
        <v>0</v>
      </c>
      <c r="O22" s="139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0.543309977819462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RESUMO'!V6</f>
        <v>0</v>
      </c>
      <c r="N23" s="140" t="n">
        <f aca="false">MAX(0,M23-M22)</f>
        <v>0</v>
      </c>
      <c r="O23" s="139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0.543309977819462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RESUMO'!W6</f>
        <v>0</v>
      </c>
      <c r="N24" s="140" t="n">
        <f aca="false">MAX(0,M24-M23)</f>
        <v>0</v>
      </c>
      <c r="O24" s="139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0.543309977819462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RESUMO'!X6</f>
        <v>0</v>
      </c>
      <c r="N25" s="140" t="n">
        <f aca="false">MAX(0,M25-M24)</f>
        <v>0</v>
      </c>
      <c r="O25" s="139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0.543309977819462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RESUMO'!Y6</f>
        <v>0</v>
      </c>
      <c r="N26" s="140" t="n">
        <f aca="false">MAX(0,M26-M25)</f>
        <v>0</v>
      </c>
      <c r="O26" s="139" t="str">
        <f aca="false">IF(B26&lt;='VALOR POR PL'!$P$5,'CP RESUMO'!Y48,"")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HISTORICOS'!Z6)</f>
        <v>18870.38</v>
      </c>
      <c r="D27" s="45" t="n">
        <f aca="false">IF(B27&lt;='VALOR POR PL'!$P$5,0,IF($K$17&gt;0,$K$18*P27/$K$17,0))</f>
        <v>0</v>
      </c>
      <c r="E27" s="45" t="n">
        <f aca="false">L27+D27/$K$2</f>
        <v>14.5504973825825</v>
      </c>
      <c r="F27" s="117" t="n">
        <f aca="false">IF($K$9=0,0,E27/$K$9)</f>
        <v>0.0761142978285057</v>
      </c>
      <c r="G27" s="117" t="n">
        <f aca="false">G26+F27</f>
        <v>0.619424275647968</v>
      </c>
      <c r="H27" s="138"/>
      <c r="L27" s="45" t="n">
        <f aca="false">C27/IF(B27&lt;='VALOR POR PL'!$P$5,IFERROR(INDEX('"INCC-FGV"'!$B$2:$B$800,MATCH(B27,'"INCC-FGV"'!$A$2:$A$800,0)),$K$2),$K$2)</f>
        <v>14.5504973825825</v>
      </c>
      <c r="M27" s="139" t="n">
        <f aca="false">'CP RESUMO'!Z6</f>
        <v>0</v>
      </c>
      <c r="N27" s="140" t="n">
        <f aca="false">MAX(0,M27-M26)</f>
        <v>0</v>
      </c>
      <c r="O27" s="139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HISTORICOS'!AA6)</f>
        <v>18870.38</v>
      </c>
      <c r="D28" s="45" t="n">
        <f aca="false">IF(B28&lt;='VALOR POR PL'!$P$5,0,IF($K$17&gt;0,$K$18*P28/$K$17,0))</f>
        <v>0</v>
      </c>
      <c r="E28" s="45" t="n">
        <f aca="false">L28+D28/$K$2</f>
        <v>14.5504973825825</v>
      </c>
      <c r="F28" s="117" t="n">
        <f aca="false">IF($K$9=0,0,E28/$K$9)</f>
        <v>0.0761142978285057</v>
      </c>
      <c r="G28" s="117" t="n">
        <f aca="false">G27+F28</f>
        <v>0.695538573476473</v>
      </c>
      <c r="H28" s="138"/>
      <c r="L28" s="45" t="n">
        <f aca="false">C28/IF(B28&lt;='VALOR POR PL'!$P$5,IFERROR(INDEX('"INCC-FGV"'!$B$2:$B$800,MATCH(B28,'"INCC-FGV"'!$A$2:$A$800,0)),$K$2),$K$2)</f>
        <v>14.5504973825825</v>
      </c>
      <c r="M28" s="139" t="n">
        <f aca="false">'CP RESUMO'!AA6</f>
        <v>0</v>
      </c>
      <c r="N28" s="140" t="n">
        <f aca="false">MAX(0,M28-M27)</f>
        <v>0</v>
      </c>
      <c r="O28" s="139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HISTORICOS'!AB6)</f>
        <v>18870.38</v>
      </c>
      <c r="D29" s="45" t="n">
        <f aca="false">IF(B29&lt;='VALOR POR PL'!$P$5,0,IF($K$17&gt;0,$K$18*P29/$K$17,0))</f>
        <v>0</v>
      </c>
      <c r="E29" s="45" t="n">
        <f aca="false">L29+D29/$K$2</f>
        <v>14.5504973825825</v>
      </c>
      <c r="F29" s="117" t="n">
        <f aca="false">IF($K$9=0,0,E29/$K$9)</f>
        <v>0.0761142978285057</v>
      </c>
      <c r="G29" s="117" t="n">
        <f aca="false">G28+F29</f>
        <v>0.771652871304979</v>
      </c>
      <c r="H29" s="138"/>
      <c r="L29" s="45" t="n">
        <f aca="false">C29/IF(B29&lt;='VALOR POR PL'!$P$5,IFERROR(INDEX('"INCC-FGV"'!$B$2:$B$800,MATCH(B29,'"INCC-FGV"'!$A$2:$A$800,0)),$K$2),$K$2)</f>
        <v>14.5504973825825</v>
      </c>
      <c r="M29" s="139" t="n">
        <f aca="false">'CP RESUMO'!AB6</f>
        <v>0</v>
      </c>
      <c r="N29" s="140" t="n">
        <f aca="false">MAX(0,M29-M28)</f>
        <v>0</v>
      </c>
      <c r="O29" s="139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HISTORICOS'!AC6)</f>
        <v>18870.38</v>
      </c>
      <c r="D30" s="45" t="n">
        <f aca="false">IF(B30&lt;='VALOR POR PL'!$P$5,0,IF($K$17&gt;0,$K$18*P30/$K$17,0))</f>
        <v>0</v>
      </c>
      <c r="E30" s="45" t="n">
        <f aca="false">L30+D30/$K$2</f>
        <v>14.5504973825825</v>
      </c>
      <c r="F30" s="117" t="n">
        <f aca="false">IF($K$9=0,0,E30/$K$9)</f>
        <v>0.0761142978285057</v>
      </c>
      <c r="G30" s="117" t="n">
        <f aca="false">G29+F30</f>
        <v>0.847767169133485</v>
      </c>
      <c r="H30" s="138"/>
      <c r="L30" s="45" t="n">
        <f aca="false">C30/IF(B30&lt;='VALOR POR PL'!$P$5,IFERROR(INDEX('"INCC-FGV"'!$B$2:$B$800,MATCH(B30,'"INCC-FGV"'!$A$2:$A$800,0)),$K$2),$K$2)</f>
        <v>14.5504973825825</v>
      </c>
      <c r="M30" s="139" t="n">
        <f aca="false">'CP RESUMO'!AC6</f>
        <v>0</v>
      </c>
      <c r="N30" s="140" t="n">
        <f aca="false">MAX(0,M30-M29)</f>
        <v>0</v>
      </c>
      <c r="O30" s="139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HISTORICOS'!AD6)</f>
        <v>18870.38</v>
      </c>
      <c r="D31" s="45" t="n">
        <f aca="false">IF(B31&lt;='VALOR POR PL'!$P$5,0,IF($K$17&gt;0,$K$18*P31/$K$17,0))</f>
        <v>0</v>
      </c>
      <c r="E31" s="45" t="n">
        <f aca="false">L31+D31/$K$2</f>
        <v>14.5504973825825</v>
      </c>
      <c r="F31" s="117" t="n">
        <f aca="false">IF($K$9=0,0,E31/$K$9)</f>
        <v>0.0761142978285057</v>
      </c>
      <c r="G31" s="117" t="n">
        <f aca="false">G30+F31</f>
        <v>0.92388146696199</v>
      </c>
      <c r="H31" s="138"/>
      <c r="L31" s="45" t="n">
        <f aca="false">C31/IF(B31&lt;='VALOR POR PL'!$P$5,IFERROR(INDEX('"INCC-FGV"'!$B$2:$B$800,MATCH(B31,'"INCC-FGV"'!$A$2:$A$800,0)),$K$2),$K$2)</f>
        <v>14.5504973825825</v>
      </c>
      <c r="M31" s="139" t="n">
        <f aca="false">'CP RESUMO'!AD6</f>
        <v>0</v>
      </c>
      <c r="N31" s="140" t="n">
        <f aca="false">MAX(0,M31-M30)</f>
        <v>0</v>
      </c>
      <c r="O31" s="139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HISTORICOS'!AE6)</f>
        <v>18871.43</v>
      </c>
      <c r="D32" s="45" t="n">
        <f aca="false">IF(B32&lt;='VALOR POR PL'!$P$5,0,IF($K$17&gt;0,$K$18*P32/$K$17,0))</f>
        <v>0</v>
      </c>
      <c r="E32" s="45" t="n">
        <f aca="false">L32+D32/$K$2</f>
        <v>14.5513070123966</v>
      </c>
      <c r="F32" s="117" t="n">
        <f aca="false">IF($K$9=0,0,E32/$K$9)</f>
        <v>0.0761185330380097</v>
      </c>
      <c r="G32" s="117" t="n">
        <f aca="false">G31+F32</f>
        <v>1</v>
      </c>
      <c r="H32" s="138"/>
      <c r="L32" s="45" t="n">
        <f aca="false">C32/IF(B32&lt;='VALOR POR PL'!$P$5,IFERROR(INDEX('"INCC-FGV"'!$B$2:$B$800,MATCH(B32,'"INCC-FGV"'!$A$2:$A$800,0)),$K$2),$K$2)</f>
        <v>14.5513070123966</v>
      </c>
      <c r="M32" s="139" t="n">
        <f aca="false">'CP RESUMO'!AE6</f>
        <v>0</v>
      </c>
      <c r="N32" s="140" t="n">
        <f aca="false">MAX(0,M32-M31)</f>
        <v>0</v>
      </c>
      <c r="O32" s="139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RESUMO'!AF6</f>
        <v>0</v>
      </c>
      <c r="N33" s="140" t="n">
        <f aca="false">MAX(0,M33-M32)</f>
        <v>0</v>
      </c>
      <c r="O33" s="139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RESUMO'!AG6</f>
        <v>0</v>
      </c>
      <c r="N34" s="140" t="n">
        <f aca="false">MAX(0,M34-M33)</f>
        <v>0</v>
      </c>
      <c r="O34" s="139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RESUMO'!AH6</f>
        <v>0</v>
      </c>
      <c r="N35" s="140" t="n">
        <f aca="false">MAX(0,M35-M34)</f>
        <v>0</v>
      </c>
      <c r="O35" s="139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RESUMO'!AI6</f>
        <v>0</v>
      </c>
      <c r="N36" s="140" t="n">
        <f aca="false">MAX(0,M36-M35)</f>
        <v>0</v>
      </c>
      <c r="O36" s="139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RESUMO'!AJ6</f>
        <v>0</v>
      </c>
      <c r="N37" s="140" t="n">
        <f aca="false">MAX(0,M37-M36)</f>
        <v>0</v>
      </c>
      <c r="O37" s="139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RESUMO'!AK6</f>
        <v>0</v>
      </c>
      <c r="N38" s="140" t="n">
        <f aca="false">MAX(0,M38-M37)</f>
        <v>0</v>
      </c>
      <c r="O38" s="139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RESUMO'!AL6</f>
        <v>0</v>
      </c>
      <c r="N39" s="140" t="n">
        <f aca="false">MAX(0,M39-M38)</f>
        <v>0</v>
      </c>
      <c r="O39" s="139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RESUMO'!AM6</f>
        <v>0</v>
      </c>
      <c r="N40" s="140" t="n">
        <f aca="false">MAX(0,M40-M39)</f>
        <v>0</v>
      </c>
      <c r="O40" s="139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RESUMO'!AN6</f>
        <v>0</v>
      </c>
      <c r="N41" s="140" t="n">
        <f aca="false">MAX(0,M41-M40)</f>
        <v>0</v>
      </c>
      <c r="O41" s="139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RESUMO'!AO6</f>
        <v>0</v>
      </c>
      <c r="N42" s="140" t="n">
        <f aca="false">MAX(0,M42-M41)</f>
        <v>0</v>
      </c>
      <c r="O42" s="139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RESUMO'!AP6</f>
        <v>0</v>
      </c>
      <c r="N43" s="140" t="n">
        <f aca="false">MAX(0,M43-M42)</f>
        <v>0</v>
      </c>
      <c r="O43" s="139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RESUMO'!AQ6</f>
        <v>0</v>
      </c>
      <c r="N44" s="140" t="n">
        <f aca="false">MAX(0,M44-M43)</f>
        <v>0</v>
      </c>
      <c r="O44" s="139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RESUMO'!AR6</f>
        <v>0</v>
      </c>
      <c r="N45" s="140" t="n">
        <f aca="false">MAX(0,M45-M44)</f>
        <v>0</v>
      </c>
      <c r="O45" s="139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RESUMO'!AS6</f>
        <v>0</v>
      </c>
      <c r="N46" s="140" t="n">
        <f aca="false">MAX(0,M46-M45)</f>
        <v>0</v>
      </c>
      <c r="O46" s="139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RESUMO'!AT6</f>
        <v>0</v>
      </c>
      <c r="N47" s="140" t="n">
        <f aca="false">MAX(0,M47-M46)</f>
        <v>0</v>
      </c>
      <c r="O47" s="139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RESUMO'!AU6</f>
        <v>0</v>
      </c>
      <c r="N48" s="140" t="n">
        <f aca="false">MAX(0,M48-M47)</f>
        <v>0</v>
      </c>
      <c r="O48" s="139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RESUMO'!AV6</f>
        <v>0</v>
      </c>
      <c r="N49" s="140" t="n">
        <f aca="false">MAX(0,M49-M48)</f>
        <v>0</v>
      </c>
      <c r="O49" s="139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RESUMO'!AW6</f>
        <v>0</v>
      </c>
      <c r="N50" s="140" t="n">
        <f aca="false">MAX(0,M50-M49)</f>
        <v>0</v>
      </c>
      <c r="O50" s="139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RESUMO'!AX6</f>
        <v>0</v>
      </c>
      <c r="N51" s="140" t="n">
        <f aca="false">MAX(0,M51-M50)</f>
        <v>0</v>
      </c>
      <c r="O51" s="139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RESUMO'!AY6</f>
        <v>0</v>
      </c>
      <c r="N52" s="140" t="n">
        <f aca="false">MAX(0,M52-M51)</f>
        <v>0</v>
      </c>
      <c r="O52" s="139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RESUMO'!AZ6</f>
        <v>0</v>
      </c>
      <c r="N53" s="140" t="n">
        <f aca="false">MAX(0,M53-M52)</f>
        <v>0</v>
      </c>
      <c r="O53" s="139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RESUMO'!BA6</f>
        <v>0</v>
      </c>
      <c r="N54" s="140" t="n">
        <f aca="false">MAX(0,M54-M53)</f>
        <v>0</v>
      </c>
      <c r="O54" s="139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RESUMO'!BB6</f>
        <v>0</v>
      </c>
      <c r="N55" s="140" t="n">
        <f aca="false">MAX(0,M55-M54)</f>
        <v>0</v>
      </c>
      <c r="O55" s="139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RESUMO'!BC6</f>
        <v>0</v>
      </c>
      <c r="N56" s="140" t="n">
        <f aca="false">MAX(0,M56-M55)</f>
        <v>0</v>
      </c>
      <c r="O56" s="139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RESUMO'!BD6</f>
        <v>0</v>
      </c>
      <c r="N57" s="140" t="n">
        <f aca="false">MAX(0,M57-M56)</f>
        <v>0</v>
      </c>
      <c r="O57" s="139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RESUMO'!BE6</f>
        <v>0</v>
      </c>
      <c r="N58" s="140" t="n">
        <f aca="false">MAX(0,M58-M57)</f>
        <v>0</v>
      </c>
      <c r="O58" s="139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RESUMO'!BF6</f>
        <v>0</v>
      </c>
      <c r="N59" s="140" t="n">
        <f aca="false">MAX(0,M59-M58)</f>
        <v>0</v>
      </c>
      <c r="O59" s="139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RESUMO'!BG6</f>
        <v>0</v>
      </c>
      <c r="N60" s="140" t="n">
        <f aca="false">MAX(0,M60-M59)</f>
        <v>0</v>
      </c>
      <c r="O60" s="139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RESUMO'!BH6</f>
        <v>0</v>
      </c>
      <c r="N61" s="140" t="n">
        <f aca="false">MAX(0,M61-M60)</f>
        <v>0</v>
      </c>
      <c r="O61" s="139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RESUMO'!BI6</f>
        <v>0</v>
      </c>
      <c r="N62" s="140" t="n">
        <f aca="false">MAX(0,M62-M61)</f>
        <v>0</v>
      </c>
      <c r="O62" s="139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RESUMO'!BJ6</f>
        <v>0</v>
      </c>
      <c r="N63" s="140" t="n">
        <f aca="false">MAX(0,M63-M62)</f>
        <v>0</v>
      </c>
      <c r="O63" s="139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RESUMO'!BK6</f>
        <v>0</v>
      </c>
      <c r="N64" s="140" t="n">
        <f aca="false">MAX(0,M64-M63)</f>
        <v>0</v>
      </c>
      <c r="O64" s="139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RESUMO'!BL6</f>
        <v>0</v>
      </c>
      <c r="N65" s="140" t="n">
        <f aca="false">MAX(0,M65-M64)</f>
        <v>0</v>
      </c>
      <c r="O65" s="139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RESUMO'!BM6</f>
        <v>0</v>
      </c>
      <c r="N66" s="140" t="n">
        <f aca="false">MAX(0,M66-M65)</f>
        <v>0</v>
      </c>
      <c r="O66" s="139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RESUMO'!BN6</f>
        <v>0</v>
      </c>
      <c r="N67" s="140" t="n">
        <f aca="false">MAX(0,M67-M66)</f>
        <v>0</v>
      </c>
      <c r="O67" s="139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RESUMO'!BO6</f>
        <v>0</v>
      </c>
      <c r="N68" s="140" t="n">
        <f aca="false">MAX(0,M68-M67)</f>
        <v>0</v>
      </c>
      <c r="O68" s="139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RESUMO'!BP6</f>
        <v>0</v>
      </c>
      <c r="N69" s="140" t="n">
        <f aca="false">MAX(0,M69-M68)</f>
        <v>0</v>
      </c>
      <c r="O69" s="139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RESUMO'!BQ6</f>
        <v>0</v>
      </c>
      <c r="N70" s="140" t="n">
        <f aca="false">MAX(0,M70-M69)</f>
        <v>0</v>
      </c>
      <c r="O70" s="139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RESUMO'!BR6</f>
        <v>0</v>
      </c>
      <c r="N71" s="140" t="n">
        <f aca="false">MAX(0,M71-M70)</f>
        <v>0</v>
      </c>
      <c r="O71" s="139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RESUMO'!BS6</f>
        <v>0</v>
      </c>
      <c r="N72" s="140" t="n">
        <f aca="false">MAX(0,M72-M71)</f>
        <v>0</v>
      </c>
      <c r="O72" s="139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RESUMO'!BT6</f>
        <v>0</v>
      </c>
      <c r="N73" s="140" t="n">
        <f aca="false">MAX(0,M73-M72)</f>
        <v>0</v>
      </c>
      <c r="O73" s="139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RESUMO'!BU6</f>
        <v>0</v>
      </c>
      <c r="N74" s="140" t="n">
        <f aca="false">MAX(0,M74-M73)</f>
        <v>0</v>
      </c>
      <c r="O74" s="139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RESUMO'!BV6</f>
        <v>0</v>
      </c>
      <c r="N75" s="140" t="n">
        <f aca="false">MAX(0,M75-M74)</f>
        <v>0</v>
      </c>
      <c r="O75" s="139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RESUMO'!BW6</f>
        <v>0</v>
      </c>
      <c r="N76" s="140" t="n">
        <f aca="false">MAX(0,M76-M75)</f>
        <v>0</v>
      </c>
      <c r="O76" s="139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241135.16</v>
      </c>
      <c r="D78" s="61" t="n">
        <f aca="false">SUM(D5:D76)</f>
        <v>0</v>
      </c>
      <c r="E78" s="61" t="n">
        <f aca="false">SUM(E5:E76)</f>
        <v>191.166414165265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191.166414165265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HISTORICOS'!D7)</f>
        <v>154.1</v>
      </c>
      <c r="D5" s="45" t="n">
        <f aca="false">IF(B5&lt;='VALOR POR PL'!$P$5,0,IF($K$17&gt;0,$K$18*P5/$K$17,0))</f>
        <v>0</v>
      </c>
      <c r="E5" s="45" t="n">
        <f aca="false">L5+D5/$K$2</f>
        <v>0.135797845387852</v>
      </c>
      <c r="F5" s="117" t="n">
        <f aca="false">IF($K$9=0,0,E5/$K$9)</f>
        <v>0.00110192657144814</v>
      </c>
      <c r="G5" s="117" t="n">
        <f aca="false">F5</f>
        <v>0.00110192657144814</v>
      </c>
      <c r="H5" s="138"/>
      <c r="I5" s="42" t="s">
        <v>2920</v>
      </c>
      <c r="J5" s="56" t="n">
        <f aca="false">'VALOR POR PL'!F13</f>
        <v>150000</v>
      </c>
      <c r="K5" s="56" t="n">
        <f aca="false">'VALOR POR PL'!G13</f>
        <v>123.283686</v>
      </c>
      <c r="L5" s="56" t="n">
        <f aca="false">'DADOS HISTORICOS'!$BZ$7</f>
        <v>0.135797845387852</v>
      </c>
      <c r="M5" s="139" t="n">
        <f aca="false">'CP RESUMO'!D7</f>
        <v>0</v>
      </c>
      <c r="N5" s="140" t="n">
        <v>0</v>
      </c>
      <c r="O5" s="139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HISTORICOS'!E7)</f>
        <v>40.62</v>
      </c>
      <c r="D6" s="45" t="n">
        <f aca="false">IF(B6&lt;='VALOR POR PL'!$P$5,0,IF($K$17&gt;0,$K$18*P6/$K$17,0))</f>
        <v>0</v>
      </c>
      <c r="E6" s="45" t="n">
        <f aca="false">L6+D6/$K$2</f>
        <v>0.0347441998911998</v>
      </c>
      <c r="F6" s="117" t="n">
        <f aca="false">IF($K$9=0,0,E6/$K$9)</f>
        <v>0.000281930519254347</v>
      </c>
      <c r="G6" s="117" t="n">
        <f aca="false">G5+F6</f>
        <v>0.00138385709070248</v>
      </c>
      <c r="H6" s="138"/>
      <c r="I6" s="42" t="s">
        <v>2921</v>
      </c>
      <c r="K6" s="52" t="n">
        <f aca="false">'VALOR POR PL'!H13</f>
        <v>123.283686</v>
      </c>
      <c r="L6" s="45" t="n">
        <f aca="false">C6/IF(B6&lt;='VALOR POR PL'!$P$5,IFERROR(INDEX('"INCC-FGV"'!$B$2:$B$800,MATCH(B6,'"INCC-FGV"'!$A$2:$A$800,0)),$K$2),$K$2)</f>
        <v>0.0347441998911998</v>
      </c>
      <c r="M6" s="139" t="n">
        <f aca="false">'CP RESUMO'!E7</f>
        <v>0</v>
      </c>
      <c r="N6" s="140" t="n">
        <f aca="false">MAX(0,M6-M5)</f>
        <v>0</v>
      </c>
      <c r="O6" s="139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0.00138385709070248</v>
      </c>
      <c r="H7" s="138"/>
      <c r="I7" s="42" t="s">
        <v>2922</v>
      </c>
      <c r="J7" s="45" t="n">
        <f aca="false">C78+D78</f>
        <v>159786.721461049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RESUMO'!F7</f>
        <v>0</v>
      </c>
      <c r="N7" s="140" t="n">
        <f aca="false">MAX(0,M7-M6)</f>
        <v>0</v>
      </c>
      <c r="O7" s="139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0.00138385709070248</v>
      </c>
      <c r="H8" s="138"/>
      <c r="I8" s="42" t="s">
        <v>2923</v>
      </c>
      <c r="K8" s="66" t="n">
        <f aca="false">SUM(L5:L76)</f>
        <v>4.58238853370299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RESUMO'!G7</f>
        <v>0</v>
      </c>
      <c r="N8" s="140" t="n">
        <f aca="false">MAX(0,M8-M7)</f>
        <v>0</v>
      </c>
      <c r="O8" s="139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0.00138385709070248</v>
      </c>
      <c r="H9" s="138"/>
      <c r="I9" s="42" t="s">
        <v>2924</v>
      </c>
      <c r="J9" s="45" t="n">
        <f aca="false">C78+D78</f>
        <v>159786.721461049</v>
      </c>
      <c r="K9" s="45" t="n">
        <f aca="false">E78</f>
        <v>123.23674635542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RESUMO'!H7</f>
        <v>0</v>
      </c>
      <c r="N9" s="140" t="n">
        <f aca="false">MAX(0,M9-M8)</f>
        <v>0</v>
      </c>
      <c r="O9" s="139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0.00138385709070248</v>
      </c>
      <c r="H10" s="138"/>
      <c r="I10" s="42" t="s">
        <v>2925</v>
      </c>
      <c r="K10" s="52" t="n">
        <f aca="false">IF(K6-K8&gt;0,(K6-K8)*'VALOR POR PL'!$G$65,K6-K8)</f>
        <v>118.654357821717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RESUMO'!I7</f>
        <v>0</v>
      </c>
      <c r="N10" s="140" t="n">
        <f aca="false">MAX(0,M10-M9)</f>
        <v>0</v>
      </c>
      <c r="O10" s="139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HISTORICOS'!J7)</f>
        <v>64.24</v>
      </c>
      <c r="D11" s="45" t="n">
        <f aca="false">IF(B11&lt;='VALOR POR PL'!$P$5,0,IF($K$17&gt;0,$K$18*P11/$K$17,0))</f>
        <v>0</v>
      </c>
      <c r="E11" s="45" t="n">
        <f aca="false">L11+D11/$K$2</f>
        <v>0.0535552463549669</v>
      </c>
      <c r="F11" s="117" t="n">
        <f aca="false">IF($K$9=0,0,E11/$K$9)</f>
        <v>0.000434572056945671</v>
      </c>
      <c r="G11" s="117" t="n">
        <f aca="false">G10+F11</f>
        <v>0.00181842914764816</v>
      </c>
      <c r="H11" s="138"/>
      <c r="I11" s="42" t="s">
        <v>2926</v>
      </c>
      <c r="K11" s="56" t="n">
        <f aca="false">SUMPRODUCT((B5:B76&gt;'VALOR POR PL'!$P$5)*H5:H76)</f>
        <v>151217.5</v>
      </c>
      <c r="L11" s="45" t="n">
        <f aca="false">C11/IF(B11&lt;='VALOR POR PL'!$P$5,IFERROR(INDEX('"INCC-FGV"'!$B$2:$B$800,MATCH(B11,'"INCC-FGV"'!$A$2:$A$800,0)),$K$2),$K$2)</f>
        <v>0.0535552463549669</v>
      </c>
      <c r="M11" s="139" t="n">
        <f aca="false">'CP RESUMO'!J7</f>
        <v>0</v>
      </c>
      <c r="N11" s="140" t="n">
        <f aca="false">MAX(0,M11-M10)</f>
        <v>0</v>
      </c>
      <c r="O11" s="139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0.00181842914764816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RESUMO'!K7</f>
        <v>0</v>
      </c>
      <c r="N12" s="140" t="n">
        <f aca="false">MAX(0,M12-M11)</f>
        <v>0</v>
      </c>
      <c r="O12" s="139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0.00181842914764816</v>
      </c>
      <c r="H13" s="138"/>
      <c r="I13" s="42" t="s">
        <v>2928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RESUMO'!L7</f>
        <v>0</v>
      </c>
      <c r="N13" s="140" t="n">
        <f aca="false">MAX(0,M13-M12)</f>
        <v>0</v>
      </c>
      <c r="O13" s="139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0.00181842914764816</v>
      </c>
      <c r="H14" s="138"/>
      <c r="I14" s="42" t="s">
        <v>2929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RESUMO'!M7</f>
        <v>0</v>
      </c>
      <c r="N14" s="140" t="n">
        <f aca="false">MAX(0,M14-M13)</f>
        <v>0</v>
      </c>
      <c r="O14" s="139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0.00181842914764816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RESUMO'!N7</f>
        <v>0</v>
      </c>
      <c r="N15" s="140" t="n">
        <f aca="false">MAX(0,M15-M14)</f>
        <v>0</v>
      </c>
      <c r="O15" s="139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HISTORICOS'!O7)</f>
        <v>103.03</v>
      </c>
      <c r="D16" s="45" t="n">
        <f aca="false">IF(B16&lt;='VALOR POR PL'!$P$5,0,IF($K$17&gt;0,$K$18*P16/$K$17,0))</f>
        <v>0</v>
      </c>
      <c r="E16" s="45" t="n">
        <f aca="false">L16+D16/$K$2</f>
        <v>0.0840626843435188</v>
      </c>
      <c r="F16" s="117" t="n">
        <f aca="false">IF($K$9=0,0,E16/$K$9)</f>
        <v>0.000682123529138608</v>
      </c>
      <c r="G16" s="117" t="n">
        <f aca="false">G15+F16</f>
        <v>0.00250055267678676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0.0840626843435188</v>
      </c>
      <c r="M16" s="139" t="n">
        <f aca="false">'CP RESUMO'!O7</f>
        <v>0</v>
      </c>
      <c r="N16" s="140" t="n">
        <f aca="false">MAX(0,M16-M15)</f>
        <v>0</v>
      </c>
      <c r="O16" s="139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0.00250055267678676</v>
      </c>
      <c r="H17" s="138"/>
      <c r="I17" s="42" t="s">
        <v>2933</v>
      </c>
      <c r="K17" s="45" t="n">
        <f aca="false">SUM(P5:P76)</f>
        <v>151217.5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RESUMO'!P7</f>
        <v>0</v>
      </c>
      <c r="N17" s="140" t="n">
        <f aca="false">MAX(0,M17-M16)</f>
        <v>0</v>
      </c>
      <c r="O17" s="139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0.00250055267678676</v>
      </c>
      <c r="H18" s="138"/>
      <c r="I18" s="42" t="s">
        <v>2934</v>
      </c>
      <c r="K18" s="45" t="n">
        <f aca="false">MAX(0,K10)*$K$2</f>
        <v>153881.531461049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RESUMO'!Q7</f>
        <v>0</v>
      </c>
      <c r="N18" s="140" t="n">
        <f aca="false">MAX(0,M18-M17)</f>
        <v>0</v>
      </c>
      <c r="O18" s="139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0.00250055267678676</v>
      </c>
      <c r="H19" s="138"/>
      <c r="I19" s="42" t="s">
        <v>2935</v>
      </c>
      <c r="K19" s="142" t="n">
        <f aca="false">IF(AND(K16="PREVISÃO INFORMADA",K11&gt;0),K18/K11-1,"")</f>
        <v>0.0176172166650632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RESUMO'!R7</f>
        <v>0</v>
      </c>
      <c r="N19" s="140" t="n">
        <f aca="false">MAX(0,M19-M18)</f>
        <v>0</v>
      </c>
      <c r="O19" s="139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0.00250055267678676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RESUMO'!S7</f>
        <v>0</v>
      </c>
      <c r="N20" s="140" t="n">
        <f aca="false">MAX(0,M20-M19)</f>
        <v>0</v>
      </c>
      <c r="O20" s="139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0.00250055267678676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RESUMO'!T7</f>
        <v>0</v>
      </c>
      <c r="N21" s="140" t="n">
        <f aca="false">MAX(0,M21-M20)</f>
        <v>0</v>
      </c>
      <c r="O21" s="139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0.00250055267678676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RESUMO'!U7</f>
        <v>0</v>
      </c>
      <c r="N22" s="140" t="n">
        <f aca="false">MAX(0,M22-M21)</f>
        <v>0</v>
      </c>
      <c r="O22" s="139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0.00250055267678676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RESUMO'!V7</f>
        <v>0</v>
      </c>
      <c r="N23" s="140" t="n">
        <f aca="false">MAX(0,M23-M22)</f>
        <v>0</v>
      </c>
      <c r="O23" s="139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0.00250055267678676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RESUMO'!W7</f>
        <v>0</v>
      </c>
      <c r="N24" s="140" t="n">
        <f aca="false">MAX(0,M24-M23)</f>
        <v>0</v>
      </c>
      <c r="O24" s="139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HISTORICOS'!X7)</f>
        <v>5543.2</v>
      </c>
      <c r="D25" s="45" t="n">
        <f aca="false">IF(B25&lt;='VALOR POR PL'!$P$5,0,IF($K$17&gt;0,$K$18*P25/$K$17,0))</f>
        <v>0</v>
      </c>
      <c r="E25" s="45" t="n">
        <f aca="false">L25+D25/$K$2</f>
        <v>4.27422855772545</v>
      </c>
      <c r="F25" s="117" t="n">
        <f aca="false">IF($K$9=0,0,E25/$K$9)</f>
        <v>0.0346830688421324</v>
      </c>
      <c r="G25" s="117" t="n">
        <f aca="false">G24+F25</f>
        <v>0.0371836215189191</v>
      </c>
      <c r="H25" s="138"/>
      <c r="L25" s="45" t="n">
        <f aca="false">C25/IF(B25&lt;='VALOR POR PL'!$P$5,IFERROR(INDEX('"INCC-FGV"'!$B$2:$B$800,MATCH(B25,'"INCC-FGV"'!$A$2:$A$800,0)),$K$2),$K$2)</f>
        <v>4.27422855772545</v>
      </c>
      <c r="M25" s="139" t="n">
        <f aca="false">'CP RESUMO'!X7</f>
        <v>0</v>
      </c>
      <c r="N25" s="140" t="n">
        <f aca="false">MAX(0,M25-M24)</f>
        <v>0</v>
      </c>
      <c r="O25" s="139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941.051697283184</v>
      </c>
      <c r="E26" s="45" t="n">
        <f aca="false">L26+D26/$K$2</f>
        <v>0.72562239118628</v>
      </c>
      <c r="F26" s="117" t="n">
        <f aca="false">IF($K$9=0,0,E26/$K$9)</f>
        <v>0.00588803593607991</v>
      </c>
      <c r="G26" s="117" t="n">
        <f aca="false">G25+F26</f>
        <v>0.0430716574549991</v>
      </c>
      <c r="H26" s="138" t="n">
        <v>924.76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RESUMO'!Y7</f>
        <v>0</v>
      </c>
      <c r="N26" s="140" t="n">
        <f aca="false">MAX(0,M26-M25)</f>
        <v>0</v>
      </c>
      <c r="O26" s="139" t="str">
        <f aca="false">IF(B26&lt;='VALOR POR PL'!$P$5,'CP RESUMO'!Y49,"")</f>
        <v/>
      </c>
      <c r="P26" s="66" t="n">
        <f aca="false">IF(B26&lt;='VALOR POR PL'!$P$5,0,IF(OR($K$16="CURVA PREVISION",$K$16="MDO PREVISION + MATERIAL PREMISSA"),N26,IF($K$16="PREVISÃO INFORMADA",MAX(0,H26),0)))</f>
        <v>924.76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0.0430716574549991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RESUMO'!Z7</f>
        <v>0</v>
      </c>
      <c r="N27" s="140" t="n">
        <f aca="false">MAX(0,M27-M26)</f>
        <v>0</v>
      </c>
      <c r="O27" s="139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0.0430716574549991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RESUMO'!AA7</f>
        <v>0</v>
      </c>
      <c r="N28" s="140" t="n">
        <f aca="false">MAX(0,M28-M27)</f>
        <v>0</v>
      </c>
      <c r="O28" s="139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941.051697283184</v>
      </c>
      <c r="E29" s="45" t="n">
        <f aca="false">L29+D29/$K$2</f>
        <v>0.72562239118628</v>
      </c>
      <c r="F29" s="117" t="n">
        <f aca="false">IF($K$9=0,0,E29/$K$9)</f>
        <v>0.00588803593607991</v>
      </c>
      <c r="G29" s="117" t="n">
        <f aca="false">G28+F29</f>
        <v>0.048959693391079</v>
      </c>
      <c r="H29" s="138" t="n">
        <v>924.76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RESUMO'!AB7</f>
        <v>0</v>
      </c>
      <c r="N29" s="140" t="n">
        <f aca="false">MAX(0,M29-M28)</f>
        <v>0</v>
      </c>
      <c r="O29" s="139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924.76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0.048959693391079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RESUMO'!AC7</f>
        <v>0</v>
      </c>
      <c r="N30" s="140" t="n">
        <f aca="false">MAX(0,M30-M29)</f>
        <v>0</v>
      </c>
      <c r="O30" s="139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0.048959693391079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RESUMO'!AD7</f>
        <v>0</v>
      </c>
      <c r="N31" s="140" t="n">
        <f aca="false">MAX(0,M31-M30)</f>
        <v>0</v>
      </c>
      <c r="O31" s="139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941.051697283184</v>
      </c>
      <c r="E32" s="45" t="n">
        <f aca="false">L32+D32/$K$2</f>
        <v>0.72562239118628</v>
      </c>
      <c r="F32" s="117" t="n">
        <f aca="false">IF($K$9=0,0,E32/$K$9)</f>
        <v>0.00588803593607991</v>
      </c>
      <c r="G32" s="117" t="n">
        <f aca="false">G31+F32</f>
        <v>0.0548477293271589</v>
      </c>
      <c r="H32" s="138" t="n">
        <v>924.76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RESUMO'!AE7</f>
        <v>0</v>
      </c>
      <c r="N32" s="140" t="n">
        <f aca="false">MAX(0,M32-M31)</f>
        <v>0</v>
      </c>
      <c r="O32" s="139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924.76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0.0548477293271589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RESUMO'!AF7</f>
        <v>0</v>
      </c>
      <c r="N33" s="140" t="n">
        <f aca="false">MAX(0,M33-M32)</f>
        <v>0</v>
      </c>
      <c r="O33" s="139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0.0548477293271589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RESUMO'!AG7</f>
        <v>0</v>
      </c>
      <c r="N34" s="140" t="n">
        <f aca="false">MAX(0,M34-M33)</f>
        <v>0</v>
      </c>
      <c r="O34" s="139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941.051697283184</v>
      </c>
      <c r="E35" s="45" t="n">
        <f aca="false">L35+D35/$K$2</f>
        <v>0.72562239118628</v>
      </c>
      <c r="F35" s="117" t="n">
        <f aca="false">IF($K$9=0,0,E35/$K$9)</f>
        <v>0.00588803593607991</v>
      </c>
      <c r="G35" s="117" t="n">
        <f aca="false">G34+F35</f>
        <v>0.0607357652632388</v>
      </c>
      <c r="H35" s="138" t="n">
        <v>924.76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RESUMO'!AH7</f>
        <v>0</v>
      </c>
      <c r="N35" s="140" t="n">
        <f aca="false">MAX(0,M35-M34)</f>
        <v>0</v>
      </c>
      <c r="O35" s="139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924.76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0.0607357652632388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RESUMO'!AI7</f>
        <v>0</v>
      </c>
      <c r="N36" s="140" t="n">
        <f aca="false">MAX(0,M36-M35)</f>
        <v>0</v>
      </c>
      <c r="O36" s="139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0.0607357652632388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RESUMO'!AJ7</f>
        <v>0</v>
      </c>
      <c r="N37" s="140" t="n">
        <f aca="false">MAX(0,M37-M36)</f>
        <v>0</v>
      </c>
      <c r="O37" s="139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941.051697283184</v>
      </c>
      <c r="E38" s="45" t="n">
        <f aca="false">L38+D38/$K$2</f>
        <v>0.72562239118628</v>
      </c>
      <c r="F38" s="117" t="n">
        <f aca="false">IF($K$9=0,0,E38/$K$9)</f>
        <v>0.00588803593607991</v>
      </c>
      <c r="G38" s="117" t="n">
        <f aca="false">G37+F38</f>
        <v>0.0666238011993187</v>
      </c>
      <c r="H38" s="138" t="n">
        <v>924.76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RESUMO'!AK7</f>
        <v>0</v>
      </c>
      <c r="N38" s="140" t="n">
        <f aca="false">MAX(0,M38-M37)</f>
        <v>0</v>
      </c>
      <c r="O38" s="139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924.76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0.0666238011993187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RESUMO'!AL7</f>
        <v>0</v>
      </c>
      <c r="N39" s="140" t="n">
        <f aca="false">MAX(0,M39-M38)</f>
        <v>0</v>
      </c>
      <c r="O39" s="139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0.0666238011993187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RESUMO'!AM7</f>
        <v>0</v>
      </c>
      <c r="N40" s="140" t="n">
        <f aca="false">MAX(0,M40-M39)</f>
        <v>0</v>
      </c>
      <c r="O40" s="139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0.0666238011993187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RESUMO'!AN7</f>
        <v>0</v>
      </c>
      <c r="N41" s="140" t="n">
        <f aca="false">MAX(0,M41-M40)</f>
        <v>0</v>
      </c>
      <c r="O41" s="139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0.0666238011993187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RESUMO'!AO7</f>
        <v>0</v>
      </c>
      <c r="N42" s="140" t="n">
        <f aca="false">MAX(0,M42-M41)</f>
        <v>0</v>
      </c>
      <c r="O42" s="139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0.0666238011993187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RESUMO'!AP7</f>
        <v>0</v>
      </c>
      <c r="N43" s="140" t="n">
        <f aca="false">MAX(0,M43-M42)</f>
        <v>0</v>
      </c>
      <c r="O43" s="139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0.0666238011993187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RESUMO'!AQ7</f>
        <v>0</v>
      </c>
      <c r="N44" s="140" t="n">
        <f aca="false">MAX(0,M44-M43)</f>
        <v>0</v>
      </c>
      <c r="O44" s="139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0.0666238011993187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RESUMO'!AR7</f>
        <v>0</v>
      </c>
      <c r="N45" s="140" t="n">
        <f aca="false">MAX(0,M45-M44)</f>
        <v>0</v>
      </c>
      <c r="O45" s="139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0.0666238011993187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RESUMO'!AS7</f>
        <v>0</v>
      </c>
      <c r="N46" s="140" t="n">
        <f aca="false">MAX(0,M46-M45)</f>
        <v>0</v>
      </c>
      <c r="O46" s="139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0.0666238011993187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RESUMO'!AT7</f>
        <v>0</v>
      </c>
      <c r="N47" s="140" t="n">
        <f aca="false">MAX(0,M47-M46)</f>
        <v>0</v>
      </c>
      <c r="O47" s="139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0.0666238011993187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RESUMO'!AU7</f>
        <v>0</v>
      </c>
      <c r="N48" s="140" t="n">
        <f aca="false">MAX(0,M48-M47)</f>
        <v>0</v>
      </c>
      <c r="O48" s="139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0.0666238011993187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RESUMO'!AV7</f>
        <v>0</v>
      </c>
      <c r="N49" s="140" t="n">
        <f aca="false">MAX(0,M49-M48)</f>
        <v>0</v>
      </c>
      <c r="O49" s="139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0.0666238011993187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RESUMO'!AW7</f>
        <v>0</v>
      </c>
      <c r="N50" s="140" t="n">
        <f aca="false">MAX(0,M50-M49)</f>
        <v>0</v>
      </c>
      <c r="O50" s="139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16242.5954420777</v>
      </c>
      <c r="E51" s="45" t="n">
        <f aca="false">L51+D51/$K$2</f>
        <v>12.5242757414688</v>
      </c>
      <c r="F51" s="117" t="n">
        <f aca="false">IF($K$9=0,0,E51/$K$9)</f>
        <v>0.101627770221621</v>
      </c>
      <c r="G51" s="117" t="n">
        <f aca="false">G50+F51</f>
        <v>0.168251571420939</v>
      </c>
      <c r="H51" s="138" t="n">
        <v>15961.4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RESUMO'!AX7</f>
        <v>0</v>
      </c>
      <c r="N51" s="140" t="n">
        <f aca="false">MAX(0,M51-M50)</f>
        <v>0</v>
      </c>
      <c r="O51" s="139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15961.4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25379.0579222895</v>
      </c>
      <c r="E52" s="45" t="n">
        <f aca="false">L52+D52/$K$2</f>
        <v>19.5691828076956</v>
      </c>
      <c r="F52" s="117" t="n">
        <f aca="false">IF($K$9=0,0,E52/$K$9)</f>
        <v>0.158793406889023</v>
      </c>
      <c r="G52" s="117" t="n">
        <f aca="false">G51+F52</f>
        <v>0.327044978309962</v>
      </c>
      <c r="H52" s="138" t="n">
        <v>24939.69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RESUMO'!AY7</f>
        <v>0</v>
      </c>
      <c r="N52" s="140" t="n">
        <f aca="false">MAX(0,M52-M51)</f>
        <v>0</v>
      </c>
      <c r="O52" s="139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24939.69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304.55248060352</v>
      </c>
      <c r="E53" s="45" t="n">
        <f aca="false">L53+D53/$K$2</f>
        <v>0.23483311262839</v>
      </c>
      <c r="F53" s="117" t="n">
        <f aca="false">IF($K$9=0,0,E53/$K$9)</f>
        <v>0.00190554456826636</v>
      </c>
      <c r="G53" s="117" t="n">
        <f aca="false">G52+F53</f>
        <v>0.328950522878229</v>
      </c>
      <c r="H53" s="138" t="n">
        <v>299.28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RESUMO'!AZ7</f>
        <v>0</v>
      </c>
      <c r="N53" s="140" t="n">
        <f aca="false">MAX(0,M53-M52)</f>
        <v>0</v>
      </c>
      <c r="O53" s="139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299.28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45682.3022248867</v>
      </c>
      <c r="E54" s="45" t="n">
        <f aca="false">L54+D54/$K$2</f>
        <v>35.2245274845316</v>
      </c>
      <c r="F54" s="117" t="n">
        <f aca="false">IF($K$9=0,0,E54/$K$9)</f>
        <v>0.285828119666049</v>
      </c>
      <c r="G54" s="117" t="n">
        <f aca="false">G53+F54</f>
        <v>0.614778642544278</v>
      </c>
      <c r="H54" s="138" t="n">
        <v>44891.44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RESUMO'!BA7</f>
        <v>0</v>
      </c>
      <c r="N54" s="140" t="n">
        <f aca="false">MAX(0,M54-M53)</f>
        <v>0</v>
      </c>
      <c r="O54" s="139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44891.44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61567.7649047758</v>
      </c>
      <c r="E55" s="45" t="n">
        <f aca="false">L55+D55/$K$2</f>
        <v>47.4734267194616</v>
      </c>
      <c r="F55" s="117" t="n">
        <f aca="false">IF($K$9=0,0,E55/$K$9)</f>
        <v>0.385221357455723</v>
      </c>
      <c r="G55" s="117" t="n">
        <f aca="false">G54+F55</f>
        <v>1</v>
      </c>
      <c r="H55" s="138" t="n">
        <v>60501.89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RESUMO'!BB7</f>
        <v>0</v>
      </c>
      <c r="N55" s="140" t="n">
        <f aca="false">MAX(0,M55-M54)</f>
        <v>0</v>
      </c>
      <c r="O55" s="139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60501.89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RESUMO'!BC7</f>
        <v>0</v>
      </c>
      <c r="N56" s="140" t="n">
        <f aca="false">MAX(0,M56-M55)</f>
        <v>0</v>
      </c>
      <c r="O56" s="139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RESUMO'!BD7</f>
        <v>0</v>
      </c>
      <c r="N57" s="140" t="n">
        <f aca="false">MAX(0,M57-M56)</f>
        <v>0</v>
      </c>
      <c r="O57" s="139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RESUMO'!BE7</f>
        <v>0</v>
      </c>
      <c r="N58" s="140" t="n">
        <f aca="false">MAX(0,M58-M57)</f>
        <v>0</v>
      </c>
      <c r="O58" s="139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RESUMO'!BF7</f>
        <v>0</v>
      </c>
      <c r="N59" s="140" t="n">
        <f aca="false">MAX(0,M59-M58)</f>
        <v>0</v>
      </c>
      <c r="O59" s="139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RESUMO'!BG7</f>
        <v>0</v>
      </c>
      <c r="N60" s="140" t="n">
        <f aca="false">MAX(0,M60-M59)</f>
        <v>0</v>
      </c>
      <c r="O60" s="139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RESUMO'!BH7</f>
        <v>0</v>
      </c>
      <c r="N61" s="140" t="n">
        <f aca="false">MAX(0,M61-M60)</f>
        <v>0</v>
      </c>
      <c r="O61" s="139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RESUMO'!BI7</f>
        <v>0</v>
      </c>
      <c r="N62" s="140" t="n">
        <f aca="false">MAX(0,M62-M61)</f>
        <v>0</v>
      </c>
      <c r="O62" s="139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RESUMO'!BJ7</f>
        <v>0</v>
      </c>
      <c r="N63" s="140" t="n">
        <f aca="false">MAX(0,M63-M62)</f>
        <v>0</v>
      </c>
      <c r="O63" s="139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RESUMO'!BK7</f>
        <v>0</v>
      </c>
      <c r="N64" s="140" t="n">
        <f aca="false">MAX(0,M64-M63)</f>
        <v>0</v>
      </c>
      <c r="O64" s="139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RESUMO'!BL7</f>
        <v>0</v>
      </c>
      <c r="N65" s="140" t="n">
        <f aca="false">MAX(0,M65-M64)</f>
        <v>0</v>
      </c>
      <c r="O65" s="139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RESUMO'!BM7</f>
        <v>0</v>
      </c>
      <c r="N66" s="140" t="n">
        <f aca="false">MAX(0,M66-M65)</f>
        <v>0</v>
      </c>
      <c r="O66" s="139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RESUMO'!BN7</f>
        <v>0</v>
      </c>
      <c r="N67" s="140" t="n">
        <f aca="false">MAX(0,M67-M66)</f>
        <v>0</v>
      </c>
      <c r="O67" s="139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RESUMO'!BO7</f>
        <v>0</v>
      </c>
      <c r="N68" s="140" t="n">
        <f aca="false">MAX(0,M68-M67)</f>
        <v>0</v>
      </c>
      <c r="O68" s="139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RESUMO'!BP7</f>
        <v>0</v>
      </c>
      <c r="N69" s="140" t="n">
        <f aca="false">MAX(0,M69-M68)</f>
        <v>0</v>
      </c>
      <c r="O69" s="139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RESUMO'!BQ7</f>
        <v>0</v>
      </c>
      <c r="N70" s="140" t="n">
        <f aca="false">MAX(0,M70-M69)</f>
        <v>0</v>
      </c>
      <c r="O70" s="139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RESUMO'!BR7</f>
        <v>0</v>
      </c>
      <c r="N71" s="140" t="n">
        <f aca="false">MAX(0,M71-M70)</f>
        <v>0</v>
      </c>
      <c r="O71" s="139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RESUMO'!BS7</f>
        <v>0</v>
      </c>
      <c r="N72" s="140" t="n">
        <f aca="false">MAX(0,M72-M71)</f>
        <v>0</v>
      </c>
      <c r="O72" s="139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RESUMO'!BT7</f>
        <v>0</v>
      </c>
      <c r="N73" s="140" t="n">
        <f aca="false">MAX(0,M73-M72)</f>
        <v>0</v>
      </c>
      <c r="O73" s="139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RESUMO'!BU7</f>
        <v>0</v>
      </c>
      <c r="N74" s="140" t="n">
        <f aca="false">MAX(0,M74-M73)</f>
        <v>0</v>
      </c>
      <c r="O74" s="139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RESUMO'!BV7</f>
        <v>0</v>
      </c>
      <c r="N75" s="140" t="n">
        <f aca="false">MAX(0,M75-M74)</f>
        <v>0</v>
      </c>
      <c r="O75" s="139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RESUMO'!BW7</f>
        <v>0</v>
      </c>
      <c r="N76" s="140" t="n">
        <f aca="false">MAX(0,M76-M75)</f>
        <v>0</v>
      </c>
      <c r="O76" s="139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5905.19</v>
      </c>
      <c r="D78" s="61" t="n">
        <f aca="false">SUM(D5:D76)</f>
        <v>153881.531461049</v>
      </c>
      <c r="E78" s="61" t="n">
        <f aca="false">SUM(E5:E76)</f>
        <v>123.23674635542</v>
      </c>
      <c r="F78" s="145" t="n">
        <f aca="false">SUM(F5:F76)</f>
        <v>1</v>
      </c>
      <c r="H78" s="61" t="n">
        <f aca="false">SUM(H5:H76)</f>
        <v>151217.5</v>
      </c>
      <c r="L78" s="61" t="n">
        <f aca="false">SUM(L5:L76)</f>
        <v>4.58238853370299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HISTORICOS'!D8)</f>
        <v>61380.97</v>
      </c>
      <c r="D5" s="45" t="n">
        <f aca="false">IF(B5&lt;='VALOR POR PL'!$P$5,0,IF($K$17&gt;0,$K$18*P5/$K$17,0))</f>
        <v>0</v>
      </c>
      <c r="E5" s="45" t="n">
        <f aca="false">L5+D5/$K$2</f>
        <v>53.8981367600457</v>
      </c>
      <c r="F5" s="117" t="n">
        <f aca="false">IF($K$9=0,0,E5/$K$9)</f>
        <v>0.0554195470645073</v>
      </c>
      <c r="G5" s="117" t="n">
        <f aca="false">F5</f>
        <v>0.0554195470645073</v>
      </c>
      <c r="H5" s="138"/>
      <c r="I5" s="42" t="s">
        <v>2920</v>
      </c>
      <c r="J5" s="56" t="n">
        <f aca="false">'VALOR POR PL'!F14</f>
        <v>934513.13</v>
      </c>
      <c r="K5" s="56" t="n">
        <f aca="false">'VALOR POR PL'!G14</f>
        <v>768.068153</v>
      </c>
      <c r="L5" s="56" t="n">
        <f aca="false">'DADOS HISTORICOS'!$BZ$8</f>
        <v>53.8981367600457</v>
      </c>
      <c r="M5" s="139" t="n">
        <f aca="false">'CP RESUMO'!D8</f>
        <v>0</v>
      </c>
      <c r="N5" s="140" t="n">
        <v>0</v>
      </c>
      <c r="O5" s="139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0.0554195470645073</v>
      </c>
      <c r="H6" s="138"/>
      <c r="I6" s="42" t="s">
        <v>2921</v>
      </c>
      <c r="K6" s="52" t="n">
        <f aca="false">'VALOR POR PL'!H14</f>
        <v>972.714666461365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RESUMO'!E8</f>
        <v>0</v>
      </c>
      <c r="N6" s="140" t="n">
        <f aca="false">MAX(0,M6-M5)</f>
        <v>0</v>
      </c>
      <c r="O6" s="139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0.0554195470645073</v>
      </c>
      <c r="H7" s="138"/>
      <c r="I7" s="42" t="s">
        <v>2922</v>
      </c>
      <c r="J7" s="45" t="n">
        <f aca="false">C78+D78</f>
        <v>1221240.71877809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RESUMO'!F8</f>
        <v>0</v>
      </c>
      <c r="N7" s="140" t="n">
        <f aca="false">MAX(0,M7-M6)</f>
        <v>0</v>
      </c>
      <c r="O7" s="139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0.0554195470645073</v>
      </c>
      <c r="H8" s="138"/>
      <c r="I8" s="42" t="s">
        <v>2923</v>
      </c>
      <c r="K8" s="66" t="n">
        <f aca="false">SUM(L5:L76)</f>
        <v>549.746203821413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RESUMO'!G8</f>
        <v>0</v>
      </c>
      <c r="N8" s="140" t="n">
        <f aca="false">MAX(0,M8-M7)</f>
        <v>0</v>
      </c>
      <c r="O8" s="139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0.0554195470645073</v>
      </c>
      <c r="H9" s="138"/>
      <c r="I9" s="42" t="s">
        <v>2924</v>
      </c>
      <c r="J9" s="45" t="n">
        <f aca="false">C78+D78</f>
        <v>1221240.71877809</v>
      </c>
      <c r="K9" s="45" t="n">
        <f aca="false">E78</f>
        <v>972.547406374673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RESUMO'!H8</f>
        <v>0</v>
      </c>
      <c r="N9" s="140" t="n">
        <f aca="false">MAX(0,M9-M8)</f>
        <v>0</v>
      </c>
      <c r="O9" s="139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0.0554195470645073</v>
      </c>
      <c r="H10" s="138"/>
      <c r="I10" s="42" t="s">
        <v>2925</v>
      </c>
      <c r="K10" s="52" t="n">
        <f aca="false">IF(K6-K8&gt;0,(K6-K8)*'VALOR POR PL'!$G$65,K6-K8)</f>
        <v>422.80120255326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RESUMO'!I8</f>
        <v>0</v>
      </c>
      <c r="N10" s="140" t="n">
        <f aca="false">MAX(0,M10-M9)</f>
        <v>0</v>
      </c>
      <c r="O10" s="139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HISTORICOS'!J8)</f>
        <v>61557.78</v>
      </c>
      <c r="D11" s="45" t="n">
        <f aca="false">IF(B11&lt;='VALOR POR PL'!$P$5,0,IF($K$17&gt;0,$K$18*P11/$K$17,0))</f>
        <v>0</v>
      </c>
      <c r="E11" s="45" t="n">
        <f aca="false">L11+D11/$K$2</f>
        <v>51.319148084758</v>
      </c>
      <c r="F11" s="117" t="n">
        <f aca="false">IF($K$9=0,0,E11/$K$9)</f>
        <v>0.0527677599553305</v>
      </c>
      <c r="G11" s="117" t="n">
        <f aca="false">G10+F11</f>
        <v>0.108187307019838</v>
      </c>
      <c r="H11" s="138"/>
      <c r="I11" s="42" t="s">
        <v>2926</v>
      </c>
      <c r="K11" s="56" t="n">
        <f aca="false">SUMPRODUCT((B5:B76&gt;'VALOR POR PL'!$P$5)*H5:H76)</f>
        <v>597111.3</v>
      </c>
      <c r="L11" s="45" t="n">
        <f aca="false">C11/IF(B11&lt;='VALOR POR PL'!$P$5,IFERROR(INDEX('"INCC-FGV"'!$B$2:$B$800,MATCH(B11,'"INCC-FGV"'!$A$2:$A$800,0)),$K$2),$K$2)</f>
        <v>51.319148084758</v>
      </c>
      <c r="M11" s="139" t="n">
        <f aca="false">'CP RESUMO'!J8</f>
        <v>0</v>
      </c>
      <c r="N11" s="140" t="n">
        <f aca="false">MAX(0,M11-M10)</f>
        <v>0</v>
      </c>
      <c r="O11" s="139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HISTORICOS'!K8)</f>
        <v>70633.03</v>
      </c>
      <c r="D12" s="45" t="n">
        <f aca="false">IF(B12&lt;='VALOR POR PL'!$P$5,0,IF($K$17&gt;0,$K$18*P12/$K$17,0))</f>
        <v>0</v>
      </c>
      <c r="E12" s="45" t="n">
        <f aca="false">L12+D12/$K$2</f>
        <v>58.3516912011936</v>
      </c>
      <c r="F12" s="117" t="n">
        <f aca="false">IF($K$9=0,0,E12/$K$9)</f>
        <v>0.0599988142672746</v>
      </c>
      <c r="G12" s="117" t="n">
        <f aca="false">G11+F12</f>
        <v>0.168186121287112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58.3516912011936</v>
      </c>
      <c r="M12" s="139" t="n">
        <f aca="false">'CP RESUMO'!K8</f>
        <v>0</v>
      </c>
      <c r="N12" s="140" t="n">
        <f aca="false">MAX(0,M12-M11)</f>
        <v>0</v>
      </c>
      <c r="O12" s="139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HISTORICOS'!L8)</f>
        <v>66792.52</v>
      </c>
      <c r="D13" s="45" t="n">
        <f aca="false">IF(B13&lt;='VALOR POR PL'!$P$5,0,IF($K$17&gt;0,$K$18*P13/$K$17,0))</f>
        <v>0</v>
      </c>
      <c r="E13" s="45" t="n">
        <f aca="false">L13+D13/$K$2</f>
        <v>54.8961869177928</v>
      </c>
      <c r="F13" s="117" t="n">
        <f aca="false">IF($K$9=0,0,E13/$K$9)</f>
        <v>0.0564457696951012</v>
      </c>
      <c r="G13" s="117" t="n">
        <f aca="false">G12+F13</f>
        <v>0.224631890982214</v>
      </c>
      <c r="H13" s="138"/>
      <c r="I13" s="42" t="s">
        <v>2928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54.8961869177928</v>
      </c>
      <c r="M13" s="139" t="n">
        <f aca="false">'CP RESUMO'!L8</f>
        <v>0</v>
      </c>
      <c r="N13" s="140" t="n">
        <f aca="false">MAX(0,M13-M12)</f>
        <v>0</v>
      </c>
      <c r="O13" s="139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HISTORICOS'!M8)</f>
        <v>71201.4</v>
      </c>
      <c r="D14" s="45" t="n">
        <f aca="false">IF(B14&lt;='VALOR POR PL'!$P$5,0,IF($K$17&gt;0,$K$18*P14/$K$17,0))</f>
        <v>0</v>
      </c>
      <c r="E14" s="45" t="n">
        <f aca="false">L14+D14/$K$2</f>
        <v>58.4218053459824</v>
      </c>
      <c r="F14" s="117" t="n">
        <f aca="false">IF($K$9=0,0,E14/$K$9)</f>
        <v>0.0600709075599297</v>
      </c>
      <c r="G14" s="117" t="n">
        <f aca="false">G13+F14</f>
        <v>0.284702798542143</v>
      </c>
      <c r="H14" s="138"/>
      <c r="I14" s="42" t="s">
        <v>2929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58.4218053459824</v>
      </c>
      <c r="M14" s="139" t="n">
        <f aca="false">'CP RESUMO'!M8</f>
        <v>0</v>
      </c>
      <c r="N14" s="140" t="n">
        <f aca="false">MAX(0,M14-M13)</f>
        <v>0</v>
      </c>
      <c r="O14" s="139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HISTORICOS'!N8)</f>
        <v>59244.3</v>
      </c>
      <c r="D15" s="45" t="n">
        <f aca="false">IF(B15&lt;='VALOR POR PL'!$P$5,0,IF($K$17&gt;0,$K$18*P15/$K$17,0))</f>
        <v>0</v>
      </c>
      <c r="E15" s="45" t="n">
        <f aca="false">L15+D15/$K$2</f>
        <v>48.4673041241668</v>
      </c>
      <c r="F15" s="117" t="n">
        <f aca="false">IF($K$9=0,0,E15/$K$9)</f>
        <v>0.0498354155349984</v>
      </c>
      <c r="G15" s="117" t="n">
        <f aca="false">G14+F15</f>
        <v>0.334538214077142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48.4673041241668</v>
      </c>
      <c r="M15" s="139" t="n">
        <f aca="false">'CP RESUMO'!N8</f>
        <v>0</v>
      </c>
      <c r="N15" s="140" t="n">
        <f aca="false">MAX(0,M15-M14)</f>
        <v>0</v>
      </c>
      <c r="O15" s="139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HISTORICOS'!O8)</f>
        <v>40715.62</v>
      </c>
      <c r="D16" s="45" t="n">
        <f aca="false">IF(B16&lt;='VALOR POR PL'!$P$5,0,IF($K$17&gt;0,$K$18*P16/$K$17,0))</f>
        <v>0</v>
      </c>
      <c r="E16" s="45" t="n">
        <f aca="false">L16+D16/$K$2</f>
        <v>33.2200748511178</v>
      </c>
      <c r="F16" s="117" t="n">
        <f aca="false">IF($K$9=0,0,E16/$K$9)</f>
        <v>0.0341577949140299</v>
      </c>
      <c r="G16" s="117" t="n">
        <f aca="false">G15+F16</f>
        <v>0.368696008991172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33.2200748511178</v>
      </c>
      <c r="M16" s="139" t="n">
        <f aca="false">'CP RESUMO'!O8</f>
        <v>0</v>
      </c>
      <c r="N16" s="140" t="n">
        <f aca="false">MAX(0,M16-M15)</f>
        <v>0</v>
      </c>
      <c r="O16" s="139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HISTORICOS'!P8)</f>
        <v>51460.01</v>
      </c>
      <c r="D17" s="45" t="n">
        <f aca="false">IF(B17&lt;='VALOR POR PL'!$P$5,0,IF($K$17&gt;0,$K$18*P17/$K$17,0))</f>
        <v>0</v>
      </c>
      <c r="E17" s="45" t="n">
        <f aca="false">L17+D17/$K$2</f>
        <v>41.9000521918543</v>
      </c>
      <c r="F17" s="117" t="n">
        <f aca="false">IF($K$9=0,0,E17/$K$9)</f>
        <v>0.0430827864196806</v>
      </c>
      <c r="G17" s="117" t="n">
        <f aca="false">G16+F17</f>
        <v>0.411778795410852</v>
      </c>
      <c r="H17" s="138"/>
      <c r="I17" s="42" t="s">
        <v>2933</v>
      </c>
      <c r="K17" s="45" t="n">
        <f aca="false">SUM(P5:P76)</f>
        <v>597111.3</v>
      </c>
      <c r="L17" s="45" t="n">
        <f aca="false">C17/IF(B17&lt;='VALOR POR PL'!$P$5,IFERROR(INDEX('"INCC-FGV"'!$B$2:$B$800,MATCH(B17,'"INCC-FGV"'!$A$2:$A$800,0)),$K$2),$K$2)</f>
        <v>41.9000521918543</v>
      </c>
      <c r="M17" s="139" t="n">
        <f aca="false">'CP RESUMO'!P8</f>
        <v>0</v>
      </c>
      <c r="N17" s="140" t="n">
        <f aca="false">MAX(0,M17-M16)</f>
        <v>0</v>
      </c>
      <c r="O17" s="139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HISTORICOS'!Q8)</f>
        <v>22683.91</v>
      </c>
      <c r="D18" s="45" t="n">
        <f aca="false">IF(B18&lt;='VALOR POR PL'!$P$5,0,IF($K$17&gt;0,$K$18*P18/$K$17,0))</f>
        <v>0</v>
      </c>
      <c r="E18" s="45" t="n">
        <f aca="false">L18+D18/$K$2</f>
        <v>18.3373078875635</v>
      </c>
      <c r="F18" s="117" t="n">
        <f aca="false">IF($K$9=0,0,E18/$K$9)</f>
        <v>0.0188549244667864</v>
      </c>
      <c r="G18" s="117" t="n">
        <f aca="false">G17+F18</f>
        <v>0.430633719877639</v>
      </c>
      <c r="H18" s="138"/>
      <c r="I18" s="42" t="s">
        <v>2934</v>
      </c>
      <c r="K18" s="45" t="n">
        <f aca="false">MAX(0,K10)*$K$2</f>
        <v>548326.228778094</v>
      </c>
      <c r="L18" s="45" t="n">
        <f aca="false">C18/IF(B18&lt;='VALOR POR PL'!$P$5,IFERROR(INDEX('"INCC-FGV"'!$B$2:$B$800,MATCH(B18,'"INCC-FGV"'!$A$2:$A$800,0)),$K$2),$K$2)</f>
        <v>18.3373078875635</v>
      </c>
      <c r="M18" s="139" t="n">
        <f aca="false">'CP RESUMO'!Q8</f>
        <v>0</v>
      </c>
      <c r="N18" s="140" t="n">
        <f aca="false">MAX(0,M18-M17)</f>
        <v>0</v>
      </c>
      <c r="O18" s="139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HISTORICOS'!R8)</f>
        <v>17563.67</v>
      </c>
      <c r="D19" s="45" t="n">
        <f aca="false">IF(B19&lt;='VALOR POR PL'!$P$5,0,IF($K$17&gt;0,$K$18*P19/$K$17,0))</f>
        <v>0</v>
      </c>
      <c r="E19" s="45" t="n">
        <f aca="false">L19+D19/$K$2</f>
        <v>14.1587577721868</v>
      </c>
      <c r="F19" s="117" t="n">
        <f aca="false">IF($K$9=0,0,E19/$K$9)</f>
        <v>0.0145584242777078</v>
      </c>
      <c r="G19" s="117" t="n">
        <f aca="false">G18+F19</f>
        <v>0.445192144155346</v>
      </c>
      <c r="H19" s="138"/>
      <c r="I19" s="42" t="s">
        <v>2935</v>
      </c>
      <c r="K19" s="142" t="n">
        <f aca="false">IF(AND(K16="PREVISÃO INFORMADA",K11&gt;0),K18/K11-1,"")</f>
        <v>-0.0817018053785044</v>
      </c>
      <c r="L19" s="45" t="n">
        <f aca="false">C19/IF(B19&lt;='VALOR POR PL'!$P$5,IFERROR(INDEX('"INCC-FGV"'!$B$2:$B$800,MATCH(B19,'"INCC-FGV"'!$A$2:$A$800,0)),$K$2),$K$2)</f>
        <v>14.1587577721868</v>
      </c>
      <c r="M19" s="139" t="n">
        <f aca="false">'CP RESUMO'!R8</f>
        <v>0</v>
      </c>
      <c r="N19" s="140" t="n">
        <f aca="false">MAX(0,M19-M18)</f>
        <v>0</v>
      </c>
      <c r="O19" s="139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HISTORICOS'!S8)</f>
        <v>14403.47</v>
      </c>
      <c r="D20" s="45" t="n">
        <f aca="false">IF(B20&lt;='VALOR POR PL'!$P$5,0,IF($K$17&gt;0,$K$18*P20/$K$17,0))</f>
        <v>0</v>
      </c>
      <c r="E20" s="45" t="n">
        <f aca="false">L20+D20/$K$2</f>
        <v>11.5488209008957</v>
      </c>
      <c r="F20" s="117" t="n">
        <f aca="false">IF($K$9=0,0,E20/$K$9)</f>
        <v>0.0118748153819522</v>
      </c>
      <c r="G20" s="117" t="n">
        <f aca="false">G19+F20</f>
        <v>0.457066959537299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11.5488209008957</v>
      </c>
      <c r="M20" s="139" t="n">
        <f aca="false">'CP RESUMO'!S8</f>
        <v>0</v>
      </c>
      <c r="N20" s="140" t="n">
        <f aca="false">MAX(0,M20-M19)</f>
        <v>0</v>
      </c>
      <c r="O20" s="139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HISTORICOS'!T8)</f>
        <v>13639.33</v>
      </c>
      <c r="D21" s="45" t="n">
        <f aca="false">IF(B21&lt;='VALOR POR PL'!$P$5,0,IF($K$17&gt;0,$K$18*P21/$K$17,0))</f>
        <v>0</v>
      </c>
      <c r="E21" s="45" t="n">
        <f aca="false">L21+D21/$K$2</f>
        <v>10.8278556299676</v>
      </c>
      <c r="F21" s="117" t="n">
        <f aca="false">IF($K$9=0,0,E21/$K$9)</f>
        <v>0.0111334990551568</v>
      </c>
      <c r="G21" s="117" t="n">
        <f aca="false">G20+F21</f>
        <v>0.468200458592456</v>
      </c>
      <c r="H21" s="138"/>
      <c r="K21" s="143"/>
      <c r="L21" s="45" t="n">
        <f aca="false">C21/IF(B21&lt;='VALOR POR PL'!$P$5,IFERROR(INDEX('"INCC-FGV"'!$B$2:$B$800,MATCH(B21,'"INCC-FGV"'!$A$2:$A$800,0)),$K$2),$K$2)</f>
        <v>10.8278556299676</v>
      </c>
      <c r="M21" s="139" t="n">
        <f aca="false">'CP RESUMO'!T8</f>
        <v>0</v>
      </c>
      <c r="N21" s="140" t="n">
        <f aca="false">MAX(0,M21-M20)</f>
        <v>0</v>
      </c>
      <c r="O21" s="139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HISTORICOS'!U8)</f>
        <v>19885.18</v>
      </c>
      <c r="D22" s="45" t="n">
        <f aca="false">IF(B22&lt;='VALOR POR PL'!$P$5,0,IF($K$17&gt;0,$K$18*P22/$K$17,0))</f>
        <v>0</v>
      </c>
      <c r="E22" s="45" t="n">
        <f aca="false">L22+D22/$K$2</f>
        <v>15.6490581925639</v>
      </c>
      <c r="F22" s="117" t="n">
        <f aca="false">IF($K$9=0,0,E22/$K$9)</f>
        <v>0.016090792171148</v>
      </c>
      <c r="G22" s="117" t="n">
        <f aca="false">G21+F22</f>
        <v>0.484291250763604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15.6490581925639</v>
      </c>
      <c r="M22" s="139" t="n">
        <f aca="false">'CP RESUMO'!U8</f>
        <v>0</v>
      </c>
      <c r="N22" s="140" t="n">
        <f aca="false">MAX(0,M22-M21)</f>
        <v>0</v>
      </c>
      <c r="O22" s="139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HISTORICOS'!V8)</f>
        <v>14872.41</v>
      </c>
      <c r="D23" s="45" t="n">
        <f aca="false">IF(B23&lt;='VALOR POR PL'!$P$5,0,IF($K$17&gt;0,$K$18*P23/$K$17,0))</f>
        <v>0</v>
      </c>
      <c r="E23" s="45" t="n">
        <f aca="false">L23+D23/$K$2</f>
        <v>11.6132546123387</v>
      </c>
      <c r="F23" s="117" t="n">
        <f aca="false">IF($K$9=0,0,E23/$K$9)</f>
        <v>0.0119410678967609</v>
      </c>
      <c r="G23" s="117" t="n">
        <f aca="false">G22+F23</f>
        <v>0.496232318660364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11.6132546123387</v>
      </c>
      <c r="M23" s="139" t="n">
        <f aca="false">'CP RESUMO'!V8</f>
        <v>0</v>
      </c>
      <c r="N23" s="140" t="n">
        <f aca="false">MAX(0,M23-M22)</f>
        <v>0</v>
      </c>
      <c r="O23" s="139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HISTORICOS'!W8)</f>
        <v>28641.88</v>
      </c>
      <c r="D24" s="45" t="n">
        <f aca="false">IF(B24&lt;='VALOR POR PL'!$P$5,0,IF($K$17&gt;0,$K$18*P24/$K$17,0))</f>
        <v>0</v>
      </c>
      <c r="E24" s="45" t="n">
        <f aca="false">L24+D24/$K$2</f>
        <v>22.2300456912322</v>
      </c>
      <c r="F24" s="117" t="n">
        <f aca="false">IF($K$9=0,0,E24/$K$9)</f>
        <v>0.0228575445736864</v>
      </c>
      <c r="G24" s="117" t="n">
        <f aca="false">G23+F24</f>
        <v>0.519089863234051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22.2300456912322</v>
      </c>
      <c r="M24" s="139" t="n">
        <f aca="false">'CP RESUMO'!W8</f>
        <v>0</v>
      </c>
      <c r="N24" s="140" t="n">
        <f aca="false">MAX(0,M24-M23)</f>
        <v>0</v>
      </c>
      <c r="O24" s="139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HISTORICOS'!X8)</f>
        <v>16434.13</v>
      </c>
      <c r="D25" s="45" t="n">
        <f aca="false">IF(B25&lt;='VALOR POR PL'!$P$5,0,IF($K$17&gt;0,$K$18*P25/$K$17,0))</f>
        <v>0</v>
      </c>
      <c r="E25" s="45" t="n">
        <f aca="false">L25+D25/$K$2</f>
        <v>12.6719634448284</v>
      </c>
      <c r="F25" s="117" t="n">
        <f aca="false">IF($K$9=0,0,E25/$K$9)</f>
        <v>0.0130296614455692</v>
      </c>
      <c r="G25" s="117" t="n">
        <f aca="false">G24+F25</f>
        <v>0.53211952467962</v>
      </c>
      <c r="H25" s="138"/>
      <c r="L25" s="45" t="n">
        <f aca="false">C25/IF(B25&lt;='VALOR POR PL'!$P$5,IFERROR(INDEX('"INCC-FGV"'!$B$2:$B$800,MATCH(B25,'"INCC-FGV"'!$A$2:$A$800,0)),$K$2),$K$2)</f>
        <v>12.6719634448284</v>
      </c>
      <c r="M25" s="139" t="n">
        <f aca="false">'CP RESUMO'!X8</f>
        <v>0</v>
      </c>
      <c r="N25" s="140" t="n">
        <f aca="false">MAX(0,M25-M24)</f>
        <v>0</v>
      </c>
      <c r="O25" s="139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HISTORICOS'!Y8)</f>
        <v>19390.05</v>
      </c>
      <c r="D26" s="45" t="n">
        <f aca="false">IF(B26&lt;='VALOR POR PL'!$P$5,0,IF($K$17&gt;0,$K$18*P26/$K$17,0))</f>
        <v>11376.5575756351</v>
      </c>
      <c r="E26" s="45" t="n">
        <f aca="false">L26+D26/$K$2</f>
        <v>23.7233931166315</v>
      </c>
      <c r="F26" s="117" t="n">
        <f aca="false">IF($K$9=0,0,E26/$K$9)</f>
        <v>0.0243930454815198</v>
      </c>
      <c r="G26" s="117" t="n">
        <f aca="false">G25+F26</f>
        <v>0.55651257016114</v>
      </c>
      <c r="H26" s="138" t="n">
        <v>12388.74</v>
      </c>
      <c r="L26" s="45" t="n">
        <f aca="false">C26/IF(B26&lt;='VALOR POR PL'!$P$5,IFERROR(INDEX('"INCC-FGV"'!$B$2:$B$800,MATCH(B26,'"INCC-FGV"'!$A$2:$A$800,0)),$K$2),$K$2)</f>
        <v>14.9512024544892</v>
      </c>
      <c r="M26" s="139" t="n">
        <f aca="false">'CP RESUMO'!Y8</f>
        <v>0</v>
      </c>
      <c r="N26" s="140" t="n">
        <f aca="false">MAX(0,M26-M25)</f>
        <v>0</v>
      </c>
      <c r="O26" s="139" t="str">
        <f aca="false">IF(B26&lt;='VALOR POR PL'!$P$5,'CP RESUMO'!Y50,"")</f>
        <v/>
      </c>
      <c r="P26" s="66" t="n">
        <f aca="false">IF(B26&lt;='VALOR POR PL'!$P$5,0,IF(OR($K$16="CURVA PREVISION",$K$16="MDO PREVISION + MATERIAL PREMISSA"),N26,IF($K$16="PREVISÃO INFORMADA",MAX(0,H26),0)))</f>
        <v>12388.74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HISTORICOS'!Z8)</f>
        <v>10528.99</v>
      </c>
      <c r="D27" s="45" t="n">
        <f aca="false">IF(B27&lt;='VALOR POR PL'!$P$5,0,IF($K$17&gt;0,$K$18*P27/$K$17,0))</f>
        <v>11376.5575756351</v>
      </c>
      <c r="E27" s="45" t="n">
        <f aca="false">L27+D27/$K$2</f>
        <v>16.8908422969391</v>
      </c>
      <c r="F27" s="117" t="n">
        <f aca="false">IF($K$9=0,0,E27/$K$9)</f>
        <v>0.0173676287512837</v>
      </c>
      <c r="G27" s="117" t="n">
        <f aca="false">G26+F27</f>
        <v>0.573880198912424</v>
      </c>
      <c r="H27" s="138" t="n">
        <v>12388.74</v>
      </c>
      <c r="L27" s="45" t="n">
        <f aca="false">C27/IF(B27&lt;='VALOR POR PL'!$P$5,IFERROR(INDEX('"INCC-FGV"'!$B$2:$B$800,MATCH(B27,'"INCC-FGV"'!$A$2:$A$800,0)),$K$2),$K$2)</f>
        <v>8.11865163479681</v>
      </c>
      <c r="M27" s="139" t="n">
        <f aca="false">'CP RESUMO'!Z8</f>
        <v>0</v>
      </c>
      <c r="N27" s="140" t="n">
        <f aca="false">MAX(0,M27-M26)</f>
        <v>0</v>
      </c>
      <c r="O27" s="139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12388.74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HISTORICOS'!AA8)</f>
        <v>3994.37</v>
      </c>
      <c r="D28" s="45" t="n">
        <f aca="false">IF(B28&lt;='VALOR POR PL'!$P$5,0,IF($K$17&gt;0,$K$18*P28/$K$17,0))</f>
        <v>11376.5575756351</v>
      </c>
      <c r="E28" s="45" t="n">
        <f aca="false">L28+D28/$K$2</f>
        <v>11.8521535579646</v>
      </c>
      <c r="F28" s="117" t="n">
        <f aca="false">IF($K$9=0,0,E28/$K$9)</f>
        <v>0.0121867103652514</v>
      </c>
      <c r="G28" s="117" t="n">
        <f aca="false">G27+F28</f>
        <v>0.586066909277675</v>
      </c>
      <c r="H28" s="138" t="n">
        <v>12388.74</v>
      </c>
      <c r="L28" s="45" t="n">
        <f aca="false">C28/IF(B28&lt;='VALOR POR PL'!$P$5,IFERROR(INDEX('"INCC-FGV"'!$B$2:$B$800,MATCH(B28,'"INCC-FGV"'!$A$2:$A$800,0)),$K$2),$K$2)</f>
        <v>3.07996289582223</v>
      </c>
      <c r="M28" s="139" t="n">
        <f aca="false">'CP RESUMO'!AA8</f>
        <v>0</v>
      </c>
      <c r="N28" s="140" t="n">
        <f aca="false">MAX(0,M28-M27)</f>
        <v>0</v>
      </c>
      <c r="O28" s="139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12388.74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HISTORICOS'!AB8)</f>
        <v>3526.47</v>
      </c>
      <c r="D29" s="45" t="n">
        <f aca="false">IF(B29&lt;='VALOR POR PL'!$P$5,0,IF($K$17&gt;0,$K$18*P29/$K$17,0))</f>
        <v>11376.5575756351</v>
      </c>
      <c r="E29" s="45" t="n">
        <f aca="false">L29+D29/$K$2</f>
        <v>11.4913670912739</v>
      </c>
      <c r="F29" s="117" t="n">
        <f aca="false">IF($K$9=0,0,E29/$K$9)</f>
        <v>0.0118157397942274</v>
      </c>
      <c r="G29" s="117" t="n">
        <f aca="false">G28+F29</f>
        <v>0.597882649071902</v>
      </c>
      <c r="H29" s="138" t="n">
        <v>12388.74</v>
      </c>
      <c r="L29" s="45" t="n">
        <f aca="false">C29/IF(B29&lt;='VALOR POR PL'!$P$5,IFERROR(INDEX('"INCC-FGV"'!$B$2:$B$800,MATCH(B29,'"INCC-FGV"'!$A$2:$A$800,0)),$K$2),$K$2)</f>
        <v>2.71917642913156</v>
      </c>
      <c r="M29" s="139" t="n">
        <f aca="false">'CP RESUMO'!AB8</f>
        <v>0</v>
      </c>
      <c r="N29" s="140" t="n">
        <f aca="false">MAX(0,M29-M28)</f>
        <v>0</v>
      </c>
      <c r="O29" s="139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12388.74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HISTORICOS'!AC8)</f>
        <v>0</v>
      </c>
      <c r="D30" s="45" t="n">
        <f aca="false">IF(B30&lt;='VALOR POR PL'!$P$5,0,IF($K$17&gt;0,$K$18*P30/$K$17,0))</f>
        <v>11376.5575756351</v>
      </c>
      <c r="E30" s="45" t="n">
        <f aca="false">L30+D30/$K$2</f>
        <v>8.77219066214234</v>
      </c>
      <c r="F30" s="117" t="n">
        <f aca="false">IF($K$9=0,0,E30/$K$9)</f>
        <v>0.00901980777969692</v>
      </c>
      <c r="G30" s="117" t="n">
        <f aca="false">G29+F30</f>
        <v>0.606902456851599</v>
      </c>
      <c r="H30" s="138" t="n">
        <v>12388.74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RESUMO'!AC8</f>
        <v>0</v>
      </c>
      <c r="N30" s="140" t="n">
        <f aca="false">MAX(0,M30-M29)</f>
        <v>0</v>
      </c>
      <c r="O30" s="139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12388.74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94023.3950915697</v>
      </c>
      <c r="E31" s="45" t="n">
        <f aca="false">L31+D31/$K$2</f>
        <v>72.499184657723</v>
      </c>
      <c r="F31" s="117" t="n">
        <f aca="false">IF($K$9=0,0,E31/$K$9)</f>
        <v>0.0745456562657191</v>
      </c>
      <c r="G31" s="117" t="n">
        <f aca="false">G30+F31</f>
        <v>0.681448113117319</v>
      </c>
      <c r="H31" s="138" t="n">
        <v>102388.74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RESUMO'!AD8</f>
        <v>0</v>
      </c>
      <c r="N31" s="140" t="n">
        <f aca="false">MAX(0,M31-M30)</f>
        <v>0</v>
      </c>
      <c r="O31" s="139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102388.74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94023.3950915697</v>
      </c>
      <c r="E32" s="45" t="n">
        <f aca="false">L32+D32/$K$2</f>
        <v>73.0119502066636</v>
      </c>
      <c r="F32" s="117" t="n">
        <f aca="false">IF($K$9=0,0,E32/$K$9)</f>
        <v>0.0750728959103674</v>
      </c>
      <c r="G32" s="117" t="n">
        <f aca="false">G31+F32</f>
        <v>0.756521009027686</v>
      </c>
      <c r="H32" s="138" t="n">
        <v>102388.74</v>
      </c>
      <c r="L32" s="45" t="n">
        <f aca="false">C32/IF(B32&lt;='VALOR POR PL'!$P$5,IFERROR(INDEX('"INCC-FGV"'!$B$2:$B$800,MATCH(B32,'"INCC-FGV"'!$A$2:$A$800,0)),$K$2),$K$2)</f>
        <v>0.51276554894058</v>
      </c>
      <c r="M32" s="139" t="n">
        <f aca="false">'CP RESUMO'!AE8</f>
        <v>0</v>
      </c>
      <c r="N32" s="140" t="n">
        <f aca="false">MAX(0,M32-M31)</f>
        <v>0</v>
      </c>
      <c r="O32" s="139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102388.74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48108.4853604949</v>
      </c>
      <c r="E33" s="45" t="n">
        <f aca="false">L33+D33/$K$2</f>
        <v>37.0952991046226</v>
      </c>
      <c r="F33" s="117" t="n">
        <f aca="false">IF($K$9=0,0,E33/$K$9)</f>
        <v>0.0381424071068179</v>
      </c>
      <c r="G33" s="117" t="n">
        <f aca="false">G32+F33</f>
        <v>0.794663416134504</v>
      </c>
      <c r="H33" s="138" t="n">
        <v>52388.74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RESUMO'!AF8</f>
        <v>0</v>
      </c>
      <c r="N33" s="140" t="n">
        <f aca="false">MAX(0,M33-M32)</f>
        <v>0</v>
      </c>
      <c r="O33" s="139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52388.74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11376.5575756351</v>
      </c>
      <c r="E34" s="45" t="n">
        <f aca="false">L34+D34/$K$2</f>
        <v>8.77219066214234</v>
      </c>
      <c r="F34" s="117" t="n">
        <f aca="false">IF($K$9=0,0,E34/$K$9)</f>
        <v>0.00901980777969692</v>
      </c>
      <c r="G34" s="117" t="n">
        <f aca="false">G33+F34</f>
        <v>0.803683223914201</v>
      </c>
      <c r="H34" s="138" t="n">
        <v>12388.74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RESUMO'!AG8</f>
        <v>0</v>
      </c>
      <c r="N34" s="140" t="n">
        <f aca="false">MAX(0,M34-M33)</f>
        <v>0</v>
      </c>
      <c r="O34" s="139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12388.74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11376.5575756351</v>
      </c>
      <c r="E35" s="45" t="n">
        <f aca="false">L35+D35/$K$2</f>
        <v>8.77219066214234</v>
      </c>
      <c r="F35" s="117" t="n">
        <f aca="false">IF($K$9=0,0,E35/$K$9)</f>
        <v>0.00901980777969692</v>
      </c>
      <c r="G35" s="117" t="n">
        <f aca="false">G34+F35</f>
        <v>0.812703031693898</v>
      </c>
      <c r="H35" s="138" t="n">
        <v>12388.74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RESUMO'!AH8</f>
        <v>0</v>
      </c>
      <c r="N35" s="140" t="n">
        <f aca="false">MAX(0,M35-M34)</f>
        <v>0</v>
      </c>
      <c r="O35" s="139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12388.74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11376.5575756351</v>
      </c>
      <c r="E36" s="45" t="n">
        <f aca="false">L36+D36/$K$2</f>
        <v>8.77219066214234</v>
      </c>
      <c r="F36" s="117" t="n">
        <f aca="false">IF($K$9=0,0,E36/$K$9)</f>
        <v>0.00901980777969692</v>
      </c>
      <c r="G36" s="117" t="n">
        <f aca="false">G35+F36</f>
        <v>0.821722839473595</v>
      </c>
      <c r="H36" s="138" t="n">
        <v>12388.74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RESUMO'!AI8</f>
        <v>0</v>
      </c>
      <c r="N36" s="140" t="n">
        <f aca="false">MAX(0,M36-M35)</f>
        <v>0</v>
      </c>
      <c r="O36" s="139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12388.74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11376.5575756351</v>
      </c>
      <c r="E37" s="45" t="n">
        <f aca="false">L37+D37/$K$2</f>
        <v>8.77219066214234</v>
      </c>
      <c r="F37" s="117" t="n">
        <f aca="false">IF($K$9=0,0,E37/$K$9)</f>
        <v>0.00901980777969692</v>
      </c>
      <c r="G37" s="117" t="n">
        <f aca="false">G36+F37</f>
        <v>0.830742647253291</v>
      </c>
      <c r="H37" s="138" t="n">
        <v>12388.74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RESUMO'!AJ8</f>
        <v>0</v>
      </c>
      <c r="N37" s="140" t="n">
        <f aca="false">MAX(0,M37-M36)</f>
        <v>0</v>
      </c>
      <c r="O37" s="139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12388.74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HISTORICOS'!AK8)</f>
        <v>3700</v>
      </c>
      <c r="D38" s="45" t="n">
        <f aca="false">IF(B38&lt;='VALOR POR PL'!$P$5,0,IF($K$17&gt;0,$K$18*P38/$K$17,0))</f>
        <v>11376.5575756351</v>
      </c>
      <c r="E38" s="45" t="n">
        <f aca="false">L38+D38/$K$2</f>
        <v>11.6251719118869</v>
      </c>
      <c r="F38" s="117" t="n">
        <f aca="false">IF($K$9=0,0,E38/$K$9)</f>
        <v>0.0119533215920256</v>
      </c>
      <c r="G38" s="117" t="n">
        <f aca="false">G37+F38</f>
        <v>0.842695968845317</v>
      </c>
      <c r="H38" s="138" t="n">
        <v>12388.74</v>
      </c>
      <c r="L38" s="45" t="n">
        <f aca="false">C38/IF(B38&lt;='VALOR POR PL'!$P$5,IFERROR(INDEX('"INCC-FGV"'!$B$2:$B$800,MATCH(B38,'"INCC-FGV"'!$A$2:$A$800,0)),$K$2),$K$2)</f>
        <v>2.85298124974458</v>
      </c>
      <c r="M38" s="139" t="n">
        <f aca="false">'CP RESUMO'!AK8</f>
        <v>0</v>
      </c>
      <c r="N38" s="140" t="n">
        <f aca="false">MAX(0,M38-M37)</f>
        <v>0</v>
      </c>
      <c r="O38" s="139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12388.74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11376.5575756351</v>
      </c>
      <c r="E39" s="45" t="n">
        <f aca="false">L39+D39/$K$2</f>
        <v>8.77219066214234</v>
      </c>
      <c r="F39" s="117" t="n">
        <f aca="false">IF($K$9=0,0,E39/$K$9)</f>
        <v>0.00901980777969692</v>
      </c>
      <c r="G39" s="117" t="n">
        <f aca="false">G38+F39</f>
        <v>0.851715776625014</v>
      </c>
      <c r="H39" s="138" t="n">
        <v>12388.74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RESUMO'!AL8</f>
        <v>0</v>
      </c>
      <c r="N39" s="140" t="n">
        <f aca="false">MAX(0,M39-M38)</f>
        <v>0</v>
      </c>
      <c r="O39" s="139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12388.74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11376.5575756351</v>
      </c>
      <c r="E40" s="45" t="n">
        <f aca="false">L40+D40/$K$2</f>
        <v>8.77219066214234</v>
      </c>
      <c r="F40" s="117" t="n">
        <f aca="false">IF($K$9=0,0,E40/$K$9)</f>
        <v>0.00901980777969692</v>
      </c>
      <c r="G40" s="117" t="n">
        <f aca="false">G39+F40</f>
        <v>0.860735584404711</v>
      </c>
      <c r="H40" s="138" t="n">
        <v>12388.74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RESUMO'!AM8</f>
        <v>0</v>
      </c>
      <c r="N40" s="140" t="n">
        <f aca="false">MAX(0,M40-M39)</f>
        <v>0</v>
      </c>
      <c r="O40" s="139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12388.74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11376.5575756351</v>
      </c>
      <c r="E41" s="45" t="n">
        <f aca="false">L41+D41/$K$2</f>
        <v>8.77219066214234</v>
      </c>
      <c r="F41" s="117" t="n">
        <f aca="false">IF($K$9=0,0,E41/$K$9)</f>
        <v>0.00901980777969692</v>
      </c>
      <c r="G41" s="117" t="n">
        <f aca="false">G40+F41</f>
        <v>0.869755392184408</v>
      </c>
      <c r="H41" s="138" t="n">
        <v>12388.74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RESUMO'!AN8</f>
        <v>0</v>
      </c>
      <c r="N41" s="140" t="n">
        <f aca="false">MAX(0,M41-M40)</f>
        <v>0</v>
      </c>
      <c r="O41" s="139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12388.74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11376.5575756351</v>
      </c>
      <c r="E42" s="45" t="n">
        <f aca="false">L42+D42/$K$2</f>
        <v>8.77219066214234</v>
      </c>
      <c r="F42" s="117" t="n">
        <f aca="false">IF($K$9=0,0,E42/$K$9)</f>
        <v>0.00901980777969692</v>
      </c>
      <c r="G42" s="117" t="n">
        <f aca="false">G41+F42</f>
        <v>0.878775199964105</v>
      </c>
      <c r="H42" s="138" t="n">
        <v>12388.74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RESUMO'!AO8</f>
        <v>0</v>
      </c>
      <c r="N42" s="140" t="n">
        <f aca="false">MAX(0,M42-M41)</f>
        <v>0</v>
      </c>
      <c r="O42" s="139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12388.74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11376.5575756351</v>
      </c>
      <c r="E43" s="45" t="n">
        <f aca="false">L43+D43/$K$2</f>
        <v>8.77219066214234</v>
      </c>
      <c r="F43" s="117" t="n">
        <f aca="false">IF($K$9=0,0,E43/$K$9)</f>
        <v>0.00901980777969692</v>
      </c>
      <c r="G43" s="117" t="n">
        <f aca="false">G42+F43</f>
        <v>0.887795007743802</v>
      </c>
      <c r="H43" s="138" t="n">
        <v>12388.74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RESUMO'!AP8</f>
        <v>0</v>
      </c>
      <c r="N43" s="140" t="n">
        <f aca="false">MAX(0,M43-M42)</f>
        <v>0</v>
      </c>
      <c r="O43" s="139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12388.74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11376.5575756351</v>
      </c>
      <c r="E44" s="45" t="n">
        <f aca="false">L44+D44/$K$2</f>
        <v>8.77219066214234</v>
      </c>
      <c r="F44" s="117" t="n">
        <f aca="false">IF($K$9=0,0,E44/$K$9)</f>
        <v>0.00901980777969692</v>
      </c>
      <c r="G44" s="117" t="n">
        <f aca="false">G43+F44</f>
        <v>0.896814815523499</v>
      </c>
      <c r="H44" s="138" t="n">
        <v>12388.74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RESUMO'!AQ8</f>
        <v>0</v>
      </c>
      <c r="N44" s="140" t="n">
        <f aca="false">MAX(0,M44-M43)</f>
        <v>0</v>
      </c>
      <c r="O44" s="139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12388.74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11376.5575756351</v>
      </c>
      <c r="E45" s="45" t="n">
        <f aca="false">L45+D45/$K$2</f>
        <v>8.77219066214234</v>
      </c>
      <c r="F45" s="117" t="n">
        <f aca="false">IF($K$9=0,0,E45/$K$9)</f>
        <v>0.00901980777969692</v>
      </c>
      <c r="G45" s="117" t="n">
        <f aca="false">G44+F45</f>
        <v>0.905834623303195</v>
      </c>
      <c r="H45" s="138" t="n">
        <v>12388.74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RESUMO'!AR8</f>
        <v>0</v>
      </c>
      <c r="N45" s="140" t="n">
        <f aca="false">MAX(0,M45-M44)</f>
        <v>0</v>
      </c>
      <c r="O45" s="139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12388.74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11376.5575756351</v>
      </c>
      <c r="E46" s="45" t="n">
        <f aca="false">L46+D46/$K$2</f>
        <v>8.77219066214234</v>
      </c>
      <c r="F46" s="117" t="n">
        <f aca="false">IF($K$9=0,0,E46/$K$9)</f>
        <v>0.00901980777969692</v>
      </c>
      <c r="G46" s="117" t="n">
        <f aca="false">G45+F46</f>
        <v>0.914854431082892</v>
      </c>
      <c r="H46" s="138" t="n">
        <v>12388.74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RESUMO'!AS8</f>
        <v>0</v>
      </c>
      <c r="N46" s="140" t="n">
        <f aca="false">MAX(0,M46-M45)</f>
        <v>0</v>
      </c>
      <c r="O46" s="139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12388.74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11376.5575756351</v>
      </c>
      <c r="E47" s="45" t="n">
        <f aca="false">L47+D47/$K$2</f>
        <v>8.77219066214234</v>
      </c>
      <c r="F47" s="117" t="n">
        <f aca="false">IF($K$9=0,0,E47/$K$9)</f>
        <v>0.00901980777969692</v>
      </c>
      <c r="G47" s="117" t="n">
        <f aca="false">G46+F47</f>
        <v>0.923874238862589</v>
      </c>
      <c r="H47" s="138" t="n">
        <v>12388.74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RESUMO'!AT8</f>
        <v>0</v>
      </c>
      <c r="N47" s="140" t="n">
        <f aca="false">MAX(0,M47-M46)</f>
        <v>0</v>
      </c>
      <c r="O47" s="139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12388.74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11376.5575756351</v>
      </c>
      <c r="E48" s="45" t="n">
        <f aca="false">L48+D48/$K$2</f>
        <v>8.77219066214234</v>
      </c>
      <c r="F48" s="117" t="n">
        <f aca="false">IF($K$9=0,0,E48/$K$9)</f>
        <v>0.00901980777969692</v>
      </c>
      <c r="G48" s="117" t="n">
        <f aca="false">G47+F48</f>
        <v>0.932894046642286</v>
      </c>
      <c r="H48" s="138" t="n">
        <v>12388.74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RESUMO'!AU8</f>
        <v>0</v>
      </c>
      <c r="N48" s="140" t="n">
        <f aca="false">MAX(0,M48-M47)</f>
        <v>0</v>
      </c>
      <c r="O48" s="139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12388.74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11376.5575756351</v>
      </c>
      <c r="E49" s="45" t="n">
        <f aca="false">L49+D49/$K$2</f>
        <v>8.77219066214234</v>
      </c>
      <c r="F49" s="117" t="n">
        <f aca="false">IF($K$9=0,0,E49/$K$9)</f>
        <v>0.00901980777969692</v>
      </c>
      <c r="G49" s="117" t="n">
        <f aca="false">G48+F49</f>
        <v>0.941913854421983</v>
      </c>
      <c r="H49" s="138" t="n">
        <v>12388.74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RESUMO'!AV8</f>
        <v>0</v>
      </c>
      <c r="N49" s="140" t="n">
        <f aca="false">MAX(0,M49-M48)</f>
        <v>0</v>
      </c>
      <c r="O49" s="139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12388.74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1193.78765300794</v>
      </c>
      <c r="E50" s="45" t="n">
        <f aca="false">L50+D50/$K$2</f>
        <v>0.92050102438061</v>
      </c>
      <c r="F50" s="117" t="n">
        <f aca="false">IF($K$9=0,0,E50/$K$9)</f>
        <v>0.000946484478131432</v>
      </c>
      <c r="G50" s="117" t="n">
        <f aca="false">G49+F50</f>
        <v>0.942860338900114</v>
      </c>
      <c r="H50" s="138" t="n">
        <v>1300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RESUMO'!AW8</f>
        <v>0</v>
      </c>
      <c r="N50" s="140" t="n">
        <f aca="false">MAX(0,M50-M49)</f>
        <v>0</v>
      </c>
      <c r="O50" s="139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1300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1193.78765300794</v>
      </c>
      <c r="E51" s="45" t="n">
        <f aca="false">L51+D51/$K$2</f>
        <v>0.92050102438061</v>
      </c>
      <c r="F51" s="117" t="n">
        <f aca="false">IF($K$9=0,0,E51/$K$9)</f>
        <v>0.000946484478131432</v>
      </c>
      <c r="G51" s="117" t="n">
        <f aca="false">G50+F51</f>
        <v>0.943806823378246</v>
      </c>
      <c r="H51" s="138" t="n">
        <v>1300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RESUMO'!AX8</f>
        <v>0</v>
      </c>
      <c r="N51" s="140" t="n">
        <f aca="false">MAX(0,M51-M50)</f>
        <v>0</v>
      </c>
      <c r="O51" s="139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1300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1193.78765300794</v>
      </c>
      <c r="E52" s="45" t="n">
        <f aca="false">L52+D52/$K$2</f>
        <v>0.92050102438061</v>
      </c>
      <c r="F52" s="117" t="n">
        <f aca="false">IF($K$9=0,0,E52/$K$9)</f>
        <v>0.000946484478131432</v>
      </c>
      <c r="G52" s="117" t="n">
        <f aca="false">G51+F52</f>
        <v>0.944753307856377</v>
      </c>
      <c r="H52" s="138" t="n">
        <v>1300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RESUMO'!AY8</f>
        <v>0</v>
      </c>
      <c r="N52" s="140" t="n">
        <f aca="false">MAX(0,M52-M51)</f>
        <v>0</v>
      </c>
      <c r="O52" s="139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1300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1627.02237526647</v>
      </c>
      <c r="E53" s="45" t="n">
        <f aca="false">L53+D53/$K$2</f>
        <v>1.25455792690544</v>
      </c>
      <c r="F53" s="117" t="n">
        <f aca="false">IF($K$9=0,0,E53/$K$9)</f>
        <v>0.00128997097589516</v>
      </c>
      <c r="G53" s="117" t="n">
        <f aca="false">G52+F53</f>
        <v>0.946043278832272</v>
      </c>
      <c r="H53" s="138" t="n">
        <v>1771.78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RESUMO'!AZ8</f>
        <v>0</v>
      </c>
      <c r="N53" s="140" t="n">
        <f aca="false">MAX(0,M53-M52)</f>
        <v>0</v>
      </c>
      <c r="O53" s="139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1771.78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1588.38957021875</v>
      </c>
      <c r="E54" s="45" t="n">
        <f aca="false">L54+D54/$K$2</f>
        <v>1.22476909760107</v>
      </c>
      <c r="F54" s="117" t="n">
        <f aca="false">IF($K$9=0,0,E54/$K$9)</f>
        <v>0.00125934128205286</v>
      </c>
      <c r="G54" s="117" t="n">
        <f aca="false">G53+F54</f>
        <v>0.947302620114325</v>
      </c>
      <c r="H54" s="138" t="n">
        <v>1729.71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RESUMO'!BA8</f>
        <v>0</v>
      </c>
      <c r="N54" s="140" t="n">
        <f aca="false">MAX(0,M54-M53)</f>
        <v>0</v>
      </c>
      <c r="O54" s="139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1729.71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1588.38957021875</v>
      </c>
      <c r="E55" s="45" t="n">
        <f aca="false">L55+D55/$K$2</f>
        <v>1.22476909760107</v>
      </c>
      <c r="F55" s="117" t="n">
        <f aca="false">IF($K$9=0,0,E55/$K$9)</f>
        <v>0.00125934128205286</v>
      </c>
      <c r="G55" s="117" t="n">
        <f aca="false">G54+F55</f>
        <v>0.948561961396378</v>
      </c>
      <c r="H55" s="138" t="n">
        <v>1729.71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RESUMO'!BB8</f>
        <v>0</v>
      </c>
      <c r="N55" s="140" t="n">
        <f aca="false">MAX(0,M55-M54)</f>
        <v>0</v>
      </c>
      <c r="O55" s="139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1729.71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64878.0796713948</v>
      </c>
      <c r="E56" s="45" t="n">
        <f aca="false">L56+D56/$K$2</f>
        <v>50.0259310329526</v>
      </c>
      <c r="F56" s="117" t="n">
        <f aca="false">IF($K$9=0,0,E56/$K$9)</f>
        <v>0.0514380386036217</v>
      </c>
      <c r="G56" s="117" t="n">
        <f aca="false">G55+F56</f>
        <v>1</v>
      </c>
      <c r="H56" s="138" t="n">
        <v>70650.34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RESUMO'!BC8</f>
        <v>0</v>
      </c>
      <c r="N56" s="140" t="n">
        <f aca="false">MAX(0,M56-M55)</f>
        <v>0</v>
      </c>
      <c r="O56" s="139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70650.34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RESUMO'!BD8</f>
        <v>0</v>
      </c>
      <c r="N57" s="140" t="n">
        <f aca="false">MAX(0,M57-M56)</f>
        <v>0</v>
      </c>
      <c r="O57" s="139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RESUMO'!BE8</f>
        <v>0</v>
      </c>
      <c r="N58" s="140" t="n">
        <f aca="false">MAX(0,M58-M57)</f>
        <v>0</v>
      </c>
      <c r="O58" s="139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RESUMO'!BF8</f>
        <v>0</v>
      </c>
      <c r="N59" s="140" t="n">
        <f aca="false">MAX(0,M59-M58)</f>
        <v>0</v>
      </c>
      <c r="O59" s="139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RESUMO'!BG8</f>
        <v>0</v>
      </c>
      <c r="N60" s="140" t="n">
        <f aca="false">MAX(0,M60-M59)</f>
        <v>0</v>
      </c>
      <c r="O60" s="139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RESUMO'!BH8</f>
        <v>0</v>
      </c>
      <c r="N61" s="140" t="n">
        <f aca="false">MAX(0,M61-M60)</f>
        <v>0</v>
      </c>
      <c r="O61" s="139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RESUMO'!BI8</f>
        <v>0</v>
      </c>
      <c r="N62" s="140" t="n">
        <f aca="false">MAX(0,M62-M61)</f>
        <v>0</v>
      </c>
      <c r="O62" s="139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RESUMO'!BJ8</f>
        <v>0</v>
      </c>
      <c r="N63" s="140" t="n">
        <f aca="false">MAX(0,M63-M62)</f>
        <v>0</v>
      </c>
      <c r="O63" s="139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RESUMO'!BK8</f>
        <v>0</v>
      </c>
      <c r="N64" s="140" t="n">
        <f aca="false">MAX(0,M64-M63)</f>
        <v>0</v>
      </c>
      <c r="O64" s="139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RESUMO'!BL8</f>
        <v>0</v>
      </c>
      <c r="N65" s="140" t="n">
        <f aca="false">MAX(0,M65-M64)</f>
        <v>0</v>
      </c>
      <c r="O65" s="139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RESUMO'!BM8</f>
        <v>0</v>
      </c>
      <c r="N66" s="140" t="n">
        <f aca="false">MAX(0,M66-M65)</f>
        <v>0</v>
      </c>
      <c r="O66" s="139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RESUMO'!BN8</f>
        <v>0</v>
      </c>
      <c r="N67" s="140" t="n">
        <f aca="false">MAX(0,M67-M66)</f>
        <v>0</v>
      </c>
      <c r="O67" s="139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RESUMO'!BO8</f>
        <v>0</v>
      </c>
      <c r="N68" s="140" t="n">
        <f aca="false">MAX(0,M68-M67)</f>
        <v>0</v>
      </c>
      <c r="O68" s="139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RESUMO'!BP8</f>
        <v>0</v>
      </c>
      <c r="N69" s="140" t="n">
        <f aca="false">MAX(0,M69-M68)</f>
        <v>0</v>
      </c>
      <c r="O69" s="139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RESUMO'!BQ8</f>
        <v>0</v>
      </c>
      <c r="N70" s="140" t="n">
        <f aca="false">MAX(0,M70-M69)</f>
        <v>0</v>
      </c>
      <c r="O70" s="139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RESUMO'!BR8</f>
        <v>0</v>
      </c>
      <c r="N71" s="140" t="n">
        <f aca="false">MAX(0,M71-M70)</f>
        <v>0</v>
      </c>
      <c r="O71" s="139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RESUMO'!BS8</f>
        <v>0</v>
      </c>
      <c r="N72" s="140" t="n">
        <f aca="false">MAX(0,M72-M71)</f>
        <v>0</v>
      </c>
      <c r="O72" s="139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RESUMO'!BT8</f>
        <v>0</v>
      </c>
      <c r="N73" s="140" t="n">
        <f aca="false">MAX(0,M73-M72)</f>
        <v>0</v>
      </c>
      <c r="O73" s="139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RESUMO'!BU8</f>
        <v>0</v>
      </c>
      <c r="N74" s="140" t="n">
        <f aca="false">MAX(0,M74-M73)</f>
        <v>0</v>
      </c>
      <c r="O74" s="139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RESUMO'!BV8</f>
        <v>0</v>
      </c>
      <c r="N75" s="140" t="n">
        <f aca="false">MAX(0,M75-M74)</f>
        <v>0</v>
      </c>
      <c r="O75" s="139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RESUMO'!BW8</f>
        <v>0</v>
      </c>
      <c r="N76" s="140" t="n">
        <f aca="false">MAX(0,M76-M75)</f>
        <v>0</v>
      </c>
      <c r="O76" s="139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672914.49</v>
      </c>
      <c r="D78" s="61" t="n">
        <f aca="false">SUM(D5:D76)</f>
        <v>548326.228778094</v>
      </c>
      <c r="E78" s="61" t="n">
        <f aca="false">SUM(E5:E76)</f>
        <v>972.547406374673</v>
      </c>
      <c r="F78" s="145" t="n">
        <f aca="false">SUM(F5:F76)</f>
        <v>1</v>
      </c>
      <c r="H78" s="61" t="n">
        <f aca="false">SUM(H5:H76)</f>
        <v>597111.3</v>
      </c>
      <c r="L78" s="61" t="n">
        <f aca="false">SUM(L5:L76)</f>
        <v>549.746203821413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PL'!F15</f>
        <v>50000</v>
      </c>
      <c r="K5" s="56" t="n">
        <f aca="false">'VALOR POR PL'!G15</f>
        <v>41.094562</v>
      </c>
      <c r="L5" s="56" t="n">
        <f aca="false">'DADOS HISTORICOS'!$BZ$9</f>
        <v>0</v>
      </c>
      <c r="M5" s="139" t="n">
        <f aca="false">'CP RESUMO'!D9</f>
        <v>0</v>
      </c>
      <c r="N5" s="140" t="n">
        <v>0</v>
      </c>
      <c r="O5" s="139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PL'!H15</f>
        <v>69.3874220706997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RESUMO'!E9</f>
        <v>0</v>
      </c>
      <c r="N6" s="140" t="n">
        <f aca="false">MAX(0,M6-M5)</f>
        <v>0</v>
      </c>
      <c r="O6" s="139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87467.1354551868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RESUMO'!F9</f>
        <v>0</v>
      </c>
      <c r="N7" s="140" t="n">
        <f aca="false">MAX(0,M7-M6)</f>
        <v>0</v>
      </c>
      <c r="O7" s="139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47.8306884227085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RESUMO'!G9</f>
        <v>0</v>
      </c>
      <c r="N8" s="140" t="n">
        <f aca="false">MAX(0,M8-M7)</f>
        <v>0</v>
      </c>
      <c r="O8" s="139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87467.1354551868</v>
      </c>
      <c r="K9" s="45" t="n">
        <f aca="false">E78</f>
        <v>69.3788976026666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RESUMO'!H9</f>
        <v>0</v>
      </c>
      <c r="N9" s="140" t="n">
        <f aca="false">MAX(0,M9-M8)</f>
        <v>0</v>
      </c>
      <c r="O9" s="139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21.5482091799582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RESUMO'!I9</f>
        <v>0</v>
      </c>
      <c r="N10" s="140" t="n">
        <f aca="false">MAX(0,M10-M9)</f>
        <v>0</v>
      </c>
      <c r="O10" s="139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RESUMO'!J9</f>
        <v>0</v>
      </c>
      <c r="N11" s="140" t="n">
        <f aca="false">MAX(0,M11-M10)</f>
        <v>0</v>
      </c>
      <c r="O11" s="139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HISTORICOS'!K9)</f>
        <v>625.36</v>
      </c>
      <c r="D12" s="45" t="n">
        <f aca="false">IF(B12&lt;='VALOR POR PL'!$P$5,0,IF($K$17&gt;0,$K$18*P12/$K$17,0))</f>
        <v>0</v>
      </c>
      <c r="E12" s="45" t="n">
        <f aca="false">L12+D12/$K$2</f>
        <v>0.51662534666258</v>
      </c>
      <c r="F12" s="117" t="n">
        <f aca="false">IF($K$9=0,0,E12/$K$9)</f>
        <v>0.0074464334907899</v>
      </c>
      <c r="G12" s="117" t="n">
        <f aca="false">G11+F12</f>
        <v>0.0074464334907899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0.51662534666258</v>
      </c>
      <c r="M12" s="139" t="n">
        <f aca="false">'CP RESUMO'!K9</f>
        <v>0</v>
      </c>
      <c r="N12" s="140" t="n">
        <f aca="false">MAX(0,M12-M11)</f>
        <v>0</v>
      </c>
      <c r="O12" s="139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HISTORICOS'!L9)</f>
        <v>357.65</v>
      </c>
      <c r="D13" s="45" t="n">
        <f aca="false">IF(B13&lt;='VALOR POR PL'!$P$5,0,IF($K$17&gt;0,$K$18*P13/$K$17,0))</f>
        <v>0</v>
      </c>
      <c r="E13" s="45" t="n">
        <f aca="false">L13+D13/$K$2</f>
        <v>0.293949401087855</v>
      </c>
      <c r="F13" s="117" t="n">
        <f aca="false">IF($K$9=0,0,E13/$K$9)</f>
        <v>0.00423687044973394</v>
      </c>
      <c r="G13" s="117" t="n">
        <f aca="false">G12+F13</f>
        <v>0.0116833039405238</v>
      </c>
      <c r="H13" s="138"/>
      <c r="I13" s="42" t="s">
        <v>2928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0.293949401087855</v>
      </c>
      <c r="M13" s="139" t="n">
        <f aca="false">'CP RESUMO'!L9</f>
        <v>0</v>
      </c>
      <c r="N13" s="140" t="n">
        <f aca="false">MAX(0,M13-M12)</f>
        <v>0</v>
      </c>
      <c r="O13" s="139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HISTORICOS'!M9)</f>
        <v>1634.25</v>
      </c>
      <c r="D14" s="45" t="n">
        <f aca="false">IF(B14&lt;='VALOR POR PL'!$P$5,0,IF($K$17&gt;0,$K$18*P14/$K$17,0))</f>
        <v>0</v>
      </c>
      <c r="E14" s="45" t="n">
        <f aca="false">L14+D14/$K$2</f>
        <v>1.34092637766493</v>
      </c>
      <c r="F14" s="117" t="n">
        <f aca="false">IF($K$9=0,0,E14/$K$9)</f>
        <v>0.0193275826512036</v>
      </c>
      <c r="G14" s="117" t="n">
        <f aca="false">G13+F14</f>
        <v>0.0310108865917274</v>
      </c>
      <c r="H14" s="138"/>
      <c r="I14" s="42" t="s">
        <v>2929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1.34092637766493</v>
      </c>
      <c r="M14" s="139" t="n">
        <f aca="false">'CP RESUMO'!M9</f>
        <v>0</v>
      </c>
      <c r="N14" s="140" t="n">
        <f aca="false">MAX(0,M14-M13)</f>
        <v>0</v>
      </c>
      <c r="O14" s="139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HISTORICOS'!N9)</f>
        <v>14678.51</v>
      </c>
      <c r="D15" s="45" t="n">
        <f aca="false">IF(B15&lt;='VALOR POR PL'!$P$5,0,IF($K$17&gt;0,$K$18*P15/$K$17,0))</f>
        <v>0</v>
      </c>
      <c r="E15" s="45" t="n">
        <f aca="false">L15+D15/$K$2</f>
        <v>12.0083756287039</v>
      </c>
      <c r="F15" s="117" t="n">
        <f aca="false">IF($K$9=0,0,E15/$K$9)</f>
        <v>0.173083978610844</v>
      </c>
      <c r="G15" s="117" t="n">
        <f aca="false">G14+F15</f>
        <v>0.204094865202572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12.0083756287039</v>
      </c>
      <c r="M15" s="139" t="n">
        <f aca="false">'CP RESUMO'!N9</f>
        <v>0</v>
      </c>
      <c r="N15" s="140" t="n">
        <f aca="false">MAX(0,M15-M14)</f>
        <v>0</v>
      </c>
      <c r="O15" s="139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HISTORICOS'!O9)</f>
        <v>8642.57</v>
      </c>
      <c r="D16" s="45" t="n">
        <f aca="false">IF(B16&lt;='VALOR POR PL'!$P$5,0,IF($K$17&gt;0,$K$18*P16/$K$17,0))</f>
        <v>0</v>
      </c>
      <c r="E16" s="45" t="n">
        <f aca="false">L16+D16/$K$2</f>
        <v>7.05151542101102</v>
      </c>
      <c r="F16" s="117" t="n">
        <f aca="false">IF($K$9=0,0,E16/$K$9)</f>
        <v>0.101637755350266</v>
      </c>
      <c r="G16" s="117" t="n">
        <f aca="false">G15+F16</f>
        <v>0.305732620552838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7.05151542101102</v>
      </c>
      <c r="M16" s="139" t="n">
        <f aca="false">'CP RESUMO'!O9</f>
        <v>0</v>
      </c>
      <c r="N16" s="140" t="n">
        <f aca="false">MAX(0,M16-M15)</f>
        <v>0</v>
      </c>
      <c r="O16" s="139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HISTORICOS'!P9)</f>
        <v>1681.62</v>
      </c>
      <c r="D17" s="45" t="n">
        <f aca="false">IF(B17&lt;='VALOR POR PL'!$P$5,0,IF($K$17&gt;0,$K$18*P17/$K$17,0))</f>
        <v>0</v>
      </c>
      <c r="E17" s="45" t="n">
        <f aca="false">L17+D17/$K$2</f>
        <v>1.36921787941483</v>
      </c>
      <c r="F17" s="117" t="n">
        <f aca="false">IF($K$9=0,0,E17/$K$9)</f>
        <v>0.0197353651719339</v>
      </c>
      <c r="G17" s="117" t="n">
        <f aca="false">G16+F17</f>
        <v>0.325467985724772</v>
      </c>
      <c r="H17" s="138"/>
      <c r="I17" s="42" t="s">
        <v>2933</v>
      </c>
      <c r="K17" s="45" t="n">
        <f aca="false">SUM(P5:P76)</f>
        <v>3</v>
      </c>
      <c r="L17" s="45" t="n">
        <f aca="false">C17/IF(B17&lt;='VALOR POR PL'!$P$5,IFERROR(INDEX('"INCC-FGV"'!$B$2:$B$800,MATCH(B17,'"INCC-FGV"'!$A$2:$A$800,0)),$K$2),$K$2)</f>
        <v>1.36921787941483</v>
      </c>
      <c r="M17" s="139" t="n">
        <f aca="false">'CP RESUMO'!P9</f>
        <v>0</v>
      </c>
      <c r="N17" s="140" t="n">
        <f aca="false">MAX(0,M17-M16)</f>
        <v>0</v>
      </c>
      <c r="O17" s="139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HISTORICOS'!Q9)</f>
        <v>525.75</v>
      </c>
      <c r="D18" s="45" t="n">
        <f aca="false">IF(B18&lt;='VALOR POR PL'!$P$5,0,IF($K$17&gt;0,$K$18*P18/$K$17,0))</f>
        <v>0</v>
      </c>
      <c r="E18" s="45" t="n">
        <f aca="false">L18+D18/$K$2</f>
        <v>0.425007841323939</v>
      </c>
      <c r="F18" s="117" t="n">
        <f aca="false">IF($K$9=0,0,E18/$K$9)</f>
        <v>0.00612589499126898</v>
      </c>
      <c r="G18" s="117" t="n">
        <f aca="false">G17+F18</f>
        <v>0.331593880716041</v>
      </c>
      <c r="H18" s="138"/>
      <c r="I18" s="42" t="s">
        <v>2934</v>
      </c>
      <c r="K18" s="45" t="n">
        <f aca="false">MAX(0,K10)*$K$2</f>
        <v>27945.6354551868</v>
      </c>
      <c r="L18" s="45" t="n">
        <f aca="false">C18/IF(B18&lt;='VALOR POR PL'!$P$5,IFERROR(INDEX('"INCC-FGV"'!$B$2:$B$800,MATCH(B18,'"INCC-FGV"'!$A$2:$A$800,0)),$K$2),$K$2)</f>
        <v>0.425007841323939</v>
      </c>
      <c r="M18" s="139" t="n">
        <f aca="false">'CP RESUMO'!Q9</f>
        <v>0</v>
      </c>
      <c r="N18" s="140" t="n">
        <f aca="false">MAX(0,M18-M17)</f>
        <v>0</v>
      </c>
      <c r="O18" s="139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HISTORICOS'!R9)</f>
        <v>5117.4</v>
      </c>
      <c r="D19" s="45" t="n">
        <f aca="false">IF(B19&lt;='VALOR POR PL'!$P$5,0,IF($K$17&gt;0,$K$18*P19/$K$17,0))</f>
        <v>0</v>
      </c>
      <c r="E19" s="45" t="n">
        <f aca="false">L19+D19/$K$2</f>
        <v>4.12533525301879</v>
      </c>
      <c r="F19" s="117" t="n">
        <f aca="false">IF($K$9=0,0,E19/$K$9)</f>
        <v>0.0594609513204521</v>
      </c>
      <c r="G19" s="117" t="n">
        <f aca="false">G18+F19</f>
        <v>0.391054832036493</v>
      </c>
      <c r="H19" s="138"/>
      <c r="I19" s="42" t="s">
        <v>2935</v>
      </c>
      <c r="K19" s="142" t="n">
        <f aca="false">IF(AND(K16="PREVISÃO INFORMADA",K11&gt;0),K18/K11-1,"")</f>
        <v>9314.21181839559</v>
      </c>
      <c r="L19" s="45" t="n">
        <f aca="false">C19/IF(B19&lt;='VALOR POR PL'!$P$5,IFERROR(INDEX('"INCC-FGV"'!$B$2:$B$800,MATCH(B19,'"INCC-FGV"'!$A$2:$A$800,0)),$K$2),$K$2)</f>
        <v>4.12533525301879</v>
      </c>
      <c r="M19" s="139" t="n">
        <f aca="false">'CP RESUMO'!R9</f>
        <v>0</v>
      </c>
      <c r="N19" s="140" t="n">
        <f aca="false">MAX(0,M19-M18)</f>
        <v>0</v>
      </c>
      <c r="O19" s="139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0.391054832036493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RESUMO'!S9</f>
        <v>0</v>
      </c>
      <c r="N20" s="140" t="n">
        <f aca="false">MAX(0,M20-M19)</f>
        <v>0</v>
      </c>
      <c r="O20" s="139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HISTORICOS'!T9)</f>
        <v>6926.87</v>
      </c>
      <c r="D21" s="45" t="n">
        <f aca="false">IF(B21&lt;='VALOR POR PL'!$P$5,0,IF($K$17&gt;0,$K$18*P21/$K$17,0))</f>
        <v>0</v>
      </c>
      <c r="E21" s="45" t="n">
        <f aca="false">L21+D21/$K$2</f>
        <v>5.49903465401555</v>
      </c>
      <c r="F21" s="117" t="n">
        <f aca="false">IF($K$9=0,0,E21/$K$9)</f>
        <v>0.0792609113726274</v>
      </c>
      <c r="G21" s="117" t="n">
        <f aca="false">G20+F21</f>
        <v>0.470315743409121</v>
      </c>
      <c r="H21" s="138"/>
      <c r="K21" s="143"/>
      <c r="L21" s="45" t="n">
        <f aca="false">C21/IF(B21&lt;='VALOR POR PL'!$P$5,IFERROR(INDEX('"INCC-FGV"'!$B$2:$B$800,MATCH(B21,'"INCC-FGV"'!$A$2:$A$800,0)),$K$2),$K$2)</f>
        <v>5.49903465401555</v>
      </c>
      <c r="M21" s="139" t="n">
        <f aca="false">'CP RESUMO'!T9</f>
        <v>0</v>
      </c>
      <c r="N21" s="140" t="n">
        <f aca="false">MAX(0,M21-M20)</f>
        <v>0</v>
      </c>
      <c r="O21" s="139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HISTORICOS'!U9)</f>
        <v>18523.32</v>
      </c>
      <c r="D22" s="45" t="n">
        <f aca="false">IF(B22&lt;='VALOR POR PL'!$P$5,0,IF($K$17&gt;0,$K$18*P22/$K$17,0))</f>
        <v>0</v>
      </c>
      <c r="E22" s="45" t="n">
        <f aca="false">L22+D22/$K$2</f>
        <v>14.5773139895884</v>
      </c>
      <c r="F22" s="117" t="n">
        <f aca="false">IF($K$9=0,0,E22/$K$9)</f>
        <v>0.210111640474208</v>
      </c>
      <c r="G22" s="117" t="n">
        <f aca="false">G21+F22</f>
        <v>0.680427383883328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14.5773139895884</v>
      </c>
      <c r="M22" s="139" t="n">
        <f aca="false">'CP RESUMO'!U9</f>
        <v>0</v>
      </c>
      <c r="N22" s="140" t="n">
        <f aca="false">MAX(0,M22-M21)</f>
        <v>0</v>
      </c>
      <c r="O22" s="139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HISTORICOS'!V9)</f>
        <v>20.75</v>
      </c>
      <c r="D23" s="45" t="n">
        <f aca="false">IF(B23&lt;='VALOR POR PL'!$P$5,0,IF($K$17&gt;0,$K$18*P23/$K$17,0))</f>
        <v>0</v>
      </c>
      <c r="E23" s="45" t="n">
        <f aca="false">L23+D23/$K$2</f>
        <v>0.0162028234298293</v>
      </c>
      <c r="F23" s="117" t="n">
        <f aca="false">IF($K$9=0,0,E23/$K$9)</f>
        <v>0.000233541090874965</v>
      </c>
      <c r="G23" s="117" t="n">
        <f aca="false">G22+F23</f>
        <v>0.680660924974203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0.0162028234298293</v>
      </c>
      <c r="M23" s="139" t="n">
        <f aca="false">'CP RESUMO'!V9</f>
        <v>0</v>
      </c>
      <c r="N23" s="140" t="n">
        <f aca="false">MAX(0,M23-M22)</f>
        <v>0</v>
      </c>
      <c r="O23" s="139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0.680660924974203</v>
      </c>
      <c r="H24" s="138"/>
      <c r="I24" s="144" t="s">
        <v>2942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RESUMO'!W9</f>
        <v>0</v>
      </c>
      <c r="N24" s="140" t="n">
        <f aca="false">MAX(0,M24-M23)</f>
        <v>0</v>
      </c>
      <c r="O24" s="139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0.680660924974203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RESUMO'!X9</f>
        <v>0</v>
      </c>
      <c r="N25" s="140" t="n">
        <f aca="false">MAX(0,M25-M24)</f>
        <v>0</v>
      </c>
      <c r="O25" s="139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0.680660924974203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RESUMO'!Y9</f>
        <v>0</v>
      </c>
      <c r="N26" s="140" t="n">
        <f aca="false">MAX(0,M26-M25)</f>
        <v>0</v>
      </c>
      <c r="O26" s="139" t="str">
        <f aca="false">IF(B26&lt;='VALOR POR PL'!$P$5,'CP RESUMO'!Y51,"")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HISTORICOS'!Z9)</f>
        <v>620.4</v>
      </c>
      <c r="D27" s="45" t="n">
        <f aca="false">IF(B27&lt;='VALOR POR PL'!$P$5,0,IF($K$17&gt;0,$K$18*P27/$K$17,0))</f>
        <v>0</v>
      </c>
      <c r="E27" s="45" t="n">
        <f aca="false">L27+D27/$K$2</f>
        <v>0.478375558740956</v>
      </c>
      <c r="F27" s="117" t="n">
        <f aca="false">IF($K$9=0,0,E27/$K$9)</f>
        <v>0.00689511617034644</v>
      </c>
      <c r="G27" s="117" t="n">
        <f aca="false">G26+F27</f>
        <v>0.68755604114455</v>
      </c>
      <c r="H27" s="138"/>
      <c r="L27" s="45" t="n">
        <f aca="false">C27/IF(B27&lt;='VALOR POR PL'!$P$5,IFERROR(INDEX('"INCC-FGV"'!$B$2:$B$800,MATCH(B27,'"INCC-FGV"'!$A$2:$A$800,0)),$K$2),$K$2)</f>
        <v>0.478375558740956</v>
      </c>
      <c r="M27" s="139" t="n">
        <f aca="false">'CP RESUMO'!Z9</f>
        <v>0</v>
      </c>
      <c r="N27" s="140" t="n">
        <f aca="false">MAX(0,M27-M26)</f>
        <v>0</v>
      </c>
      <c r="O27" s="139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HISTORICOS'!AA9)</f>
        <v>167.05</v>
      </c>
      <c r="D28" s="45" t="n">
        <f aca="false">IF(B28&lt;='VALOR POR PL'!$P$5,0,IF($K$17&gt;0,$K$18*P28/$K$17,0))</f>
        <v>0</v>
      </c>
      <c r="E28" s="45" t="n">
        <f aca="false">L28+D28/$K$2</f>
        <v>0.128808248045901</v>
      </c>
      <c r="F28" s="117" t="n">
        <f aca="false">IF($K$9=0,0,E28/$K$9)</f>
        <v>0.00185659116095482</v>
      </c>
      <c r="G28" s="117" t="n">
        <f aca="false">G27+F28</f>
        <v>0.689412632305505</v>
      </c>
      <c r="H28" s="138"/>
      <c r="L28" s="45" t="n">
        <f aca="false">C28/IF(B28&lt;='VALOR POR PL'!$P$5,IFERROR(INDEX('"INCC-FGV"'!$B$2:$B$800,MATCH(B28,'"INCC-FGV"'!$A$2:$A$800,0)),$K$2),$K$2)</f>
        <v>0.128808248045901</v>
      </c>
      <c r="M28" s="139" t="n">
        <f aca="false">'CP RESUMO'!AA9</f>
        <v>0</v>
      </c>
      <c r="N28" s="140" t="n">
        <f aca="false">MAX(0,M28-M27)</f>
        <v>0</v>
      </c>
      <c r="O28" s="139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0.689412632305505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RESUMO'!AB9</f>
        <v>0</v>
      </c>
      <c r="N29" s="140" t="n">
        <f aca="false">MAX(0,M29-M28)</f>
        <v>0</v>
      </c>
      <c r="O29" s="139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9315.21181839559</v>
      </c>
      <c r="E30" s="45" t="n">
        <f aca="false">L30+D30/$K$2</f>
        <v>7.18273639331939</v>
      </c>
      <c r="F30" s="117" t="n">
        <f aca="false">IF($K$9=0,0,E30/$K$9)</f>
        <v>0.103529122564832</v>
      </c>
      <c r="G30" s="117" t="n">
        <f aca="false">G29+F30</f>
        <v>0.792941754870336</v>
      </c>
      <c r="H30" s="138" t="n">
        <v>1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RESUMO'!AC9</f>
        <v>0</v>
      </c>
      <c r="N30" s="140" t="n">
        <f aca="false">MAX(0,M30-M29)</f>
        <v>0</v>
      </c>
      <c r="O30" s="139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9315.21181839559</v>
      </c>
      <c r="E31" s="45" t="n">
        <f aca="false">L31+D31/$K$2</f>
        <v>7.18273639331939</v>
      </c>
      <c r="F31" s="117" t="n">
        <f aca="false">IF($K$9=0,0,E31/$K$9)</f>
        <v>0.103529122564832</v>
      </c>
      <c r="G31" s="117" t="n">
        <f aca="false">G30+F31</f>
        <v>0.896470877435168</v>
      </c>
      <c r="H31" s="138" t="n">
        <v>1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RESUMO'!AD9</f>
        <v>0</v>
      </c>
      <c r="N31" s="140" t="n">
        <f aca="false">MAX(0,M31-M30)</f>
        <v>0</v>
      </c>
      <c r="O31" s="139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9315.21181839559</v>
      </c>
      <c r="E32" s="45" t="n">
        <f aca="false">L32+D32/$K$2</f>
        <v>7.18273639331939</v>
      </c>
      <c r="F32" s="117" t="n">
        <f aca="false">IF($K$9=0,0,E32/$K$9)</f>
        <v>0.103529122564832</v>
      </c>
      <c r="G32" s="117" t="n">
        <f aca="false">G31+F32</f>
        <v>1</v>
      </c>
      <c r="H32" s="138" t="n">
        <v>1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RESUMO'!AE9</f>
        <v>0</v>
      </c>
      <c r="N32" s="140" t="n">
        <f aca="false">MAX(0,M32-M31)</f>
        <v>0</v>
      </c>
      <c r="O32" s="139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RESUMO'!AF9</f>
        <v>0</v>
      </c>
      <c r="N33" s="140" t="n">
        <f aca="false">MAX(0,M33-M32)</f>
        <v>0</v>
      </c>
      <c r="O33" s="139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RESUMO'!AG9</f>
        <v>0</v>
      </c>
      <c r="N34" s="140" t="n">
        <f aca="false">MAX(0,M34-M33)</f>
        <v>0</v>
      </c>
      <c r="O34" s="139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RESUMO'!AH9</f>
        <v>0</v>
      </c>
      <c r="N35" s="140" t="n">
        <f aca="false">MAX(0,M35-M34)</f>
        <v>0</v>
      </c>
      <c r="O35" s="139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RESUMO'!AI9</f>
        <v>0</v>
      </c>
      <c r="N36" s="140" t="n">
        <f aca="false">MAX(0,M36-M35)</f>
        <v>0</v>
      </c>
      <c r="O36" s="139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RESUMO'!AJ9</f>
        <v>0</v>
      </c>
      <c r="N37" s="140" t="n">
        <f aca="false">MAX(0,M37-M36)</f>
        <v>0</v>
      </c>
      <c r="O37" s="139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RESUMO'!AK9</f>
        <v>0</v>
      </c>
      <c r="N38" s="140" t="n">
        <f aca="false">MAX(0,M38-M37)</f>
        <v>0</v>
      </c>
      <c r="O38" s="139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RESUMO'!AL9</f>
        <v>0</v>
      </c>
      <c r="N39" s="140" t="n">
        <f aca="false">MAX(0,M39-M38)</f>
        <v>0</v>
      </c>
      <c r="O39" s="139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RESUMO'!AM9</f>
        <v>0</v>
      </c>
      <c r="N40" s="140" t="n">
        <f aca="false">MAX(0,M40-M39)</f>
        <v>0</v>
      </c>
      <c r="O40" s="139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RESUMO'!AN9</f>
        <v>0</v>
      </c>
      <c r="N41" s="140" t="n">
        <f aca="false">MAX(0,M41-M40)</f>
        <v>0</v>
      </c>
      <c r="O41" s="139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RESUMO'!AO9</f>
        <v>0</v>
      </c>
      <c r="N42" s="140" t="n">
        <f aca="false">MAX(0,M42-M41)</f>
        <v>0</v>
      </c>
      <c r="O42" s="139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RESUMO'!AP9</f>
        <v>0</v>
      </c>
      <c r="N43" s="140" t="n">
        <f aca="false">MAX(0,M43-M42)</f>
        <v>0</v>
      </c>
      <c r="O43" s="139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RESUMO'!AQ9</f>
        <v>0</v>
      </c>
      <c r="N44" s="140" t="n">
        <f aca="false">MAX(0,M44-M43)</f>
        <v>0</v>
      </c>
      <c r="O44" s="139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RESUMO'!AR9</f>
        <v>0</v>
      </c>
      <c r="N45" s="140" t="n">
        <f aca="false">MAX(0,M45-M44)</f>
        <v>0</v>
      </c>
      <c r="O45" s="139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RESUMO'!AS9</f>
        <v>0</v>
      </c>
      <c r="N46" s="140" t="n">
        <f aca="false">MAX(0,M46-M45)</f>
        <v>0</v>
      </c>
      <c r="O46" s="139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RESUMO'!AT9</f>
        <v>0</v>
      </c>
      <c r="N47" s="140" t="n">
        <f aca="false">MAX(0,M47-M46)</f>
        <v>0</v>
      </c>
      <c r="O47" s="139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RESUMO'!AU9</f>
        <v>0</v>
      </c>
      <c r="N48" s="140" t="n">
        <f aca="false">MAX(0,M48-M47)</f>
        <v>0</v>
      </c>
      <c r="O48" s="139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RESUMO'!AV9</f>
        <v>0</v>
      </c>
      <c r="N49" s="140" t="n">
        <f aca="false">MAX(0,M49-M48)</f>
        <v>0</v>
      </c>
      <c r="O49" s="139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RESUMO'!AW9</f>
        <v>0</v>
      </c>
      <c r="N50" s="140" t="n">
        <f aca="false">MAX(0,M50-M49)</f>
        <v>0</v>
      </c>
      <c r="O50" s="139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RESUMO'!AX9</f>
        <v>0</v>
      </c>
      <c r="N51" s="140" t="n">
        <f aca="false">MAX(0,M51-M50)</f>
        <v>0</v>
      </c>
      <c r="O51" s="139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RESUMO'!AY9</f>
        <v>0</v>
      </c>
      <c r="N52" s="140" t="n">
        <f aca="false">MAX(0,M52-M51)</f>
        <v>0</v>
      </c>
      <c r="O52" s="139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RESUMO'!AZ9</f>
        <v>0</v>
      </c>
      <c r="N53" s="140" t="n">
        <f aca="false">MAX(0,M53-M52)</f>
        <v>0</v>
      </c>
      <c r="O53" s="139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RESUMO'!BA9</f>
        <v>0</v>
      </c>
      <c r="N54" s="140" t="n">
        <f aca="false">MAX(0,M54-M53)</f>
        <v>0</v>
      </c>
      <c r="O54" s="139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RESUMO'!BB9</f>
        <v>0</v>
      </c>
      <c r="N55" s="140" t="n">
        <f aca="false">MAX(0,M55-M54)</f>
        <v>0</v>
      </c>
      <c r="O55" s="139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RESUMO'!BC9</f>
        <v>0</v>
      </c>
      <c r="N56" s="140" t="n">
        <f aca="false">MAX(0,M56-M55)</f>
        <v>0</v>
      </c>
      <c r="O56" s="139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RESUMO'!BD9</f>
        <v>0</v>
      </c>
      <c r="N57" s="140" t="n">
        <f aca="false">MAX(0,M57-M56)</f>
        <v>0</v>
      </c>
      <c r="O57" s="139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RESUMO'!BE9</f>
        <v>0</v>
      </c>
      <c r="N58" s="140" t="n">
        <f aca="false">MAX(0,M58-M57)</f>
        <v>0</v>
      </c>
      <c r="O58" s="139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RESUMO'!BF9</f>
        <v>0</v>
      </c>
      <c r="N59" s="140" t="n">
        <f aca="false">MAX(0,M59-M58)</f>
        <v>0</v>
      </c>
      <c r="O59" s="139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RESUMO'!BG9</f>
        <v>0</v>
      </c>
      <c r="N60" s="140" t="n">
        <f aca="false">MAX(0,M60-M59)</f>
        <v>0</v>
      </c>
      <c r="O60" s="139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RESUMO'!BH9</f>
        <v>0</v>
      </c>
      <c r="N61" s="140" t="n">
        <f aca="false">MAX(0,M61-M60)</f>
        <v>0</v>
      </c>
      <c r="O61" s="139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RESUMO'!BI9</f>
        <v>0</v>
      </c>
      <c r="N62" s="140" t="n">
        <f aca="false">MAX(0,M62-M61)</f>
        <v>0</v>
      </c>
      <c r="O62" s="139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RESUMO'!BJ9</f>
        <v>0</v>
      </c>
      <c r="N63" s="140" t="n">
        <f aca="false">MAX(0,M63-M62)</f>
        <v>0</v>
      </c>
      <c r="O63" s="139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RESUMO'!BK9</f>
        <v>0</v>
      </c>
      <c r="N64" s="140" t="n">
        <f aca="false">MAX(0,M64-M63)</f>
        <v>0</v>
      </c>
      <c r="O64" s="139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RESUMO'!BL9</f>
        <v>0</v>
      </c>
      <c r="N65" s="140" t="n">
        <f aca="false">MAX(0,M65-M64)</f>
        <v>0</v>
      </c>
      <c r="O65" s="139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RESUMO'!BM9</f>
        <v>0</v>
      </c>
      <c r="N66" s="140" t="n">
        <f aca="false">MAX(0,M66-M65)</f>
        <v>0</v>
      </c>
      <c r="O66" s="139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RESUMO'!BN9</f>
        <v>0</v>
      </c>
      <c r="N67" s="140" t="n">
        <f aca="false">MAX(0,M67-M66)</f>
        <v>0</v>
      </c>
      <c r="O67" s="139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RESUMO'!BO9</f>
        <v>0</v>
      </c>
      <c r="N68" s="140" t="n">
        <f aca="false">MAX(0,M68-M67)</f>
        <v>0</v>
      </c>
      <c r="O68" s="139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RESUMO'!BP9</f>
        <v>0</v>
      </c>
      <c r="N69" s="140" t="n">
        <f aca="false">MAX(0,M69-M68)</f>
        <v>0</v>
      </c>
      <c r="O69" s="139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RESUMO'!BQ9</f>
        <v>0</v>
      </c>
      <c r="N70" s="140" t="n">
        <f aca="false">MAX(0,M70-M69)</f>
        <v>0</v>
      </c>
      <c r="O70" s="139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RESUMO'!BR9</f>
        <v>0</v>
      </c>
      <c r="N71" s="140" t="n">
        <f aca="false">MAX(0,M71-M70)</f>
        <v>0</v>
      </c>
      <c r="O71" s="139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RESUMO'!BS9</f>
        <v>0</v>
      </c>
      <c r="N72" s="140" t="n">
        <f aca="false">MAX(0,M72-M71)</f>
        <v>0</v>
      </c>
      <c r="O72" s="139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RESUMO'!BT9</f>
        <v>0</v>
      </c>
      <c r="N73" s="140" t="n">
        <f aca="false">MAX(0,M73-M72)</f>
        <v>0</v>
      </c>
      <c r="O73" s="139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RESUMO'!BU9</f>
        <v>0</v>
      </c>
      <c r="N74" s="140" t="n">
        <f aca="false">MAX(0,M74-M73)</f>
        <v>0</v>
      </c>
      <c r="O74" s="139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RESUMO'!BV9</f>
        <v>0</v>
      </c>
      <c r="N75" s="140" t="n">
        <f aca="false">MAX(0,M75-M74)</f>
        <v>0</v>
      </c>
      <c r="O75" s="139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RESUMO'!BW9</f>
        <v>0</v>
      </c>
      <c r="N76" s="140" t="n">
        <f aca="false">MAX(0,M76-M75)</f>
        <v>0</v>
      </c>
      <c r="O76" s="139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59521.5</v>
      </c>
      <c r="D78" s="61" t="n">
        <f aca="false">SUM(D5:D76)</f>
        <v>27945.6354551868</v>
      </c>
      <c r="E78" s="61" t="n">
        <f aca="false">SUM(E5:E76)</f>
        <v>69.3788976026666</v>
      </c>
      <c r="F78" s="145" t="n">
        <f aca="false">SUM(F5:F76)</f>
        <v>1</v>
      </c>
      <c r="H78" s="61" t="n">
        <f aca="false">SUM(H5:H76)</f>
        <v>3</v>
      </c>
      <c r="L78" s="61" t="n">
        <f aca="false">SUM(L5:L76)</f>
        <v>47.8306884227085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PL'!F16</f>
        <v>521400</v>
      </c>
      <c r="K5" s="56" t="n">
        <f aca="false">'VALOR POR PL'!G16</f>
        <v>428.534091</v>
      </c>
      <c r="L5" s="56" t="n">
        <f aca="false">'DADOS HISTORICOS'!$BZ$10</f>
        <v>0</v>
      </c>
      <c r="M5" s="139" t="n">
        <f aca="false">'CP RESUMO'!D10</f>
        <v>0</v>
      </c>
      <c r="N5" s="140" t="n">
        <v>0</v>
      </c>
      <c r="O5" s="139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PL'!H16</f>
        <v>447.683548249062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RESUMO'!E10</f>
        <v>0</v>
      </c>
      <c r="N6" s="140" t="n">
        <f aca="false">MAX(0,M6-M5)</f>
        <v>0</v>
      </c>
      <c r="O6" s="139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579625.908128584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RESUMO'!F10</f>
        <v>0</v>
      </c>
      <c r="N7" s="140" t="n">
        <f aca="false">MAX(0,M7-M6)</f>
        <v>0</v>
      </c>
      <c r="O7" s="139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37.0964616490787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RESUMO'!G10</f>
        <v>0</v>
      </c>
      <c r="N8" s="140" t="n">
        <f aca="false">MAX(0,M8-M7)</f>
        <v>0</v>
      </c>
      <c r="O8" s="139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579625.908128584</v>
      </c>
      <c r="K9" s="45" t="n">
        <f aca="false">E78</f>
        <v>447.5211842958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RESUMO'!H10</f>
        <v>0</v>
      </c>
      <c r="N9" s="140" t="n">
        <f aca="false">MAX(0,M9-M8)</f>
        <v>0</v>
      </c>
      <c r="O9" s="139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410.424722646721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RESUMO'!I10</f>
        <v>0</v>
      </c>
      <c r="N10" s="140" t="n">
        <f aca="false">MAX(0,M10-M9)</f>
        <v>0</v>
      </c>
      <c r="O10" s="139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494508.3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RESUMO'!J10</f>
        <v>0</v>
      </c>
      <c r="N11" s="140" t="n">
        <f aca="false">MAX(0,M11-M10)</f>
        <v>0</v>
      </c>
      <c r="O11" s="139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RESUMO'!K10</f>
        <v>0</v>
      </c>
      <c r="N12" s="140" t="n">
        <f aca="false">MAX(0,M12-M11)</f>
        <v>0</v>
      </c>
      <c r="O12" s="139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RESUMO'!L10</f>
        <v>0</v>
      </c>
      <c r="N13" s="140" t="n">
        <f aca="false">MAX(0,M13-M12)</f>
        <v>0</v>
      </c>
      <c r="O13" s="139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RESUMO'!M10</f>
        <v>0</v>
      </c>
      <c r="N14" s="140" t="n">
        <f aca="false">MAX(0,M14-M13)</f>
        <v>0</v>
      </c>
      <c r="O14" s="139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HISTORICOS'!N10)</f>
        <v>451.95</v>
      </c>
      <c r="D15" s="45" t="n">
        <f aca="false">IF(B15&lt;='VALOR POR PL'!$P$5,0,IF($K$17&gt;0,$K$18*P15/$K$17,0))</f>
        <v>0</v>
      </c>
      <c r="E15" s="45" t="n">
        <f aca="false">L15+D15/$K$2</f>
        <v>0.369736803353524</v>
      </c>
      <c r="F15" s="117" t="n">
        <f aca="false">IF($K$9=0,0,E15/$K$9)</f>
        <v>0.000826188382423339</v>
      </c>
      <c r="G15" s="117" t="n">
        <f aca="false">G14+F15</f>
        <v>0.000826188382423339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0.369736803353524</v>
      </c>
      <c r="M15" s="139" t="n">
        <f aca="false">'CP RESUMO'!N10</f>
        <v>0</v>
      </c>
      <c r="N15" s="140" t="n">
        <f aca="false">MAX(0,M15-M14)</f>
        <v>0</v>
      </c>
      <c r="O15" s="139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HISTORICOS'!O10)</f>
        <v>2796.26</v>
      </c>
      <c r="D16" s="45" t="n">
        <f aca="false">IF(B16&lt;='VALOR POR PL'!$P$5,0,IF($K$17&gt;0,$K$18*P16/$K$17,0))</f>
        <v>0</v>
      </c>
      <c r="E16" s="45" t="n">
        <f aca="false">L16+D16/$K$2</f>
        <v>2.28148230343015</v>
      </c>
      <c r="F16" s="117" t="n">
        <f aca="false">IF($K$9=0,0,E16/$K$9)</f>
        <v>0.00509804313961179</v>
      </c>
      <c r="G16" s="117" t="n">
        <f aca="false">G15+F16</f>
        <v>0.00592423152203513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2.28148230343015</v>
      </c>
      <c r="M16" s="139" t="n">
        <f aca="false">'CP RESUMO'!O10</f>
        <v>0</v>
      </c>
      <c r="N16" s="140" t="n">
        <f aca="false">MAX(0,M16-M15)</f>
        <v>0</v>
      </c>
      <c r="O16" s="139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HISTORICOS'!P10)</f>
        <v>159.9</v>
      </c>
      <c r="D17" s="45" t="n">
        <f aca="false">IF(B17&lt;='VALOR POR PL'!$P$5,0,IF($K$17&gt;0,$K$18*P17/$K$17,0))</f>
        <v>0</v>
      </c>
      <c r="E17" s="45" t="n">
        <f aca="false">L17+D17/$K$2</f>
        <v>0.130194656889447</v>
      </c>
      <c r="F17" s="117" t="n">
        <f aca="false">IF($K$9=0,0,E17/$K$9)</f>
        <v>0.00029092400864624</v>
      </c>
      <c r="G17" s="117" t="n">
        <f aca="false">G16+F17</f>
        <v>0.00621515553068137</v>
      </c>
      <c r="H17" s="138"/>
      <c r="I17" s="42" t="s">
        <v>2933</v>
      </c>
      <c r="K17" s="45" t="n">
        <f aca="false">SUM(P5:P76)</f>
        <v>494508.3</v>
      </c>
      <c r="L17" s="45" t="n">
        <f aca="false">C17/IF(B17&lt;='VALOR POR PL'!$P$5,IFERROR(INDEX('"INCC-FGV"'!$B$2:$B$800,MATCH(B17,'"INCC-FGV"'!$A$2:$A$800,0)),$K$2),$K$2)</f>
        <v>0.130194656889447</v>
      </c>
      <c r="M17" s="139" t="n">
        <f aca="false">'CP RESUMO'!P10</f>
        <v>0</v>
      </c>
      <c r="N17" s="140" t="n">
        <f aca="false">MAX(0,M17-M16)</f>
        <v>0</v>
      </c>
      <c r="O17" s="139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HISTORICOS'!Q10)</f>
        <v>2417.06</v>
      </c>
      <c r="D18" s="45" t="n">
        <f aca="false">IF(B18&lt;='VALOR POR PL'!$P$5,0,IF($K$17&gt;0,$K$18*P18/$K$17,0))</f>
        <v>0</v>
      </c>
      <c r="E18" s="45" t="n">
        <f aca="false">L18+D18/$K$2</f>
        <v>1.95391241645352</v>
      </c>
      <c r="F18" s="117" t="n">
        <f aca="false">IF($K$9=0,0,E18/$K$9)</f>
        <v>0.00436607804282632</v>
      </c>
      <c r="G18" s="117" t="n">
        <f aca="false">G17+F18</f>
        <v>0.0105812335735077</v>
      </c>
      <c r="H18" s="138"/>
      <c r="I18" s="42" t="s">
        <v>2934</v>
      </c>
      <c r="K18" s="45" t="n">
        <f aca="false">MAX(0,K10)*$K$2</f>
        <v>532275.308128584</v>
      </c>
      <c r="L18" s="45" t="n">
        <f aca="false">C18/IF(B18&lt;='VALOR POR PL'!$P$5,IFERROR(INDEX('"INCC-FGV"'!$B$2:$B$800,MATCH(B18,'"INCC-FGV"'!$A$2:$A$800,0)),$K$2),$K$2)</f>
        <v>1.95391241645352</v>
      </c>
      <c r="M18" s="139" t="n">
        <f aca="false">'CP RESUMO'!Q10</f>
        <v>0</v>
      </c>
      <c r="N18" s="140" t="n">
        <f aca="false">MAX(0,M18-M17)</f>
        <v>0</v>
      </c>
      <c r="O18" s="139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HISTORICOS'!R10)</f>
        <v>1957.61</v>
      </c>
      <c r="D19" s="45" t="n">
        <f aca="false">IF(B19&lt;='VALOR POR PL'!$P$5,0,IF($K$17&gt;0,$K$18*P19/$K$17,0))</f>
        <v>0</v>
      </c>
      <c r="E19" s="45" t="n">
        <f aca="false">L19+D19/$K$2</f>
        <v>1.57810558968658</v>
      </c>
      <c r="F19" s="117" t="n">
        <f aca="false">IF($K$9=0,0,E19/$K$9)</f>
        <v>0.00352632600436518</v>
      </c>
      <c r="G19" s="117" t="n">
        <f aca="false">G18+F19</f>
        <v>0.0141075595778729</v>
      </c>
      <c r="H19" s="138"/>
      <c r="I19" s="42" t="s">
        <v>2935</v>
      </c>
      <c r="K19" s="142" t="n">
        <f aca="false">IF(AND(K16="PREVISÃO INFORMADA",K11&gt;0),K18/K11-1,"")</f>
        <v>0.0763728498158345</v>
      </c>
      <c r="L19" s="45" t="n">
        <f aca="false">C19/IF(B19&lt;='VALOR POR PL'!$P$5,IFERROR(INDEX('"INCC-FGV"'!$B$2:$B$800,MATCH(B19,'"INCC-FGV"'!$A$2:$A$800,0)),$K$2),$K$2)</f>
        <v>1.57810558968658</v>
      </c>
      <c r="M19" s="139" t="n">
        <f aca="false">'CP RESUMO'!R10</f>
        <v>0</v>
      </c>
      <c r="N19" s="140" t="n">
        <f aca="false">MAX(0,M19-M18)</f>
        <v>0</v>
      </c>
      <c r="O19" s="139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HISTORICOS'!S10)</f>
        <v>2936.03</v>
      </c>
      <c r="D20" s="45" t="n">
        <f aca="false">IF(B20&lt;='VALOR POR PL'!$P$5,0,IF($K$17&gt;0,$K$18*P20/$K$17,0))</f>
        <v>0</v>
      </c>
      <c r="E20" s="45" t="n">
        <f aca="false">L20+D20/$K$2</f>
        <v>2.35413304083369</v>
      </c>
      <c r="F20" s="117" t="n">
        <f aca="false">IF($K$9=0,0,E20/$K$9)</f>
        <v>0.00526038347109322</v>
      </c>
      <c r="G20" s="117" t="n">
        <f aca="false">G19+F20</f>
        <v>0.0193679430489661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2.35413304083369</v>
      </c>
      <c r="M20" s="139" t="n">
        <f aca="false">'CP RESUMO'!S10</f>
        <v>0</v>
      </c>
      <c r="N20" s="140" t="n">
        <f aca="false">MAX(0,M20-M19)</f>
        <v>0</v>
      </c>
      <c r="O20" s="139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HISTORICOS'!T10)</f>
        <v>1594.43</v>
      </c>
      <c r="D21" s="45" t="n">
        <f aca="false">IF(B21&lt;='VALOR POR PL'!$P$5,0,IF($K$17&gt;0,$K$18*P21/$K$17,0))</f>
        <v>0</v>
      </c>
      <c r="E21" s="45" t="n">
        <f aca="false">L21+D21/$K$2</f>
        <v>1.26577022860282</v>
      </c>
      <c r="F21" s="117" t="n">
        <f aca="false">IF($K$9=0,0,E21/$K$9)</f>
        <v>0.00282840292933748</v>
      </c>
      <c r="G21" s="117" t="n">
        <f aca="false">G20+F21</f>
        <v>0.0221963459783036</v>
      </c>
      <c r="H21" s="138"/>
      <c r="K21" s="143"/>
      <c r="L21" s="45" t="n">
        <f aca="false">C21/IF(B21&lt;='VALOR POR PL'!$P$5,IFERROR(INDEX('"INCC-FGV"'!$B$2:$B$800,MATCH(B21,'"INCC-FGV"'!$A$2:$A$800,0)),$K$2),$K$2)</f>
        <v>1.26577022860282</v>
      </c>
      <c r="M21" s="139" t="n">
        <f aca="false">'CP RESUMO'!T10</f>
        <v>0</v>
      </c>
      <c r="N21" s="140" t="n">
        <f aca="false">MAX(0,M21-M20)</f>
        <v>0</v>
      </c>
      <c r="O21" s="139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HISTORICOS'!U10)</f>
        <v>6339.97</v>
      </c>
      <c r="D22" s="45" t="n">
        <f aca="false">IF(B22&lt;='VALOR POR PL'!$P$5,0,IF($K$17&gt;0,$K$18*P22/$K$17,0))</f>
        <v>0</v>
      </c>
      <c r="E22" s="45" t="n">
        <f aca="false">L22+D22/$K$2</f>
        <v>4.98937195786558</v>
      </c>
      <c r="F22" s="117" t="n">
        <f aca="false">IF($K$9=0,0,E22/$K$9)</f>
        <v>0.0111489067622947</v>
      </c>
      <c r="G22" s="117" t="n">
        <f aca="false">G21+F22</f>
        <v>0.0333452527405983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4.98937195786558</v>
      </c>
      <c r="M22" s="139" t="n">
        <f aca="false">'CP RESUMO'!U10</f>
        <v>0</v>
      </c>
      <c r="N22" s="140" t="n">
        <f aca="false">MAX(0,M22-M21)</f>
        <v>0</v>
      </c>
      <c r="O22" s="139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HISTORICOS'!V10)</f>
        <v>2360.61</v>
      </c>
      <c r="D23" s="45" t="n">
        <f aca="false">IF(B23&lt;='VALOR POR PL'!$P$5,0,IF($K$17&gt;0,$K$18*P23/$K$17,0))</f>
        <v>0</v>
      </c>
      <c r="E23" s="45" t="n">
        <f aca="false">L23+D23/$K$2</f>
        <v>1.84330347068382</v>
      </c>
      <c r="F23" s="117" t="n">
        <f aca="false">IF($K$9=0,0,E23/$K$9)</f>
        <v>0.00411891891460818</v>
      </c>
      <c r="G23" s="117" t="n">
        <f aca="false">G22+F23</f>
        <v>0.0374641716552064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1.84330347068382</v>
      </c>
      <c r="M23" s="139" t="n">
        <f aca="false">'CP RESUMO'!V10</f>
        <v>0</v>
      </c>
      <c r="N23" s="140" t="n">
        <f aca="false">MAX(0,M23-M22)</f>
        <v>0</v>
      </c>
      <c r="O23" s="139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HISTORICOS'!W10)</f>
        <v>4502.73</v>
      </c>
      <c r="D24" s="45" t="n">
        <f aca="false">IF(B24&lt;='VALOR POR PL'!$P$5,0,IF($K$17&gt;0,$K$18*P24/$K$17,0))</f>
        <v>0</v>
      </c>
      <c r="E24" s="45" t="n">
        <f aca="false">L24+D24/$K$2</f>
        <v>3.49473894993213</v>
      </c>
      <c r="F24" s="117" t="n">
        <f aca="false">IF($K$9=0,0,E24/$K$9)</f>
        <v>0.00780910283706747</v>
      </c>
      <c r="G24" s="117" t="n">
        <f aca="false">G23+F24</f>
        <v>0.0452732744922739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3.49473894993213</v>
      </c>
      <c r="M24" s="139" t="n">
        <f aca="false">'CP RESUMO'!W10</f>
        <v>0</v>
      </c>
      <c r="N24" s="140" t="n">
        <f aca="false">MAX(0,M24-M23)</f>
        <v>0</v>
      </c>
      <c r="O24" s="139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HISTORICOS'!X10)</f>
        <v>10541.48</v>
      </c>
      <c r="D25" s="45" t="n">
        <f aca="false">IF(B25&lt;='VALOR POR PL'!$P$5,0,IF($K$17&gt;0,$K$18*P25/$K$17,0))</f>
        <v>0</v>
      </c>
      <c r="E25" s="45" t="n">
        <f aca="false">L25+D25/$K$2</f>
        <v>8.12828237420473</v>
      </c>
      <c r="F25" s="117" t="n">
        <f aca="false">IF($K$9=0,0,E25/$K$9)</f>
        <v>0.0181628996781349</v>
      </c>
      <c r="G25" s="117" t="n">
        <f aca="false">G24+F25</f>
        <v>0.0634361741704088</v>
      </c>
      <c r="H25" s="138"/>
      <c r="L25" s="45" t="n">
        <f aca="false">C25/IF(B25&lt;='VALOR POR PL'!$P$5,IFERROR(INDEX('"INCC-FGV"'!$B$2:$B$800,MATCH(B25,'"INCC-FGV"'!$A$2:$A$800,0)),$K$2),$K$2)</f>
        <v>8.12828237420473</v>
      </c>
      <c r="M25" s="139" t="n">
        <f aca="false">'CP RESUMO'!X10</f>
        <v>0</v>
      </c>
      <c r="N25" s="140" t="n">
        <f aca="false">MAX(0,M25-M24)</f>
        <v>0</v>
      </c>
      <c r="O25" s="139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HISTORICOS'!Y10)</f>
        <v>3836.72</v>
      </c>
      <c r="D26" s="45" t="n">
        <f aca="false">IF(B26&lt;='VALOR POR PL'!$P$5,0,IF($K$17&gt;0,$K$18*P26/$K$17,0))</f>
        <v>11346.5628688766</v>
      </c>
      <c r="E26" s="45" t="n">
        <f aca="false">L26+D26/$K$2</f>
        <v>11.7074652255333</v>
      </c>
      <c r="F26" s="117" t="n">
        <f aca="false">IF($K$9=0,0,E26/$K$9)</f>
        <v>0.0261606950382821</v>
      </c>
      <c r="G26" s="117" t="n">
        <f aca="false">G25+F26</f>
        <v>0.0895968692086909</v>
      </c>
      <c r="H26" s="138" t="n">
        <v>10541.48</v>
      </c>
      <c r="L26" s="45" t="n">
        <f aca="false">C26/IF(B26&lt;='VALOR POR PL'!$P$5,IFERROR(INDEX('"INCC-FGV"'!$B$2:$B$800,MATCH(B26,'"INCC-FGV"'!$A$2:$A$800,0)),$K$2),$K$2)</f>
        <v>2.95840276230271</v>
      </c>
      <c r="M26" s="139" t="n">
        <f aca="false">'CP RESUMO'!Y10</f>
        <v>0</v>
      </c>
      <c r="N26" s="140" t="n">
        <f aca="false">MAX(0,M26-M25)</f>
        <v>0</v>
      </c>
      <c r="O26" s="139" t="str">
        <f aca="false">IF(B26&lt;='VALOR POR PL'!$P$5,'CP RESUMO'!Y52,"")</f>
        <v/>
      </c>
      <c r="P26" s="66" t="n">
        <f aca="false">IF(B26&lt;='VALOR POR PL'!$P$5,0,IF(OR($K$16="CURVA PREVISION",$K$16="MDO PREVISION + MATERIAL PREMISSA"),N26,IF($K$16="PREVISÃO INFORMADA",MAX(0,H26),0)))</f>
        <v>10541.48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HISTORICOS'!Z10)</f>
        <v>2339.05</v>
      </c>
      <c r="D27" s="45" t="n">
        <f aca="false">IF(B27&lt;='VALOR POR PL'!$P$5,0,IF($K$17&gt;0,$K$18*P27/$K$17,0))</f>
        <v>12248.4772071943</v>
      </c>
      <c r="E27" s="45" t="n">
        <f aca="false">L27+D27/$K$2</f>
        <v>11.2480923249363</v>
      </c>
      <c r="F27" s="117" t="n">
        <f aca="false">IF($K$9=0,0,E27/$K$9)</f>
        <v>0.0251342120097305</v>
      </c>
      <c r="G27" s="117" t="n">
        <f aca="false">G26+F27</f>
        <v>0.114731081218421</v>
      </c>
      <c r="H27" s="138" t="n">
        <v>11379.4</v>
      </c>
      <c r="L27" s="45" t="n">
        <f aca="false">C27/IF(B27&lt;='VALOR POR PL'!$P$5,IFERROR(INDEX('"INCC-FGV"'!$B$2:$B$800,MATCH(B27,'"INCC-FGV"'!$A$2:$A$800,0)),$K$2),$K$2)</f>
        <v>1.80358534924731</v>
      </c>
      <c r="M27" s="139" t="n">
        <f aca="false">'CP RESUMO'!Z10</f>
        <v>0</v>
      </c>
      <c r="N27" s="140" t="n">
        <f aca="false">MAX(0,M27-M26)</f>
        <v>0</v>
      </c>
      <c r="O27" s="139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11379.4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HISTORICOS'!AA10)</f>
        <v>159.9</v>
      </c>
      <c r="D28" s="45" t="n">
        <f aca="false">IF(B28&lt;='VALOR POR PL'!$P$5,0,IF($K$17&gt;0,$K$18*P28/$K$17,0))</f>
        <v>11978.253803248</v>
      </c>
      <c r="E28" s="45" t="n">
        <f aca="false">L28+D28/$K$2</f>
        <v>9.35943924518447</v>
      </c>
      <c r="F28" s="117" t="n">
        <f aca="false">IF($K$9=0,0,E28/$K$9)</f>
        <v>0.0209139579837144</v>
      </c>
      <c r="G28" s="117" t="n">
        <f aca="false">G27+F28</f>
        <v>0.135645039202136</v>
      </c>
      <c r="H28" s="138" t="n">
        <v>11128.35</v>
      </c>
      <c r="L28" s="45" t="n">
        <f aca="false">C28/IF(B28&lt;='VALOR POR PL'!$P$5,IFERROR(INDEX('"INCC-FGV"'!$B$2:$B$800,MATCH(B28,'"INCC-FGV"'!$A$2:$A$800,0)),$K$2),$K$2)</f>
        <v>0.123295054549773</v>
      </c>
      <c r="M28" s="139" t="n">
        <f aca="false">'CP RESUMO'!AA10</f>
        <v>0</v>
      </c>
      <c r="N28" s="140" t="n">
        <f aca="false">MAX(0,M28-M27)</f>
        <v>0</v>
      </c>
      <c r="O28" s="139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11128.35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HISTORICOS'!AB10)</f>
        <v>159.9</v>
      </c>
      <c r="D29" s="45" t="n">
        <f aca="false">IF(B29&lt;='VALOR POR PL'!$P$5,0,IF($K$17&gt;0,$K$18*P29/$K$17,0))</f>
        <v>11454.9428511246</v>
      </c>
      <c r="E29" s="45" t="n">
        <f aca="false">L29+D29/$K$2</f>
        <v>8.95592672242928</v>
      </c>
      <c r="F29" s="117" t="n">
        <f aca="false">IF($K$9=0,0,E29/$K$9)</f>
        <v>0.0200122967061815</v>
      </c>
      <c r="G29" s="117" t="n">
        <f aca="false">G28+F29</f>
        <v>0.155657335908317</v>
      </c>
      <c r="H29" s="138" t="n">
        <v>10642.17</v>
      </c>
      <c r="L29" s="45" t="n">
        <f aca="false">C29/IF(B29&lt;='VALOR POR PL'!$P$5,IFERROR(INDEX('"INCC-FGV"'!$B$2:$B$800,MATCH(B29,'"INCC-FGV"'!$A$2:$A$800,0)),$K$2),$K$2)</f>
        <v>0.123295054549773</v>
      </c>
      <c r="M29" s="139" t="n">
        <f aca="false">'CP RESUMO'!AB10</f>
        <v>0</v>
      </c>
      <c r="N29" s="140" t="n">
        <f aca="false">MAX(0,M29-M28)</f>
        <v>0</v>
      </c>
      <c r="O29" s="139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10642.17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HISTORICOS'!AC10)</f>
        <v>159.9</v>
      </c>
      <c r="D30" s="45" t="n">
        <f aca="false">IF(B30&lt;='VALOR POR PL'!$P$5,0,IF($K$17&gt;0,$K$18*P30/$K$17,0))</f>
        <v>11053.5311242428</v>
      </c>
      <c r="E30" s="45" t="n">
        <f aca="false">L30+D30/$K$2</f>
        <v>8.64640776831538</v>
      </c>
      <c r="F30" s="117" t="n">
        <f aca="false">IF($K$9=0,0,E30/$K$9)</f>
        <v>0.0193206669800917</v>
      </c>
      <c r="G30" s="117" t="n">
        <f aca="false">G29+F30</f>
        <v>0.174978002888409</v>
      </c>
      <c r="H30" s="138" t="n">
        <v>10269.24</v>
      </c>
      <c r="L30" s="45" t="n">
        <f aca="false">C30/IF(B30&lt;='VALOR POR PL'!$P$5,IFERROR(INDEX('"INCC-FGV"'!$B$2:$B$800,MATCH(B30,'"INCC-FGV"'!$A$2:$A$800,0)),$K$2),$K$2)</f>
        <v>0.123295054549773</v>
      </c>
      <c r="M30" s="139" t="n">
        <f aca="false">'CP RESUMO'!AC10</f>
        <v>0</v>
      </c>
      <c r="N30" s="140" t="n">
        <f aca="false">MAX(0,M30-M29)</f>
        <v>0</v>
      </c>
      <c r="O30" s="139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10269.24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HISTORICOS'!AD10)</f>
        <v>159.9</v>
      </c>
      <c r="D31" s="45" t="n">
        <f aca="false">IF(B31&lt;='VALOR POR PL'!$P$5,0,IF($K$17&gt;0,$K$18*P31/$K$17,0))</f>
        <v>11953.7663209147</v>
      </c>
      <c r="E31" s="45" t="n">
        <f aca="false">L31+D31/$K$2</f>
        <v>9.34055753492761</v>
      </c>
      <c r="F31" s="117" t="n">
        <f aca="false">IF($K$9=0,0,E31/$K$9)</f>
        <v>0.0208717662151022</v>
      </c>
      <c r="G31" s="117" t="n">
        <f aca="false">G30+F31</f>
        <v>0.195849769103511</v>
      </c>
      <c r="H31" s="138" t="n">
        <v>11105.6</v>
      </c>
      <c r="L31" s="45" t="n">
        <f aca="false">C31/IF(B31&lt;='VALOR POR PL'!$P$5,IFERROR(INDEX('"INCC-FGV"'!$B$2:$B$800,MATCH(B31,'"INCC-FGV"'!$A$2:$A$800,0)),$K$2),$K$2)</f>
        <v>0.123295054549773</v>
      </c>
      <c r="M31" s="139" t="n">
        <f aca="false">'CP RESUMO'!AD10</f>
        <v>0</v>
      </c>
      <c r="N31" s="140" t="n">
        <f aca="false">MAX(0,M31-M30)</f>
        <v>0</v>
      </c>
      <c r="O31" s="139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11105.6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HISTORICOS'!AE10)</f>
        <v>159.9</v>
      </c>
      <c r="D32" s="45" t="n">
        <f aca="false">IF(B32&lt;='VALOR POR PL'!$P$5,0,IF($K$17&gt;0,$K$18*P32/$K$17,0))</f>
        <v>12164.1326306827</v>
      </c>
      <c r="E32" s="45" t="n">
        <f aca="false">L32+D32/$K$2</f>
        <v>9.50276595042655</v>
      </c>
      <c r="F32" s="117" t="n">
        <f aca="false">IF($K$9=0,0,E32/$K$9)</f>
        <v>0.0212342259626875</v>
      </c>
      <c r="G32" s="117" t="n">
        <f aca="false">G31+F32</f>
        <v>0.217083995066199</v>
      </c>
      <c r="H32" s="138" t="n">
        <v>11301.04</v>
      </c>
      <c r="L32" s="45" t="n">
        <f aca="false">C32/IF(B32&lt;='VALOR POR PL'!$P$5,IFERROR(INDEX('"INCC-FGV"'!$B$2:$B$800,MATCH(B32,'"INCC-FGV"'!$A$2:$A$800,0)),$K$2),$K$2)</f>
        <v>0.123295054549773</v>
      </c>
      <c r="M32" s="139" t="n">
        <f aca="false">'CP RESUMO'!AE10</f>
        <v>0</v>
      </c>
      <c r="N32" s="140" t="n">
        <f aca="false">MAX(0,M32-M31)</f>
        <v>0</v>
      </c>
      <c r="O32" s="139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11301.04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HISTORICOS'!AF10)</f>
        <v>159.9</v>
      </c>
      <c r="D33" s="45" t="n">
        <f aca="false">IF(B33&lt;='VALOR POR PL'!$P$5,0,IF($K$17&gt;0,$K$18*P33/$K$17,0))</f>
        <v>11720.5809067306</v>
      </c>
      <c r="E33" s="45" t="n">
        <f aca="false">L33+D33/$K$2</f>
        <v>9.16075385536513</v>
      </c>
      <c r="F33" s="117" t="n">
        <f aca="false">IF($K$9=0,0,E33/$K$9)</f>
        <v>0.02046998930292</v>
      </c>
      <c r="G33" s="117" t="n">
        <f aca="false">G32+F33</f>
        <v>0.237553984369119</v>
      </c>
      <c r="H33" s="138" t="n">
        <v>10888.96</v>
      </c>
      <c r="L33" s="45" t="n">
        <f aca="false">C33/IF(B33&lt;='VALOR POR PL'!$P$5,IFERROR(INDEX('"INCC-FGV"'!$B$2:$B$800,MATCH(B33,'"INCC-FGV"'!$A$2:$A$800,0)),$K$2),$K$2)</f>
        <v>0.123295054549773</v>
      </c>
      <c r="M33" s="139" t="n">
        <f aca="false">'CP RESUMO'!AF10</f>
        <v>0</v>
      </c>
      <c r="N33" s="140" t="n">
        <f aca="false">MAX(0,M33-M32)</f>
        <v>0</v>
      </c>
      <c r="O33" s="139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10888.96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HISTORICOS'!AG10)</f>
        <v>159.9</v>
      </c>
      <c r="D34" s="45" t="n">
        <f aca="false">IF(B34&lt;='VALOR POR PL'!$P$5,0,IF($K$17&gt;0,$K$18*P34/$K$17,0))</f>
        <v>12044.6014257107</v>
      </c>
      <c r="E34" s="45" t="n">
        <f aca="false">L34+D34/$K$2</f>
        <v>9.41059830541449</v>
      </c>
      <c r="F34" s="117" t="n">
        <f aca="false">IF($K$9=0,0,E34/$K$9)</f>
        <v>0.021028274494363</v>
      </c>
      <c r="G34" s="117" t="n">
        <f aca="false">G33+F34</f>
        <v>0.258582258863482</v>
      </c>
      <c r="H34" s="138" t="n">
        <v>11189.99</v>
      </c>
      <c r="L34" s="45" t="n">
        <f aca="false">C34/IF(B34&lt;='VALOR POR PL'!$P$5,IFERROR(INDEX('"INCC-FGV"'!$B$2:$B$800,MATCH(B34,'"INCC-FGV"'!$A$2:$A$800,0)),$K$2),$K$2)</f>
        <v>0.123295054549773</v>
      </c>
      <c r="M34" s="139" t="n">
        <f aca="false">'CP RESUMO'!AG10</f>
        <v>0</v>
      </c>
      <c r="N34" s="140" t="n">
        <f aca="false">MAX(0,M34-M33)</f>
        <v>0</v>
      </c>
      <c r="O34" s="139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11189.99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HISTORICOS'!AH10)</f>
        <v>159.9</v>
      </c>
      <c r="D35" s="45" t="n">
        <f aca="false">IF(B35&lt;='VALOR POR PL'!$P$5,0,IF($K$17&gt;0,$K$18*P35/$K$17,0))</f>
        <v>12198.0706666374</v>
      </c>
      <c r="E35" s="45" t="n">
        <f aca="false">L35+D35/$K$2</f>
        <v>9.52893475589463</v>
      </c>
      <c r="F35" s="117" t="n">
        <f aca="false">IF($K$9=0,0,E35/$K$9)</f>
        <v>0.0212927009721092</v>
      </c>
      <c r="G35" s="117" t="n">
        <f aca="false">G34+F35</f>
        <v>0.279874959835591</v>
      </c>
      <c r="H35" s="138" t="n">
        <v>11332.57</v>
      </c>
      <c r="L35" s="45" t="n">
        <f aca="false">C35/IF(B35&lt;='VALOR POR PL'!$P$5,IFERROR(INDEX('"INCC-FGV"'!$B$2:$B$800,MATCH(B35,'"INCC-FGV"'!$A$2:$A$800,0)),$K$2),$K$2)</f>
        <v>0.123295054549773</v>
      </c>
      <c r="M35" s="139" t="n">
        <f aca="false">'CP RESUMO'!AH10</f>
        <v>0</v>
      </c>
      <c r="N35" s="140" t="n">
        <f aca="false">MAX(0,M35-M34)</f>
        <v>0</v>
      </c>
      <c r="O35" s="139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11332.57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HISTORICOS'!AI10)</f>
        <v>159.9</v>
      </c>
      <c r="D36" s="45" t="n">
        <f aca="false">IF(B36&lt;='VALOR POR PL'!$P$5,0,IF($K$17&gt;0,$K$18*P36/$K$17,0))</f>
        <v>12467.7774116158</v>
      </c>
      <c r="E36" s="45" t="n">
        <f aca="false">L36+D36/$K$2</f>
        <v>9.73689915761163</v>
      </c>
      <c r="F36" s="117" t="n">
        <f aca="false">IF($K$9=0,0,E36/$K$9)</f>
        <v>0.0217574038934787</v>
      </c>
      <c r="G36" s="117" t="n">
        <f aca="false">G35+F36</f>
        <v>0.30163236372907</v>
      </c>
      <c r="H36" s="138" t="n">
        <v>11583.14</v>
      </c>
      <c r="L36" s="45" t="n">
        <f aca="false">C36/IF(B36&lt;='VALOR POR PL'!$P$5,IFERROR(INDEX('"INCC-FGV"'!$B$2:$B$800,MATCH(B36,'"INCC-FGV"'!$A$2:$A$800,0)),$K$2),$K$2)</f>
        <v>0.123295054549773</v>
      </c>
      <c r="M36" s="139" t="n">
        <f aca="false">'CP RESUMO'!AI10</f>
        <v>0</v>
      </c>
      <c r="N36" s="140" t="n">
        <f aca="false">MAX(0,M36-M35)</f>
        <v>0</v>
      </c>
      <c r="O36" s="139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11583.14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HISTORICOS'!AJ10)</f>
        <v>159.9</v>
      </c>
      <c r="D37" s="45" t="n">
        <f aca="false">IF(B37&lt;='VALOR POR PL'!$P$5,0,IF($K$17&gt;0,$K$18*P37/$K$17,0))</f>
        <v>12846.6929459365</v>
      </c>
      <c r="E37" s="45" t="n">
        <f aca="false">L37+D37/$K$2</f>
        <v>10.0290718372478</v>
      </c>
      <c r="F37" s="117" t="n">
        <f aca="false">IF($K$9=0,0,E37/$K$9)</f>
        <v>0.0224102728299424</v>
      </c>
      <c r="G37" s="117" t="n">
        <f aca="false">G36+F37</f>
        <v>0.324042636559012</v>
      </c>
      <c r="H37" s="138" t="n">
        <v>11935.17</v>
      </c>
      <c r="L37" s="45" t="n">
        <f aca="false">C37/IF(B37&lt;='VALOR POR PL'!$P$5,IFERROR(INDEX('"INCC-FGV"'!$B$2:$B$800,MATCH(B37,'"INCC-FGV"'!$A$2:$A$800,0)),$K$2),$K$2)</f>
        <v>0.123295054549773</v>
      </c>
      <c r="M37" s="139" t="n">
        <f aca="false">'CP RESUMO'!AJ10</f>
        <v>0</v>
      </c>
      <c r="N37" s="140" t="n">
        <f aca="false">MAX(0,M37-M36)</f>
        <v>0</v>
      </c>
      <c r="O37" s="139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11935.17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HISTORICOS'!AK10)</f>
        <v>159.9</v>
      </c>
      <c r="D38" s="45" t="n">
        <f aca="false">IF(B38&lt;='VALOR POR PL'!$P$5,0,IF($K$17&gt;0,$K$18*P38/$K$17,0))</f>
        <v>13433.3699677286</v>
      </c>
      <c r="E38" s="45" t="n">
        <f aca="false">L38+D38/$K$2</f>
        <v>10.4814444163907</v>
      </c>
      <c r="F38" s="117" t="n">
        <f aca="false">IF($K$9=0,0,E38/$K$9)</f>
        <v>0.023421113422561</v>
      </c>
      <c r="G38" s="117" t="n">
        <f aca="false">G37+F38</f>
        <v>0.347463749981573</v>
      </c>
      <c r="H38" s="138" t="n">
        <v>12480.22</v>
      </c>
      <c r="L38" s="45" t="n">
        <f aca="false">C38/IF(B38&lt;='VALOR POR PL'!$P$5,IFERROR(INDEX('"INCC-FGV"'!$B$2:$B$800,MATCH(B38,'"INCC-FGV"'!$A$2:$A$800,0)),$K$2),$K$2)</f>
        <v>0.123295054549773</v>
      </c>
      <c r="M38" s="139" t="n">
        <f aca="false">'CP RESUMO'!AK10</f>
        <v>0</v>
      </c>
      <c r="N38" s="140" t="n">
        <f aca="false">MAX(0,M38-M37)</f>
        <v>0</v>
      </c>
      <c r="O38" s="139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12480.22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HISTORICOS'!AL10)</f>
        <v>159.9</v>
      </c>
      <c r="D39" s="45" t="n">
        <f aca="false">IF(B39&lt;='VALOR POR PL'!$P$5,0,IF($K$17&gt;0,$K$18*P39/$K$17,0))</f>
        <v>13850.5828480457</v>
      </c>
      <c r="E39" s="45" t="n">
        <f aca="false">L39+D39/$K$2</f>
        <v>10.8031472609034</v>
      </c>
      <c r="F39" s="117" t="n">
        <f aca="false">IF($K$9=0,0,E39/$K$9)</f>
        <v>0.0241399684305509</v>
      </c>
      <c r="G39" s="117" t="n">
        <f aca="false">G38+F39</f>
        <v>0.371603718412124</v>
      </c>
      <c r="H39" s="138" t="n">
        <v>12867.83</v>
      </c>
      <c r="L39" s="45" t="n">
        <f aca="false">C39/IF(B39&lt;='VALOR POR PL'!$P$5,IFERROR(INDEX('"INCC-FGV"'!$B$2:$B$800,MATCH(B39,'"INCC-FGV"'!$A$2:$A$800,0)),$K$2),$K$2)</f>
        <v>0.123295054549773</v>
      </c>
      <c r="M39" s="139" t="n">
        <f aca="false">'CP RESUMO'!AL10</f>
        <v>0</v>
      </c>
      <c r="N39" s="140" t="n">
        <f aca="false">MAX(0,M39-M38)</f>
        <v>0</v>
      </c>
      <c r="O39" s="139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12867.83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HISTORICOS'!AM10)</f>
        <v>159.9</v>
      </c>
      <c r="D40" s="45" t="n">
        <f aca="false">IF(B40&lt;='VALOR POR PL'!$P$5,0,IF($K$17&gt;0,$K$18*P40/$K$17,0))</f>
        <v>13834.9646779949</v>
      </c>
      <c r="E40" s="45" t="n">
        <f aca="false">L40+D40/$K$2</f>
        <v>10.7911044646033</v>
      </c>
      <c r="F40" s="117" t="n">
        <f aca="false">IF($K$9=0,0,E40/$K$9)</f>
        <v>0.0241130584278009</v>
      </c>
      <c r="G40" s="117" t="n">
        <f aca="false">G39+F40</f>
        <v>0.395716776839925</v>
      </c>
      <c r="H40" s="138" t="n">
        <v>12853.32</v>
      </c>
      <c r="L40" s="45" t="n">
        <f aca="false">C40/IF(B40&lt;='VALOR POR PL'!$P$5,IFERROR(INDEX('"INCC-FGV"'!$B$2:$B$800,MATCH(B40,'"INCC-FGV"'!$A$2:$A$800,0)),$K$2),$K$2)</f>
        <v>0.123295054549773</v>
      </c>
      <c r="M40" s="139" t="n">
        <f aca="false">'CP RESUMO'!AM10</f>
        <v>0</v>
      </c>
      <c r="N40" s="140" t="n">
        <f aca="false">MAX(0,M40-M39)</f>
        <v>0</v>
      </c>
      <c r="O40" s="139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12853.32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HISTORICOS'!AN10)</f>
        <v>159.9</v>
      </c>
      <c r="D41" s="45" t="n">
        <f aca="false">IF(B41&lt;='VALOR POR PL'!$P$5,0,IF($K$17&gt;0,$K$18*P41/$K$17,0))</f>
        <v>14203.4716868578</v>
      </c>
      <c r="E41" s="45" t="n">
        <f aca="false">L41+D41/$K$2</f>
        <v>11.0752513799237</v>
      </c>
      <c r="F41" s="117" t="n">
        <f aca="false">IF($K$9=0,0,E41/$K$9)</f>
        <v>0.0247479935443753</v>
      </c>
      <c r="G41" s="117" t="n">
        <f aca="false">G40+F41</f>
        <v>0.4204647703843</v>
      </c>
      <c r="H41" s="138" t="n">
        <v>13195.68</v>
      </c>
      <c r="L41" s="45" t="n">
        <f aca="false">C41/IF(B41&lt;='VALOR POR PL'!$P$5,IFERROR(INDEX('"INCC-FGV"'!$B$2:$B$800,MATCH(B41,'"INCC-FGV"'!$A$2:$A$800,0)),$K$2),$K$2)</f>
        <v>0.123295054549773</v>
      </c>
      <c r="M41" s="139" t="n">
        <f aca="false">'CP RESUMO'!AN10</f>
        <v>0</v>
      </c>
      <c r="N41" s="140" t="n">
        <f aca="false">MAX(0,M41-M40)</f>
        <v>0</v>
      </c>
      <c r="O41" s="139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13195.68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HISTORICOS'!AO10)</f>
        <v>159.9</v>
      </c>
      <c r="D42" s="45" t="n">
        <f aca="false">IF(B42&lt;='VALOR POR PL'!$P$5,0,IF($K$17&gt;0,$K$18*P42/$K$17,0))</f>
        <v>12923.7504782548</v>
      </c>
      <c r="E42" s="45" t="n">
        <f aca="false">L42+D42/$K$2</f>
        <v>10.0884890520737</v>
      </c>
      <c r="F42" s="117" t="n">
        <f aca="false">IF($K$9=0,0,E42/$K$9)</f>
        <v>0.0225430424437862</v>
      </c>
      <c r="G42" s="117" t="n">
        <f aca="false">G41+F42</f>
        <v>0.443007812828086</v>
      </c>
      <c r="H42" s="138" t="n">
        <v>12006.76</v>
      </c>
      <c r="L42" s="45" t="n">
        <f aca="false">C42/IF(B42&lt;='VALOR POR PL'!$P$5,IFERROR(INDEX('"INCC-FGV"'!$B$2:$B$800,MATCH(B42,'"INCC-FGV"'!$A$2:$A$800,0)),$K$2),$K$2)</f>
        <v>0.123295054549773</v>
      </c>
      <c r="M42" s="139" t="n">
        <f aca="false">'CP RESUMO'!AO10</f>
        <v>0</v>
      </c>
      <c r="N42" s="140" t="n">
        <f aca="false">MAX(0,M42-M41)</f>
        <v>0</v>
      </c>
      <c r="O42" s="139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12006.76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HISTORICOS'!AP10)</f>
        <v>159.9</v>
      </c>
      <c r="D43" s="45" t="n">
        <f aca="false">IF(B43&lt;='VALOR POR PL'!$P$5,0,IF($K$17&gt;0,$K$18*P43/$K$17,0))</f>
        <v>13941.3103155567</v>
      </c>
      <c r="E43" s="45" t="n">
        <f aca="false">L43+D43/$K$2</f>
        <v>10.8731050348616</v>
      </c>
      <c r="F43" s="117" t="n">
        <f aca="false">IF($K$9=0,0,E43/$K$9)</f>
        <v>0.0242962912514881</v>
      </c>
      <c r="G43" s="117" t="n">
        <f aca="false">G42+F43</f>
        <v>0.467304104079574</v>
      </c>
      <c r="H43" s="138" t="n">
        <v>12952.12</v>
      </c>
      <c r="L43" s="45" t="n">
        <f aca="false">C43/IF(B43&lt;='VALOR POR PL'!$P$5,IFERROR(INDEX('"INCC-FGV"'!$B$2:$B$800,MATCH(B43,'"INCC-FGV"'!$A$2:$A$800,0)),$K$2),$K$2)</f>
        <v>0.123295054549773</v>
      </c>
      <c r="M43" s="139" t="n">
        <f aca="false">'CP RESUMO'!AP10</f>
        <v>0</v>
      </c>
      <c r="N43" s="140" t="n">
        <f aca="false">MAX(0,M43-M42)</f>
        <v>0</v>
      </c>
      <c r="O43" s="139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12952.12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HISTORICOS'!AQ10)</f>
        <v>159.9</v>
      </c>
      <c r="D44" s="45" t="n">
        <f aca="false">IF(B44&lt;='VALOR POR PL'!$P$5,0,IF($K$17&gt;0,$K$18*P44/$K$17,0))</f>
        <v>13714.9813964259</v>
      </c>
      <c r="E44" s="45" t="n">
        <f aca="false">L44+D44/$K$2</f>
        <v>10.6985882341711</v>
      </c>
      <c r="F44" s="117" t="n">
        <f aca="false">IF($K$9=0,0,E44/$K$9)</f>
        <v>0.0239063280345173</v>
      </c>
      <c r="G44" s="117" t="n">
        <f aca="false">G43+F44</f>
        <v>0.491210432114092</v>
      </c>
      <c r="H44" s="138" t="n">
        <v>12741.85</v>
      </c>
      <c r="L44" s="45" t="n">
        <f aca="false">C44/IF(B44&lt;='VALOR POR PL'!$P$5,IFERROR(INDEX('"INCC-FGV"'!$B$2:$B$800,MATCH(B44,'"INCC-FGV"'!$A$2:$A$800,0)),$K$2),$K$2)</f>
        <v>0.123295054549773</v>
      </c>
      <c r="M44" s="139" t="n">
        <f aca="false">'CP RESUMO'!AQ10</f>
        <v>0</v>
      </c>
      <c r="N44" s="140" t="n">
        <f aca="false">MAX(0,M44-M43)</f>
        <v>0</v>
      </c>
      <c r="O44" s="139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12741.85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HISTORICOS'!AR10)</f>
        <v>159.9</v>
      </c>
      <c r="D45" s="45" t="n">
        <f aca="false">IF(B45&lt;='VALOR POR PL'!$P$5,0,IF($K$17&gt;0,$K$18*P45/$K$17,0))</f>
        <v>13576.936578437</v>
      </c>
      <c r="E45" s="45" t="n">
        <f aca="false">L45+D45/$K$2</f>
        <v>10.5921451862395</v>
      </c>
      <c r="F45" s="117" t="n">
        <f aca="false">IF($K$9=0,0,E45/$K$9)</f>
        <v>0.0236684777345387</v>
      </c>
      <c r="G45" s="117" t="n">
        <f aca="false">G44+F45</f>
        <v>0.51487890984863</v>
      </c>
      <c r="H45" s="138" t="n">
        <v>12613.6</v>
      </c>
      <c r="L45" s="45" t="n">
        <f aca="false">C45/IF(B45&lt;='VALOR POR PL'!$P$5,IFERROR(INDEX('"INCC-FGV"'!$B$2:$B$800,MATCH(B45,'"INCC-FGV"'!$A$2:$A$800,0)),$K$2),$K$2)</f>
        <v>0.123295054549773</v>
      </c>
      <c r="M45" s="139" t="n">
        <f aca="false">'CP RESUMO'!AR10</f>
        <v>0</v>
      </c>
      <c r="N45" s="140" t="n">
        <f aca="false">MAX(0,M45-M44)</f>
        <v>0</v>
      </c>
      <c r="O45" s="139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12613.6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HISTORICOS'!AS10)</f>
        <v>159.9</v>
      </c>
      <c r="D46" s="45" t="n">
        <f aca="false">IF(B46&lt;='VALOR POR PL'!$P$5,0,IF($K$17&gt;0,$K$18*P46/$K$17,0))</f>
        <v>13147.1193720486</v>
      </c>
      <c r="E46" s="45" t="n">
        <f aca="false">L46+D46/$K$2</f>
        <v>10.2607234482277</v>
      </c>
      <c r="F46" s="117" t="n">
        <f aca="false">IF($K$9=0,0,E46/$K$9)</f>
        <v>0.0229279055568588</v>
      </c>
      <c r="G46" s="117" t="n">
        <f aca="false">G45+F46</f>
        <v>0.537806815405489</v>
      </c>
      <c r="H46" s="138" t="n">
        <v>12214.28</v>
      </c>
      <c r="L46" s="45" t="n">
        <f aca="false">C46/IF(B46&lt;='VALOR POR PL'!$P$5,IFERROR(INDEX('"INCC-FGV"'!$B$2:$B$800,MATCH(B46,'"INCC-FGV"'!$A$2:$A$800,0)),$K$2),$K$2)</f>
        <v>0.123295054549773</v>
      </c>
      <c r="M46" s="139" t="n">
        <f aca="false">'CP RESUMO'!AS10</f>
        <v>0</v>
      </c>
      <c r="N46" s="140" t="n">
        <f aca="false">MAX(0,M46-M45)</f>
        <v>0</v>
      </c>
      <c r="O46" s="139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12214.28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HISTORICOS'!AT10)</f>
        <v>159.9</v>
      </c>
      <c r="D47" s="45" t="n">
        <f aca="false">IF(B47&lt;='VALOR POR PL'!$P$5,0,IF($K$17&gt;0,$K$18*P47/$K$17,0))</f>
        <v>13951.6327311864</v>
      </c>
      <c r="E47" s="45" t="n">
        <f aca="false">L47+D47/$K$2</f>
        <v>10.8810644019545</v>
      </c>
      <c r="F47" s="117" t="n">
        <f aca="false">IF($K$9=0,0,E47/$K$9)</f>
        <v>0.0243140767047185</v>
      </c>
      <c r="G47" s="117" t="n">
        <f aca="false">G46+F47</f>
        <v>0.562120892110207</v>
      </c>
      <c r="H47" s="138" t="n">
        <v>12961.71</v>
      </c>
      <c r="L47" s="45" t="n">
        <f aca="false">C47/IF(B47&lt;='VALOR POR PL'!$P$5,IFERROR(INDEX('"INCC-FGV"'!$B$2:$B$800,MATCH(B47,'"INCC-FGV"'!$A$2:$A$800,0)),$K$2),$K$2)</f>
        <v>0.123295054549773</v>
      </c>
      <c r="M47" s="139" t="n">
        <f aca="false">'CP RESUMO'!AT10</f>
        <v>0</v>
      </c>
      <c r="N47" s="140" t="n">
        <f aca="false">MAX(0,M47-M46)</f>
        <v>0</v>
      </c>
      <c r="O47" s="139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12961.71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HISTORICOS'!AU10)</f>
        <v>159.9</v>
      </c>
      <c r="D48" s="45" t="n">
        <f aca="false">IF(B48&lt;='VALOR POR PL'!$P$5,0,IF($K$17&gt;0,$K$18*P48/$K$17,0))</f>
        <v>13409.0977599652</v>
      </c>
      <c r="E48" s="45" t="n">
        <f aca="false">L48+D48/$K$2</f>
        <v>10.4627286991911</v>
      </c>
      <c r="F48" s="117" t="n">
        <f aca="false">IF($K$9=0,0,E48/$K$9)</f>
        <v>0.0233792925705959</v>
      </c>
      <c r="G48" s="117" t="n">
        <f aca="false">G47+F48</f>
        <v>0.585500184680803</v>
      </c>
      <c r="H48" s="138" t="n">
        <v>12457.67</v>
      </c>
      <c r="L48" s="45" t="n">
        <f aca="false">C48/IF(B48&lt;='VALOR POR PL'!$P$5,IFERROR(INDEX('"INCC-FGV"'!$B$2:$B$800,MATCH(B48,'"INCC-FGV"'!$A$2:$A$800,0)),$K$2),$K$2)</f>
        <v>0.123295054549773</v>
      </c>
      <c r="M48" s="139" t="n">
        <f aca="false">'CP RESUMO'!AU10</f>
        <v>0</v>
      </c>
      <c r="N48" s="140" t="n">
        <f aca="false">MAX(0,M48-M47)</f>
        <v>0</v>
      </c>
      <c r="O48" s="139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12457.67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HISTORICOS'!AV10)</f>
        <v>159.9</v>
      </c>
      <c r="D49" s="45" t="n">
        <f aca="false">IF(B49&lt;='VALOR POR PL'!$P$5,0,IF($K$17&gt;0,$K$18*P49/$K$17,0))</f>
        <v>13257.0385674717</v>
      </c>
      <c r="E49" s="45" t="n">
        <f aca="false">L49+D49/$K$2</f>
        <v>10.3454795032356</v>
      </c>
      <c r="F49" s="117" t="n">
        <f aca="false">IF($K$9=0,0,E49/$K$9)</f>
        <v>0.0231172955968885</v>
      </c>
      <c r="G49" s="117" t="n">
        <f aca="false">G48+F49</f>
        <v>0.608617480277692</v>
      </c>
      <c r="H49" s="138" t="n">
        <v>12316.4</v>
      </c>
      <c r="L49" s="45" t="n">
        <f aca="false">C49/IF(B49&lt;='VALOR POR PL'!$P$5,IFERROR(INDEX('"INCC-FGV"'!$B$2:$B$800,MATCH(B49,'"INCC-FGV"'!$A$2:$A$800,0)),$K$2),$K$2)</f>
        <v>0.123295054549773</v>
      </c>
      <c r="M49" s="139" t="n">
        <f aca="false">'CP RESUMO'!AV10</f>
        <v>0</v>
      </c>
      <c r="N49" s="140" t="n">
        <f aca="false">MAX(0,M49-M48)</f>
        <v>0</v>
      </c>
      <c r="O49" s="139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12316.4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HISTORICOS'!AW10)</f>
        <v>159.9</v>
      </c>
      <c r="D50" s="45" t="n">
        <f aca="false">IF(B50&lt;='VALOR POR PL'!$P$5,0,IF($K$17&gt;0,$K$18*P50/$K$17,0))</f>
        <v>13140.2090583527</v>
      </c>
      <c r="E50" s="45" t="n">
        <f aca="false">L50+D50/$K$2</f>
        <v>10.2553950710915</v>
      </c>
      <c r="F50" s="117" t="n">
        <f aca="false">IF($K$9=0,0,E50/$K$9)</f>
        <v>0.0229159991324856</v>
      </c>
      <c r="G50" s="117" t="n">
        <f aca="false">G49+F50</f>
        <v>0.631533479410177</v>
      </c>
      <c r="H50" s="138" t="n">
        <v>12207.86</v>
      </c>
      <c r="L50" s="45" t="n">
        <f aca="false">C50/IF(B50&lt;='VALOR POR PL'!$P$5,IFERROR(INDEX('"INCC-FGV"'!$B$2:$B$800,MATCH(B50,'"INCC-FGV"'!$A$2:$A$800,0)),$K$2),$K$2)</f>
        <v>0.123295054549773</v>
      </c>
      <c r="M50" s="139" t="n">
        <f aca="false">'CP RESUMO'!AW10</f>
        <v>0</v>
      </c>
      <c r="N50" s="140" t="n">
        <f aca="false">MAX(0,M50-M49)</f>
        <v>0</v>
      </c>
      <c r="O50" s="139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12207.86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HISTORICOS'!AX10)</f>
        <v>159.9</v>
      </c>
      <c r="D51" s="45" t="n">
        <f aca="false">IF(B51&lt;='VALOR POR PL'!$P$5,0,IF($K$17&gt;0,$K$18*P51/$K$17,0))</f>
        <v>12497.4745385422</v>
      </c>
      <c r="E51" s="45" t="n">
        <f aca="false">L51+D51/$K$2</f>
        <v>9.75979789985281</v>
      </c>
      <c r="F51" s="117" t="n">
        <f aca="false">IF($K$9=0,0,E51/$K$9)</f>
        <v>0.0218085718449517</v>
      </c>
      <c r="G51" s="117" t="n">
        <f aca="false">G50+F51</f>
        <v>0.653342051255129</v>
      </c>
      <c r="H51" s="138" t="n">
        <v>11610.73</v>
      </c>
      <c r="L51" s="45" t="n">
        <f aca="false">C51/IF(B51&lt;='VALOR POR PL'!$P$5,IFERROR(INDEX('"INCC-FGV"'!$B$2:$B$800,MATCH(B51,'"INCC-FGV"'!$A$2:$A$800,0)),$K$2),$K$2)</f>
        <v>0.123295054549773</v>
      </c>
      <c r="M51" s="139" t="n">
        <f aca="false">'CP RESUMO'!AX10</f>
        <v>0</v>
      </c>
      <c r="N51" s="140" t="n">
        <f aca="false">MAX(0,M51-M50)</f>
        <v>0</v>
      </c>
      <c r="O51" s="139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11610.73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HISTORICOS'!AY10)</f>
        <v>159.9</v>
      </c>
      <c r="D52" s="45" t="n">
        <f aca="false">IF(B52&lt;='VALOR POR PL'!$P$5,0,IF($K$17&gt;0,$K$18*P52/$K$17,0))</f>
        <v>11867.667256658</v>
      </c>
      <c r="E52" s="45" t="n">
        <f aca="false">L52+D52/$K$2</f>
        <v>9.2741686116992</v>
      </c>
      <c r="F52" s="117" t="n">
        <f aca="false">IF($K$9=0,0,E52/$K$9)</f>
        <v>0.0207234181020785</v>
      </c>
      <c r="G52" s="117" t="n">
        <f aca="false">G51+F52</f>
        <v>0.674065469357208</v>
      </c>
      <c r="H52" s="138" t="n">
        <v>11025.61</v>
      </c>
      <c r="L52" s="45" t="n">
        <f aca="false">C52/IF(B52&lt;='VALOR POR PL'!$P$5,IFERROR(INDEX('"INCC-FGV"'!$B$2:$B$800,MATCH(B52,'"INCC-FGV"'!$A$2:$A$800,0)),$K$2),$K$2)</f>
        <v>0.123295054549773</v>
      </c>
      <c r="M52" s="139" t="n">
        <f aca="false">'CP RESUMO'!AY10</f>
        <v>0</v>
      </c>
      <c r="N52" s="140" t="n">
        <f aca="false">MAX(0,M52-M51)</f>
        <v>0</v>
      </c>
      <c r="O52" s="139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11025.61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HISTORICOS'!AZ10)</f>
        <v>159.9</v>
      </c>
      <c r="D53" s="45" t="n">
        <f aca="false">IF(B53&lt;='VALOR POR PL'!$P$5,0,IF($K$17&gt;0,$K$18*P53/$K$17,0))</f>
        <v>11099.6644645859</v>
      </c>
      <c r="E53" s="45" t="n">
        <f aca="false">L53+D53/$K$2</f>
        <v>8.68198008047402</v>
      </c>
      <c r="F53" s="117" t="n">
        <f aca="false">IF($K$9=0,0,E53/$K$9)</f>
        <v>0.0194001544175738</v>
      </c>
      <c r="G53" s="117" t="n">
        <f aca="false">G52+F53</f>
        <v>0.693465623774781</v>
      </c>
      <c r="H53" s="138" t="n">
        <v>10312.1</v>
      </c>
      <c r="L53" s="45" t="n">
        <f aca="false">C53/IF(B53&lt;='VALOR POR PL'!$P$5,IFERROR(INDEX('"INCC-FGV"'!$B$2:$B$800,MATCH(B53,'"INCC-FGV"'!$A$2:$A$800,0)),$K$2),$K$2)</f>
        <v>0.123295054549773</v>
      </c>
      <c r="M53" s="139" t="n">
        <f aca="false">'CP RESUMO'!AZ10</f>
        <v>0</v>
      </c>
      <c r="N53" s="140" t="n">
        <f aca="false">MAX(0,M53-M52)</f>
        <v>0</v>
      </c>
      <c r="O53" s="139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10312.1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HISTORICOS'!BA10)</f>
        <v>159.9</v>
      </c>
      <c r="D54" s="45" t="n">
        <f aca="false">IF(B54&lt;='VALOR POR PL'!$P$5,0,IF($K$17&gt;0,$K$18*P54/$K$17,0))</f>
        <v>10734.1497722454</v>
      </c>
      <c r="E54" s="45" t="n">
        <f aca="false">L54+D54/$K$2</f>
        <v>8.40014046864875</v>
      </c>
      <c r="F54" s="117" t="n">
        <f aca="false">IF($K$9=0,0,E54/$K$9)</f>
        <v>0.0187703750423946</v>
      </c>
      <c r="G54" s="117" t="n">
        <f aca="false">G53+F54</f>
        <v>0.712235998817176</v>
      </c>
      <c r="H54" s="138" t="n">
        <v>9972.52</v>
      </c>
      <c r="L54" s="45" t="n">
        <f aca="false">C54/IF(B54&lt;='VALOR POR PL'!$P$5,IFERROR(INDEX('"INCC-FGV"'!$B$2:$B$800,MATCH(B54,'"INCC-FGV"'!$A$2:$A$800,0)),$K$2),$K$2)</f>
        <v>0.123295054549773</v>
      </c>
      <c r="M54" s="139" t="n">
        <f aca="false">'CP RESUMO'!BA10</f>
        <v>0</v>
      </c>
      <c r="N54" s="140" t="n">
        <f aca="false">MAX(0,M54-M53)</f>
        <v>0</v>
      </c>
      <c r="O54" s="139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9972.52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HISTORICOS'!BB10)</f>
        <v>159.9</v>
      </c>
      <c r="D55" s="45" t="n">
        <f aca="false">IF(B55&lt;='VALOR POR PL'!$P$5,0,IF($K$17&gt;0,$K$18*P55/$K$17,0))</f>
        <v>10696.2506842034</v>
      </c>
      <c r="E55" s="45" t="n">
        <f aca="false">L55+D55/$K$2</f>
        <v>8.37091739092813</v>
      </c>
      <c r="F55" s="117" t="n">
        <f aca="false">IF($K$9=0,0,E55/$K$9)</f>
        <v>0.0187050751666656</v>
      </c>
      <c r="G55" s="117" t="n">
        <f aca="false">G54+F55</f>
        <v>0.730941073983841</v>
      </c>
      <c r="H55" s="138" t="n">
        <v>9937.31</v>
      </c>
      <c r="L55" s="45" t="n">
        <f aca="false">C55/IF(B55&lt;='VALOR POR PL'!$P$5,IFERROR(INDEX('"INCC-FGV"'!$B$2:$B$800,MATCH(B55,'"INCC-FGV"'!$A$2:$A$800,0)),$K$2),$K$2)</f>
        <v>0.123295054549773</v>
      </c>
      <c r="M55" s="139" t="n">
        <f aca="false">'CP RESUMO'!BB10</f>
        <v>0</v>
      </c>
      <c r="N55" s="140" t="n">
        <f aca="false">MAX(0,M55-M54)</f>
        <v>0</v>
      </c>
      <c r="O55" s="139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9937.31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HISTORICOS'!BC10)</f>
        <v>159.9</v>
      </c>
      <c r="D56" s="45" t="n">
        <f aca="false">IF(B56&lt;='VALOR POR PL'!$P$5,0,IF($K$17&gt;0,$K$18*P56/$K$17,0))</f>
        <v>10252.3437572108</v>
      </c>
      <c r="E56" s="45" t="n">
        <f aca="false">L56+D56/$K$2</f>
        <v>8.02863140732232</v>
      </c>
      <c r="F56" s="117" t="n">
        <f aca="false">IF($K$9=0,0,E56/$K$9)</f>
        <v>0.0179402264944303</v>
      </c>
      <c r="G56" s="117" t="n">
        <f aca="false">G55+F56</f>
        <v>0.748881300478272</v>
      </c>
      <c r="H56" s="138" t="n">
        <v>9524.9</v>
      </c>
      <c r="L56" s="45" t="n">
        <f aca="false">C56/IF(B56&lt;='VALOR POR PL'!$P$5,IFERROR(INDEX('"INCC-FGV"'!$B$2:$B$800,MATCH(B56,'"INCC-FGV"'!$A$2:$A$800,0)),$K$2),$K$2)</f>
        <v>0.123295054549773</v>
      </c>
      <c r="M56" s="139" t="n">
        <f aca="false">'CP RESUMO'!BC10</f>
        <v>0</v>
      </c>
      <c r="N56" s="140" t="n">
        <f aca="false">MAX(0,M56-M55)</f>
        <v>0</v>
      </c>
      <c r="O56" s="139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9524.9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HISTORICOS'!BD10)</f>
        <v>159.9</v>
      </c>
      <c r="D57" s="45" t="n">
        <f aca="false">IF(B57&lt;='VALOR POR PL'!$P$5,0,IF($K$17&gt;0,$K$18*P57/$K$17,0))</f>
        <v>9820.94428273315</v>
      </c>
      <c r="E57" s="45" t="n">
        <f aca="false">L57+D57/$K$2</f>
        <v>7.69598962034003</v>
      </c>
      <c r="F57" s="117" t="n">
        <f aca="false">IF($K$9=0,0,E57/$K$9)</f>
        <v>0.0171969280793938</v>
      </c>
      <c r="G57" s="117" t="n">
        <f aca="false">G56+F57</f>
        <v>0.766078228557666</v>
      </c>
      <c r="H57" s="138" t="n">
        <v>9124.11</v>
      </c>
      <c r="L57" s="45" t="n">
        <f aca="false">C57/IF(B57&lt;='VALOR POR PL'!$P$5,IFERROR(INDEX('"INCC-FGV"'!$B$2:$B$800,MATCH(B57,'"INCC-FGV"'!$A$2:$A$800,0)),$K$2),$K$2)</f>
        <v>0.123295054549773</v>
      </c>
      <c r="M57" s="139" t="n">
        <f aca="false">'CP RESUMO'!BD10</f>
        <v>0</v>
      </c>
      <c r="N57" s="140" t="n">
        <f aca="false">MAX(0,M57-M56)</f>
        <v>0</v>
      </c>
      <c r="O57" s="139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9124.11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HISTORICOS'!BE10)</f>
        <v>159.9</v>
      </c>
      <c r="D58" s="45" t="n">
        <f aca="false">IF(B58&lt;='VALOR POR PL'!$P$5,0,IF($K$17&gt;0,$K$18*P58/$K$17,0))</f>
        <v>9820.94428273315</v>
      </c>
      <c r="E58" s="45" t="n">
        <f aca="false">L58+D58/$K$2</f>
        <v>7.69598962034003</v>
      </c>
      <c r="F58" s="117" t="n">
        <f aca="false">IF($K$9=0,0,E58/$K$9)</f>
        <v>0.0171969280793938</v>
      </c>
      <c r="G58" s="117" t="n">
        <f aca="false">G57+F58</f>
        <v>0.78327515663706</v>
      </c>
      <c r="H58" s="138" t="n">
        <v>9124.11</v>
      </c>
      <c r="L58" s="45" t="n">
        <f aca="false">C58/IF(B58&lt;='VALOR POR PL'!$P$5,IFERROR(INDEX('"INCC-FGV"'!$B$2:$B$800,MATCH(B58,'"INCC-FGV"'!$A$2:$A$800,0)),$K$2),$K$2)</f>
        <v>0.123295054549773</v>
      </c>
      <c r="M58" s="139" t="n">
        <f aca="false">'CP RESUMO'!BE10</f>
        <v>0</v>
      </c>
      <c r="N58" s="140" t="n">
        <f aca="false">MAX(0,M58-M57)</f>
        <v>0</v>
      </c>
      <c r="O58" s="139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9124.11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HISTORICOS'!BF10)</f>
        <v>159.9</v>
      </c>
      <c r="D59" s="45" t="n">
        <f aca="false">IF(B59&lt;='VALOR POR PL'!$P$5,0,IF($K$17&gt;0,$K$18*P59/$K$17,0))</f>
        <v>9820.94428273315</v>
      </c>
      <c r="E59" s="45" t="n">
        <f aca="false">L59+D59/$K$2</f>
        <v>7.69598962034003</v>
      </c>
      <c r="F59" s="117" t="n">
        <f aca="false">IF($K$9=0,0,E59/$K$9)</f>
        <v>0.0171969280793938</v>
      </c>
      <c r="G59" s="117" t="n">
        <f aca="false">G58+F59</f>
        <v>0.800472084716453</v>
      </c>
      <c r="H59" s="138" t="n">
        <v>9124.11</v>
      </c>
      <c r="L59" s="45" t="n">
        <f aca="false">C59/IF(B59&lt;='VALOR POR PL'!$P$5,IFERROR(INDEX('"INCC-FGV"'!$B$2:$B$800,MATCH(B59,'"INCC-FGV"'!$A$2:$A$800,0)),$K$2),$K$2)</f>
        <v>0.123295054549773</v>
      </c>
      <c r="M59" s="139" t="n">
        <f aca="false">'CP RESUMO'!BF10</f>
        <v>0</v>
      </c>
      <c r="N59" s="140" t="n">
        <f aca="false">MAX(0,M59-M58)</f>
        <v>0</v>
      </c>
      <c r="O59" s="139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9124.11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0.800472084716453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RESUMO'!BG10</f>
        <v>0</v>
      </c>
      <c r="N60" s="140" t="n">
        <f aca="false">MAX(0,M60-M59)</f>
        <v>0</v>
      </c>
      <c r="O60" s="139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115803.069205698</v>
      </c>
      <c r="E61" s="45" t="n">
        <f aca="false">L61+D61/$K$2</f>
        <v>89.2929689477648</v>
      </c>
      <c r="F61" s="117" t="n">
        <f aca="false">IF($K$9=0,0,E61/$K$9)</f>
        <v>0.199527915283547</v>
      </c>
      <c r="G61" s="117" t="n">
        <f aca="false">G60+F61</f>
        <v>1</v>
      </c>
      <c r="H61" s="138" t="n">
        <v>107586.39</v>
      </c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RESUMO'!BH10</f>
        <v>0</v>
      </c>
      <c r="N61" s="140" t="n">
        <f aca="false">MAX(0,M61-M60)</f>
        <v>0</v>
      </c>
      <c r="O61" s="139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107586.39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RESUMO'!BI10</f>
        <v>0</v>
      </c>
      <c r="N62" s="140" t="n">
        <f aca="false">MAX(0,M62-M61)</f>
        <v>0</v>
      </c>
      <c r="O62" s="139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RESUMO'!BJ10</f>
        <v>0</v>
      </c>
      <c r="N63" s="140" t="n">
        <f aca="false">MAX(0,M63-M62)</f>
        <v>0</v>
      </c>
      <c r="O63" s="139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RESUMO'!BK10</f>
        <v>0</v>
      </c>
      <c r="N64" s="140" t="n">
        <f aca="false">MAX(0,M64-M63)</f>
        <v>0</v>
      </c>
      <c r="O64" s="139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RESUMO'!BL10</f>
        <v>0</v>
      </c>
      <c r="N65" s="140" t="n">
        <f aca="false">MAX(0,M65-M64)</f>
        <v>0</v>
      </c>
      <c r="O65" s="139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RESUMO'!BM10</f>
        <v>0</v>
      </c>
      <c r="N66" s="140" t="n">
        <f aca="false">MAX(0,M66-M65)</f>
        <v>0</v>
      </c>
      <c r="O66" s="139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RESUMO'!BN10</f>
        <v>0</v>
      </c>
      <c r="N67" s="140" t="n">
        <f aca="false">MAX(0,M67-M66)</f>
        <v>0</v>
      </c>
      <c r="O67" s="139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RESUMO'!BO10</f>
        <v>0</v>
      </c>
      <c r="N68" s="140" t="n">
        <f aca="false">MAX(0,M68-M67)</f>
        <v>0</v>
      </c>
      <c r="O68" s="139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RESUMO'!BP10</f>
        <v>0</v>
      </c>
      <c r="N69" s="140" t="n">
        <f aca="false">MAX(0,M69-M68)</f>
        <v>0</v>
      </c>
      <c r="O69" s="139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RESUMO'!BQ10</f>
        <v>0</v>
      </c>
      <c r="N70" s="140" t="n">
        <f aca="false">MAX(0,M70-M69)</f>
        <v>0</v>
      </c>
      <c r="O70" s="139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RESUMO'!BR10</f>
        <v>0</v>
      </c>
      <c r="N71" s="140" t="n">
        <f aca="false">MAX(0,M71-M70)</f>
        <v>0</v>
      </c>
      <c r="O71" s="139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RESUMO'!BS10</f>
        <v>0</v>
      </c>
      <c r="N72" s="140" t="n">
        <f aca="false">MAX(0,M72-M71)</f>
        <v>0</v>
      </c>
      <c r="O72" s="139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RESUMO'!BT10</f>
        <v>0</v>
      </c>
      <c r="N73" s="140" t="n">
        <f aca="false">MAX(0,M73-M72)</f>
        <v>0</v>
      </c>
      <c r="O73" s="139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RESUMO'!BU10</f>
        <v>0</v>
      </c>
      <c r="N74" s="140" t="n">
        <f aca="false">MAX(0,M74-M73)</f>
        <v>0</v>
      </c>
      <c r="O74" s="139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RESUMO'!BV10</f>
        <v>0</v>
      </c>
      <c r="N75" s="140" t="n">
        <f aca="false">MAX(0,M75-M74)</f>
        <v>0</v>
      </c>
      <c r="O75" s="139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RESUMO'!BW10</f>
        <v>0</v>
      </c>
      <c r="N76" s="140" t="n">
        <f aca="false">MAX(0,M76-M75)</f>
        <v>0</v>
      </c>
      <c r="O76" s="139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47350.6</v>
      </c>
      <c r="D78" s="61" t="n">
        <f aca="false">SUM(D5:D76)</f>
        <v>532275.308128584</v>
      </c>
      <c r="E78" s="61" t="n">
        <f aca="false">SUM(E5:E76)</f>
        <v>447.5211842958</v>
      </c>
      <c r="F78" s="145" t="n">
        <f aca="false">SUM(F5:F76)</f>
        <v>1</v>
      </c>
      <c r="H78" s="61" t="n">
        <f aca="false">SUM(H5:H76)</f>
        <v>494508.3</v>
      </c>
      <c r="L78" s="61" t="n">
        <f aca="false">SUM(L5:L76)</f>
        <v>37.0964616490787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HISTORICOS'!D11)</f>
        <v>7617.91</v>
      </c>
      <c r="D5" s="45" t="n">
        <f aca="false">IF(B5&lt;='VALOR POR PL'!$P$5,0,IF($K$17&gt;0,$K$18*P5/$K$17,0))</f>
        <v>0</v>
      </c>
      <c r="E5" s="45" t="n">
        <f aca="false">L5+D5/$K$2</f>
        <v>6.60690171273853</v>
      </c>
      <c r="F5" s="117" t="n">
        <f aca="false">IF($K$9=0,0,E5/$K$9)</f>
        <v>0.0433501937142585</v>
      </c>
      <c r="G5" s="117" t="n">
        <f aca="false">F5</f>
        <v>0.0433501937142585</v>
      </c>
      <c r="H5" s="138"/>
      <c r="I5" s="42" t="s">
        <v>2920</v>
      </c>
      <c r="J5" s="56" t="n">
        <f aca="false">'VALOR POR PL'!F17</f>
        <v>158400</v>
      </c>
      <c r="K5" s="56" t="n">
        <f aca="false">'VALOR POR PL'!G17</f>
        <v>130.187572</v>
      </c>
      <c r="L5" s="56" t="n">
        <f aca="false">'DADOS HISTORICOS'!$BZ$11</f>
        <v>6.60690171273853</v>
      </c>
      <c r="M5" s="139" t="n">
        <f aca="false">'CP RESUMO'!D11</f>
        <v>0</v>
      </c>
      <c r="N5" s="140" t="n">
        <v>0</v>
      </c>
      <c r="O5" s="139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HISTORICOS'!E11)</f>
        <v>1467.74</v>
      </c>
      <c r="D6" s="45" t="n">
        <f aca="false">IF(B6&lt;='VALOR POR PL'!$P$5,0,IF($K$17&gt;0,$K$18*P6/$K$17,0))</f>
        <v>0</v>
      </c>
      <c r="E6" s="45" t="n">
        <f aca="false">L6+D6/$K$2</f>
        <v>1.25542717745716</v>
      </c>
      <c r="F6" s="117" t="n">
        <f aca="false">IF($K$9=0,0,E6/$K$9)</f>
        <v>0.0082372969514563</v>
      </c>
      <c r="G6" s="117" t="n">
        <f aca="false">G5+F6</f>
        <v>0.0515874906657148</v>
      </c>
      <c r="H6" s="138"/>
      <c r="I6" s="42" t="s">
        <v>2921</v>
      </c>
      <c r="K6" s="52" t="n">
        <f aca="false">'VALOR POR PL'!H17</f>
        <v>152.453292064016</v>
      </c>
      <c r="L6" s="45" t="n">
        <f aca="false">C6/IF(B6&lt;='VALOR POR PL'!$P$5,IFERROR(INDEX('"INCC-FGV"'!$B$2:$B$800,MATCH(B6,'"INCC-FGV"'!$A$2:$A$800,0)),$K$2),$K$2)</f>
        <v>1.25542717745716</v>
      </c>
      <c r="M6" s="139" t="n">
        <f aca="false">'CP RESUMO'!E11</f>
        <v>0</v>
      </c>
      <c r="N6" s="140" t="n">
        <f aca="false">MAX(0,M6-M5)</f>
        <v>0</v>
      </c>
      <c r="O6" s="139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0.0515874906657148</v>
      </c>
      <c r="H7" s="138"/>
      <c r="I7" s="42" t="s">
        <v>2922</v>
      </c>
      <c r="J7" s="45" t="n">
        <f aca="false">C78+D78</f>
        <v>195765.174713413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RESUMO'!F11</f>
        <v>0</v>
      </c>
      <c r="N7" s="140" t="n">
        <f aca="false">MAX(0,M7-M6)</f>
        <v>0</v>
      </c>
      <c r="O7" s="139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0.0515874906657148</v>
      </c>
      <c r="H8" s="138"/>
      <c r="I8" s="42" t="s">
        <v>2923</v>
      </c>
      <c r="K8" s="66" t="n">
        <f aca="false">SUM(L5:L76)</f>
        <v>37.0660919258946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RESUMO'!G11</f>
        <v>0</v>
      </c>
      <c r="N8" s="140" t="n">
        <f aca="false">MAX(0,M8-M7)</f>
        <v>0</v>
      </c>
      <c r="O8" s="139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HISTORICOS'!H11)</f>
        <v>66.6</v>
      </c>
      <c r="D9" s="45" t="n">
        <f aca="false">IF(B9&lt;='VALOR POR PL'!$P$5,0,IF($K$17&gt;0,$K$18*P9/$K$17,0))</f>
        <v>0</v>
      </c>
      <c r="E9" s="45" t="n">
        <f aca="false">L9+D9/$K$2</f>
        <v>0.0562280596591533</v>
      </c>
      <c r="F9" s="117" t="n">
        <f aca="false">IF($K$9=0,0,E9/$K$9)</f>
        <v>0.00036893197210752</v>
      </c>
      <c r="G9" s="117" t="n">
        <f aca="false">G8+F9</f>
        <v>0.0519564226378223</v>
      </c>
      <c r="H9" s="138"/>
      <c r="I9" s="42" t="s">
        <v>2924</v>
      </c>
      <c r="J9" s="45" t="n">
        <f aca="false">C78+D78</f>
        <v>195765.174713413</v>
      </c>
      <c r="K9" s="45" t="n">
        <f aca="false">E78</f>
        <v>152.40766295735</v>
      </c>
      <c r="L9" s="45" t="n">
        <f aca="false">C9/IF(B9&lt;='VALOR POR PL'!$P$5,IFERROR(INDEX('"INCC-FGV"'!$B$2:$B$800,MATCH(B9,'"INCC-FGV"'!$A$2:$A$800,0)),$K$2),$K$2)</f>
        <v>0.0562280596591533</v>
      </c>
      <c r="M9" s="139" t="n">
        <f aca="false">'CP RESUMO'!H11</f>
        <v>0</v>
      </c>
      <c r="N9" s="140" t="n">
        <f aca="false">MAX(0,M9-M8)</f>
        <v>0</v>
      </c>
      <c r="O9" s="139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0.0519564226378223</v>
      </c>
      <c r="H10" s="138"/>
      <c r="I10" s="42" t="s">
        <v>2925</v>
      </c>
      <c r="K10" s="52" t="n">
        <f aca="false">IF(K6-K8&gt;0,(K6-K8)*'VALOR POR PL'!$G$65,K6-K8)</f>
        <v>115.341571031455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RESUMO'!I11</f>
        <v>0</v>
      </c>
      <c r="N10" s="140" t="n">
        <f aca="false">MAX(0,M10-M9)</f>
        <v>0</v>
      </c>
      <c r="O10" s="139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0.0519564226378223</v>
      </c>
      <c r="H11" s="138"/>
      <c r="I11" s="42" t="s">
        <v>2926</v>
      </c>
      <c r="K11" s="56" t="n">
        <f aca="false">SUMPRODUCT((B5:B76&gt;'VALOR POR PL'!$P$5)*H5:H76)</f>
        <v>155081.47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RESUMO'!J11</f>
        <v>0</v>
      </c>
      <c r="N11" s="140" t="n">
        <f aca="false">MAX(0,M11-M10)</f>
        <v>0</v>
      </c>
      <c r="O11" s="139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0.0519564226378223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RESUMO'!K11</f>
        <v>0</v>
      </c>
      <c r="N12" s="140" t="n">
        <f aca="false">MAX(0,M12-M11)</f>
        <v>0</v>
      </c>
      <c r="O12" s="139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0.0519564226378223</v>
      </c>
      <c r="H13" s="138"/>
      <c r="I13" s="42" t="s">
        <v>2928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RESUMO'!L11</f>
        <v>0</v>
      </c>
      <c r="N13" s="140" t="n">
        <f aca="false">MAX(0,M13-M12)</f>
        <v>0</v>
      </c>
      <c r="O13" s="139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HISTORICOS'!M11)</f>
        <v>850.17</v>
      </c>
      <c r="D14" s="45" t="n">
        <f aca="false">IF(B14&lt;='VALOR POR PL'!$P$5,0,IF($K$17&gt;0,$K$18*P14/$K$17,0))</f>
        <v>0</v>
      </c>
      <c r="E14" s="45" t="n">
        <f aca="false">L14+D14/$K$2</f>
        <v>0.69757710172825</v>
      </c>
      <c r="F14" s="117" t="n">
        <f aca="false">IF($K$9=0,0,E14/$K$9)</f>
        <v>0.00457704742788073</v>
      </c>
      <c r="G14" s="117" t="n">
        <f aca="false">G13+F14</f>
        <v>0.0565334700657031</v>
      </c>
      <c r="H14" s="138"/>
      <c r="I14" s="42" t="s">
        <v>2929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0.69757710172825</v>
      </c>
      <c r="M14" s="139" t="n">
        <f aca="false">'CP RESUMO'!M11</f>
        <v>0</v>
      </c>
      <c r="N14" s="140" t="n">
        <f aca="false">MAX(0,M14-M13)</f>
        <v>0</v>
      </c>
      <c r="O14" s="139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HISTORICOS'!N11)</f>
        <v>4204.06</v>
      </c>
      <c r="D15" s="45" t="n">
        <f aca="false">IF(B15&lt;='VALOR POR PL'!$P$5,0,IF($K$17&gt;0,$K$18*P15/$K$17,0))</f>
        <v>0</v>
      </c>
      <c r="E15" s="45" t="n">
        <f aca="false">L15+D15/$K$2</f>
        <v>3.43930900654147</v>
      </c>
      <c r="F15" s="117" t="n">
        <f aca="false">IF($K$9=0,0,E15/$K$9)</f>
        <v>0.0225665097135171</v>
      </c>
      <c r="G15" s="117" t="n">
        <f aca="false">G14+F15</f>
        <v>0.0790999797792201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3.43930900654147</v>
      </c>
      <c r="M15" s="139" t="n">
        <f aca="false">'CP RESUMO'!N11</f>
        <v>0</v>
      </c>
      <c r="N15" s="140" t="n">
        <f aca="false">MAX(0,M15-M14)</f>
        <v>0</v>
      </c>
      <c r="O15" s="139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HISTORICOS'!O11)</f>
        <v>713.41</v>
      </c>
      <c r="D16" s="45" t="n">
        <f aca="false">IF(B16&lt;='VALOR POR PL'!$P$5,0,IF($K$17&gt;0,$K$18*P16/$K$17,0))</f>
        <v>0</v>
      </c>
      <c r="E16" s="45" t="n">
        <f aca="false">L16+D16/$K$2</f>
        <v>0.58207473199563</v>
      </c>
      <c r="F16" s="117" t="n">
        <f aca="false">IF($K$9=0,0,E16/$K$9)</f>
        <v>0.00381919596889639</v>
      </c>
      <c r="G16" s="117" t="n">
        <f aca="false">G15+F16</f>
        <v>0.0829191757481165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0.58207473199563</v>
      </c>
      <c r="M16" s="139" t="n">
        <f aca="false">'CP RESUMO'!O11</f>
        <v>0</v>
      </c>
      <c r="N16" s="140" t="n">
        <f aca="false">MAX(0,M16-M15)</f>
        <v>0</v>
      </c>
      <c r="O16" s="139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HISTORICOS'!P11)</f>
        <v>1784.1</v>
      </c>
      <c r="D17" s="45" t="n">
        <f aca="false">IF(B17&lt;='VALOR POR PL'!$P$5,0,IF($K$17&gt;0,$K$18*P17/$K$17,0))</f>
        <v>0</v>
      </c>
      <c r="E17" s="45" t="n">
        <f aca="false">L17+D17/$K$2</f>
        <v>1.45265970829557</v>
      </c>
      <c r="F17" s="117" t="n">
        <f aca="false">IF($K$9=0,0,E17/$K$9)</f>
        <v>0.0095314085926381</v>
      </c>
      <c r="G17" s="117" t="n">
        <f aca="false">G16+F17</f>
        <v>0.0924505843407546</v>
      </c>
      <c r="H17" s="138"/>
      <c r="I17" s="42" t="s">
        <v>2933</v>
      </c>
      <c r="K17" s="45" t="n">
        <f aca="false">SUM(P5:P76)</f>
        <v>155081.47</v>
      </c>
      <c r="L17" s="45" t="n">
        <f aca="false">C17/IF(B17&lt;='VALOR POR PL'!$P$5,IFERROR(INDEX('"INCC-FGV"'!$B$2:$B$800,MATCH(B17,'"INCC-FGV"'!$A$2:$A$800,0)),$K$2),$K$2)</f>
        <v>1.45265970829557</v>
      </c>
      <c r="M17" s="139" t="n">
        <f aca="false">'CP RESUMO'!P11</f>
        <v>0</v>
      </c>
      <c r="N17" s="140" t="n">
        <f aca="false">MAX(0,M17-M16)</f>
        <v>0</v>
      </c>
      <c r="O17" s="139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HISTORICOS'!Q11)</f>
        <v>1122.95</v>
      </c>
      <c r="D18" s="45" t="n">
        <f aca="false">IF(B18&lt;='VALOR POR PL'!$P$5,0,IF($K$17&gt;0,$K$18*P18/$K$17,0))</f>
        <v>0</v>
      </c>
      <c r="E18" s="45" t="n">
        <f aca="false">L18+D18/$K$2</f>
        <v>0.90777471310455</v>
      </c>
      <c r="F18" s="117" t="n">
        <f aca="false">IF($K$9=0,0,E18/$K$9)</f>
        <v>0.00595622749860409</v>
      </c>
      <c r="G18" s="117" t="n">
        <f aca="false">G17+F18</f>
        <v>0.0984068118393587</v>
      </c>
      <c r="H18" s="138"/>
      <c r="I18" s="42" t="s">
        <v>2934</v>
      </c>
      <c r="K18" s="45" t="n">
        <f aca="false">MAX(0,K10)*$K$2</f>
        <v>149585.214713413</v>
      </c>
      <c r="L18" s="45" t="n">
        <f aca="false">C18/IF(B18&lt;='VALOR POR PL'!$P$5,IFERROR(INDEX('"INCC-FGV"'!$B$2:$B$800,MATCH(B18,'"INCC-FGV"'!$A$2:$A$800,0)),$K$2),$K$2)</f>
        <v>0.90777471310455</v>
      </c>
      <c r="M18" s="139" t="n">
        <f aca="false">'CP RESUMO'!Q11</f>
        <v>0</v>
      </c>
      <c r="N18" s="140" t="n">
        <f aca="false">MAX(0,M18-M17)</f>
        <v>0</v>
      </c>
      <c r="O18" s="139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HISTORICOS'!R11)</f>
        <v>1160.97</v>
      </c>
      <c r="D19" s="45" t="n">
        <f aca="false">IF(B19&lt;='VALOR POR PL'!$P$5,0,IF($K$17&gt;0,$K$18*P19/$K$17,0))</f>
        <v>0</v>
      </c>
      <c r="E19" s="45" t="n">
        <f aca="false">L19+D19/$K$2</f>
        <v>0.935903089204913</v>
      </c>
      <c r="F19" s="117" t="n">
        <f aca="false">IF($K$9=0,0,E19/$K$9)</f>
        <v>0.00614078761555986</v>
      </c>
      <c r="G19" s="117" t="n">
        <f aca="false">G18+F19</f>
        <v>0.104547599454919</v>
      </c>
      <c r="H19" s="138"/>
      <c r="I19" s="42" t="s">
        <v>2935</v>
      </c>
      <c r="K19" s="142" t="n">
        <f aca="false">IF(AND(K16="PREVISÃO INFORMADA",K11&gt;0),K18/K11-1,"")</f>
        <v>-0.0354410832357166</v>
      </c>
      <c r="L19" s="45" t="n">
        <f aca="false">C19/IF(B19&lt;='VALOR POR PL'!$P$5,IFERROR(INDEX('"INCC-FGV"'!$B$2:$B$800,MATCH(B19,'"INCC-FGV"'!$A$2:$A$800,0)),$K$2),$K$2)</f>
        <v>0.935903089204913</v>
      </c>
      <c r="M19" s="139" t="n">
        <f aca="false">'CP RESUMO'!R11</f>
        <v>0</v>
      </c>
      <c r="N19" s="140" t="n">
        <f aca="false">MAX(0,M19-M18)</f>
        <v>0</v>
      </c>
      <c r="O19" s="139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HISTORICOS'!S11)</f>
        <v>2280.62</v>
      </c>
      <c r="D20" s="45" t="n">
        <f aca="false">IF(B20&lt;='VALOR POR PL'!$P$5,0,IF($K$17&gt;0,$K$18*P20/$K$17,0))</f>
        <v>0</v>
      </c>
      <c r="E20" s="45" t="n">
        <f aca="false">L20+D20/$K$2</f>
        <v>1.82861990360661</v>
      </c>
      <c r="F20" s="117" t="n">
        <f aca="false">IF($K$9=0,0,E20/$K$9)</f>
        <v>0.0119982149724213</v>
      </c>
      <c r="G20" s="117" t="n">
        <f aca="false">G19+F20</f>
        <v>0.11654581442734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1.82861990360661</v>
      </c>
      <c r="M20" s="139" t="n">
        <f aca="false">'CP RESUMO'!S11</f>
        <v>0</v>
      </c>
      <c r="N20" s="140" t="n">
        <f aca="false">MAX(0,M20-M19)</f>
        <v>0</v>
      </c>
      <c r="O20" s="139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HISTORICOS'!T11)</f>
        <v>1594.82</v>
      </c>
      <c r="D21" s="45" t="n">
        <f aca="false">IF(B21&lt;='VALOR POR PL'!$P$5,0,IF($K$17&gt;0,$K$18*P21/$K$17,0))</f>
        <v>0</v>
      </c>
      <c r="E21" s="45" t="n">
        <f aca="false">L21+D21/$K$2</f>
        <v>1.26607983792349</v>
      </c>
      <c r="F21" s="117" t="n">
        <f aca="false">IF($K$9=0,0,E21/$K$9)</f>
        <v>0.00830719278385494</v>
      </c>
      <c r="G21" s="117" t="n">
        <f aca="false">G20+F21</f>
        <v>0.124853007211195</v>
      </c>
      <c r="H21" s="138"/>
      <c r="K21" s="143"/>
      <c r="L21" s="45" t="n">
        <f aca="false">C21/IF(B21&lt;='VALOR POR PL'!$P$5,IFERROR(INDEX('"INCC-FGV"'!$B$2:$B$800,MATCH(B21,'"INCC-FGV"'!$A$2:$A$800,0)),$K$2),$K$2)</f>
        <v>1.26607983792349</v>
      </c>
      <c r="M21" s="139" t="n">
        <f aca="false">'CP RESUMO'!T11</f>
        <v>0</v>
      </c>
      <c r="N21" s="140" t="n">
        <f aca="false">MAX(0,M21-M20)</f>
        <v>0</v>
      </c>
      <c r="O21" s="139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HISTORICOS'!U11)</f>
        <v>1922.39</v>
      </c>
      <c r="D22" s="45" t="n">
        <f aca="false">IF(B22&lt;='VALOR POR PL'!$P$5,0,IF($K$17&gt;0,$K$18*P22/$K$17,0))</f>
        <v>0</v>
      </c>
      <c r="E22" s="45" t="n">
        <f aca="false">L22+D22/$K$2</f>
        <v>1.51286500694502</v>
      </c>
      <c r="F22" s="117" t="n">
        <f aca="false">IF($K$9=0,0,E22/$K$9)</f>
        <v>0.00992643662128974</v>
      </c>
      <c r="G22" s="117" t="n">
        <f aca="false">G21+F22</f>
        <v>0.134779443832485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1.51286500694502</v>
      </c>
      <c r="M22" s="139" t="n">
        <f aca="false">'CP RESUMO'!U11</f>
        <v>0</v>
      </c>
      <c r="N22" s="140" t="n">
        <f aca="false">MAX(0,M22-M21)</f>
        <v>0</v>
      </c>
      <c r="O22" s="139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HISTORICOS'!V11)</f>
        <v>1559.18</v>
      </c>
      <c r="D23" s="45" t="n">
        <f aca="false">IF(B23&lt;='VALOR POR PL'!$P$5,0,IF($K$17&gt;0,$K$18*P23/$K$17,0))</f>
        <v>0</v>
      </c>
      <c r="E23" s="45" t="n">
        <f aca="false">L23+D23/$K$2</f>
        <v>1.21749967399138</v>
      </c>
      <c r="F23" s="117" t="n">
        <f aca="false">IF($K$9=0,0,E23/$K$9)</f>
        <v>0.00798844133140532</v>
      </c>
      <c r="G23" s="117" t="n">
        <f aca="false">G22+F23</f>
        <v>0.14276788516389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1.21749967399138</v>
      </c>
      <c r="M23" s="139" t="n">
        <f aca="false">'CP RESUMO'!V11</f>
        <v>0</v>
      </c>
      <c r="N23" s="140" t="n">
        <f aca="false">MAX(0,M23-M22)</f>
        <v>0</v>
      </c>
      <c r="O23" s="139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HISTORICOS'!W11)</f>
        <v>2538.36</v>
      </c>
      <c r="D24" s="45" t="n">
        <f aca="false">IF(B24&lt;='VALOR POR PL'!$P$5,0,IF($K$17&gt;0,$K$18*P24/$K$17,0))</f>
        <v>0</v>
      </c>
      <c r="E24" s="45" t="n">
        <f aca="false">L24+D24/$K$2</f>
        <v>1.97011714247794</v>
      </c>
      <c r="F24" s="117" t="n">
        <f aca="false">IF($K$9=0,0,E24/$K$9)</f>
        <v>0.0129266278627294</v>
      </c>
      <c r="G24" s="117" t="n">
        <f aca="false">G23+F24</f>
        <v>0.155694513026619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1.97011714247794</v>
      </c>
      <c r="M24" s="139" t="n">
        <f aca="false">'CP RESUMO'!W11</f>
        <v>0</v>
      </c>
      <c r="N24" s="140" t="n">
        <f aca="false">MAX(0,M24-M23)</f>
        <v>0</v>
      </c>
      <c r="O24" s="139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HISTORICOS'!X11)</f>
        <v>5139.73</v>
      </c>
      <c r="D25" s="45" t="n">
        <f aca="false">IF(B25&lt;='VALOR POR PL'!$P$5,0,IF($K$17&gt;0,$K$18*P25/$K$17,0))</f>
        <v>0</v>
      </c>
      <c r="E25" s="45" t="n">
        <f aca="false">L25+D25/$K$2</f>
        <v>3.963122518581</v>
      </c>
      <c r="F25" s="117" t="n">
        <f aca="false">IF($K$9=0,0,E25/$K$9)</f>
        <v>0.0260034334342497</v>
      </c>
      <c r="G25" s="117" t="n">
        <f aca="false">G24+F25</f>
        <v>0.181697946460869</v>
      </c>
      <c r="H25" s="138"/>
      <c r="L25" s="45" t="n">
        <f aca="false">C25/IF(B25&lt;='VALOR POR PL'!$P$5,IFERROR(INDEX('"INCC-FGV"'!$B$2:$B$800,MATCH(B25,'"INCC-FGV"'!$A$2:$A$800,0)),$K$2),$K$2)</f>
        <v>3.963122518581</v>
      </c>
      <c r="M25" s="139" t="n">
        <f aca="false">'CP RESUMO'!X11</f>
        <v>0</v>
      </c>
      <c r="N25" s="140" t="n">
        <f aca="false">MAX(0,M25-M24)</f>
        <v>0</v>
      </c>
      <c r="O25" s="139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HISTORICOS'!Y11)</f>
        <v>6268.27</v>
      </c>
      <c r="D26" s="45" t="n">
        <f aca="false">IF(B26&lt;='VALOR POR PL'!$P$5,0,IF($K$17&gt;0,$K$18*P26/$K$17,0))</f>
        <v>830.137986124013</v>
      </c>
      <c r="E26" s="45" t="n">
        <f aca="false">L26+D26/$K$2</f>
        <v>5.47341213174297</v>
      </c>
      <c r="F26" s="117" t="n">
        <f aca="false">IF($K$9=0,0,E26/$K$9)</f>
        <v>0.0359129719958679</v>
      </c>
      <c r="G26" s="117" t="n">
        <f aca="false">G25+F26</f>
        <v>0.217610918456737</v>
      </c>
      <c r="H26" s="138" t="n">
        <v>860.64</v>
      </c>
      <c r="L26" s="45" t="n">
        <f aca="false">C26/IF(B26&lt;='VALOR POR PL'!$P$5,IFERROR(INDEX('"INCC-FGV"'!$B$2:$B$800,MATCH(B26,'"INCC-FGV"'!$A$2:$A$800,0)),$K$2),$K$2)</f>
        <v>4.83331264279364</v>
      </c>
      <c r="M26" s="139" t="n">
        <f aca="false">'CP RESUMO'!Y11</f>
        <v>0</v>
      </c>
      <c r="N26" s="140" t="n">
        <f aca="false">MAX(0,M26-M25)</f>
        <v>0</v>
      </c>
      <c r="O26" s="139" t="str">
        <f aca="false">IF(B26&lt;='VALOR POR PL'!$P$5,'CP RESUMO'!Y53,"")</f>
        <v/>
      </c>
      <c r="P26" s="66" t="n">
        <f aca="false">IF(B26&lt;='VALOR POR PL'!$P$5,0,IF(OR($K$16="CURVA PREVISION",$K$16="MDO PREVISION + MATERIAL PREMISSA"),N26,IF($K$16="PREVISÃO INFORMADA",MAX(0,H26),0)))</f>
        <v>860.64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HISTORICOS'!Z11)</f>
        <v>1218.69</v>
      </c>
      <c r="D27" s="45" t="n">
        <f aca="false">IF(B27&lt;='VALOR POR PL'!$P$5,0,IF($K$17&gt;0,$K$18*P27/$K$17,0))</f>
        <v>3143.70971269649</v>
      </c>
      <c r="E27" s="45" t="n">
        <f aca="false">L27+D27/$K$2</f>
        <v>3.36374177951736</v>
      </c>
      <c r="F27" s="117" t="n">
        <f aca="false">IF($K$9=0,0,E27/$K$9)</f>
        <v>0.0220706866980742</v>
      </c>
      <c r="G27" s="117" t="n">
        <f aca="false">G26+F27</f>
        <v>0.239681605154811</v>
      </c>
      <c r="H27" s="138" t="n">
        <v>3259.22</v>
      </c>
      <c r="L27" s="45" t="n">
        <f aca="false">C27/IF(B27&lt;='VALOR POR PL'!$P$5,IFERROR(INDEX('"INCC-FGV"'!$B$2:$B$800,MATCH(B27,'"INCC-FGV"'!$A$2:$A$800,0)),$K$2),$K$2)</f>
        <v>0.939702626824655</v>
      </c>
      <c r="M27" s="139" t="n">
        <f aca="false">'CP RESUMO'!Z11</f>
        <v>0</v>
      </c>
      <c r="N27" s="140" t="n">
        <f aca="false">MAX(0,M27-M26)</f>
        <v>0</v>
      </c>
      <c r="O27" s="139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3259.22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HISTORICOS'!AA11)</f>
        <v>4669.99</v>
      </c>
      <c r="D28" s="45" t="n">
        <f aca="false">IF(B28&lt;='VALOR POR PL'!$P$5,0,IF($K$17&gt;0,$K$18*P28/$K$17,0))</f>
        <v>4381.18092937006</v>
      </c>
      <c r="E28" s="45" t="n">
        <f aca="false">L28+D28/$K$2</f>
        <v>6.97914079722325</v>
      </c>
      <c r="F28" s="117" t="n">
        <f aca="false">IF($K$9=0,0,E28/$K$9)</f>
        <v>0.0457925845839938</v>
      </c>
      <c r="G28" s="117" t="n">
        <f aca="false">G27+F28</f>
        <v>0.285474189738805</v>
      </c>
      <c r="H28" s="138" t="n">
        <v>4542.16</v>
      </c>
      <c r="L28" s="45" t="n">
        <f aca="false">C28/IF(B28&lt;='VALOR POR PL'!$P$5,IFERROR(INDEX('"INCC-FGV"'!$B$2:$B$800,MATCH(B28,'"INCC-FGV"'!$A$2:$A$800,0)),$K$2),$K$2)</f>
        <v>3.60091727202559</v>
      </c>
      <c r="M28" s="139" t="n">
        <f aca="false">'CP RESUMO'!AA11</f>
        <v>0</v>
      </c>
      <c r="N28" s="140" t="n">
        <f aca="false">MAX(0,M28-M27)</f>
        <v>0</v>
      </c>
      <c r="O28" s="139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4542.16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4102.9249730619</v>
      </c>
      <c r="E29" s="45" t="n">
        <f aca="false">L29+D29/$K$2</f>
        <v>3.16366703169037</v>
      </c>
      <c r="F29" s="117" t="n">
        <f aca="false">IF($K$9=0,0,E29/$K$9)</f>
        <v>0.0207579262768153</v>
      </c>
      <c r="G29" s="117" t="n">
        <f aca="false">G28+F29</f>
        <v>0.30623211601562</v>
      </c>
      <c r="H29" s="138" t="n">
        <v>4253.68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RESUMO'!AB11</f>
        <v>0</v>
      </c>
      <c r="N29" s="140" t="n">
        <f aca="false">MAX(0,M29-M28)</f>
        <v>0</v>
      </c>
      <c r="O29" s="139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4253.68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3889.4873759603</v>
      </c>
      <c r="E30" s="45" t="n">
        <f aca="false">L30+D30/$K$2</f>
        <v>2.9990904201981</v>
      </c>
      <c r="F30" s="117" t="n">
        <f aca="false">IF($K$9=0,0,E30/$K$9)</f>
        <v>0.0196780815478903</v>
      </c>
      <c r="G30" s="117" t="n">
        <f aca="false">G29+F30</f>
        <v>0.325910197563511</v>
      </c>
      <c r="H30" s="138" t="n">
        <v>4032.4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RESUMO'!AC11</f>
        <v>0</v>
      </c>
      <c r="N30" s="140" t="n">
        <f aca="false">MAX(0,M30-M29)</f>
        <v>0</v>
      </c>
      <c r="O30" s="139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4032.4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4717.38758539742</v>
      </c>
      <c r="E31" s="45" t="n">
        <f aca="false">L31+D31/$K$2</f>
        <v>3.63746441322073</v>
      </c>
      <c r="F31" s="117" t="n">
        <f aca="false">IF($K$9=0,0,E31/$K$9)</f>
        <v>0.0238666766659801</v>
      </c>
      <c r="G31" s="117" t="n">
        <f aca="false">G30+F31</f>
        <v>0.349776874229491</v>
      </c>
      <c r="H31" s="138" t="n">
        <v>4890.72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RESUMO'!AD11</f>
        <v>0</v>
      </c>
      <c r="N31" s="140" t="n">
        <f aca="false">MAX(0,M31-M30)</f>
        <v>0</v>
      </c>
      <c r="O31" s="139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4890.72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4916.54971053091</v>
      </c>
      <c r="E32" s="45" t="n">
        <f aca="false">L32+D32/$K$2</f>
        <v>3.79103355069779</v>
      </c>
      <c r="F32" s="117" t="n">
        <f aca="false">IF($K$9=0,0,E32/$K$9)</f>
        <v>0.0248742975066725</v>
      </c>
      <c r="G32" s="117" t="n">
        <f aca="false">G31+F32</f>
        <v>0.374651171736163</v>
      </c>
      <c r="H32" s="138" t="n">
        <v>5097.2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RESUMO'!AE11</f>
        <v>0</v>
      </c>
      <c r="N32" s="140" t="n">
        <f aca="false">MAX(0,M32-M31)</f>
        <v>0</v>
      </c>
      <c r="O32" s="139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5097.2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4680.70540979287</v>
      </c>
      <c r="E33" s="45" t="n">
        <f aca="false">L33+D33/$K$2</f>
        <v>3.6091796674911</v>
      </c>
      <c r="F33" s="117" t="n">
        <f aca="false">IF($K$9=0,0,E33/$K$9)</f>
        <v>0.0236810905531772</v>
      </c>
      <c r="G33" s="117" t="n">
        <f aca="false">G32+F33</f>
        <v>0.39833226228934</v>
      </c>
      <c r="H33" s="138" t="n">
        <v>4852.69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RESUMO'!AF11</f>
        <v>0</v>
      </c>
      <c r="N33" s="140" t="n">
        <f aca="false">MAX(0,M33-M32)</f>
        <v>0</v>
      </c>
      <c r="O33" s="139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4852.69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4940.29715106164</v>
      </c>
      <c r="E34" s="45" t="n">
        <f aca="false">L34+D34/$K$2</f>
        <v>3.80934463247174</v>
      </c>
      <c r="F34" s="117" t="n">
        <f aca="false">IF($K$9=0,0,E34/$K$9)</f>
        <v>0.0249944429207458</v>
      </c>
      <c r="G34" s="117" t="n">
        <f aca="false">G33+F34</f>
        <v>0.423326705210086</v>
      </c>
      <c r="H34" s="138" t="n">
        <v>5121.82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RESUMO'!AG11</f>
        <v>0</v>
      </c>
      <c r="N34" s="140" t="n">
        <f aca="false">MAX(0,M34-M33)</f>
        <v>0</v>
      </c>
      <c r="O34" s="139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5121.82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5109.2107085654</v>
      </c>
      <c r="E35" s="45" t="n">
        <f aca="false">L35+D35/$K$2</f>
        <v>3.93958982500847</v>
      </c>
      <c r="F35" s="117" t="n">
        <f aca="false">IF($K$9=0,0,E35/$K$9)</f>
        <v>0.0258490271982645</v>
      </c>
      <c r="G35" s="117" t="n">
        <f aca="false">G34+F35</f>
        <v>0.449175732408351</v>
      </c>
      <c r="H35" s="138" t="n">
        <v>5296.94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RESUMO'!AH11</f>
        <v>0</v>
      </c>
      <c r="N35" s="140" t="n">
        <f aca="false">MAX(0,M35-M34)</f>
        <v>0</v>
      </c>
      <c r="O35" s="139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5296.94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5165.30945516441</v>
      </c>
      <c r="E36" s="45" t="n">
        <f aca="false">L36+D36/$K$2</f>
        <v>3.98284622289526</v>
      </c>
      <c r="F36" s="117" t="n">
        <f aca="false">IF($K$9=0,0,E36/$K$9)</f>
        <v>0.0261328475590485</v>
      </c>
      <c r="G36" s="117" t="n">
        <f aca="false">G35+F36</f>
        <v>0.475308579967399</v>
      </c>
      <c r="H36" s="138" t="n">
        <v>5355.1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RESUMO'!AI11</f>
        <v>0</v>
      </c>
      <c r="N36" s="140" t="n">
        <f aca="false">MAX(0,M36-M35)</f>
        <v>0</v>
      </c>
      <c r="O36" s="139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5355.1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5366.78652169814</v>
      </c>
      <c r="E37" s="45" t="n">
        <f aca="false">L37+D37/$K$2</f>
        <v>4.13820035615858</v>
      </c>
      <c r="F37" s="117" t="n">
        <f aca="false">IF($K$9=0,0,E37/$K$9)</f>
        <v>0.0271521803816165</v>
      </c>
      <c r="G37" s="117" t="n">
        <f aca="false">G36+F37</f>
        <v>0.502460760349016</v>
      </c>
      <c r="H37" s="138" t="n">
        <v>5563.98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RESUMO'!AJ11</f>
        <v>0</v>
      </c>
      <c r="N37" s="140" t="n">
        <f aca="false">MAX(0,M37-M36)</f>
        <v>0</v>
      </c>
      <c r="O37" s="139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5563.98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5766.04639411438</v>
      </c>
      <c r="E38" s="45" t="n">
        <f aca="false">L38+D38/$K$2</f>
        <v>4.44606006690964</v>
      </c>
      <c r="F38" s="117" t="n">
        <f aca="false">IF($K$9=0,0,E38/$K$9)</f>
        <v>0.0291721556556762</v>
      </c>
      <c r="G38" s="117" t="n">
        <f aca="false">G37+F38</f>
        <v>0.531632916004692</v>
      </c>
      <c r="H38" s="138" t="n">
        <v>5977.91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RESUMO'!AK11</f>
        <v>0</v>
      </c>
      <c r="N38" s="140" t="n">
        <f aca="false">MAX(0,M38-M37)</f>
        <v>0</v>
      </c>
      <c r="O38" s="139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5977.91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5987.89494497016</v>
      </c>
      <c r="E39" s="45" t="n">
        <f aca="false">L39+D39/$K$2</f>
        <v>4.61712216309196</v>
      </c>
      <c r="F39" s="117" t="n">
        <f aca="false">IF($K$9=0,0,E39/$K$9)</f>
        <v>0.030294553918749</v>
      </c>
      <c r="G39" s="117" t="n">
        <f aca="false">G38+F39</f>
        <v>0.561927469923441</v>
      </c>
      <c r="H39" s="138" t="n">
        <v>6207.91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RESUMO'!AL11</f>
        <v>0</v>
      </c>
      <c r="N39" s="140" t="n">
        <f aca="false">MAX(0,M39-M38)</f>
        <v>0</v>
      </c>
      <c r="O39" s="139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6207.91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5804.97599199498</v>
      </c>
      <c r="E40" s="45" t="n">
        <f aca="false">L40+D40/$K$2</f>
        <v>4.47607774604842</v>
      </c>
      <c r="F40" s="117" t="n">
        <f aca="false">IF($K$9=0,0,E40/$K$9)</f>
        <v>0.0293691121508833</v>
      </c>
      <c r="G40" s="117" t="n">
        <f aca="false">G39+F40</f>
        <v>0.591296582074324</v>
      </c>
      <c r="H40" s="138" t="n">
        <v>6018.27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RESUMO'!AM11</f>
        <v>0</v>
      </c>
      <c r="N40" s="140" t="n">
        <f aca="false">MAX(0,M40-M39)</f>
        <v>0</v>
      </c>
      <c r="O40" s="139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6018.27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6000.91649034648</v>
      </c>
      <c r="E41" s="45" t="n">
        <f aca="false">L41+D41/$K$2</f>
        <v>4.62716276438961</v>
      </c>
      <c r="F41" s="117" t="n">
        <f aca="false">IF($K$9=0,0,E41/$K$9)</f>
        <v>0.0303604338167989</v>
      </c>
      <c r="G41" s="117" t="n">
        <f aca="false">G40+F41</f>
        <v>0.621657015891123</v>
      </c>
      <c r="H41" s="138" t="n">
        <v>6221.41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RESUMO'!AN11</f>
        <v>0</v>
      </c>
      <c r="N41" s="140" t="n">
        <f aca="false">MAX(0,M41-M40)</f>
        <v>0</v>
      </c>
      <c r="O41" s="139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6221.41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5320.45875692595</v>
      </c>
      <c r="E42" s="45" t="n">
        <f aca="false">L42+D42/$K$2</f>
        <v>4.10247812798624</v>
      </c>
      <c r="F42" s="117" t="n">
        <f aca="false">IF($K$9=0,0,E42/$K$9)</f>
        <v>0.0269177943443323</v>
      </c>
      <c r="G42" s="117" t="n">
        <f aca="false">G41+F42</f>
        <v>0.648574810235455</v>
      </c>
      <c r="H42" s="138" t="n">
        <v>5515.95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RESUMO'!AO11</f>
        <v>0</v>
      </c>
      <c r="N42" s="140" t="n">
        <f aca="false">MAX(0,M42-M41)</f>
        <v>0</v>
      </c>
      <c r="O42" s="139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5515.95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5861.51843569571</v>
      </c>
      <c r="E43" s="45" t="n">
        <f aca="false">L43+D43/$K$2</f>
        <v>4.51967626812758</v>
      </c>
      <c r="F43" s="117" t="n">
        <f aca="false">IF($K$9=0,0,E43/$K$9)</f>
        <v>0.0296551773081934</v>
      </c>
      <c r="G43" s="117" t="n">
        <f aca="false">G42+F43</f>
        <v>0.678229987543649</v>
      </c>
      <c r="H43" s="138" t="n">
        <v>6076.89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RESUMO'!AP11</f>
        <v>0</v>
      </c>
      <c r="N43" s="140" t="n">
        <f aca="false">MAX(0,M43-M42)</f>
        <v>0</v>
      </c>
      <c r="O43" s="139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6076.89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5653.86819209469</v>
      </c>
      <c r="E44" s="45" t="n">
        <f aca="false">L44+D44/$K$2</f>
        <v>4.35956214610093</v>
      </c>
      <c r="F44" s="117" t="n">
        <f aca="false">IF($K$9=0,0,E44/$K$9)</f>
        <v>0.0286046125339572</v>
      </c>
      <c r="G44" s="117" t="n">
        <f aca="false">G43+F44</f>
        <v>0.706834600077606</v>
      </c>
      <c r="H44" s="138" t="n">
        <v>5861.61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RESUMO'!AQ11</f>
        <v>0</v>
      </c>
      <c r="N44" s="140" t="n">
        <f aca="false">MAX(0,M44-M43)</f>
        <v>0</v>
      </c>
      <c r="O44" s="139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5861.61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5580.46525852893</v>
      </c>
      <c r="E45" s="45" t="n">
        <f aca="false">L45+D45/$K$2</f>
        <v>4.30296290471191</v>
      </c>
      <c r="F45" s="117" t="n">
        <f aca="false">IF($K$9=0,0,E45/$K$9)</f>
        <v>0.0282332451086536</v>
      </c>
      <c r="G45" s="117" t="n">
        <f aca="false">G44+F45</f>
        <v>0.735067845186259</v>
      </c>
      <c r="H45" s="138" t="n">
        <v>5785.51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RESUMO'!AR11</f>
        <v>0</v>
      </c>
      <c r="N45" s="140" t="n">
        <f aca="false">MAX(0,M45-M44)</f>
        <v>0</v>
      </c>
      <c r="O45" s="139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5785.51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5264.62044123447</v>
      </c>
      <c r="E46" s="45" t="n">
        <f aca="false">L46+D46/$K$2</f>
        <v>4.0594225421254</v>
      </c>
      <c r="F46" s="117" t="n">
        <f aca="false">IF($K$9=0,0,E46/$K$9)</f>
        <v>0.0266352915815093</v>
      </c>
      <c r="G46" s="117" t="n">
        <f aca="false">G45+F46</f>
        <v>0.761703136767769</v>
      </c>
      <c r="H46" s="138" t="n">
        <v>5458.06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RESUMO'!AS11</f>
        <v>0</v>
      </c>
      <c r="N46" s="140" t="n">
        <f aca="false">MAX(0,M46-M45)</f>
        <v>0</v>
      </c>
      <c r="O46" s="139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5458.06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5692.39267523026</v>
      </c>
      <c r="E47" s="45" t="n">
        <f aca="false">L47+D47/$K$2</f>
        <v>4.38926745097711</v>
      </c>
      <c r="F47" s="117" t="n">
        <f aca="false">IF($K$9=0,0,E47/$K$9)</f>
        <v>0.028799519432336</v>
      </c>
      <c r="G47" s="117" t="n">
        <f aca="false">G46+F47</f>
        <v>0.790502656200105</v>
      </c>
      <c r="H47" s="138" t="n">
        <v>5901.55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RESUMO'!AT11</f>
        <v>0</v>
      </c>
      <c r="N47" s="140" t="n">
        <f aca="false">MAX(0,M47-M46)</f>
        <v>0</v>
      </c>
      <c r="O47" s="139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5901.55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5403.92203999356</v>
      </c>
      <c r="E48" s="45" t="n">
        <f aca="false">L48+D48/$K$2</f>
        <v>4.16683466356301</v>
      </c>
      <c r="F48" s="117" t="n">
        <f aca="false">IF($K$9=0,0,E48/$K$9)</f>
        <v>0.02734006009087</v>
      </c>
      <c r="G48" s="117" t="n">
        <f aca="false">G47+F48</f>
        <v>0.817842716290975</v>
      </c>
      <c r="H48" s="138" t="n">
        <v>5602.48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RESUMO'!AU11</f>
        <v>0</v>
      </c>
      <c r="N48" s="140" t="n">
        <f aca="false">MAX(0,M48-M47)</f>
        <v>0</v>
      </c>
      <c r="O48" s="139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5602.48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5323.06306600121</v>
      </c>
      <c r="E49" s="45" t="n">
        <f aca="false">L49+D49/$K$2</f>
        <v>4.10448624824577</v>
      </c>
      <c r="F49" s="117" t="n">
        <f aca="false">IF($K$9=0,0,E49/$K$9)</f>
        <v>0.0269309703239422</v>
      </c>
      <c r="G49" s="117" t="n">
        <f aca="false">G48+F49</f>
        <v>0.844773686614917</v>
      </c>
      <c r="H49" s="138" t="n">
        <v>5518.65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RESUMO'!AV11</f>
        <v>0</v>
      </c>
      <c r="N49" s="140" t="n">
        <f aca="false">MAX(0,M49-M48)</f>
        <v>0</v>
      </c>
      <c r="O49" s="139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5518.65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5086.33137105976</v>
      </c>
      <c r="E50" s="45" t="n">
        <f aca="false">L50+D50/$K$2</f>
        <v>3.92194811665436</v>
      </c>
      <c r="F50" s="117" t="n">
        <f aca="false">IF($K$9=0,0,E50/$K$9)</f>
        <v>0.0257332737773946</v>
      </c>
      <c r="G50" s="117" t="n">
        <f aca="false">G49+F50</f>
        <v>0.870506960392312</v>
      </c>
      <c r="H50" s="138" t="n">
        <v>5273.22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RESUMO'!AW11</f>
        <v>0</v>
      </c>
      <c r="N50" s="140" t="n">
        <f aca="false">MAX(0,M50-M49)</f>
        <v>0</v>
      </c>
      <c r="O50" s="139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5273.22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4744.56885567183</v>
      </c>
      <c r="E51" s="45" t="n">
        <f aca="false">L51+D51/$K$2</f>
        <v>3.65842323874428</v>
      </c>
      <c r="F51" s="117" t="n">
        <f aca="false">IF($K$9=0,0,E51/$K$9)</f>
        <v>0.0240041948531687</v>
      </c>
      <c r="G51" s="117" t="n">
        <f aca="false">G50+F51</f>
        <v>0.89451115524548</v>
      </c>
      <c r="H51" s="138" t="n">
        <v>4918.9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RESUMO'!AX11</f>
        <v>0</v>
      </c>
      <c r="N51" s="140" t="n">
        <f aca="false">MAX(0,M51-M50)</f>
        <v>0</v>
      </c>
      <c r="O51" s="139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4918.9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4409.69329094961</v>
      </c>
      <c r="E52" s="45" t="n">
        <f aca="false">L52+D52/$K$2</f>
        <v>3.4002087232983</v>
      </c>
      <c r="F52" s="117" t="n">
        <f aca="false">IF($K$9=0,0,E52/$K$9)</f>
        <v>0.0223099590750226</v>
      </c>
      <c r="G52" s="117" t="n">
        <f aca="false">G51+F52</f>
        <v>0.916821114320503</v>
      </c>
      <c r="H52" s="138" t="n">
        <v>4571.72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RESUMO'!AY11</f>
        <v>0</v>
      </c>
      <c r="N52" s="140" t="n">
        <f aca="false">MAX(0,M52-M51)</f>
        <v>0</v>
      </c>
      <c r="O52" s="139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4571.72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3564.78790780994</v>
      </c>
      <c r="E53" s="45" t="n">
        <f aca="false">L53+D53/$K$2</f>
        <v>2.74872244872918</v>
      </c>
      <c r="F53" s="117" t="n">
        <f aca="false">IF($K$9=0,0,E53/$K$9)</f>
        <v>0.018035329690072</v>
      </c>
      <c r="G53" s="117" t="n">
        <f aca="false">G52+F53</f>
        <v>0.934856444010575</v>
      </c>
      <c r="H53" s="138" t="n">
        <v>3695.77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RESUMO'!AZ11</f>
        <v>0</v>
      </c>
      <c r="N53" s="140" t="n">
        <f aca="false">MAX(0,M53-M52)</f>
        <v>0</v>
      </c>
      <c r="O53" s="139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3695.77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3108.52260341293</v>
      </c>
      <c r="E54" s="45" t="n">
        <f aca="false">L54+D54/$K$2</f>
        <v>2.3969072167417</v>
      </c>
      <c r="F54" s="117" t="n">
        <f aca="false">IF($K$9=0,0,E54/$K$9)</f>
        <v>0.0157269468623271</v>
      </c>
      <c r="G54" s="117" t="n">
        <f aca="false">G53+F54</f>
        <v>0.950583390872902</v>
      </c>
      <c r="H54" s="138" t="n">
        <v>3222.74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RESUMO'!BA11</f>
        <v>0</v>
      </c>
      <c r="N54" s="140" t="n">
        <f aca="false">MAX(0,M54-M53)</f>
        <v>0</v>
      </c>
      <c r="O54" s="139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3222.74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3088.36332205255</v>
      </c>
      <c r="E55" s="45" t="n">
        <f aca="false">L55+D55/$K$2</f>
        <v>2.38136287843644</v>
      </c>
      <c r="F55" s="117" t="n">
        <f aca="false">IF($K$9=0,0,E55/$K$9)</f>
        <v>0.0156249550201609</v>
      </c>
      <c r="G55" s="117" t="n">
        <f aca="false">G54+F55</f>
        <v>0.966208345893063</v>
      </c>
      <c r="H55" s="138" t="n">
        <v>3201.84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RESUMO'!BB11</f>
        <v>0</v>
      </c>
      <c r="N55" s="140" t="n">
        <f aca="false">MAX(0,M55-M54)</f>
        <v>0</v>
      </c>
      <c r="O55" s="139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3201.84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2415.80532616032</v>
      </c>
      <c r="E56" s="45" t="n">
        <f aca="false">L56+D56/$K$2</f>
        <v>1.86276954015365</v>
      </c>
      <c r="F56" s="117" t="n">
        <f aca="false">IF($K$9=0,0,E56/$K$9)</f>
        <v>0.0122222826858445</v>
      </c>
      <c r="G56" s="117" t="n">
        <f aca="false">G55+F56</f>
        <v>0.978430628578908</v>
      </c>
      <c r="H56" s="138" t="n">
        <v>2504.57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RESUMO'!BC11</f>
        <v>0</v>
      </c>
      <c r="N56" s="140" t="n">
        <f aca="false">MAX(0,M56-M55)</f>
        <v>0</v>
      </c>
      <c r="O56" s="139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2504.57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4263.31182974146</v>
      </c>
      <c r="E57" s="45" t="n">
        <f aca="false">L57+D57/$K$2</f>
        <v>3.28733748974774</v>
      </c>
      <c r="F57" s="117" t="n">
        <f aca="false">IF($K$9=0,0,E57/$K$9)</f>
        <v>0.0215693714210924</v>
      </c>
      <c r="G57" s="117" t="n">
        <f aca="false">G56+F57</f>
        <v>1</v>
      </c>
      <c r="H57" s="138" t="n">
        <v>4419.96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RESUMO'!BD11</f>
        <v>0</v>
      </c>
      <c r="N57" s="140" t="n">
        <f aca="false">MAX(0,M57-M56)</f>
        <v>0</v>
      </c>
      <c r="O57" s="139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4419.96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RESUMO'!BE11</f>
        <v>0</v>
      </c>
      <c r="N58" s="140" t="n">
        <f aca="false">MAX(0,M58-M57)</f>
        <v>0</v>
      </c>
      <c r="O58" s="139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RESUMO'!BF11</f>
        <v>0</v>
      </c>
      <c r="N59" s="140" t="n">
        <f aca="false">MAX(0,M59-M58)</f>
        <v>0</v>
      </c>
      <c r="O59" s="139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RESUMO'!BG11</f>
        <v>0</v>
      </c>
      <c r="N60" s="140" t="n">
        <f aca="false">MAX(0,M60-M59)</f>
        <v>0</v>
      </c>
      <c r="O60" s="139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RESUMO'!BH11</f>
        <v>0</v>
      </c>
      <c r="N61" s="140" t="n">
        <f aca="false">MAX(0,M61-M60)</f>
        <v>0</v>
      </c>
      <c r="O61" s="139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RESUMO'!BI11</f>
        <v>0</v>
      </c>
      <c r="N62" s="140" t="n">
        <f aca="false">MAX(0,M62-M61)</f>
        <v>0</v>
      </c>
      <c r="O62" s="139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RESUMO'!BJ11</f>
        <v>0</v>
      </c>
      <c r="N63" s="140" t="n">
        <f aca="false">MAX(0,M63-M62)</f>
        <v>0</v>
      </c>
      <c r="O63" s="139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RESUMO'!BK11</f>
        <v>0</v>
      </c>
      <c r="N64" s="140" t="n">
        <f aca="false">MAX(0,M64-M63)</f>
        <v>0</v>
      </c>
      <c r="O64" s="139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RESUMO'!BL11</f>
        <v>0</v>
      </c>
      <c r="N65" s="140" t="n">
        <f aca="false">MAX(0,M65-M64)</f>
        <v>0</v>
      </c>
      <c r="O65" s="139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RESUMO'!BM11</f>
        <v>0</v>
      </c>
      <c r="N66" s="140" t="n">
        <f aca="false">MAX(0,M66-M65)</f>
        <v>0</v>
      </c>
      <c r="O66" s="139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RESUMO'!BN11</f>
        <v>0</v>
      </c>
      <c r="N67" s="140" t="n">
        <f aca="false">MAX(0,M67-M66)</f>
        <v>0</v>
      </c>
      <c r="O67" s="139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RESUMO'!BO11</f>
        <v>0</v>
      </c>
      <c r="N68" s="140" t="n">
        <f aca="false">MAX(0,M68-M67)</f>
        <v>0</v>
      </c>
      <c r="O68" s="139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RESUMO'!BP11</f>
        <v>0</v>
      </c>
      <c r="N69" s="140" t="n">
        <f aca="false">MAX(0,M69-M68)</f>
        <v>0</v>
      </c>
      <c r="O69" s="139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RESUMO'!BQ11</f>
        <v>0</v>
      </c>
      <c r="N70" s="140" t="n">
        <f aca="false">MAX(0,M70-M69)</f>
        <v>0</v>
      </c>
      <c r="O70" s="139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RESUMO'!BR11</f>
        <v>0</v>
      </c>
      <c r="N71" s="140" t="n">
        <f aca="false">MAX(0,M71-M70)</f>
        <v>0</v>
      </c>
      <c r="O71" s="139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RESUMO'!BS11</f>
        <v>0</v>
      </c>
      <c r="N72" s="140" t="n">
        <f aca="false">MAX(0,M72-M71)</f>
        <v>0</v>
      </c>
      <c r="O72" s="139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RESUMO'!BT11</f>
        <v>0</v>
      </c>
      <c r="N73" s="140" t="n">
        <f aca="false">MAX(0,M73-M72)</f>
        <v>0</v>
      </c>
      <c r="O73" s="139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RESUMO'!BU11</f>
        <v>0</v>
      </c>
      <c r="N74" s="140" t="n">
        <f aca="false">MAX(0,M74-M73)</f>
        <v>0</v>
      </c>
      <c r="O74" s="139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RESUMO'!BV11</f>
        <v>0</v>
      </c>
      <c r="N75" s="140" t="n">
        <f aca="false">MAX(0,M75-M74)</f>
        <v>0</v>
      </c>
      <c r="O75" s="139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RESUMO'!BW11</f>
        <v>0</v>
      </c>
      <c r="N76" s="140" t="n">
        <f aca="false">MAX(0,M76-M75)</f>
        <v>0</v>
      </c>
      <c r="O76" s="139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46179.96</v>
      </c>
      <c r="D78" s="61" t="n">
        <f aca="false">SUM(D5:D76)</f>
        <v>149585.214713413</v>
      </c>
      <c r="E78" s="61" t="n">
        <f aca="false">SUM(E5:E76)</f>
        <v>152.40766295735</v>
      </c>
      <c r="F78" s="145" t="n">
        <f aca="false">SUM(F5:F76)</f>
        <v>1</v>
      </c>
      <c r="H78" s="61" t="n">
        <f aca="false">SUM(H5:H76)</f>
        <v>155081.47</v>
      </c>
      <c r="L78" s="61" t="n">
        <f aca="false">SUM(L5:L76)</f>
        <v>37.0660919258946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HISTORICOS'!D12)</f>
        <v>230</v>
      </c>
      <c r="D5" s="45" t="n">
        <f aca="false">IF(B5&lt;='VALOR POR PL'!$P$5,0,IF($K$17&gt;0,$K$18*P5/$K$17,0))</f>
        <v>0</v>
      </c>
      <c r="E5" s="45" t="n">
        <f aca="false">L5+D5/$K$2</f>
        <v>0.209155518310871</v>
      </c>
      <c r="F5" s="117" t="n">
        <f aca="false">IF($K$9=0,0,E5/$K$9)</f>
        <v>0.000323563229014581</v>
      </c>
      <c r="G5" s="117" t="n">
        <f aca="false">F5</f>
        <v>0.000323563229014581</v>
      </c>
      <c r="H5" s="138"/>
      <c r="I5" s="42" t="s">
        <v>2920</v>
      </c>
      <c r="J5" s="56" t="n">
        <f aca="false">'VALOR POR PL'!F18</f>
        <v>779592</v>
      </c>
      <c r="K5" s="56" t="n">
        <f aca="false">'VALOR POR PL'!G18</f>
        <v>640.739834</v>
      </c>
      <c r="L5" s="56" t="n">
        <f aca="false">'DADOS HISTORICOS'!$BZ$12</f>
        <v>0.209155518310871</v>
      </c>
      <c r="M5" s="139" t="n">
        <f aca="false">'CP RESUMO'!D12</f>
        <v>0</v>
      </c>
      <c r="N5" s="140" t="n">
        <v>0</v>
      </c>
      <c r="O5" s="139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0.000323563229014581</v>
      </c>
      <c r="H6" s="138"/>
      <c r="I6" s="42" t="s">
        <v>2921</v>
      </c>
      <c r="K6" s="52" t="n">
        <f aca="false">'VALOR POR PL'!H18</f>
        <v>646.641445129837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RESUMO'!E12</f>
        <v>0</v>
      </c>
      <c r="N6" s="140" t="n">
        <f aca="false">MAX(0,M6-M5)</f>
        <v>0</v>
      </c>
      <c r="O6" s="139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HISTORICOS'!F12)</f>
        <v>101.63</v>
      </c>
      <c r="D7" s="45" t="n">
        <f aca="false">IF(B7&lt;='VALOR POR PL'!$P$5,0,IF($K$17&gt;0,$K$18*P7/$K$17,0))</f>
        <v>0</v>
      </c>
      <c r="E7" s="45" t="n">
        <f aca="false">L7+D7/$K$2</f>
        <v>0.0865838853272561</v>
      </c>
      <c r="F7" s="117" t="n">
        <f aca="false">IF($K$9=0,0,E7/$K$9)</f>
        <v>0.000133945122478076</v>
      </c>
      <c r="G7" s="117" t="n">
        <f aca="false">G6+F7</f>
        <v>0.000457508351492657</v>
      </c>
      <c r="H7" s="138"/>
      <c r="I7" s="42" t="s">
        <v>2922</v>
      </c>
      <c r="J7" s="45" t="n">
        <f aca="false">C78+D78</f>
        <v>835011.905352242</v>
      </c>
      <c r="L7" s="45" t="n">
        <f aca="false">C7/IF(B7&lt;='VALOR POR PL'!$P$5,IFERROR(INDEX('"INCC-FGV"'!$B$2:$B$800,MATCH(B7,'"INCC-FGV"'!$A$2:$A$800,0)),$K$2),$K$2)</f>
        <v>0.0865838853272561</v>
      </c>
      <c r="M7" s="139" t="n">
        <f aca="false">'CP RESUMO'!F12</f>
        <v>0</v>
      </c>
      <c r="N7" s="140" t="n">
        <f aca="false">MAX(0,M7-M6)</f>
        <v>0</v>
      </c>
      <c r="O7" s="139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HISTORICOS'!G12)</f>
        <v>3.37</v>
      </c>
      <c r="D8" s="45" t="n">
        <f aca="false">IF(B8&lt;='VALOR POR PL'!$P$5,0,IF($K$17&gt;0,$K$18*P8/$K$17,0))</f>
        <v>0</v>
      </c>
      <c r="E8" s="45" t="n">
        <f aca="false">L8+D8/$K$2</f>
        <v>0.00285984388816568</v>
      </c>
      <c r="F8" s="117" t="n">
        <f aca="false">IF($K$9=0,0,E8/$K$9)</f>
        <v>4.42417360252075E-006</v>
      </c>
      <c r="G8" s="117" t="n">
        <f aca="false">G7+F8</f>
        <v>0.000461932525095178</v>
      </c>
      <c r="H8" s="138"/>
      <c r="I8" s="42" t="s">
        <v>2923</v>
      </c>
      <c r="K8" s="66" t="n">
        <f aca="false">SUM(L5:L76)</f>
        <v>69.2663343989011</v>
      </c>
      <c r="L8" s="45" t="n">
        <f aca="false">C8/IF(B8&lt;='VALOR POR PL'!$P$5,IFERROR(INDEX('"INCC-FGV"'!$B$2:$B$800,MATCH(B8,'"INCC-FGV"'!$A$2:$A$800,0)),$K$2),$K$2)</f>
        <v>0.00285984388816568</v>
      </c>
      <c r="M8" s="139" t="n">
        <f aca="false">'CP RESUMO'!G12</f>
        <v>0</v>
      </c>
      <c r="N8" s="140" t="n">
        <f aca="false">MAX(0,M8-M7)</f>
        <v>0</v>
      </c>
      <c r="O8" s="139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0.000461932525095178</v>
      </c>
      <c r="H9" s="138"/>
      <c r="I9" s="42" t="s">
        <v>2924</v>
      </c>
      <c r="J9" s="45" t="n">
        <f aca="false">C78+D78</f>
        <v>835011.905352242</v>
      </c>
      <c r="K9" s="45" t="n">
        <f aca="false">E78</f>
        <v>646.413125953338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RESUMO'!H12</f>
        <v>0</v>
      </c>
      <c r="N9" s="140" t="n">
        <f aca="false">MAX(0,M9-M8)</f>
        <v>0</v>
      </c>
      <c r="O9" s="139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HISTORICOS'!I12)</f>
        <v>53.21</v>
      </c>
      <c r="D10" s="45" t="n">
        <f aca="false">IF(B10&lt;='VALOR POR PL'!$P$5,0,IF($K$17&gt;0,$K$18*P10/$K$17,0))</f>
        <v>0</v>
      </c>
      <c r="E10" s="45" t="n">
        <f aca="false">L10+D10/$K$2</f>
        <v>0.0446644791900125</v>
      </c>
      <c r="F10" s="117" t="n">
        <f aca="false">IF($K$9=0,0,E10/$K$9)</f>
        <v>6.90958728972911E-005</v>
      </c>
      <c r="G10" s="117" t="n">
        <f aca="false">G9+F10</f>
        <v>0.000531028397992469</v>
      </c>
      <c r="H10" s="138"/>
      <c r="I10" s="42" t="s">
        <v>2925</v>
      </c>
      <c r="K10" s="52" t="n">
        <f aca="false">IF(K6-K8&gt;0,(K6-K8)*'VALOR POR PL'!$G$65,K6-K8)</f>
        <v>577.146791554437</v>
      </c>
      <c r="L10" s="45" t="n">
        <f aca="false">C10/IF(B10&lt;='VALOR POR PL'!$P$5,IFERROR(INDEX('"INCC-FGV"'!$B$2:$B$800,MATCH(B10,'"INCC-FGV"'!$A$2:$A$800,0)),$K$2),$K$2)</f>
        <v>0.0446644791900125</v>
      </c>
      <c r="M10" s="139" t="n">
        <f aca="false">'CP RESUMO'!I12</f>
        <v>0</v>
      </c>
      <c r="N10" s="140" t="n">
        <f aca="false">MAX(0,M10-M9)</f>
        <v>0</v>
      </c>
      <c r="O10" s="139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HISTORICOS'!J12)</f>
        <v>50.16</v>
      </c>
      <c r="D11" s="45" t="n">
        <f aca="false">IF(B11&lt;='VALOR POR PL'!$P$5,0,IF($K$17&gt;0,$K$18*P11/$K$17,0))</f>
        <v>0</v>
      </c>
      <c r="E11" s="45" t="n">
        <f aca="false">L11+D11/$K$2</f>
        <v>0.0418171101675769</v>
      </c>
      <c r="F11" s="117" t="n">
        <f aca="false">IF($K$9=0,0,E11/$K$9)</f>
        <v>6.46909978907135E-005</v>
      </c>
      <c r="G11" s="117" t="n">
        <f aca="false">G10+F11</f>
        <v>0.000595719395883182</v>
      </c>
      <c r="H11" s="138"/>
      <c r="I11" s="42" t="s">
        <v>2926</v>
      </c>
      <c r="K11" s="56" t="n">
        <f aca="false">SUMPRODUCT((B5:B76&gt;'VALOR POR PL'!$P$5)*H5:H76)</f>
        <v>745297.28</v>
      </c>
      <c r="L11" s="45" t="n">
        <f aca="false">C11/IF(B11&lt;='VALOR POR PL'!$P$5,IFERROR(INDEX('"INCC-FGV"'!$B$2:$B$800,MATCH(B11,'"INCC-FGV"'!$A$2:$A$800,0)),$K$2),$K$2)</f>
        <v>0.0418171101675769</v>
      </c>
      <c r="M11" s="139" t="n">
        <f aca="false">'CP RESUMO'!J12</f>
        <v>0</v>
      </c>
      <c r="N11" s="140" t="n">
        <f aca="false">MAX(0,M11-M10)</f>
        <v>0</v>
      </c>
      <c r="O11" s="139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HISTORICOS'!K12)</f>
        <v>1010.05</v>
      </c>
      <c r="D12" s="45" t="n">
        <f aca="false">IF(B12&lt;='VALOR POR PL'!$P$5,0,IF($K$17&gt;0,$K$18*P12/$K$17,0))</f>
        <v>0</v>
      </c>
      <c r="E12" s="45" t="n">
        <f aca="false">L12+D12/$K$2</f>
        <v>0.834427260132626</v>
      </c>
      <c r="F12" s="117" t="n">
        <f aca="false">IF($K$9=0,0,E12/$K$9)</f>
        <v>0.0012908575439306</v>
      </c>
      <c r="G12" s="117" t="n">
        <f aca="false">G11+F12</f>
        <v>0.00188657693981378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0.834427260132626</v>
      </c>
      <c r="M12" s="139" t="n">
        <f aca="false">'CP RESUMO'!K12</f>
        <v>0</v>
      </c>
      <c r="N12" s="140" t="n">
        <f aca="false">MAX(0,M12-M11)</f>
        <v>0</v>
      </c>
      <c r="O12" s="139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HISTORICOS'!L12)</f>
        <v>1873.32</v>
      </c>
      <c r="D13" s="45" t="n">
        <f aca="false">IF(B13&lt;='VALOR POR PL'!$P$5,0,IF($K$17&gt;0,$K$18*P13/$K$17,0))</f>
        <v>0</v>
      </c>
      <c r="E13" s="45" t="n">
        <f aca="false">L13+D13/$K$2</f>
        <v>1.53966529301245</v>
      </c>
      <c r="F13" s="117" t="n">
        <f aca="false">IF($K$9=0,0,E13/$K$9)</f>
        <v>0.00238185957431129</v>
      </c>
      <c r="G13" s="117" t="n">
        <f aca="false">G12+F13</f>
        <v>0.00426843651412507</v>
      </c>
      <c r="H13" s="138"/>
      <c r="I13" s="42" t="s">
        <v>2928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1.53966529301245</v>
      </c>
      <c r="M13" s="139" t="n">
        <f aca="false">'CP RESUMO'!L12</f>
        <v>0</v>
      </c>
      <c r="N13" s="140" t="n">
        <f aca="false">MAX(0,M13-M12)</f>
        <v>0</v>
      </c>
      <c r="O13" s="139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HISTORICOS'!M12)</f>
        <v>15662.6</v>
      </c>
      <c r="D14" s="45" t="n">
        <f aca="false">IF(B14&lt;='VALOR POR PL'!$P$5,0,IF($K$17&gt;0,$K$18*P14/$K$17,0))</f>
        <v>0</v>
      </c>
      <c r="E14" s="45" t="n">
        <f aca="false">L14+D14/$K$2</f>
        <v>12.851395736769</v>
      </c>
      <c r="F14" s="117" t="n">
        <f aca="false">IF($K$9=0,0,E14/$K$9)</f>
        <v>0.019881087219285</v>
      </c>
      <c r="G14" s="117" t="n">
        <f aca="false">G13+F14</f>
        <v>0.0241495237334101</v>
      </c>
      <c r="H14" s="138"/>
      <c r="I14" s="42" t="s">
        <v>2929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12.851395736769</v>
      </c>
      <c r="M14" s="139" t="n">
        <f aca="false">'CP RESUMO'!M12</f>
        <v>0</v>
      </c>
      <c r="N14" s="140" t="n">
        <f aca="false">MAX(0,M14-M13)</f>
        <v>0</v>
      </c>
      <c r="O14" s="139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HISTORICOS'!N12)</f>
        <v>8416.58</v>
      </c>
      <c r="D15" s="45" t="n">
        <f aca="false">IF(B15&lt;='VALOR POR PL'!$P$5,0,IF($K$17&gt;0,$K$18*P15/$K$17,0))</f>
        <v>0</v>
      </c>
      <c r="E15" s="45" t="n">
        <f aca="false">L15+D15/$K$2</f>
        <v>6.8855390737232</v>
      </c>
      <c r="F15" s="117" t="n">
        <f aca="false">IF($K$9=0,0,E15/$K$9)</f>
        <v>0.0106519171676292</v>
      </c>
      <c r="G15" s="117" t="n">
        <f aca="false">G14+F15</f>
        <v>0.0348014409010393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6.8855390737232</v>
      </c>
      <c r="M15" s="139" t="n">
        <f aca="false">'CP RESUMO'!N12</f>
        <v>0</v>
      </c>
      <c r="N15" s="140" t="n">
        <f aca="false">MAX(0,M15-M14)</f>
        <v>0</v>
      </c>
      <c r="O15" s="139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HISTORICOS'!O12)</f>
        <v>4003.5</v>
      </c>
      <c r="D16" s="45" t="n">
        <f aca="false">IF(B16&lt;='VALOR POR PL'!$P$5,0,IF($K$17&gt;0,$K$18*P16/$K$17,0))</f>
        <v>0</v>
      </c>
      <c r="E16" s="45" t="n">
        <f aca="false">L16+D16/$K$2</f>
        <v>3.26647536415877</v>
      </c>
      <c r="F16" s="117" t="n">
        <f aca="false">IF($K$9=0,0,E16/$K$9)</f>
        <v>0.00505323180023816</v>
      </c>
      <c r="G16" s="117" t="n">
        <f aca="false">G15+F16</f>
        <v>0.0398546727012774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3.26647536415877</v>
      </c>
      <c r="M16" s="139" t="n">
        <f aca="false">'CP RESUMO'!O12</f>
        <v>0</v>
      </c>
      <c r="N16" s="140" t="n">
        <f aca="false">MAX(0,M16-M15)</f>
        <v>0</v>
      </c>
      <c r="O16" s="139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HISTORICOS'!P12)</f>
        <v>7558.47</v>
      </c>
      <c r="D17" s="45" t="n">
        <f aca="false">IF(B17&lt;='VALOR POR PL'!$P$5,0,IF($K$17&gt;0,$K$18*P17/$K$17,0))</f>
        <v>0</v>
      </c>
      <c r="E17" s="45" t="n">
        <f aca="false">L17+D17/$K$2</f>
        <v>6.15429898848767</v>
      </c>
      <c r="F17" s="117" t="n">
        <f aca="false">IF($K$9=0,0,E17/$K$9)</f>
        <v>0.00952069000673714</v>
      </c>
      <c r="G17" s="117" t="n">
        <f aca="false">G16+F17</f>
        <v>0.0493753627080146</v>
      </c>
      <c r="H17" s="138"/>
      <c r="I17" s="42" t="s">
        <v>2933</v>
      </c>
      <c r="K17" s="45" t="n">
        <f aca="false">SUM(P5:P76)</f>
        <v>745297.28</v>
      </c>
      <c r="L17" s="45" t="n">
        <f aca="false">C17/IF(B17&lt;='VALOR POR PL'!$P$5,IFERROR(INDEX('"INCC-FGV"'!$B$2:$B$800,MATCH(B17,'"INCC-FGV"'!$A$2:$A$800,0)),$K$2),$K$2)</f>
        <v>6.15429898848767</v>
      </c>
      <c r="M17" s="139" t="n">
        <f aca="false">'CP RESUMO'!P12</f>
        <v>0</v>
      </c>
      <c r="N17" s="140" t="n">
        <f aca="false">MAX(0,M17-M16)</f>
        <v>0</v>
      </c>
      <c r="O17" s="139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HISTORICOS'!Q12)</f>
        <v>4295.23</v>
      </c>
      <c r="D18" s="45" t="n">
        <f aca="false">IF(B18&lt;='VALOR POR PL'!$P$5,0,IF($K$17&gt;0,$K$18*P18/$K$17,0))</f>
        <v>0</v>
      </c>
      <c r="E18" s="45" t="n">
        <f aca="false">L18+D18/$K$2</f>
        <v>3.47219482698968</v>
      </c>
      <c r="F18" s="117" t="n">
        <f aca="false">IF($K$9=0,0,E18/$K$9)</f>
        <v>0.00537147945730347</v>
      </c>
      <c r="G18" s="117" t="n">
        <f aca="false">G17+F18</f>
        <v>0.054746842165318</v>
      </c>
      <c r="H18" s="138"/>
      <c r="I18" s="42" t="s">
        <v>2934</v>
      </c>
      <c r="K18" s="45" t="n">
        <f aca="false">MAX(0,K10)*$K$2</f>
        <v>748495.325352242</v>
      </c>
      <c r="L18" s="45" t="n">
        <f aca="false">C18/IF(B18&lt;='VALOR POR PL'!$P$5,IFERROR(INDEX('"INCC-FGV"'!$B$2:$B$800,MATCH(B18,'"INCC-FGV"'!$A$2:$A$800,0)),$K$2),$K$2)</f>
        <v>3.47219482698968</v>
      </c>
      <c r="M18" s="139" t="n">
        <f aca="false">'CP RESUMO'!Q12</f>
        <v>0</v>
      </c>
      <c r="N18" s="140" t="n">
        <f aca="false">MAX(0,M18-M17)</f>
        <v>0</v>
      </c>
      <c r="O18" s="139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HISTORICOS'!R12)</f>
        <v>3978</v>
      </c>
      <c r="D19" s="45" t="n">
        <f aca="false">IF(B19&lt;='VALOR POR PL'!$P$5,0,IF($K$17&gt;0,$K$18*P19/$K$17,0))</f>
        <v>0</v>
      </c>
      <c r="E19" s="45" t="n">
        <f aca="false">L19+D19/$K$2</f>
        <v>3.20682058008144</v>
      </c>
      <c r="F19" s="117" t="n">
        <f aca="false">IF($K$9=0,0,E19/$K$9)</f>
        <v>0.00496094595132482</v>
      </c>
      <c r="G19" s="117" t="n">
        <f aca="false">G18+F19</f>
        <v>0.0597077881166429</v>
      </c>
      <c r="H19" s="138"/>
      <c r="I19" s="42" t="s">
        <v>2935</v>
      </c>
      <c r="K19" s="142" t="n">
        <f aca="false">IF(AND(K16="PREVISÃO INFORMADA",K11&gt;0),K18/K11-1,"")</f>
        <v>0.00429096608569712</v>
      </c>
      <c r="L19" s="45" t="n">
        <f aca="false">C19/IF(B19&lt;='VALOR POR PL'!$P$5,IFERROR(INDEX('"INCC-FGV"'!$B$2:$B$800,MATCH(B19,'"INCC-FGV"'!$A$2:$A$800,0)),$K$2),$K$2)</f>
        <v>3.20682058008144</v>
      </c>
      <c r="M19" s="139" t="n">
        <f aca="false">'CP RESUMO'!R12</f>
        <v>0</v>
      </c>
      <c r="N19" s="140" t="n">
        <f aca="false">MAX(0,M19-M18)</f>
        <v>0</v>
      </c>
      <c r="O19" s="139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HISTORICOS'!S12)</f>
        <v>8413.92</v>
      </c>
      <c r="D20" s="45" t="n">
        <f aca="false">IF(B20&lt;='VALOR POR PL'!$P$5,0,IF($K$17&gt;0,$K$18*P20/$K$17,0))</f>
        <v>0</v>
      </c>
      <c r="E20" s="45" t="n">
        <f aca="false">L20+D20/$K$2</f>
        <v>6.74635036935297</v>
      </c>
      <c r="F20" s="117" t="n">
        <f aca="false">IF($K$9=0,0,E20/$K$9)</f>
        <v>0.0104365924800852</v>
      </c>
      <c r="G20" s="117" t="n">
        <f aca="false">G19+F20</f>
        <v>0.0701443805967281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6.74635036935297</v>
      </c>
      <c r="M20" s="139" t="n">
        <f aca="false">'CP RESUMO'!S12</f>
        <v>0</v>
      </c>
      <c r="N20" s="140" t="n">
        <f aca="false">MAX(0,M20-M19)</f>
        <v>0</v>
      </c>
      <c r="O20" s="139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HISTORICOS'!T12)</f>
        <v>2007.6</v>
      </c>
      <c r="D21" s="45" t="n">
        <f aca="false">IF(B21&lt;='VALOR POR PL'!$P$5,0,IF($K$17&gt;0,$K$18*P21/$K$17,0))</f>
        <v>0</v>
      </c>
      <c r="E21" s="45" t="n">
        <f aca="false">L21+D21/$K$2</f>
        <v>1.59377351840032</v>
      </c>
      <c r="F21" s="117" t="n">
        <f aca="false">IF($K$9=0,0,E21/$K$9)</f>
        <v>0.0024655649064208</v>
      </c>
      <c r="G21" s="117" t="n">
        <f aca="false">G20+F21</f>
        <v>0.0726099455031489</v>
      </c>
      <c r="H21" s="138"/>
      <c r="K21" s="143"/>
      <c r="L21" s="45" t="n">
        <f aca="false">C21/IF(B21&lt;='VALOR POR PL'!$P$5,IFERROR(INDEX('"INCC-FGV"'!$B$2:$B$800,MATCH(B21,'"INCC-FGV"'!$A$2:$A$800,0)),$K$2),$K$2)</f>
        <v>1.59377351840032</v>
      </c>
      <c r="M21" s="139" t="n">
        <f aca="false">'CP RESUMO'!T12</f>
        <v>0</v>
      </c>
      <c r="N21" s="140" t="n">
        <f aca="false">MAX(0,M21-M20)</f>
        <v>0</v>
      </c>
      <c r="O21" s="139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HISTORICOS'!U12)</f>
        <v>2550.05</v>
      </c>
      <c r="D22" s="45" t="n">
        <f aca="false">IF(B22&lt;='VALOR POR PL'!$P$5,0,IF($K$17&gt;0,$K$18*P22/$K$17,0))</f>
        <v>0</v>
      </c>
      <c r="E22" s="45" t="n">
        <f aca="false">L22+D22/$K$2</f>
        <v>2.00681516807731</v>
      </c>
      <c r="F22" s="117" t="n">
        <f aca="false">IF($K$9=0,0,E22/$K$9)</f>
        <v>0.00310453963186103</v>
      </c>
      <c r="G22" s="117" t="n">
        <f aca="false">G21+F22</f>
        <v>0.0757144851350099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2.00681516807731</v>
      </c>
      <c r="M22" s="139" t="n">
        <f aca="false">'CP RESUMO'!U12</f>
        <v>0</v>
      </c>
      <c r="N22" s="140" t="n">
        <f aca="false">MAX(0,M22-M21)</f>
        <v>0</v>
      </c>
      <c r="O22" s="139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HISTORICOS'!V12)</f>
        <v>3240.62</v>
      </c>
      <c r="D23" s="45" t="n">
        <f aca="false">IF(B23&lt;='VALOR POR PL'!$P$5,0,IF($K$17&gt;0,$K$18*P23/$K$17,0))</f>
        <v>0</v>
      </c>
      <c r="E23" s="45" t="n">
        <f aca="false">L23+D23/$K$2</f>
        <v>2.53046716449028</v>
      </c>
      <c r="F23" s="117" t="n">
        <f aca="false">IF($K$9=0,0,E23/$K$9)</f>
        <v>0.00391462837447541</v>
      </c>
      <c r="G23" s="117" t="n">
        <f aca="false">G22+F23</f>
        <v>0.0796291135094853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2.53046716449028</v>
      </c>
      <c r="M23" s="139" t="n">
        <f aca="false">'CP RESUMO'!V12</f>
        <v>0</v>
      </c>
      <c r="N23" s="140" t="n">
        <f aca="false">MAX(0,M23-M22)</f>
        <v>0</v>
      </c>
      <c r="O23" s="139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HISTORICOS'!W12)</f>
        <v>1114.34</v>
      </c>
      <c r="D24" s="45" t="n">
        <f aca="false">IF(B24&lt;='VALOR POR PL'!$P$5,0,IF($K$17&gt;0,$K$18*P24/$K$17,0))</f>
        <v>0</v>
      </c>
      <c r="E24" s="45" t="n">
        <f aca="false">L24+D24/$K$2</f>
        <v>0.864881394502305</v>
      </c>
      <c r="F24" s="117" t="n">
        <f aca="false">IF($K$9=0,0,E24/$K$9)</f>
        <v>0.00133797003770115</v>
      </c>
      <c r="G24" s="117" t="n">
        <f aca="false">G23+F24</f>
        <v>0.0809670835471864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0.864881394502305</v>
      </c>
      <c r="M24" s="139" t="n">
        <f aca="false">'CP RESUMO'!W12</f>
        <v>0</v>
      </c>
      <c r="N24" s="140" t="n">
        <f aca="false">MAX(0,M24-M23)</f>
        <v>0</v>
      </c>
      <c r="O24" s="139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HISTORICOS'!X12)</f>
        <v>5722.12</v>
      </c>
      <c r="D25" s="45" t="n">
        <f aca="false">IF(B25&lt;='VALOR POR PL'!$P$5,0,IF($K$17&gt;0,$K$18*P25/$K$17,0))</f>
        <v>0</v>
      </c>
      <c r="E25" s="45" t="n">
        <f aca="false">L25+D25/$K$2</f>
        <v>4.41218947805094</v>
      </c>
      <c r="F25" s="117" t="n">
        <f aca="false">IF($K$9=0,0,E25/$K$9)</f>
        <v>0.00682564957440149</v>
      </c>
      <c r="G25" s="117" t="n">
        <f aca="false">G24+F25</f>
        <v>0.0877927331215879</v>
      </c>
      <c r="H25" s="138"/>
      <c r="L25" s="45" t="n">
        <f aca="false">C25/IF(B25&lt;='VALOR POR PL'!$P$5,IFERROR(INDEX('"INCC-FGV"'!$B$2:$B$800,MATCH(B25,'"INCC-FGV"'!$A$2:$A$800,0)),$K$2),$K$2)</f>
        <v>4.41218947805094</v>
      </c>
      <c r="M25" s="139" t="n">
        <f aca="false">'CP RESUMO'!X12</f>
        <v>0</v>
      </c>
      <c r="N25" s="140" t="n">
        <f aca="false">MAX(0,M25-M24)</f>
        <v>0</v>
      </c>
      <c r="O25" s="139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HISTORICOS'!Y12)</f>
        <v>14050.89</v>
      </c>
      <c r="D26" s="45" t="n">
        <f aca="false">IF(B26&lt;='VALOR POR PL'!$P$5,0,IF($K$17&gt;0,$K$18*P26/$K$17,0))</f>
        <v>14287.816587579</v>
      </c>
      <c r="E26" s="45" t="n">
        <f aca="false">L26+D26/$K$2</f>
        <v>21.8512969017233</v>
      </c>
      <c r="F26" s="117" t="n">
        <f aca="false">IF($K$9=0,0,E26/$K$9)</f>
        <v>0.0338039189249085</v>
      </c>
      <c r="G26" s="117" t="n">
        <f aca="false">G25+F26</f>
        <v>0.121596652046496</v>
      </c>
      <c r="H26" s="138" t="n">
        <v>14226.77</v>
      </c>
      <c r="L26" s="45" t="n">
        <f aca="false">C26/IF(B26&lt;='VALOR POR PL'!$P$5,IFERROR(INDEX('"INCC-FGV"'!$B$2:$B$800,MATCH(B26,'"INCC-FGV"'!$A$2:$A$800,0)),$K$2),$K$2)</f>
        <v>10.8343042465469</v>
      </c>
      <c r="M26" s="139" t="n">
        <f aca="false">'CP RESUMO'!Y12</f>
        <v>0</v>
      </c>
      <c r="N26" s="140" t="n">
        <f aca="false">MAX(0,M26-M25)</f>
        <v>0</v>
      </c>
      <c r="O26" s="139" t="str">
        <f aca="false">IF(B26&lt;='VALOR POR PL'!$P$5,'CP RESUMO'!Y54,"")</f>
        <v/>
      </c>
      <c r="P26" s="66" t="n">
        <f aca="false">IF(B26&lt;='VALOR POR PL'!$P$5,0,IF(OR($K$16="CURVA PREVISION",$K$16="MDO PREVISION + MATERIAL PREMISSA"),N26,IF($K$16="PREVISÃO INFORMADA",MAX(0,H26),0)))</f>
        <v>14226.77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HISTORICOS'!Z12)</f>
        <v>2180.92</v>
      </c>
      <c r="D27" s="45" t="n">
        <f aca="false">IF(B27&lt;='VALOR POR PL'!$P$5,0,IF($K$17&gt;0,$K$18*P27/$K$17,0))</f>
        <v>17987.1324040653</v>
      </c>
      <c r="E27" s="45" t="n">
        <f aca="false">L27+D27/$K$2</f>
        <v>15.5511014466661</v>
      </c>
      <c r="F27" s="117" t="n">
        <f aca="false">IF($K$9=0,0,E27/$K$9)</f>
        <v>0.0240575273339803</v>
      </c>
      <c r="G27" s="117" t="n">
        <f aca="false">G26+F27</f>
        <v>0.145654179380477</v>
      </c>
      <c r="H27" s="138" t="n">
        <v>17910.28</v>
      </c>
      <c r="L27" s="45" t="n">
        <f aca="false">C27/IF(B27&lt;='VALOR POR PL'!$P$5,IFERROR(INDEX('"INCC-FGV"'!$B$2:$B$800,MATCH(B27,'"INCC-FGV"'!$A$2:$A$800,0)),$K$2),$K$2)</f>
        <v>1.68165509924134</v>
      </c>
      <c r="M27" s="139" t="n">
        <f aca="false">'CP RESUMO'!Z12</f>
        <v>0</v>
      </c>
      <c r="N27" s="140" t="n">
        <f aca="false">MAX(0,M27-M26)</f>
        <v>0</v>
      </c>
      <c r="O27" s="139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17910.28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12111.9298233674</v>
      </c>
      <c r="E28" s="45" t="n">
        <f aca="false">L28+D28/$K$2</f>
        <v>9.33921856332146</v>
      </c>
      <c r="F28" s="117" t="n">
        <f aca="false">IF($K$9=0,0,E28/$K$9)</f>
        <v>0.014447755140411</v>
      </c>
      <c r="G28" s="117" t="n">
        <f aca="false">G27+F28</f>
        <v>0.160101934520888</v>
      </c>
      <c r="H28" s="138" t="n">
        <v>12060.18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RESUMO'!AA12</f>
        <v>0</v>
      </c>
      <c r="N28" s="140" t="n">
        <f aca="false">MAX(0,M28-M27)</f>
        <v>0</v>
      </c>
      <c r="O28" s="139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12060.18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12422.2356460686</v>
      </c>
      <c r="E29" s="45" t="n">
        <f aca="false">L29+D29/$K$2</f>
        <v>9.57848794003848</v>
      </c>
      <c r="F29" s="117" t="n">
        <f aca="false">IF($K$9=0,0,E29/$K$9)</f>
        <v>0.0148179044568626</v>
      </c>
      <c r="G29" s="117" t="n">
        <f aca="false">G28+F29</f>
        <v>0.17491983897775</v>
      </c>
      <c r="H29" s="138" t="n">
        <v>12369.16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RESUMO'!AB12</f>
        <v>0</v>
      </c>
      <c r="N29" s="140" t="n">
        <f aca="false">MAX(0,M29-M28)</f>
        <v>0</v>
      </c>
      <c r="O29" s="139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12369.16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16379.4835113747</v>
      </c>
      <c r="E30" s="45" t="n">
        <f aca="false">L30+D30/$K$2</f>
        <v>12.6298268482304</v>
      </c>
      <c r="F30" s="117" t="n">
        <f aca="false">IF($K$9=0,0,E30/$K$9)</f>
        <v>0.0195383205277643</v>
      </c>
      <c r="G30" s="117" t="n">
        <f aca="false">G29+F30</f>
        <v>0.194458159505515</v>
      </c>
      <c r="H30" s="138" t="n">
        <v>16309.5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RESUMO'!AC12</f>
        <v>0</v>
      </c>
      <c r="N30" s="140" t="n">
        <f aca="false">MAX(0,M30-M29)</f>
        <v>0</v>
      </c>
      <c r="O30" s="139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16309.5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28357.0291605702</v>
      </c>
      <c r="E31" s="45" t="n">
        <f aca="false">L31+D31/$K$2</f>
        <v>21.8654249982613</v>
      </c>
      <c r="F31" s="117" t="n">
        <f aca="false">IF($K$9=0,0,E31/$K$9)</f>
        <v>0.0338257750660832</v>
      </c>
      <c r="G31" s="117" t="n">
        <f aca="false">G30+F31</f>
        <v>0.228283934571598</v>
      </c>
      <c r="H31" s="138" t="n">
        <v>28235.87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RESUMO'!AD12</f>
        <v>0</v>
      </c>
      <c r="N31" s="140" t="n">
        <f aca="false">MAX(0,M31-M30)</f>
        <v>0</v>
      </c>
      <c r="O31" s="139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28235.87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25624.5040854959</v>
      </c>
      <c r="E32" s="45" t="n">
        <f aca="false">L32+D32/$K$2</f>
        <v>19.758440456736</v>
      </c>
      <c r="F32" s="117" t="n">
        <f aca="false">IF($K$9=0,0,E32/$K$9)</f>
        <v>0.0305662735848626</v>
      </c>
      <c r="G32" s="117" t="n">
        <f aca="false">G31+F32</f>
        <v>0.25885020815646</v>
      </c>
      <c r="H32" s="138" t="n">
        <v>25515.02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RESUMO'!AE12</f>
        <v>0</v>
      </c>
      <c r="N32" s="140" t="n">
        <f aca="false">MAX(0,M32-M31)</f>
        <v>0</v>
      </c>
      <c r="O32" s="139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25515.02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30029.1836620125</v>
      </c>
      <c r="E33" s="45" t="n">
        <f aca="false">L33+D33/$K$2</f>
        <v>23.1547832250968</v>
      </c>
      <c r="F33" s="117" t="n">
        <f aca="false">IF($K$9=0,0,E33/$K$9)</f>
        <v>0.0358204100372309</v>
      </c>
      <c r="G33" s="117" t="n">
        <f aca="false">G32+F33</f>
        <v>0.294670618193691</v>
      </c>
      <c r="H33" s="138" t="n">
        <v>29900.88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RESUMO'!AF12</f>
        <v>0</v>
      </c>
      <c r="N33" s="140" t="n">
        <f aca="false">MAX(0,M33-M32)</f>
        <v>0</v>
      </c>
      <c r="O33" s="139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29900.88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30329.2155881306</v>
      </c>
      <c r="E34" s="45" t="n">
        <f aca="false">L34+D34/$K$2</f>
        <v>23.386130646594</v>
      </c>
      <c r="F34" s="117" t="n">
        <f aca="false">IF($K$9=0,0,E34/$K$9)</f>
        <v>0.03617830410251</v>
      </c>
      <c r="G34" s="117" t="n">
        <f aca="false">G33+F34</f>
        <v>0.330848922296201</v>
      </c>
      <c r="H34" s="138" t="n">
        <v>30199.63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RESUMO'!AG12</f>
        <v>0</v>
      </c>
      <c r="N34" s="140" t="n">
        <f aca="false">MAX(0,M34-M33)</f>
        <v>0</v>
      </c>
      <c r="O34" s="139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30199.63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34649.062706742</v>
      </c>
      <c r="E35" s="45" t="n">
        <f aca="false">L35+D35/$K$2</f>
        <v>26.7170611415024</v>
      </c>
      <c r="F35" s="117" t="n">
        <f aca="false">IF($K$9=0,0,E35/$K$9)</f>
        <v>0.0413312478797515</v>
      </c>
      <c r="G35" s="117" t="n">
        <f aca="false">G34+F35</f>
        <v>0.372180170175953</v>
      </c>
      <c r="H35" s="138" t="n">
        <v>34501.02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RESUMO'!AH12</f>
        <v>0</v>
      </c>
      <c r="N35" s="140" t="n">
        <f aca="false">MAX(0,M35-M34)</f>
        <v>0</v>
      </c>
      <c r="O35" s="139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34501.02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32921.0997563142</v>
      </c>
      <c r="E36" s="45" t="n">
        <f aca="false">L36+D36/$K$2</f>
        <v>25.3846703583069</v>
      </c>
      <c r="F36" s="117" t="n">
        <f aca="false">IF($K$9=0,0,E36/$K$9)</f>
        <v>0.0392700416175325</v>
      </c>
      <c r="G36" s="117" t="n">
        <f aca="false">G35+F36</f>
        <v>0.411450211793485</v>
      </c>
      <c r="H36" s="138" t="n">
        <v>32780.44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RESUMO'!AI12</f>
        <v>0</v>
      </c>
      <c r="N36" s="140" t="n">
        <f aca="false">MAX(0,M36-M35)</f>
        <v>0</v>
      </c>
      <c r="O36" s="139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32780.44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31311.6933544329</v>
      </c>
      <c r="E37" s="45" t="n">
        <f aca="false">L37+D37/$K$2</f>
        <v>24.1436956859322</v>
      </c>
      <c r="F37" s="117" t="n">
        <f aca="false">IF($K$9=0,0,E37/$K$9)</f>
        <v>0.0373502559223635</v>
      </c>
      <c r="G37" s="117" t="n">
        <f aca="false">G36+F37</f>
        <v>0.448800467715849</v>
      </c>
      <c r="H37" s="138" t="n">
        <v>31177.91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RESUMO'!AJ12</f>
        <v>0</v>
      </c>
      <c r="N37" s="140" t="n">
        <f aca="false">MAX(0,M37-M36)</f>
        <v>0</v>
      </c>
      <c r="O37" s="139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31177.91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34167.9772052579</v>
      </c>
      <c r="E38" s="45" t="n">
        <f aca="false">L38+D38/$K$2</f>
        <v>26.3461076508922</v>
      </c>
      <c r="F38" s="117" t="n">
        <f aca="false">IF($K$9=0,0,E38/$K$9)</f>
        <v>0.0407573834643853</v>
      </c>
      <c r="G38" s="117" t="n">
        <f aca="false">G37+F38</f>
        <v>0.489557851180234</v>
      </c>
      <c r="H38" s="138" t="n">
        <v>34021.99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RESUMO'!AK12</f>
        <v>0</v>
      </c>
      <c r="N38" s="140" t="n">
        <f aca="false">MAX(0,M38-M37)</f>
        <v>0</v>
      </c>
      <c r="O38" s="139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34021.99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29570.0820897761</v>
      </c>
      <c r="E39" s="45" t="n">
        <f aca="false">L39+D39/$K$2</f>
        <v>22.8007810150106</v>
      </c>
      <c r="F39" s="117" t="n">
        <f aca="false">IF($K$9=0,0,E39/$K$9)</f>
        <v>0.0352727692238361</v>
      </c>
      <c r="G39" s="117" t="n">
        <f aca="false">G38+F39</f>
        <v>0.52483062040407</v>
      </c>
      <c r="H39" s="138" t="n">
        <v>29443.74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RESUMO'!AL12</f>
        <v>0</v>
      </c>
      <c r="N39" s="140" t="n">
        <f aca="false">MAX(0,M39-M38)</f>
        <v>0</v>
      </c>
      <c r="O39" s="139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29443.74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26577.7469417754</v>
      </c>
      <c r="E40" s="45" t="n">
        <f aca="false">L40+D40/$K$2</f>
        <v>20.4934631582005</v>
      </c>
      <c r="F40" s="117" t="n">
        <f aca="false">IF($K$9=0,0,E40/$K$9)</f>
        <v>0.0317033524465897</v>
      </c>
      <c r="G40" s="117" t="n">
        <f aca="false">G39+F40</f>
        <v>0.55653397285066</v>
      </c>
      <c r="H40" s="138" t="n">
        <v>26464.19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RESUMO'!AM12</f>
        <v>0</v>
      </c>
      <c r="N40" s="140" t="n">
        <f aca="false">MAX(0,M40-M39)</f>
        <v>0</v>
      </c>
      <c r="O40" s="139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26464.19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29128.9372400133</v>
      </c>
      <c r="E41" s="45" t="n">
        <f aca="false">L41+D41/$K$2</f>
        <v>22.4606248029039</v>
      </c>
      <c r="F41" s="117" t="n">
        <f aca="false">IF($K$9=0,0,E41/$K$9)</f>
        <v>0.0347465481456286</v>
      </c>
      <c r="G41" s="117" t="n">
        <f aca="false">G40+F41</f>
        <v>0.591280520996289</v>
      </c>
      <c r="H41" s="138" t="n">
        <v>29004.48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RESUMO'!AN12</f>
        <v>0</v>
      </c>
      <c r="N41" s="140" t="n">
        <f aca="false">MAX(0,M41-M40)</f>
        <v>0</v>
      </c>
      <c r="O41" s="139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29004.48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31657.5611202432</v>
      </c>
      <c r="E42" s="45" t="n">
        <f aca="false">L42+D42/$K$2</f>
        <v>24.4103860239721</v>
      </c>
      <c r="F42" s="117" t="n">
        <f aca="false">IF($K$9=0,0,E42/$K$9)</f>
        <v>0.0377628254190714</v>
      </c>
      <c r="G42" s="117" t="n">
        <f aca="false">G41+F42</f>
        <v>0.62904334641536</v>
      </c>
      <c r="H42" s="138" t="n">
        <v>31522.3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RESUMO'!AO12</f>
        <v>0</v>
      </c>
      <c r="N42" s="140" t="n">
        <f aca="false">MAX(0,M42-M41)</f>
        <v>0</v>
      </c>
      <c r="O42" s="139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31522.3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31145.0111827917</v>
      </c>
      <c r="E43" s="45" t="n">
        <f aca="false">L43+D43/$K$2</f>
        <v>24.0151710615108</v>
      </c>
      <c r="F43" s="117" t="n">
        <f aca="false">IF($K$9=0,0,E43/$K$9)</f>
        <v>0.0371514285482569</v>
      </c>
      <c r="G43" s="117" t="n">
        <f aca="false">G42+F43</f>
        <v>0.666194774963617</v>
      </c>
      <c r="H43" s="138" t="n">
        <v>31011.94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RESUMO'!AP12</f>
        <v>0</v>
      </c>
      <c r="N43" s="140" t="n">
        <f aca="false">MAX(0,M43-M42)</f>
        <v>0</v>
      </c>
      <c r="O43" s="139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31011.94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20742.2238971476</v>
      </c>
      <c r="E44" s="45" t="n">
        <f aca="false">L44+D44/$K$2</f>
        <v>15.9938313125854</v>
      </c>
      <c r="F44" s="117" t="n">
        <f aca="false">IF($K$9=0,0,E44/$K$9)</f>
        <v>0.0247424296791583</v>
      </c>
      <c r="G44" s="117" t="n">
        <f aca="false">G43+F44</f>
        <v>0.690937204642775</v>
      </c>
      <c r="H44" s="138" t="n">
        <v>20653.6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RESUMO'!AQ12</f>
        <v>0</v>
      </c>
      <c r="N44" s="140" t="n">
        <f aca="false">MAX(0,M44-M43)</f>
        <v>0</v>
      </c>
      <c r="O44" s="139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20653.6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12983.6945535684</v>
      </c>
      <c r="E45" s="45" t="n">
        <f aca="false">L45+D45/$K$2</f>
        <v>10.0114154361464</v>
      </c>
      <c r="F45" s="117" t="n">
        <f aca="false">IF($K$9=0,0,E45/$K$9)</f>
        <v>0.0154876425527118</v>
      </c>
      <c r="G45" s="117" t="n">
        <f aca="false">G44+F45</f>
        <v>0.706424847195487</v>
      </c>
      <c r="H45" s="138" t="n">
        <v>12928.22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RESUMO'!AR12</f>
        <v>0</v>
      </c>
      <c r="N45" s="140" t="n">
        <f aca="false">MAX(0,M45-M44)</f>
        <v>0</v>
      </c>
      <c r="O45" s="139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12928.22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12983.6945535684</v>
      </c>
      <c r="E46" s="45" t="n">
        <f aca="false">L46+D46/$K$2</f>
        <v>10.0114154361464</v>
      </c>
      <c r="F46" s="117" t="n">
        <f aca="false">IF($K$9=0,0,E46/$K$9)</f>
        <v>0.0154876425527118</v>
      </c>
      <c r="G46" s="117" t="n">
        <f aca="false">G45+F46</f>
        <v>0.721912489748199</v>
      </c>
      <c r="H46" s="138" t="n">
        <v>12928.22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RESUMO'!AS12</f>
        <v>0</v>
      </c>
      <c r="N46" s="140" t="n">
        <f aca="false">MAX(0,M46-M45)</f>
        <v>0</v>
      </c>
      <c r="O46" s="139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12928.22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12983.6945535684</v>
      </c>
      <c r="E47" s="45" t="n">
        <f aca="false">L47+D47/$K$2</f>
        <v>10.0114154361464</v>
      </c>
      <c r="F47" s="117" t="n">
        <f aca="false">IF($K$9=0,0,E47/$K$9)</f>
        <v>0.0154876425527118</v>
      </c>
      <c r="G47" s="117" t="n">
        <f aca="false">G46+F47</f>
        <v>0.737400132300911</v>
      </c>
      <c r="H47" s="138" t="n">
        <v>12928.22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RESUMO'!AT12</f>
        <v>0</v>
      </c>
      <c r="N47" s="140" t="n">
        <f aca="false">MAX(0,M47-M46)</f>
        <v>0</v>
      </c>
      <c r="O47" s="139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12928.22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12983.6945535684</v>
      </c>
      <c r="E48" s="45" t="n">
        <f aca="false">L48+D48/$K$2</f>
        <v>10.0114154361464</v>
      </c>
      <c r="F48" s="117" t="n">
        <f aca="false">IF($K$9=0,0,E48/$K$9)</f>
        <v>0.0154876425527118</v>
      </c>
      <c r="G48" s="117" t="n">
        <f aca="false">G47+F48</f>
        <v>0.752887774853623</v>
      </c>
      <c r="H48" s="138" t="n">
        <v>12928.22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RESUMO'!AU12</f>
        <v>0</v>
      </c>
      <c r="N48" s="140" t="n">
        <f aca="false">MAX(0,M48-M47)</f>
        <v>0</v>
      </c>
      <c r="O48" s="139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12928.22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12983.6945535684</v>
      </c>
      <c r="E49" s="45" t="n">
        <f aca="false">L49+D49/$K$2</f>
        <v>10.0114154361464</v>
      </c>
      <c r="F49" s="117" t="n">
        <f aca="false">IF($K$9=0,0,E49/$K$9)</f>
        <v>0.0154876425527118</v>
      </c>
      <c r="G49" s="117" t="n">
        <f aca="false">G48+F49</f>
        <v>0.768375417406334</v>
      </c>
      <c r="H49" s="138" t="n">
        <v>12928.22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RESUMO'!AV12</f>
        <v>0</v>
      </c>
      <c r="N49" s="140" t="n">
        <f aca="false">MAX(0,M49-M48)</f>
        <v>0</v>
      </c>
      <c r="O49" s="139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12928.22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12983.6945535684</v>
      </c>
      <c r="E50" s="45" t="n">
        <f aca="false">L50+D50/$K$2</f>
        <v>10.0114154361464</v>
      </c>
      <c r="F50" s="117" t="n">
        <f aca="false">IF($K$9=0,0,E50/$K$9)</f>
        <v>0.0154876425527118</v>
      </c>
      <c r="G50" s="117" t="n">
        <f aca="false">G49+F50</f>
        <v>0.783863059959046</v>
      </c>
      <c r="H50" s="138" t="n">
        <v>12928.22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RESUMO'!AW12</f>
        <v>0</v>
      </c>
      <c r="N50" s="140" t="n">
        <f aca="false">MAX(0,M50-M49)</f>
        <v>0</v>
      </c>
      <c r="O50" s="139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12928.22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12983.6945535684</v>
      </c>
      <c r="E51" s="45" t="n">
        <f aca="false">L51+D51/$K$2</f>
        <v>10.0114154361464</v>
      </c>
      <c r="F51" s="117" t="n">
        <f aca="false">IF($K$9=0,0,E51/$K$9)</f>
        <v>0.0154876425527118</v>
      </c>
      <c r="G51" s="117" t="n">
        <f aca="false">G50+F51</f>
        <v>0.799350702511758</v>
      </c>
      <c r="H51" s="138" t="n">
        <v>12928.22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RESUMO'!AX12</f>
        <v>0</v>
      </c>
      <c r="N51" s="140" t="n">
        <f aca="false">MAX(0,M51-M50)</f>
        <v>0</v>
      </c>
      <c r="O51" s="139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12928.22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12983.6945535684</v>
      </c>
      <c r="E52" s="45" t="n">
        <f aca="false">L52+D52/$K$2</f>
        <v>10.0114154361464</v>
      </c>
      <c r="F52" s="117" t="n">
        <f aca="false">IF($K$9=0,0,E52/$K$9)</f>
        <v>0.0154876425527118</v>
      </c>
      <c r="G52" s="117" t="n">
        <f aca="false">G51+F52</f>
        <v>0.81483834506447</v>
      </c>
      <c r="H52" s="138" t="n">
        <v>12928.22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RESUMO'!AY12</f>
        <v>0</v>
      </c>
      <c r="N52" s="140" t="n">
        <f aca="false">MAX(0,M52-M51)</f>
        <v>0</v>
      </c>
      <c r="O52" s="139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12928.22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12983.6945535684</v>
      </c>
      <c r="E53" s="45" t="n">
        <f aca="false">L53+D53/$K$2</f>
        <v>10.0114154361464</v>
      </c>
      <c r="F53" s="117" t="n">
        <f aca="false">IF($K$9=0,0,E53/$K$9)</f>
        <v>0.0154876425527118</v>
      </c>
      <c r="G53" s="117" t="n">
        <f aca="false">G52+F53</f>
        <v>0.830325987617182</v>
      </c>
      <c r="H53" s="138" t="n">
        <v>12928.22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RESUMO'!AZ12</f>
        <v>0</v>
      </c>
      <c r="N53" s="140" t="n">
        <f aca="false">MAX(0,M53-M52)</f>
        <v>0</v>
      </c>
      <c r="O53" s="139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12928.22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12983.6945535684</v>
      </c>
      <c r="E54" s="45" t="n">
        <f aca="false">L54+D54/$K$2</f>
        <v>10.0114154361464</v>
      </c>
      <c r="F54" s="117" t="n">
        <f aca="false">IF($K$9=0,0,E54/$K$9)</f>
        <v>0.0154876425527118</v>
      </c>
      <c r="G54" s="117" t="n">
        <f aca="false">G53+F54</f>
        <v>0.845813630169894</v>
      </c>
      <c r="H54" s="138" t="n">
        <v>12928.22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RESUMO'!BA12</f>
        <v>0</v>
      </c>
      <c r="N54" s="140" t="n">
        <f aca="false">MAX(0,M54-M53)</f>
        <v>0</v>
      </c>
      <c r="O54" s="139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12928.22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6025.74579651418</v>
      </c>
      <c r="E55" s="45" t="n">
        <f aca="false">L55+D55/$K$2</f>
        <v>4.646308046806</v>
      </c>
      <c r="F55" s="117" t="n">
        <f aca="false">IF($K$9=0,0,E55/$K$9)</f>
        <v>0.00718783059974774</v>
      </c>
      <c r="G55" s="117" t="n">
        <f aca="false">G54+F55</f>
        <v>0.853001460769641</v>
      </c>
      <c r="H55" s="138" t="n">
        <v>6000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RESUMO'!BB12</f>
        <v>0</v>
      </c>
      <c r="N55" s="140" t="n">
        <f aca="false">MAX(0,M55-M54)</f>
        <v>0</v>
      </c>
      <c r="O55" s="139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6000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65840.3214885219</v>
      </c>
      <c r="E56" s="45" t="n">
        <f aca="false">L56+D56/$K$2</f>
        <v>50.7678926172725</v>
      </c>
      <c r="F56" s="117" t="n">
        <f aca="false">IF($K$9=0,0,E56/$K$9)</f>
        <v>0.0785378430278614</v>
      </c>
      <c r="G56" s="117" t="n">
        <f aca="false">G55+F56</f>
        <v>0.931539303797503</v>
      </c>
      <c r="H56" s="138" t="n">
        <v>65559.01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RESUMO'!BC12</f>
        <v>0</v>
      </c>
      <c r="N56" s="140" t="n">
        <f aca="false">MAX(0,M56-M55)</f>
        <v>0</v>
      </c>
      <c r="O56" s="139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65559.01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19521.7090860636</v>
      </c>
      <c r="E57" s="45" t="n">
        <f aca="false">L57+D57/$K$2</f>
        <v>15.0527216177048</v>
      </c>
      <c r="F57" s="117" t="n">
        <f aca="false">IF($K$9=0,0,E57/$K$9)</f>
        <v>0.0232865345911794</v>
      </c>
      <c r="G57" s="117" t="n">
        <f aca="false">G56+F57</f>
        <v>0.954825838388682</v>
      </c>
      <c r="H57" s="138" t="n">
        <v>19438.3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RESUMO'!BD12</f>
        <v>0</v>
      </c>
      <c r="N57" s="140" t="n">
        <f aca="false">MAX(0,M57-M56)</f>
        <v>0</v>
      </c>
      <c r="O57" s="139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19438.3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37870.6774823</v>
      </c>
      <c r="E58" s="45" t="n">
        <f aca="false">L58+D58/$K$2</f>
        <v>29.2011710194935</v>
      </c>
      <c r="F58" s="117" t="n">
        <f aca="false">IF($K$9=0,0,E58/$K$9)</f>
        <v>0.0451741616113183</v>
      </c>
      <c r="G58" s="117" t="n">
        <f aca="false">G57+F58</f>
        <v>1</v>
      </c>
      <c r="H58" s="138" t="n">
        <v>37708.87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RESUMO'!BE12</f>
        <v>0</v>
      </c>
      <c r="N58" s="140" t="n">
        <f aca="false">MAX(0,M58-M57)</f>
        <v>0</v>
      </c>
      <c r="O58" s="139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37708.87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RESUMO'!BF12</f>
        <v>0</v>
      </c>
      <c r="N59" s="140" t="n">
        <f aca="false">MAX(0,M59-M58)</f>
        <v>0</v>
      </c>
      <c r="O59" s="139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RESUMO'!BG12</f>
        <v>0</v>
      </c>
      <c r="N60" s="140" t="n">
        <f aca="false">MAX(0,M60-M59)</f>
        <v>0</v>
      </c>
      <c r="O60" s="139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RESUMO'!BH12</f>
        <v>0</v>
      </c>
      <c r="N61" s="140" t="n">
        <f aca="false">MAX(0,M61-M60)</f>
        <v>0</v>
      </c>
      <c r="O61" s="139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RESUMO'!BI12</f>
        <v>0</v>
      </c>
      <c r="N62" s="140" t="n">
        <f aca="false">MAX(0,M62-M61)</f>
        <v>0</v>
      </c>
      <c r="O62" s="139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RESUMO'!BJ12</f>
        <v>0</v>
      </c>
      <c r="N63" s="140" t="n">
        <f aca="false">MAX(0,M63-M62)</f>
        <v>0</v>
      </c>
      <c r="O63" s="139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RESUMO'!BK12</f>
        <v>0</v>
      </c>
      <c r="N64" s="140" t="n">
        <f aca="false">MAX(0,M64-M63)</f>
        <v>0</v>
      </c>
      <c r="O64" s="139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RESUMO'!BL12</f>
        <v>0</v>
      </c>
      <c r="N65" s="140" t="n">
        <f aca="false">MAX(0,M65-M64)</f>
        <v>0</v>
      </c>
      <c r="O65" s="139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RESUMO'!BM12</f>
        <v>0</v>
      </c>
      <c r="N66" s="140" t="n">
        <f aca="false">MAX(0,M66-M65)</f>
        <v>0</v>
      </c>
      <c r="O66" s="139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RESUMO'!BN12</f>
        <v>0</v>
      </c>
      <c r="N67" s="140" t="n">
        <f aca="false">MAX(0,M67-M66)</f>
        <v>0</v>
      </c>
      <c r="O67" s="139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RESUMO'!BO12</f>
        <v>0</v>
      </c>
      <c r="N68" s="140" t="n">
        <f aca="false">MAX(0,M68-M67)</f>
        <v>0</v>
      </c>
      <c r="O68" s="139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RESUMO'!BP12</f>
        <v>0</v>
      </c>
      <c r="N69" s="140" t="n">
        <f aca="false">MAX(0,M69-M68)</f>
        <v>0</v>
      </c>
      <c r="O69" s="139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RESUMO'!BQ12</f>
        <v>0</v>
      </c>
      <c r="N70" s="140" t="n">
        <f aca="false">MAX(0,M70-M69)</f>
        <v>0</v>
      </c>
      <c r="O70" s="139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RESUMO'!BR12</f>
        <v>0</v>
      </c>
      <c r="N71" s="140" t="n">
        <f aca="false">MAX(0,M71-M70)</f>
        <v>0</v>
      </c>
      <c r="O71" s="139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RESUMO'!BS12</f>
        <v>0</v>
      </c>
      <c r="N72" s="140" t="n">
        <f aca="false">MAX(0,M72-M71)</f>
        <v>0</v>
      </c>
      <c r="O72" s="139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RESUMO'!BT12</f>
        <v>0</v>
      </c>
      <c r="N73" s="140" t="n">
        <f aca="false">MAX(0,M73-M72)</f>
        <v>0</v>
      </c>
      <c r="O73" s="139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RESUMO'!BU12</f>
        <v>0</v>
      </c>
      <c r="N74" s="140" t="n">
        <f aca="false">MAX(0,M74-M73)</f>
        <v>0</v>
      </c>
      <c r="O74" s="139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RESUMO'!BV12</f>
        <v>0</v>
      </c>
      <c r="N75" s="140" t="n">
        <f aca="false">MAX(0,M75-M74)</f>
        <v>0</v>
      </c>
      <c r="O75" s="139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RESUMO'!BW12</f>
        <v>0</v>
      </c>
      <c r="N76" s="140" t="n">
        <f aca="false">MAX(0,M76-M75)</f>
        <v>0</v>
      </c>
      <c r="O76" s="139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86516.58</v>
      </c>
      <c r="D78" s="61" t="n">
        <f aca="false">SUM(D5:D76)</f>
        <v>748495.325352242</v>
      </c>
      <c r="E78" s="61" t="n">
        <f aca="false">SUM(E5:E76)</f>
        <v>646.413125953338</v>
      </c>
      <c r="F78" s="145" t="n">
        <f aca="false">SUM(F5:F76)</f>
        <v>1</v>
      </c>
      <c r="H78" s="61" t="n">
        <f aca="false">SUM(H5:H76)</f>
        <v>745297.28</v>
      </c>
      <c r="L78" s="61" t="n">
        <f aca="false">SUM(L5:L76)</f>
        <v>69.2663343989011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HISTORICOS'!D13)</f>
        <v>43088.09</v>
      </c>
      <c r="D5" s="45" t="n">
        <f aca="false">IF(B5&lt;='VALOR POR PL'!$P$5,0,IF($K$17&gt;0,$K$18*P5/$K$17,0))</f>
        <v>0</v>
      </c>
      <c r="E5" s="45" t="n">
        <f aca="false">L5+D5/$K$2</f>
        <v>37.8286998660252</v>
      </c>
      <c r="F5" s="117" t="n">
        <f aca="false">IF($K$9=0,0,E5/$K$9)</f>
        <v>0.0353227615493849</v>
      </c>
      <c r="G5" s="117" t="n">
        <f aca="false">F5</f>
        <v>0.0353227615493849</v>
      </c>
      <c r="H5" s="138"/>
      <c r="I5" s="42" t="s">
        <v>2920</v>
      </c>
      <c r="J5" s="56" t="n">
        <f aca="false">'VALOR POR PL'!F19</f>
        <v>1322660.98</v>
      </c>
      <c r="K5" s="56" t="n">
        <f aca="false">'VALOR POR PL'!G19</f>
        <v>1087.08347</v>
      </c>
      <c r="L5" s="56" t="n">
        <f aca="false">'DADOS HISTORICOS'!$BZ$13</f>
        <v>37.8286998660252</v>
      </c>
      <c r="M5" s="139" t="n">
        <f aca="false">'CP RESUMO'!D13</f>
        <v>0</v>
      </c>
      <c r="N5" s="140" t="n">
        <v>0</v>
      </c>
      <c r="O5" s="139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0.0353227615493849</v>
      </c>
      <c r="H6" s="138"/>
      <c r="I6" s="42" t="s">
        <v>2921</v>
      </c>
      <c r="K6" s="52" t="n">
        <f aca="false">'VALOR POR PL'!H19</f>
        <v>1071.13920587468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RESUMO'!E13</f>
        <v>0</v>
      </c>
      <c r="N6" s="140" t="n">
        <f aca="false">MAX(0,M6-M5)</f>
        <v>0</v>
      </c>
      <c r="O6" s="139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HISTORICOS'!F13)</f>
        <v>14421.7</v>
      </c>
      <c r="D7" s="45" t="n">
        <f aca="false">IF(B7&lt;='VALOR POR PL'!$P$5,0,IF($K$17&gt;0,$K$18*P7/$K$17,0))</f>
        <v>0</v>
      </c>
      <c r="E7" s="45" t="n">
        <f aca="false">L7+D7/$K$2</f>
        <v>12.2865966646078</v>
      </c>
      <c r="F7" s="117" t="n">
        <f aca="false">IF($K$9=0,0,E7/$K$9)</f>
        <v>0.0114726788331203</v>
      </c>
      <c r="G7" s="117" t="n">
        <f aca="false">G6+F7</f>
        <v>0.0467954403825052</v>
      </c>
      <c r="H7" s="138"/>
      <c r="I7" s="42" t="s">
        <v>2922</v>
      </c>
      <c r="J7" s="45" t="n">
        <f aca="false">C78+D78</f>
        <v>1352988.41770466</v>
      </c>
      <c r="L7" s="45" t="n">
        <f aca="false">C7/IF(B7&lt;='VALOR POR PL'!$P$5,IFERROR(INDEX('"INCC-FGV"'!$B$2:$B$800,MATCH(B7,'"INCC-FGV"'!$A$2:$A$800,0)),$K$2),$K$2)</f>
        <v>12.2865966646078</v>
      </c>
      <c r="M7" s="139" t="n">
        <f aca="false">'CP RESUMO'!F13</f>
        <v>0</v>
      </c>
      <c r="N7" s="140" t="n">
        <f aca="false">MAX(0,M7-M6)</f>
        <v>0</v>
      </c>
      <c r="O7" s="139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HISTORICOS'!G13)</f>
        <v>608.73</v>
      </c>
      <c r="D8" s="45" t="n">
        <f aca="false">IF(B8&lt;='VALOR POR PL'!$P$5,0,IF($K$17&gt;0,$K$18*P8/$K$17,0))</f>
        <v>0</v>
      </c>
      <c r="E8" s="45" t="n">
        <f aca="false">L8+D8/$K$2</f>
        <v>0.516579456986081</v>
      </c>
      <c r="F8" s="117" t="n">
        <f aca="false">IF($K$9=0,0,E8/$K$9)</f>
        <v>0.000482358977312306</v>
      </c>
      <c r="G8" s="117" t="n">
        <f aca="false">G7+F8</f>
        <v>0.0472777993598176</v>
      </c>
      <c r="H8" s="138"/>
      <c r="I8" s="42" t="s">
        <v>2923</v>
      </c>
      <c r="K8" s="66" t="n">
        <f aca="false">SUM(L5:L76)</f>
        <v>577.524242481269</v>
      </c>
      <c r="L8" s="45" t="n">
        <f aca="false">C8/IF(B8&lt;='VALOR POR PL'!$P$5,IFERROR(INDEX('"INCC-FGV"'!$B$2:$B$800,MATCH(B8,'"INCC-FGV"'!$A$2:$A$800,0)),$K$2),$K$2)</f>
        <v>0.516579456986081</v>
      </c>
      <c r="M8" s="139" t="n">
        <f aca="false">'CP RESUMO'!G13</f>
        <v>0</v>
      </c>
      <c r="N8" s="140" t="n">
        <f aca="false">MAX(0,M8-M7)</f>
        <v>0</v>
      </c>
      <c r="O8" s="139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0.0472777993598176</v>
      </c>
      <c r="H9" s="138"/>
      <c r="I9" s="42" t="s">
        <v>2924</v>
      </c>
      <c r="J9" s="45" t="n">
        <f aca="false">C78+D78</f>
        <v>1352988.41770466</v>
      </c>
      <c r="K9" s="45" t="n">
        <f aca="false">E78</f>
        <v>1070.94400909557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RESUMO'!H13</f>
        <v>0</v>
      </c>
      <c r="N9" s="140" t="n">
        <f aca="false">MAX(0,M9-M8)</f>
        <v>0</v>
      </c>
      <c r="O9" s="139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0.0472777993598176</v>
      </c>
      <c r="H10" s="138"/>
      <c r="I10" s="42" t="s">
        <v>2925</v>
      </c>
      <c r="K10" s="52" t="n">
        <f aca="false">IF(K6-K8&gt;0,(K6-K8)*'VALOR POR PL'!$G$65,K6-K8)</f>
        <v>493.419766614302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RESUMO'!I13</f>
        <v>0</v>
      </c>
      <c r="N10" s="140" t="n">
        <f aca="false">MAX(0,M10-M9)</f>
        <v>0</v>
      </c>
      <c r="O10" s="139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0.0472777993598176</v>
      </c>
      <c r="H11" s="138"/>
      <c r="I11" s="42" t="s">
        <v>2926</v>
      </c>
      <c r="K11" s="56" t="n">
        <f aca="false">SUMPRODUCT((B5:B76&gt;'VALOR POR PL'!$P$5)*H5:H76)</f>
        <v>671943.38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RESUMO'!J13</f>
        <v>0</v>
      </c>
      <c r="N11" s="140" t="n">
        <f aca="false">MAX(0,M11-M10)</f>
        <v>0</v>
      </c>
      <c r="O11" s="139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HISTORICOS'!K13)</f>
        <v>20181.97</v>
      </c>
      <c r="D12" s="45" t="n">
        <f aca="false">IF(B12&lt;='VALOR POR PL'!$P$5,0,IF($K$17&gt;0,$K$18*P12/$K$17,0))</f>
        <v>0</v>
      </c>
      <c r="E12" s="45" t="n">
        <f aca="false">L12+D12/$K$2</f>
        <v>16.6728240494816</v>
      </c>
      <c r="F12" s="117" t="n">
        <f aca="false">IF($K$9=0,0,E12/$K$9)</f>
        <v>0.0155683433567755</v>
      </c>
      <c r="G12" s="117" t="n">
        <f aca="false">G11+F12</f>
        <v>0.0628461427165931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16.6728240494816</v>
      </c>
      <c r="M12" s="139" t="n">
        <f aca="false">'CP RESUMO'!K13</f>
        <v>0</v>
      </c>
      <c r="N12" s="140" t="n">
        <f aca="false">MAX(0,M12-M11)</f>
        <v>0</v>
      </c>
      <c r="O12" s="139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HISTORICOS'!L13)</f>
        <v>6015.91</v>
      </c>
      <c r="D13" s="45" t="n">
        <f aca="false">IF(B13&lt;='VALOR POR PL'!$P$5,0,IF($K$17&gt;0,$K$18*P13/$K$17,0))</f>
        <v>0</v>
      </c>
      <c r="E13" s="45" t="n">
        <f aca="false">L13+D13/$K$2</f>
        <v>4.94442371452101</v>
      </c>
      <c r="F13" s="117" t="n">
        <f aca="false">IF($K$9=0,0,E13/$K$9)</f>
        <v>0.00461688349019913</v>
      </c>
      <c r="G13" s="117" t="n">
        <f aca="false">G12+F13</f>
        <v>0.0674630262067922</v>
      </c>
      <c r="H13" s="138"/>
      <c r="I13" s="42" t="s">
        <v>2928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4.94442371452101</v>
      </c>
      <c r="M13" s="139" t="n">
        <f aca="false">'CP RESUMO'!L13</f>
        <v>0</v>
      </c>
      <c r="N13" s="140" t="n">
        <f aca="false">MAX(0,M13-M12)</f>
        <v>0</v>
      </c>
      <c r="O13" s="139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HISTORICOS'!M13)</f>
        <v>9715.37</v>
      </c>
      <c r="D14" s="45" t="n">
        <f aca="false">IF(B14&lt;='VALOR POR PL'!$P$5,0,IF($K$17&gt;0,$K$18*P14/$K$17,0))</f>
        <v>0</v>
      </c>
      <c r="E14" s="45" t="n">
        <f aca="false">L14+D14/$K$2</f>
        <v>7.9716052634386</v>
      </c>
      <c r="F14" s="117" t="n">
        <f aca="false">IF($K$9=0,0,E14/$K$9)</f>
        <v>0.00744353131044707</v>
      </c>
      <c r="G14" s="117" t="n">
        <f aca="false">G13+F14</f>
        <v>0.0749065575172393</v>
      </c>
      <c r="H14" s="138"/>
      <c r="I14" s="42" t="s">
        <v>2929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7.9716052634386</v>
      </c>
      <c r="M14" s="139" t="n">
        <f aca="false">'CP RESUMO'!M13</f>
        <v>0</v>
      </c>
      <c r="N14" s="140" t="n">
        <f aca="false">MAX(0,M14-M13)</f>
        <v>0</v>
      </c>
      <c r="O14" s="139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HISTORICOS'!N13)</f>
        <v>28769</v>
      </c>
      <c r="D15" s="45" t="n">
        <f aca="false">IF(B15&lt;='VALOR POR PL'!$P$5,0,IF($K$17&gt;0,$K$18*P15/$K$17,0))</f>
        <v>0</v>
      </c>
      <c r="E15" s="45" t="n">
        <f aca="false">L15+D15/$K$2</f>
        <v>23.5356966382952</v>
      </c>
      <c r="F15" s="117" t="n">
        <f aca="false">IF($K$9=0,0,E15/$K$9)</f>
        <v>0.0219765892879605</v>
      </c>
      <c r="G15" s="117" t="n">
        <f aca="false">G14+F15</f>
        <v>0.0968831468051998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23.5356966382952</v>
      </c>
      <c r="M15" s="139" t="n">
        <f aca="false">'CP RESUMO'!N13</f>
        <v>0</v>
      </c>
      <c r="N15" s="140" t="n">
        <f aca="false">MAX(0,M15-M14)</f>
        <v>0</v>
      </c>
      <c r="O15" s="139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HISTORICOS'!O13)</f>
        <v>255492.31</v>
      </c>
      <c r="D16" s="45" t="n">
        <f aca="false">IF(B16&lt;='VALOR POR PL'!$P$5,0,IF($K$17&gt;0,$K$18*P16/$K$17,0))</f>
        <v>0</v>
      </c>
      <c r="E16" s="45" t="n">
        <f aca="false">L16+D16/$K$2</f>
        <v>208.45743383215</v>
      </c>
      <c r="F16" s="117" t="n">
        <f aca="false">IF($K$9=0,0,E16/$K$9)</f>
        <v>0.194648302863374</v>
      </c>
      <c r="G16" s="117" t="n">
        <f aca="false">G15+F16</f>
        <v>0.291531449668574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208.45743383215</v>
      </c>
      <c r="M16" s="139" t="n">
        <f aca="false">'CP RESUMO'!O13</f>
        <v>0</v>
      </c>
      <c r="N16" s="140" t="n">
        <f aca="false">MAX(0,M16-M15)</f>
        <v>0</v>
      </c>
      <c r="O16" s="139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HISTORICOS'!P13)</f>
        <v>61293.83</v>
      </c>
      <c r="D17" s="45" t="n">
        <f aca="false">IF(B17&lt;='VALOR POR PL'!$P$5,0,IF($K$17&gt;0,$K$18*P17/$K$17,0))</f>
        <v>0</v>
      </c>
      <c r="E17" s="45" t="n">
        <f aca="false">L17+D17/$K$2</f>
        <v>49.9069991637904</v>
      </c>
      <c r="F17" s="117" t="n">
        <f aca="false">IF($K$9=0,0,E17/$K$9)</f>
        <v>0.0466009415430949</v>
      </c>
      <c r="G17" s="117" t="n">
        <f aca="false">G16+F17</f>
        <v>0.338132391211668</v>
      </c>
      <c r="H17" s="138"/>
      <c r="I17" s="42" t="s">
        <v>2933</v>
      </c>
      <c r="K17" s="45" t="n">
        <f aca="false">SUM(P5:P76)</f>
        <v>671943.38</v>
      </c>
      <c r="L17" s="45" t="n">
        <f aca="false">C17/IF(B17&lt;='VALOR POR PL'!$P$5,IFERROR(INDEX('"INCC-FGV"'!$B$2:$B$800,MATCH(B17,'"INCC-FGV"'!$A$2:$A$800,0)),$K$2),$K$2)</f>
        <v>49.9069991637904</v>
      </c>
      <c r="M17" s="139" t="n">
        <f aca="false">'CP RESUMO'!P13</f>
        <v>0</v>
      </c>
      <c r="N17" s="140" t="n">
        <f aca="false">MAX(0,M17-M16)</f>
        <v>0</v>
      </c>
      <c r="O17" s="139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HISTORICOS'!Q13)</f>
        <v>26405.03</v>
      </c>
      <c r="D18" s="45" t="n">
        <f aca="false">IF(B18&lt;='VALOR POR PL'!$P$5,0,IF($K$17&gt;0,$K$18*P18/$K$17,0))</f>
        <v>0</v>
      </c>
      <c r="E18" s="45" t="n">
        <f aca="false">L18+D18/$K$2</f>
        <v>21.3454014272826</v>
      </c>
      <c r="F18" s="117" t="n">
        <f aca="false">IF($K$9=0,0,E18/$K$9)</f>
        <v>0.0199313887990364</v>
      </c>
      <c r="G18" s="117" t="n">
        <f aca="false">G17+F18</f>
        <v>0.358063780010705</v>
      </c>
      <c r="H18" s="138"/>
      <c r="I18" s="42" t="s">
        <v>2934</v>
      </c>
      <c r="K18" s="45" t="n">
        <f aca="false">MAX(0,K10)*$K$2</f>
        <v>639910.667704656</v>
      </c>
      <c r="L18" s="45" t="n">
        <f aca="false">C18/IF(B18&lt;='VALOR POR PL'!$P$5,IFERROR(INDEX('"INCC-FGV"'!$B$2:$B$800,MATCH(B18,'"INCC-FGV"'!$A$2:$A$800,0)),$K$2),$K$2)</f>
        <v>21.3454014272826</v>
      </c>
      <c r="M18" s="139" t="n">
        <f aca="false">'CP RESUMO'!Q13</f>
        <v>0</v>
      </c>
      <c r="N18" s="140" t="n">
        <f aca="false">MAX(0,M18-M17)</f>
        <v>0</v>
      </c>
      <c r="O18" s="139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HISTORICOS'!R13)</f>
        <v>27423.86</v>
      </c>
      <c r="D19" s="45" t="n">
        <f aca="false">IF(B19&lt;='VALOR POR PL'!$P$5,0,IF($K$17&gt;0,$K$18*P19/$K$17,0))</f>
        <v>0</v>
      </c>
      <c r="E19" s="45" t="n">
        <f aca="false">L19+D19/$K$2</f>
        <v>22.1074405815164</v>
      </c>
      <c r="F19" s="117" t="n">
        <f aca="false">IF($K$9=0,0,E19/$K$9)</f>
        <v>0.0206429471510714</v>
      </c>
      <c r="G19" s="117" t="n">
        <f aca="false">G18+F19</f>
        <v>0.378706727161776</v>
      </c>
      <c r="H19" s="138"/>
      <c r="I19" s="42" t="s">
        <v>2935</v>
      </c>
      <c r="K19" s="142" t="n">
        <f aca="false">IF(AND(K16="PREVISÃO INFORMADA",K11&gt;0),K18/K11-1,"")</f>
        <v>-0.0476717432581068</v>
      </c>
      <c r="L19" s="45" t="n">
        <f aca="false">C19/IF(B19&lt;='VALOR POR PL'!$P$5,IFERROR(INDEX('"INCC-FGV"'!$B$2:$B$800,MATCH(B19,'"INCC-FGV"'!$A$2:$A$800,0)),$K$2),$K$2)</f>
        <v>22.1074405815164</v>
      </c>
      <c r="M19" s="139" t="n">
        <f aca="false">'CP RESUMO'!R13</f>
        <v>0</v>
      </c>
      <c r="N19" s="140" t="n">
        <f aca="false">MAX(0,M19-M18)</f>
        <v>0</v>
      </c>
      <c r="O19" s="139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HISTORICOS'!S13)</f>
        <v>42679.98</v>
      </c>
      <c r="D20" s="45" t="n">
        <f aca="false">IF(B20&lt;='VALOR POR PL'!$P$5,0,IF($K$17&gt;0,$K$18*P20/$K$17,0))</f>
        <v>0</v>
      </c>
      <c r="E20" s="45" t="n">
        <f aca="false">L20+D20/$K$2</f>
        <v>34.2211595590375</v>
      </c>
      <c r="F20" s="117" t="n">
        <f aca="false">IF($K$9=0,0,E20/$K$9)</f>
        <v>0.0319542004702355</v>
      </c>
      <c r="G20" s="117" t="n">
        <f aca="false">G19+F20</f>
        <v>0.410660927632012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34.2211595590375</v>
      </c>
      <c r="M20" s="139" t="n">
        <f aca="false">'CP RESUMO'!S13</f>
        <v>0</v>
      </c>
      <c r="N20" s="140" t="n">
        <f aca="false">MAX(0,M20-M19)</f>
        <v>0</v>
      </c>
      <c r="O20" s="139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HISTORICOS'!T13)</f>
        <v>22203.86</v>
      </c>
      <c r="D21" s="45" t="n">
        <f aca="false">IF(B21&lt;='VALOR POR PL'!$P$5,0,IF($K$17&gt;0,$K$18*P21/$K$17,0))</f>
        <v>0</v>
      </c>
      <c r="E21" s="45" t="n">
        <f aca="false">L21+D21/$K$2</f>
        <v>17.6269795149772</v>
      </c>
      <c r="F21" s="117" t="n">
        <f aca="false">IF($K$9=0,0,E21/$K$9)</f>
        <v>0.0164592913964414</v>
      </c>
      <c r="G21" s="117" t="n">
        <f aca="false">G20+F21</f>
        <v>0.427120219028453</v>
      </c>
      <c r="H21" s="138"/>
      <c r="K21" s="143"/>
      <c r="L21" s="45" t="n">
        <f aca="false">C21/IF(B21&lt;='VALOR POR PL'!$P$5,IFERROR(INDEX('"INCC-FGV"'!$B$2:$B$800,MATCH(B21,'"INCC-FGV"'!$A$2:$A$800,0)),$K$2),$K$2)</f>
        <v>17.6269795149772</v>
      </c>
      <c r="M21" s="139" t="n">
        <f aca="false">'CP RESUMO'!T13</f>
        <v>0</v>
      </c>
      <c r="N21" s="140" t="n">
        <f aca="false">MAX(0,M21-M20)</f>
        <v>0</v>
      </c>
      <c r="O21" s="139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HISTORICOS'!U13)</f>
        <v>22652.84</v>
      </c>
      <c r="D22" s="45" t="n">
        <f aca="false">IF(B22&lt;='VALOR POR PL'!$P$5,0,IF($K$17&gt;0,$K$18*P22/$K$17,0))</f>
        <v>0</v>
      </c>
      <c r="E22" s="45" t="n">
        <f aca="false">L22+D22/$K$2</f>
        <v>17.8271261002837</v>
      </c>
      <c r="F22" s="117" t="n">
        <f aca="false">IF($K$9=0,0,E22/$K$9)</f>
        <v>0.0166461793976876</v>
      </c>
      <c r="G22" s="117" t="n">
        <f aca="false">G21+F22</f>
        <v>0.443766398426141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17.8271261002837</v>
      </c>
      <c r="M22" s="139" t="n">
        <f aca="false">'CP RESUMO'!U13</f>
        <v>0</v>
      </c>
      <c r="N22" s="140" t="n">
        <f aca="false">MAX(0,M22-M21)</f>
        <v>0</v>
      </c>
      <c r="O22" s="139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HISTORICOS'!V13)</f>
        <v>18615.9</v>
      </c>
      <c r="D23" s="45" t="n">
        <f aca="false">IF(B23&lt;='VALOR POR PL'!$P$5,0,IF($K$17&gt;0,$K$18*P23/$K$17,0))</f>
        <v>0</v>
      </c>
      <c r="E23" s="45" t="n">
        <f aca="false">L23+D23/$K$2</f>
        <v>14.5363923222824</v>
      </c>
      <c r="F23" s="117" t="n">
        <f aca="false">IF($K$9=0,0,E23/$K$9)</f>
        <v>0.0135734381992188</v>
      </c>
      <c r="G23" s="117" t="n">
        <f aca="false">G22+F23</f>
        <v>0.45733983662536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14.5363923222824</v>
      </c>
      <c r="M23" s="139" t="n">
        <f aca="false">'CP RESUMO'!V13</f>
        <v>0</v>
      </c>
      <c r="N23" s="140" t="n">
        <f aca="false">MAX(0,M23-M22)</f>
        <v>0</v>
      </c>
      <c r="O23" s="139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HISTORICOS'!W13)</f>
        <v>42382.64</v>
      </c>
      <c r="D24" s="45" t="n">
        <f aca="false">IF(B24&lt;='VALOR POR PL'!$P$5,0,IF($K$17&gt;0,$K$18*P24/$K$17,0))</f>
        <v>0</v>
      </c>
      <c r="E24" s="45" t="n">
        <f aca="false">L24+D24/$K$2</f>
        <v>32.8947689088512</v>
      </c>
      <c r="F24" s="117" t="n">
        <f aca="false">IF($K$9=0,0,E24/$K$9)</f>
        <v>0.0307156757304533</v>
      </c>
      <c r="G24" s="117" t="n">
        <f aca="false">G23+F24</f>
        <v>0.488055512355813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32.8947689088512</v>
      </c>
      <c r="M24" s="139" t="n">
        <f aca="false">'CP RESUMO'!W13</f>
        <v>0</v>
      </c>
      <c r="N24" s="140" t="n">
        <f aca="false">MAX(0,M24-M23)</f>
        <v>0</v>
      </c>
      <c r="O24" s="139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HISTORICOS'!X13)</f>
        <v>32608.81</v>
      </c>
      <c r="D25" s="45" t="n">
        <f aca="false">IF(B25&lt;='VALOR POR PL'!$P$5,0,IF($K$17&gt;0,$K$18*P25/$K$17,0))</f>
        <v>0</v>
      </c>
      <c r="E25" s="45" t="n">
        <f aca="false">L25+D25/$K$2</f>
        <v>25.1438712179685</v>
      </c>
      <c r="F25" s="117" t="n">
        <f aca="false">IF($K$9=0,0,E25/$K$9)</f>
        <v>0.0234782313588952</v>
      </c>
      <c r="G25" s="117" t="n">
        <f aca="false">G24+F25</f>
        <v>0.511533743714708</v>
      </c>
      <c r="H25" s="138"/>
      <c r="L25" s="45" t="n">
        <f aca="false">C25/IF(B25&lt;='VALOR POR PL'!$P$5,IFERROR(INDEX('"INCC-FGV"'!$B$2:$B$800,MATCH(B25,'"INCC-FGV"'!$A$2:$A$800,0)),$K$2),$K$2)</f>
        <v>25.1438712179685</v>
      </c>
      <c r="M25" s="139" t="n">
        <f aca="false">'CP RESUMO'!X13</f>
        <v>0</v>
      </c>
      <c r="N25" s="140" t="n">
        <f aca="false">MAX(0,M25-M24)</f>
        <v>0</v>
      </c>
      <c r="O25" s="139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HISTORICOS'!Y13)</f>
        <v>28595.43</v>
      </c>
      <c r="D26" s="45" t="n">
        <f aca="false">IF(B26&lt;='VALOR POR PL'!$P$5,0,IF($K$17&gt;0,$K$18*P26/$K$17,0))</f>
        <v>27843.192672515</v>
      </c>
      <c r="E26" s="45" t="n">
        <f aca="false">L26+D26/$K$2</f>
        <v>43.5184681746202</v>
      </c>
      <c r="F26" s="117" t="n">
        <f aca="false">IF($K$9=0,0,E26/$K$9)</f>
        <v>0.0406356147520469</v>
      </c>
      <c r="G26" s="117" t="n">
        <f aca="false">G25+F26</f>
        <v>0.552169358466755</v>
      </c>
      <c r="H26" s="138" t="n">
        <v>29236.97</v>
      </c>
      <c r="L26" s="45" t="n">
        <f aca="false">C26/IF(B26&lt;='VALOR POR PL'!$P$5,IFERROR(INDEX('"INCC-FGV"'!$B$2:$B$800,MATCH(B26,'"INCC-FGV"'!$A$2:$A$800,0)),$K$2),$K$2)</f>
        <v>22.0492501671307</v>
      </c>
      <c r="M26" s="139" t="n">
        <f aca="false">'CP RESUMO'!Y13</f>
        <v>0</v>
      </c>
      <c r="N26" s="140" t="n">
        <f aca="false">MAX(0,M26-M25)</f>
        <v>0</v>
      </c>
      <c r="O26" s="139" t="str">
        <f aca="false">IF(B26&lt;='VALOR POR PL'!$P$5,'CP RESUMO'!Y55,"")</f>
        <v/>
      </c>
      <c r="P26" s="66" t="n">
        <f aca="false">IF(B26&lt;='VALOR POR PL'!$P$5,0,IF(OR($K$16="CURVA PREVISION",$K$16="MDO PREVISION + MATERIAL PREMISSA"),N26,IF($K$16="PREVISÃO INFORMADA",MAX(0,H26),0)))</f>
        <v>29236.97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HISTORICOS'!Z13)</f>
        <v>9922.49</v>
      </c>
      <c r="D27" s="45" t="n">
        <f aca="false">IF(B27&lt;='VALOR POR PL'!$P$5,0,IF($K$17&gt;0,$K$18*P27/$K$17,0))</f>
        <v>23800.0735352348</v>
      </c>
      <c r="E27" s="45" t="n">
        <f aca="false">L27+D27/$K$2</f>
        <v>26.0026598538771</v>
      </c>
      <c r="F27" s="117" t="n">
        <f aca="false">IF($K$9=0,0,E27/$K$9)</f>
        <v>0.0242801300843325</v>
      </c>
      <c r="G27" s="117" t="n">
        <f aca="false">G26+F27</f>
        <v>0.576449488551087</v>
      </c>
      <c r="H27" s="138" t="n">
        <v>24991.46</v>
      </c>
      <c r="L27" s="45" t="n">
        <f aca="false">C27/IF(B27&lt;='VALOR POR PL'!$P$5,IFERROR(INDEX('"INCC-FGV"'!$B$2:$B$800,MATCH(B27,'"INCC-FGV"'!$A$2:$A$800,0)),$K$2),$K$2)</f>
        <v>7.65099403264273</v>
      </c>
      <c r="M27" s="139" t="n">
        <f aca="false">'CP RESUMO'!Z13</f>
        <v>0</v>
      </c>
      <c r="N27" s="140" t="n">
        <f aca="false">MAX(0,M27-M26)</f>
        <v>0</v>
      </c>
      <c r="O27" s="139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24991.46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21704.9513704026</v>
      </c>
      <c r="E28" s="45" t="n">
        <f aca="false">L28+D28/$K$2</f>
        <v>16.7361673746964</v>
      </c>
      <c r="F28" s="117" t="n">
        <f aca="false">IF($K$9=0,0,E28/$K$9)</f>
        <v>0.0156274905434415</v>
      </c>
      <c r="G28" s="117" t="n">
        <f aca="false">G27+F28</f>
        <v>0.592076979094529</v>
      </c>
      <c r="H28" s="138" t="n">
        <v>22791.46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RESUMO'!AA13</f>
        <v>0</v>
      </c>
      <c r="N28" s="140" t="n">
        <f aca="false">MAX(0,M28-M27)</f>
        <v>0</v>
      </c>
      <c r="O28" s="139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22791.46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21704.9513704026</v>
      </c>
      <c r="E29" s="45" t="n">
        <f aca="false">L29+D29/$K$2</f>
        <v>16.7361673746964</v>
      </c>
      <c r="F29" s="117" t="n">
        <f aca="false">IF($K$9=0,0,E29/$K$9)</f>
        <v>0.0156274905434415</v>
      </c>
      <c r="G29" s="117" t="n">
        <f aca="false">G28+F29</f>
        <v>0.60770446963797</v>
      </c>
      <c r="H29" s="138" t="n">
        <v>22791.46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RESUMO'!AB13</f>
        <v>0</v>
      </c>
      <c r="N29" s="140" t="n">
        <f aca="false">MAX(0,M29-M28)</f>
        <v>0</v>
      </c>
      <c r="O29" s="139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22791.46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24467.9222951227</v>
      </c>
      <c r="E30" s="45" t="n">
        <f aca="false">L30+D30/$K$2</f>
        <v>18.8666279805926</v>
      </c>
      <c r="F30" s="117" t="n">
        <f aca="false">IF($K$9=0,0,E30/$K$9)</f>
        <v>0.0176168201328524</v>
      </c>
      <c r="G30" s="117" t="n">
        <f aca="false">G29+F30</f>
        <v>0.625321289770823</v>
      </c>
      <c r="H30" s="138" t="n">
        <v>25692.74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RESUMO'!AC13</f>
        <v>0</v>
      </c>
      <c r="N30" s="140" t="n">
        <f aca="false">MAX(0,M30-M29)</f>
        <v>0</v>
      </c>
      <c r="O30" s="139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25692.74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18563.487103323</v>
      </c>
      <c r="E31" s="45" t="n">
        <f aca="false">L31+D31/$K$2</f>
        <v>14.3138596312583</v>
      </c>
      <c r="F31" s="117" t="n">
        <f aca="false">IF($K$9=0,0,E31/$K$9)</f>
        <v>0.0133656470456813</v>
      </c>
      <c r="G31" s="117" t="n">
        <f aca="false">G30+F31</f>
        <v>0.638686936816504</v>
      </c>
      <c r="H31" s="138" t="n">
        <v>19492.74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RESUMO'!AD13</f>
        <v>0</v>
      </c>
      <c r="N31" s="140" t="n">
        <f aca="false">MAX(0,M31-M30)</f>
        <v>0</v>
      </c>
      <c r="O31" s="139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19492.74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18563.487103323</v>
      </c>
      <c r="E32" s="45" t="n">
        <f aca="false">L32+D32/$K$2</f>
        <v>14.3138596312583</v>
      </c>
      <c r="F32" s="117" t="n">
        <f aca="false">IF($K$9=0,0,E32/$K$9)</f>
        <v>0.0133656470456813</v>
      </c>
      <c r="G32" s="117" t="n">
        <f aca="false">G31+F32</f>
        <v>0.652052583862186</v>
      </c>
      <c r="H32" s="138" t="n">
        <v>19492.74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RESUMO'!AE13</f>
        <v>0</v>
      </c>
      <c r="N32" s="140" t="n">
        <f aca="false">MAX(0,M32-M31)</f>
        <v>0</v>
      </c>
      <c r="O32" s="139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19492.74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20658.6092681551</v>
      </c>
      <c r="E33" s="45" t="n">
        <f aca="false">L33+D33/$K$2</f>
        <v>15.9293580777963</v>
      </c>
      <c r="F33" s="117" t="n">
        <f aca="false">IF($K$9=0,0,E33/$K$9)</f>
        <v>0.0148741278185485</v>
      </c>
      <c r="G33" s="117" t="n">
        <f aca="false">G32+F33</f>
        <v>0.666926711680734</v>
      </c>
      <c r="H33" s="138" t="n">
        <v>21692.74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RESUMO'!AF13</f>
        <v>0</v>
      </c>
      <c r="N33" s="140" t="n">
        <f aca="false">MAX(0,M33-M32)</f>
        <v>0</v>
      </c>
      <c r="O33" s="139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21692.74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18563.487103323</v>
      </c>
      <c r="E34" s="45" t="n">
        <f aca="false">L34+D34/$K$2</f>
        <v>14.3138596312583</v>
      </c>
      <c r="F34" s="117" t="n">
        <f aca="false">IF($K$9=0,0,E34/$K$9)</f>
        <v>0.0133656470456813</v>
      </c>
      <c r="G34" s="117" t="n">
        <f aca="false">G33+F34</f>
        <v>0.680292358726415</v>
      </c>
      <c r="H34" s="138" t="n">
        <v>19492.74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RESUMO'!AG13</f>
        <v>0</v>
      </c>
      <c r="N34" s="140" t="n">
        <f aca="false">MAX(0,M34-M33)</f>
        <v>0</v>
      </c>
      <c r="O34" s="139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19492.74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23348.936593451</v>
      </c>
      <c r="E35" s="45" t="n">
        <f aca="false">L35+D35/$K$2</f>
        <v>18.0038049466462</v>
      </c>
      <c r="F35" s="117" t="n">
        <f aca="false">IF($K$9=0,0,E35/$K$9)</f>
        <v>0.0168111542655257</v>
      </c>
      <c r="G35" s="117" t="n">
        <f aca="false">G34+F35</f>
        <v>0.697103512991941</v>
      </c>
      <c r="H35" s="138" t="n">
        <v>24517.74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RESUMO'!AH13</f>
        <v>0</v>
      </c>
      <c r="N35" s="140" t="n">
        <f aca="false">MAX(0,M35-M34)</f>
        <v>0</v>
      </c>
      <c r="O35" s="139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24517.74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20658.6092681551</v>
      </c>
      <c r="E36" s="45" t="n">
        <f aca="false">L36+D36/$K$2</f>
        <v>15.9293580777963</v>
      </c>
      <c r="F36" s="117" t="n">
        <f aca="false">IF($K$9=0,0,E36/$K$9)</f>
        <v>0.0148741278185485</v>
      </c>
      <c r="G36" s="117" t="n">
        <f aca="false">G35+F36</f>
        <v>0.711977640810489</v>
      </c>
      <c r="H36" s="138" t="n">
        <v>21692.74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RESUMO'!AI13</f>
        <v>0</v>
      </c>
      <c r="N36" s="140" t="n">
        <f aca="false">MAX(0,M36-M35)</f>
        <v>0</v>
      </c>
      <c r="O36" s="139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21692.74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18563.487103323</v>
      </c>
      <c r="E37" s="45" t="n">
        <f aca="false">L37+D37/$K$2</f>
        <v>14.3138596312583</v>
      </c>
      <c r="F37" s="117" t="n">
        <f aca="false">IF($K$9=0,0,E37/$K$9)</f>
        <v>0.0133656470456813</v>
      </c>
      <c r="G37" s="117" t="n">
        <f aca="false">G36+F37</f>
        <v>0.725343287856171</v>
      </c>
      <c r="H37" s="138" t="n">
        <v>19492.74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RESUMO'!AJ13</f>
        <v>0</v>
      </c>
      <c r="N37" s="140" t="n">
        <f aca="false">MAX(0,M37-M36)</f>
        <v>0</v>
      </c>
      <c r="O37" s="139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19492.74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18563.487103323</v>
      </c>
      <c r="E38" s="45" t="n">
        <f aca="false">L38+D38/$K$2</f>
        <v>14.3138596312583</v>
      </c>
      <c r="F38" s="117" t="n">
        <f aca="false">IF($K$9=0,0,E38/$K$9)</f>
        <v>0.0133656470456813</v>
      </c>
      <c r="G38" s="117" t="n">
        <f aca="false">G37+F38</f>
        <v>0.738708934901852</v>
      </c>
      <c r="H38" s="138" t="n">
        <v>19492.74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RESUMO'!AK13</f>
        <v>0</v>
      </c>
      <c r="N38" s="140" t="n">
        <f aca="false">MAX(0,M38-M37)</f>
        <v>0</v>
      </c>
      <c r="O38" s="139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19492.74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20658.6092681551</v>
      </c>
      <c r="E39" s="45" t="n">
        <f aca="false">L39+D39/$K$2</f>
        <v>15.9293580777963</v>
      </c>
      <c r="F39" s="117" t="n">
        <f aca="false">IF($K$9=0,0,E39/$K$9)</f>
        <v>0.0148741278185485</v>
      </c>
      <c r="G39" s="117" t="n">
        <f aca="false">G38+F39</f>
        <v>0.753583062720401</v>
      </c>
      <c r="H39" s="138" t="n">
        <v>21692.74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RESUMO'!AL13</f>
        <v>0</v>
      </c>
      <c r="N39" s="140" t="n">
        <f aca="false">MAX(0,M39-M38)</f>
        <v>0</v>
      </c>
      <c r="O39" s="139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21692.74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18563.487103323</v>
      </c>
      <c r="E40" s="45" t="n">
        <f aca="false">L40+D40/$K$2</f>
        <v>14.3138596312583</v>
      </c>
      <c r="F40" s="117" t="n">
        <f aca="false">IF($K$9=0,0,E40/$K$9)</f>
        <v>0.0133656470456813</v>
      </c>
      <c r="G40" s="117" t="n">
        <f aca="false">G39+F40</f>
        <v>0.766948709766082</v>
      </c>
      <c r="H40" s="138" t="n">
        <v>19492.74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RESUMO'!AM13</f>
        <v>0</v>
      </c>
      <c r="N40" s="140" t="n">
        <f aca="false">MAX(0,M40-M39)</f>
        <v>0</v>
      </c>
      <c r="O40" s="139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19492.74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14866.5869037812</v>
      </c>
      <c r="E41" s="45" t="n">
        <f aca="false">L41+D41/$K$2</f>
        <v>11.4632685632936</v>
      </c>
      <c r="F41" s="117" t="n">
        <f aca="false">IF($K$9=0,0,E41/$K$9)</f>
        <v>0.0107038915815725</v>
      </c>
      <c r="G41" s="117" t="n">
        <f aca="false">G40+F41</f>
        <v>0.777652601347654</v>
      </c>
      <c r="H41" s="138" t="n">
        <v>15610.78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RESUMO'!AN13</f>
        <v>0</v>
      </c>
      <c r="N41" s="140" t="n">
        <f aca="false">MAX(0,M41-M40)</f>
        <v>0</v>
      </c>
      <c r="O41" s="139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15610.78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16556.8743266724</v>
      </c>
      <c r="E42" s="45" t="n">
        <f aca="false">L42+D42/$K$2</f>
        <v>12.7666086509118</v>
      </c>
      <c r="F42" s="117" t="n">
        <f aca="false">IF($K$9=0,0,E42/$K$9)</f>
        <v>0.011920892728737</v>
      </c>
      <c r="G42" s="117" t="n">
        <f aca="false">G41+F42</f>
        <v>0.789573494076391</v>
      </c>
      <c r="H42" s="138" t="n">
        <v>17385.68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RESUMO'!AO13</f>
        <v>0</v>
      </c>
      <c r="N42" s="140" t="n">
        <f aca="false">MAX(0,M42-M41)</f>
        <v>0</v>
      </c>
      <c r="O42" s="139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17385.68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14461.7521618402</v>
      </c>
      <c r="E43" s="45" t="n">
        <f aca="false">L43+D43/$K$2</f>
        <v>11.1511102043739</v>
      </c>
      <c r="F43" s="117" t="n">
        <f aca="false">IF($K$9=0,0,E43/$K$9)</f>
        <v>0.0104124119558698</v>
      </c>
      <c r="G43" s="117" t="n">
        <f aca="false">G42+F43</f>
        <v>0.799985906032261</v>
      </c>
      <c r="H43" s="138" t="n">
        <v>15185.68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RESUMO'!AP13</f>
        <v>0</v>
      </c>
      <c r="N43" s="140" t="n">
        <f aca="false">MAX(0,M43-M42)</f>
        <v>0</v>
      </c>
      <c r="O43" s="139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15185.68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10652.4391348727</v>
      </c>
      <c r="E44" s="45" t="n">
        <f aca="false">L44+D44/$K$2</f>
        <v>8.21384030157759</v>
      </c>
      <c r="F44" s="117" t="n">
        <f aca="false">IF($K$9=0,0,E44/$K$9)</f>
        <v>0.00766971964156586</v>
      </c>
      <c r="G44" s="117" t="n">
        <f aca="false">G43+F44</f>
        <v>0.807655625673827</v>
      </c>
      <c r="H44" s="138" t="n">
        <v>11185.68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RESUMO'!AQ13</f>
        <v>0</v>
      </c>
      <c r="N44" s="140" t="n">
        <f aca="false">MAX(0,M44-M43)</f>
        <v>0</v>
      </c>
      <c r="O44" s="139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11185.68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12747.5612997048</v>
      </c>
      <c r="E45" s="45" t="n">
        <f aca="false">L45+D45/$K$2</f>
        <v>9.82933874811555</v>
      </c>
      <c r="F45" s="117" t="n">
        <f aca="false">IF($K$9=0,0,E45/$K$9)</f>
        <v>0.00917820041443304</v>
      </c>
      <c r="G45" s="117" t="n">
        <f aca="false">G44+F45</f>
        <v>0.81683382608826</v>
      </c>
      <c r="H45" s="138" t="n">
        <v>13385.68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RESUMO'!AR13</f>
        <v>0</v>
      </c>
      <c r="N45" s="140" t="n">
        <f aca="false">MAX(0,M45-M44)</f>
        <v>0</v>
      </c>
      <c r="O45" s="139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13385.68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10652.4391348727</v>
      </c>
      <c r="E46" s="45" t="n">
        <f aca="false">L46+D46/$K$2</f>
        <v>8.21384030157759</v>
      </c>
      <c r="F46" s="117" t="n">
        <f aca="false">IF($K$9=0,0,E46/$K$9)</f>
        <v>0.00766971964156586</v>
      </c>
      <c r="G46" s="117" t="n">
        <f aca="false">G45+F46</f>
        <v>0.824503545729826</v>
      </c>
      <c r="H46" s="138" t="n">
        <v>11185.68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RESUMO'!AS13</f>
        <v>0</v>
      </c>
      <c r="N46" s="140" t="n">
        <f aca="false">MAX(0,M46-M45)</f>
        <v>0</v>
      </c>
      <c r="O46" s="139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11185.68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15437.8886250007</v>
      </c>
      <c r="E47" s="45" t="n">
        <f aca="false">L47+D47/$K$2</f>
        <v>11.9037856169654</v>
      </c>
      <c r="F47" s="117" t="n">
        <f aca="false">IF($K$9=0,0,E47/$K$9)</f>
        <v>0.0111152268614102</v>
      </c>
      <c r="G47" s="117" t="n">
        <f aca="false">G46+F47</f>
        <v>0.835618772591236</v>
      </c>
      <c r="H47" s="138" t="n">
        <v>16210.68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RESUMO'!AT13</f>
        <v>0</v>
      </c>
      <c r="N47" s="140" t="n">
        <f aca="false">MAX(0,M47-M46)</f>
        <v>0</v>
      </c>
      <c r="O47" s="139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16210.68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12747.5612997048</v>
      </c>
      <c r="E48" s="45" t="n">
        <f aca="false">L48+D48/$K$2</f>
        <v>9.82933874811555</v>
      </c>
      <c r="F48" s="117" t="n">
        <f aca="false">IF($K$9=0,0,E48/$K$9)</f>
        <v>0.00917820041443304</v>
      </c>
      <c r="G48" s="117" t="n">
        <f aca="false">G47+F48</f>
        <v>0.844796973005669</v>
      </c>
      <c r="H48" s="138" t="n">
        <v>13385.68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RESUMO'!AU13</f>
        <v>0</v>
      </c>
      <c r="N48" s="140" t="n">
        <f aca="false">MAX(0,M48-M47)</f>
        <v>0</v>
      </c>
      <c r="O48" s="139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13385.68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46364.7487626937</v>
      </c>
      <c r="E49" s="45" t="n">
        <f aca="false">L49+D49/$K$2</f>
        <v>35.7507456402928</v>
      </c>
      <c r="F49" s="117" t="n">
        <f aca="false">IF($K$9=0,0,E49/$K$9)</f>
        <v>0.0333824600881654</v>
      </c>
      <c r="G49" s="117" t="n">
        <f aca="false">G48+F49</f>
        <v>0.878179433093835</v>
      </c>
      <c r="H49" s="138" t="n">
        <v>48685.68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RESUMO'!AV13</f>
        <v>0</v>
      </c>
      <c r="N49" s="140" t="n">
        <f aca="false">MAX(0,M49-M48)</f>
        <v>0</v>
      </c>
      <c r="O49" s="139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48685.68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48459.8709275258</v>
      </c>
      <c r="E50" s="45" t="n">
        <f aca="false">L50+D50/$K$2</f>
        <v>37.3662440868307</v>
      </c>
      <c r="F50" s="117" t="n">
        <f aca="false">IF($K$9=0,0,E50/$K$9)</f>
        <v>0.0348909408610326</v>
      </c>
      <c r="G50" s="117" t="n">
        <f aca="false">G49+F50</f>
        <v>0.913070373954867</v>
      </c>
      <c r="H50" s="138" t="n">
        <v>50885.68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RESUMO'!AW13</f>
        <v>0</v>
      </c>
      <c r="N50" s="140" t="n">
        <f aca="false">MAX(0,M50-M49)</f>
        <v>0</v>
      </c>
      <c r="O50" s="139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50885.68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10652.4391348727</v>
      </c>
      <c r="E51" s="45" t="n">
        <f aca="false">L51+D51/$K$2</f>
        <v>8.21384030157759</v>
      </c>
      <c r="F51" s="117" t="n">
        <f aca="false">IF($K$9=0,0,E51/$K$9)</f>
        <v>0.00766971964156586</v>
      </c>
      <c r="G51" s="117" t="n">
        <f aca="false">G50+F51</f>
        <v>0.920740093596433</v>
      </c>
      <c r="H51" s="138" t="n">
        <v>11185.68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RESUMO'!AX13</f>
        <v>0</v>
      </c>
      <c r="N51" s="140" t="n">
        <f aca="false">MAX(0,M51-M50)</f>
        <v>0</v>
      </c>
      <c r="O51" s="139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11185.68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9983.90469863985</v>
      </c>
      <c r="E52" s="45" t="n">
        <f aca="false">L52+D52/$K$2</f>
        <v>7.69834943363684</v>
      </c>
      <c r="F52" s="117" t="n">
        <f aca="false">IF($K$9=0,0,E52/$K$9)</f>
        <v>0.00718837714040552</v>
      </c>
      <c r="G52" s="117" t="n">
        <f aca="false">G51+F52</f>
        <v>0.927928470736839</v>
      </c>
      <c r="H52" s="138" t="n">
        <v>10483.68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RESUMO'!AY13</f>
        <v>0</v>
      </c>
      <c r="N52" s="140" t="n">
        <f aca="false">MAX(0,M52-M51)</f>
        <v>0</v>
      </c>
      <c r="O52" s="139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10483.68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12079.026863472</v>
      </c>
      <c r="E53" s="45" t="n">
        <f aca="false">L53+D53/$K$2</f>
        <v>9.3138478801748</v>
      </c>
      <c r="F53" s="117" t="n">
        <f aca="false">IF($K$9=0,0,E53/$K$9)</f>
        <v>0.00869685791327269</v>
      </c>
      <c r="G53" s="117" t="n">
        <f aca="false">G52+F53</f>
        <v>0.936625328650111</v>
      </c>
      <c r="H53" s="138" t="n">
        <v>12683.68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RESUMO'!AZ13</f>
        <v>0</v>
      </c>
      <c r="N53" s="140" t="n">
        <f aca="false">MAX(0,M53-M52)</f>
        <v>0</v>
      </c>
      <c r="O53" s="139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12683.68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9033.48109841144</v>
      </c>
      <c r="E54" s="45" t="n">
        <f aca="false">L54+D54/$K$2</f>
        <v>6.96550059288917</v>
      </c>
      <c r="F54" s="117" t="n">
        <f aca="false">IF($K$9=0,0,E54/$K$9)</f>
        <v>0.00650407540798668</v>
      </c>
      <c r="G54" s="117" t="n">
        <f aca="false">G53+F54</f>
        <v>0.943129404058098</v>
      </c>
      <c r="H54" s="138" t="n">
        <v>9485.68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RESUMO'!BA13</f>
        <v>0</v>
      </c>
      <c r="N54" s="140" t="n">
        <f aca="false">MAX(0,M54-M53)</f>
        <v>0</v>
      </c>
      <c r="O54" s="139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9485.68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5414.63372279225</v>
      </c>
      <c r="E55" s="45" t="n">
        <f aca="false">L55+D55/$K$2</f>
        <v>4.1750941852327</v>
      </c>
      <c r="F55" s="117" t="n">
        <f aca="false">IF($K$9=0,0,E55/$K$9)</f>
        <v>0.00389851770939793</v>
      </c>
      <c r="G55" s="117" t="n">
        <f aca="false">G54+F55</f>
        <v>0.947027921767496</v>
      </c>
      <c r="H55" s="138" t="n">
        <v>5685.68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RESUMO'!BB13</f>
        <v>0</v>
      </c>
      <c r="N55" s="140" t="n">
        <f aca="false">MAX(0,M55-M54)</f>
        <v>0</v>
      </c>
      <c r="O55" s="139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5685.68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73572.6813482664</v>
      </c>
      <c r="E56" s="45" t="n">
        <f aca="false">L56+D56/$K$2</f>
        <v>56.7301298324424</v>
      </c>
      <c r="F56" s="117" t="n">
        <f aca="false">IF($K$9=0,0,E56/$K$9)</f>
        <v>0.0529720782325044</v>
      </c>
      <c r="G56" s="117" t="n">
        <f aca="false">G55+F56</f>
        <v>1</v>
      </c>
      <c r="H56" s="138" t="n">
        <v>77255.59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RESUMO'!BC13</f>
        <v>0</v>
      </c>
      <c r="N56" s="140" t="n">
        <f aca="false">MAX(0,M56-M55)</f>
        <v>0</v>
      </c>
      <c r="O56" s="139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77255.59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RESUMO'!BD13</f>
        <v>0</v>
      </c>
      <c r="N57" s="140" t="n">
        <f aca="false">MAX(0,M57-M56)</f>
        <v>0</v>
      </c>
      <c r="O57" s="139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RESUMO'!BE13</f>
        <v>0</v>
      </c>
      <c r="N58" s="140" t="n">
        <f aca="false">MAX(0,M58-M57)</f>
        <v>0</v>
      </c>
      <c r="O58" s="139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RESUMO'!BF13</f>
        <v>0</v>
      </c>
      <c r="N59" s="140" t="n">
        <f aca="false">MAX(0,M59-M58)</f>
        <v>0</v>
      </c>
      <c r="O59" s="139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RESUMO'!BG13</f>
        <v>0</v>
      </c>
      <c r="N60" s="140" t="n">
        <f aca="false">MAX(0,M60-M59)</f>
        <v>0</v>
      </c>
      <c r="O60" s="139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RESUMO'!BH13</f>
        <v>0</v>
      </c>
      <c r="N61" s="140" t="n">
        <f aca="false">MAX(0,M61-M60)</f>
        <v>0</v>
      </c>
      <c r="O61" s="139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RESUMO'!BI13</f>
        <v>0</v>
      </c>
      <c r="N62" s="140" t="n">
        <f aca="false">MAX(0,M62-M61)</f>
        <v>0</v>
      </c>
      <c r="O62" s="139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RESUMO'!BJ13</f>
        <v>0</v>
      </c>
      <c r="N63" s="140" t="n">
        <f aca="false">MAX(0,M63-M62)</f>
        <v>0</v>
      </c>
      <c r="O63" s="139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RESUMO'!BK13</f>
        <v>0</v>
      </c>
      <c r="N64" s="140" t="n">
        <f aca="false">MAX(0,M64-M63)</f>
        <v>0</v>
      </c>
      <c r="O64" s="139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RESUMO'!BL13</f>
        <v>0</v>
      </c>
      <c r="N65" s="140" t="n">
        <f aca="false">MAX(0,M65-M64)</f>
        <v>0</v>
      </c>
      <c r="O65" s="139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RESUMO'!BM13</f>
        <v>0</v>
      </c>
      <c r="N66" s="140" t="n">
        <f aca="false">MAX(0,M66-M65)</f>
        <v>0</v>
      </c>
      <c r="O66" s="139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RESUMO'!BN13</f>
        <v>0</v>
      </c>
      <c r="N67" s="140" t="n">
        <f aca="false">MAX(0,M67-M66)</f>
        <v>0</v>
      </c>
      <c r="O67" s="139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RESUMO'!BO13</f>
        <v>0</v>
      </c>
      <c r="N68" s="140" t="n">
        <f aca="false">MAX(0,M68-M67)</f>
        <v>0</v>
      </c>
      <c r="O68" s="139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RESUMO'!BP13</f>
        <v>0</v>
      </c>
      <c r="N69" s="140" t="n">
        <f aca="false">MAX(0,M69-M68)</f>
        <v>0</v>
      </c>
      <c r="O69" s="139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RESUMO'!BQ13</f>
        <v>0</v>
      </c>
      <c r="N70" s="140" t="n">
        <f aca="false">MAX(0,M70-M69)</f>
        <v>0</v>
      </c>
      <c r="O70" s="139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RESUMO'!BR13</f>
        <v>0</v>
      </c>
      <c r="N71" s="140" t="n">
        <f aca="false">MAX(0,M71-M70)</f>
        <v>0</v>
      </c>
      <c r="O71" s="139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RESUMO'!BS13</f>
        <v>0</v>
      </c>
      <c r="N72" s="140" t="n">
        <f aca="false">MAX(0,M72-M71)</f>
        <v>0</v>
      </c>
      <c r="O72" s="139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RESUMO'!BT13</f>
        <v>0</v>
      </c>
      <c r="N73" s="140" t="n">
        <f aca="false">MAX(0,M73-M72)</f>
        <v>0</v>
      </c>
      <c r="O73" s="139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RESUMO'!BU13</f>
        <v>0</v>
      </c>
      <c r="N74" s="140" t="n">
        <f aca="false">MAX(0,M74-M73)</f>
        <v>0</v>
      </c>
      <c r="O74" s="139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RESUMO'!BV13</f>
        <v>0</v>
      </c>
      <c r="N75" s="140" t="n">
        <f aca="false">MAX(0,M75-M74)</f>
        <v>0</v>
      </c>
      <c r="O75" s="139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RESUMO'!BW13</f>
        <v>0</v>
      </c>
      <c r="N76" s="140" t="n">
        <f aca="false">MAX(0,M76-M75)</f>
        <v>0</v>
      </c>
      <c r="O76" s="139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713077.75</v>
      </c>
      <c r="D78" s="61" t="n">
        <f aca="false">SUM(D5:D76)</f>
        <v>639910.667704656</v>
      </c>
      <c r="E78" s="61" t="n">
        <f aca="false">SUM(E5:E76)</f>
        <v>1070.94400909557</v>
      </c>
      <c r="F78" s="145" t="n">
        <f aca="false">SUM(F5:F76)</f>
        <v>1</v>
      </c>
      <c r="H78" s="61" t="n">
        <f aca="false">SUM(H5:H76)</f>
        <v>671943.38</v>
      </c>
      <c r="L78" s="61" t="n">
        <f aca="false">SUM(L5:L76)</f>
        <v>577.524242481269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-1.70530256582424E-013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HISTORICOS'!D14)</f>
        <v>387208.85</v>
      </c>
      <c r="D5" s="45" t="n">
        <f aca="false">IF(B5&lt;='VALOR POR PL'!$P$5,0,IF($K$17&gt;0,$K$18*P5/$K$17,0))</f>
        <v>0</v>
      </c>
      <c r="E5" s="45" t="n">
        <f aca="false">L5+D5/$K$2</f>
        <v>343.30301603844</v>
      </c>
      <c r="F5" s="117" t="n">
        <f aca="false">IF($K$9=0,0,E5/$K$9)</f>
        <v>0.0206970637962324</v>
      </c>
      <c r="G5" s="117" t="n">
        <f aca="false">F5</f>
        <v>0.0206970637962324</v>
      </c>
      <c r="H5" s="138"/>
      <c r="I5" s="42" t="s">
        <v>2920</v>
      </c>
      <c r="J5" s="56" t="n">
        <f aca="false">'VALOR POR PL'!F20</f>
        <v>20188024.55</v>
      </c>
      <c r="K5" s="56" t="n">
        <f aca="false">'VALOR POR PL'!G20</f>
        <v>16592.360482</v>
      </c>
      <c r="L5" s="56" t="n">
        <f aca="false">'DADOS HISTORICOS'!$BZ$14</f>
        <v>343.30301603844</v>
      </c>
      <c r="M5" s="139" t="n">
        <f aca="false">'CP RESUMO'!D14</f>
        <v>0</v>
      </c>
      <c r="N5" s="140" t="n">
        <v>0</v>
      </c>
      <c r="O5" s="139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HISTORICOS'!E14)</f>
        <v>940</v>
      </c>
      <c r="D6" s="45" t="n">
        <f aca="false">IF(B6&lt;='VALOR POR PL'!$P$5,0,IF($K$17&gt;0,$K$18*P6/$K$17,0))</f>
        <v>0</v>
      </c>
      <c r="E6" s="45" t="n">
        <f aca="false">L6+D6/$K$2</f>
        <v>0.804026289948987</v>
      </c>
      <c r="F6" s="117" t="n">
        <f aca="false">IF($K$9=0,0,E6/$K$9)</f>
        <v>4.84731640547515E-005</v>
      </c>
      <c r="G6" s="117" t="n">
        <f aca="false">G5+F6</f>
        <v>0.0207455369602872</v>
      </c>
      <c r="H6" s="138"/>
      <c r="I6" s="42" t="s">
        <v>2921</v>
      </c>
      <c r="K6" s="52" t="n">
        <f aca="false">'VALOR POR PL'!H20</f>
        <v>16592.360482</v>
      </c>
      <c r="L6" s="45" t="n">
        <f aca="false">C6/IF(B6&lt;='VALOR POR PL'!$P$5,IFERROR(INDEX('"INCC-FGV"'!$B$2:$B$800,MATCH(B6,'"INCC-FGV"'!$A$2:$A$800,0)),$K$2),$K$2)</f>
        <v>0.804026289948987</v>
      </c>
      <c r="M6" s="139" t="n">
        <f aca="false">'CP RESUMO'!E14</f>
        <v>0</v>
      </c>
      <c r="N6" s="140" t="n">
        <f aca="false">MAX(0,M6-M5)</f>
        <v>0</v>
      </c>
      <c r="O6" s="139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HISTORICOS'!F14)</f>
        <v>61357.36</v>
      </c>
      <c r="D7" s="45" t="n">
        <f aca="false">IF(B7&lt;='VALOR POR PL'!$P$5,0,IF($K$17&gt;0,$K$18*P7/$K$17,0))</f>
        <v>0</v>
      </c>
      <c r="E7" s="45" t="n">
        <f aca="false">L7+D7/$K$2</f>
        <v>52.2735277203893</v>
      </c>
      <c r="F7" s="117" t="n">
        <f aca="false">IF($K$9=0,0,E7/$K$9)</f>
        <v>0.00315146820021494</v>
      </c>
      <c r="G7" s="117" t="n">
        <f aca="false">G6+F7</f>
        <v>0.0238970051605021</v>
      </c>
      <c r="H7" s="138"/>
      <c r="I7" s="42" t="s">
        <v>2922</v>
      </c>
      <c r="J7" s="45" t="n">
        <f aca="false">C78+D78</f>
        <v>21332424.0263632</v>
      </c>
      <c r="L7" s="45" t="n">
        <f aca="false">C7/IF(B7&lt;='VALOR POR PL'!$P$5,IFERROR(INDEX('"INCC-FGV"'!$B$2:$B$800,MATCH(B7,'"INCC-FGV"'!$A$2:$A$800,0)),$K$2),$K$2)</f>
        <v>52.2735277203893</v>
      </c>
      <c r="M7" s="139" t="n">
        <f aca="false">'CP RESUMO'!F14</f>
        <v>0</v>
      </c>
      <c r="N7" s="140" t="n">
        <f aca="false">MAX(0,M7-M6)</f>
        <v>0</v>
      </c>
      <c r="O7" s="139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HISTORICOS'!G14)</f>
        <v>118973.07</v>
      </c>
      <c r="D8" s="45" t="n">
        <f aca="false">IF(B8&lt;='VALOR POR PL'!$P$5,0,IF($K$17&gt;0,$K$18*P8/$K$17,0))</f>
        <v>0</v>
      </c>
      <c r="E8" s="45" t="n">
        <f aca="false">L8+D8/$K$2</f>
        <v>100.962732075907</v>
      </c>
      <c r="F8" s="117" t="n">
        <f aca="false">IF($K$9=0,0,E8/$K$9)</f>
        <v>0.00608684459265863</v>
      </c>
      <c r="G8" s="117" t="n">
        <f aca="false">G7+F8</f>
        <v>0.0299838497531608</v>
      </c>
      <c r="H8" s="138"/>
      <c r="I8" s="42" t="s">
        <v>2923</v>
      </c>
      <c r="K8" s="66" t="n">
        <f aca="false">SUM(L5:L76)</f>
        <v>3136.78527324479</v>
      </c>
      <c r="L8" s="45" t="n">
        <f aca="false">C8/IF(B8&lt;='VALOR POR PL'!$P$5,IFERROR(INDEX('"INCC-FGV"'!$B$2:$B$800,MATCH(B8,'"INCC-FGV"'!$A$2:$A$800,0)),$K$2),$K$2)</f>
        <v>100.962732075907</v>
      </c>
      <c r="M8" s="139" t="n">
        <f aca="false">'CP RESUMO'!G14</f>
        <v>0</v>
      </c>
      <c r="N8" s="140" t="n">
        <f aca="false">MAX(0,M8-M7)</f>
        <v>0</v>
      </c>
      <c r="O8" s="139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HISTORICOS'!H14)</f>
        <v>60617.36</v>
      </c>
      <c r="D9" s="45" t="n">
        <f aca="false">IF(B9&lt;='VALOR POR PL'!$P$5,0,IF($K$17&gt;0,$K$18*P9/$K$17,0))</f>
        <v>0</v>
      </c>
      <c r="E9" s="45" t="n">
        <f aca="false">L9+D9/$K$2</f>
        <v>51.1771251420476</v>
      </c>
      <c r="F9" s="117" t="n">
        <f aca="false">IF($K$9=0,0,E9/$K$9)</f>
        <v>0.0030853682446359</v>
      </c>
      <c r="G9" s="117" t="n">
        <f aca="false">G8+F9</f>
        <v>0.0330692179977967</v>
      </c>
      <c r="H9" s="138"/>
      <c r="I9" s="42" t="s">
        <v>2924</v>
      </c>
      <c r="J9" s="45" t="n">
        <f aca="false">C78+D78</f>
        <v>21332424.0263632</v>
      </c>
      <c r="K9" s="45" t="n">
        <f aca="false">E78</f>
        <v>16587.039563599</v>
      </c>
      <c r="L9" s="45" t="n">
        <f aca="false">C9/IF(B9&lt;='VALOR POR PL'!$P$5,IFERROR(INDEX('"INCC-FGV"'!$B$2:$B$800,MATCH(B9,'"INCC-FGV"'!$A$2:$A$800,0)),$K$2),$K$2)</f>
        <v>51.1771251420476</v>
      </c>
      <c r="M9" s="139" t="n">
        <f aca="false">'CP RESUMO'!H14</f>
        <v>0</v>
      </c>
      <c r="N9" s="140" t="n">
        <f aca="false">MAX(0,M9-M8)</f>
        <v>0</v>
      </c>
      <c r="O9" s="139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HISTORICOS'!I14)</f>
        <v>23912.84</v>
      </c>
      <c r="D10" s="45" t="n">
        <f aca="false">IF(B10&lt;='VALOR POR PL'!$P$5,0,IF($K$17&gt;0,$K$18*P10/$K$17,0))</f>
        <v>0</v>
      </c>
      <c r="E10" s="45" t="n">
        <f aca="false">L10+D10/$K$2</f>
        <v>20.0724402284176</v>
      </c>
      <c r="F10" s="117" t="n">
        <f aca="false">IF($K$9=0,0,E10/$K$9)</f>
        <v>0.00121012795269793</v>
      </c>
      <c r="G10" s="117" t="n">
        <f aca="false">G9+F10</f>
        <v>0.0342793459504946</v>
      </c>
      <c r="H10" s="138"/>
      <c r="I10" s="42" t="s">
        <v>2925</v>
      </c>
      <c r="K10" s="52" t="n">
        <f aca="false">IF(K6-K8&gt;0,(K6-K8)*'VALOR POR PL'!$G$65,K6-K8)</f>
        <v>13450.2542903542</v>
      </c>
      <c r="L10" s="45" t="n">
        <f aca="false">C10/IF(B10&lt;='VALOR POR PL'!$P$5,IFERROR(INDEX('"INCC-FGV"'!$B$2:$B$800,MATCH(B10,'"INCC-FGV"'!$A$2:$A$800,0)),$K$2),$K$2)</f>
        <v>20.0724402284176</v>
      </c>
      <c r="M10" s="139" t="n">
        <f aca="false">'CP RESUMO'!I14</f>
        <v>0</v>
      </c>
      <c r="N10" s="140" t="n">
        <f aca="false">MAX(0,M10-M9)</f>
        <v>0</v>
      </c>
      <c r="O10" s="139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HISTORICOS'!J14)</f>
        <v>27131.75</v>
      </c>
      <c r="D11" s="45" t="n">
        <f aca="false">IF(B11&lt;='VALOR POR PL'!$P$5,0,IF($K$17&gt;0,$K$18*P11/$K$17,0))</f>
        <v>0</v>
      </c>
      <c r="E11" s="45" t="n">
        <f aca="false">L11+D11/$K$2</f>
        <v>22.619046626578</v>
      </c>
      <c r="F11" s="117" t="n">
        <f aca="false">IF($K$9=0,0,E11/$K$9)</f>
        <v>0.00136365784502116</v>
      </c>
      <c r="G11" s="117" t="n">
        <f aca="false">G10+F11</f>
        <v>0.0356430037955158</v>
      </c>
      <c r="H11" s="138"/>
      <c r="I11" s="42" t="s">
        <v>2926</v>
      </c>
      <c r="K11" s="56" t="n">
        <f aca="false">SUMPRODUCT((B5:B76&gt;'VALOR POR PL'!$P$5)*H5:H76)</f>
        <v>17058053.85</v>
      </c>
      <c r="L11" s="45" t="n">
        <f aca="false">C11/IF(B11&lt;='VALOR POR PL'!$P$5,IFERROR(INDEX('"INCC-FGV"'!$B$2:$B$800,MATCH(B11,'"INCC-FGV"'!$A$2:$A$800,0)),$K$2),$K$2)</f>
        <v>22.619046626578</v>
      </c>
      <c r="M11" s="139" t="n">
        <f aca="false">'CP RESUMO'!J14</f>
        <v>0</v>
      </c>
      <c r="N11" s="140" t="n">
        <f aca="false">MAX(0,M11-M10)</f>
        <v>0</v>
      </c>
      <c r="O11" s="139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HISTORICOS'!K14)</f>
        <v>51487.59</v>
      </c>
      <c r="D12" s="45" t="n">
        <f aca="false">IF(B12&lt;='VALOR POR PL'!$P$5,0,IF($K$17&gt;0,$K$18*P12/$K$17,0))</f>
        <v>0</v>
      </c>
      <c r="E12" s="45" t="n">
        <f aca="false">L12+D12/$K$2</f>
        <v>42.5351701940815</v>
      </c>
      <c r="F12" s="117" t="n">
        <f aca="false">IF($K$9=0,0,E12/$K$9)</f>
        <v>0.00256436177359985</v>
      </c>
      <c r="G12" s="117" t="n">
        <f aca="false">G11+F12</f>
        <v>0.0382073655691156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42.5351701940815</v>
      </c>
      <c r="M12" s="139" t="n">
        <f aca="false">'CP RESUMO'!K14</f>
        <v>0</v>
      </c>
      <c r="N12" s="140" t="n">
        <f aca="false">MAX(0,M12-M11)</f>
        <v>0</v>
      </c>
      <c r="O12" s="139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HISTORICOS'!L14)</f>
        <v>89901.3</v>
      </c>
      <c r="D13" s="45" t="n">
        <f aca="false">IF(B13&lt;='VALOR POR PL'!$P$5,0,IF($K$17&gt;0,$K$18*P13/$K$17,0))</f>
        <v>0</v>
      </c>
      <c r="E13" s="45" t="n">
        <f aca="false">L13+D13/$K$2</f>
        <v>73.8890907088483</v>
      </c>
      <c r="F13" s="117" t="n">
        <f aca="false">IF($K$9=0,0,E13/$K$9)</f>
        <v>0.00445462798985549</v>
      </c>
      <c r="G13" s="117" t="n">
        <f aca="false">G12+F13</f>
        <v>0.0426619935589711</v>
      </c>
      <c r="H13" s="138"/>
      <c r="I13" s="42" t="s">
        <v>2928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73.8890907088483</v>
      </c>
      <c r="M13" s="139" t="n">
        <f aca="false">'CP RESUMO'!L14</f>
        <v>0</v>
      </c>
      <c r="N13" s="140" t="n">
        <f aca="false">MAX(0,M13-M12)</f>
        <v>0</v>
      </c>
      <c r="O13" s="139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HISTORICOS'!M14)</f>
        <v>109406.48</v>
      </c>
      <c r="D14" s="45" t="n">
        <f aca="false">IF(B14&lt;='VALOR POR PL'!$P$5,0,IF($K$17&gt;0,$K$18*P14/$K$17,0))</f>
        <v>0</v>
      </c>
      <c r="E14" s="45" t="n">
        <f aca="false">L14+D14/$K$2</f>
        <v>89.7696404586021</v>
      </c>
      <c r="F14" s="117" t="n">
        <f aca="false">IF($K$9=0,0,E14/$K$9)</f>
        <v>0.00541203510815792</v>
      </c>
      <c r="G14" s="117" t="n">
        <f aca="false">G13+F14</f>
        <v>0.048074028667129</v>
      </c>
      <c r="H14" s="138"/>
      <c r="I14" s="42" t="s">
        <v>2929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89.7696404586021</v>
      </c>
      <c r="M14" s="139" t="n">
        <f aca="false">'CP RESUMO'!M14</f>
        <v>0</v>
      </c>
      <c r="N14" s="140" t="n">
        <f aca="false">MAX(0,M14-M13)</f>
        <v>0</v>
      </c>
      <c r="O14" s="139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HISTORICOS'!N14)</f>
        <v>164098.29</v>
      </c>
      <c r="D15" s="45" t="n">
        <f aca="false">IF(B15&lt;='VALOR POR PL'!$P$5,0,IF($K$17&gt;0,$K$18*P15/$K$17,0))</f>
        <v>0</v>
      </c>
      <c r="E15" s="45" t="n">
        <f aca="false">L15+D15/$K$2</f>
        <v>134.2475432689</v>
      </c>
      <c r="F15" s="117" t="n">
        <f aca="false">IF($K$9=0,0,E15/$K$9)</f>
        <v>0.00809352041117167</v>
      </c>
      <c r="G15" s="117" t="n">
        <f aca="false">G14+F15</f>
        <v>0.0561675490783007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134.2475432689</v>
      </c>
      <c r="M15" s="139" t="n">
        <f aca="false">'CP RESUMO'!N14</f>
        <v>0</v>
      </c>
      <c r="N15" s="140" t="n">
        <f aca="false">MAX(0,M15-M14)</f>
        <v>0</v>
      </c>
      <c r="O15" s="139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HISTORICOS'!O14)</f>
        <v>234224.1</v>
      </c>
      <c r="D16" s="45" t="n">
        <f aca="false">IF(B16&lt;='VALOR POR PL'!$P$5,0,IF($K$17&gt;0,$K$18*P16/$K$17,0))</f>
        <v>0</v>
      </c>
      <c r="E16" s="45" t="n">
        <f aca="false">L16+D16/$K$2</f>
        <v>191.104596563572</v>
      </c>
      <c r="F16" s="117" t="n">
        <f aca="false">IF($K$9=0,0,E16/$K$9)</f>
        <v>0.0115213203556203</v>
      </c>
      <c r="G16" s="117" t="n">
        <f aca="false">G15+F16</f>
        <v>0.0676888694339209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191.104596563572</v>
      </c>
      <c r="M16" s="139" t="n">
        <f aca="false">'CP RESUMO'!O14</f>
        <v>0</v>
      </c>
      <c r="N16" s="140" t="n">
        <f aca="false">MAX(0,M16-M15)</f>
        <v>0</v>
      </c>
      <c r="O16" s="139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HISTORICOS'!P14)</f>
        <v>187300.46</v>
      </c>
      <c r="D17" s="45" t="n">
        <f aca="false">IF(B17&lt;='VALOR POR PL'!$P$5,0,IF($K$17&gt;0,$K$18*P17/$K$17,0))</f>
        <v>0</v>
      </c>
      <c r="E17" s="45" t="n">
        <f aca="false">L17+D17/$K$2</f>
        <v>152.504810037121</v>
      </c>
      <c r="F17" s="117" t="n">
        <f aca="false">IF($K$9=0,0,E17/$K$9)</f>
        <v>0.00919421512515105</v>
      </c>
      <c r="G17" s="117" t="n">
        <f aca="false">G16+F17</f>
        <v>0.076883084559072</v>
      </c>
      <c r="H17" s="138"/>
      <c r="I17" s="42" t="s">
        <v>2933</v>
      </c>
      <c r="K17" s="45" t="n">
        <f aca="false">SUM(P5:P76)</f>
        <v>17058053.85</v>
      </c>
      <c r="L17" s="45" t="n">
        <f aca="false">C17/IF(B17&lt;='VALOR POR PL'!$P$5,IFERROR(INDEX('"INCC-FGV"'!$B$2:$B$800,MATCH(B17,'"INCC-FGV"'!$A$2:$A$800,0)),$K$2),$K$2)</f>
        <v>152.504810037121</v>
      </c>
      <c r="M17" s="139" t="n">
        <f aca="false">'CP RESUMO'!P14</f>
        <v>0</v>
      </c>
      <c r="N17" s="140" t="n">
        <f aca="false">MAX(0,M17-M16)</f>
        <v>0</v>
      </c>
      <c r="O17" s="139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HISTORICOS'!Q14)</f>
        <v>207035.09</v>
      </c>
      <c r="D18" s="45" t="n">
        <f aca="false">IF(B18&lt;='VALOR POR PL'!$P$5,0,IF($K$17&gt;0,$K$18*P18/$K$17,0))</f>
        <v>0</v>
      </c>
      <c r="E18" s="45" t="n">
        <f aca="false">L18+D18/$K$2</f>
        <v>167.363835813994</v>
      </c>
      <c r="F18" s="117" t="n">
        <f aca="false">IF($K$9=0,0,E18/$K$9)</f>
        <v>0.010090036571763</v>
      </c>
      <c r="G18" s="117" t="n">
        <f aca="false">G17+F18</f>
        <v>0.086973121130835</v>
      </c>
      <c r="H18" s="138"/>
      <c r="I18" s="42" t="s">
        <v>2934</v>
      </c>
      <c r="K18" s="45" t="n">
        <f aca="false">MAX(0,K10)*$K$2</f>
        <v>17443486.8363631</v>
      </c>
      <c r="L18" s="45" t="n">
        <f aca="false">C18/IF(B18&lt;='VALOR POR PL'!$P$5,IFERROR(INDEX('"INCC-FGV"'!$B$2:$B$800,MATCH(B18,'"INCC-FGV"'!$A$2:$A$800,0)),$K$2),$K$2)</f>
        <v>167.363835813994</v>
      </c>
      <c r="M18" s="139" t="n">
        <f aca="false">'CP RESUMO'!Q14</f>
        <v>0</v>
      </c>
      <c r="N18" s="140" t="n">
        <f aca="false">MAX(0,M18-M17)</f>
        <v>0</v>
      </c>
      <c r="O18" s="139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HISTORICOS'!R14)</f>
        <v>189783.71</v>
      </c>
      <c r="D19" s="45" t="n">
        <f aca="false">IF(B19&lt;='VALOR POR PL'!$P$5,0,IF($K$17&gt;0,$K$18*P19/$K$17,0))</f>
        <v>0</v>
      </c>
      <c r="E19" s="45" t="n">
        <f aca="false">L19+D19/$K$2</f>
        <v>152.992032929162</v>
      </c>
      <c r="F19" s="117" t="n">
        <f aca="false">IF($K$9=0,0,E19/$K$9)</f>
        <v>0.00922358883528018</v>
      </c>
      <c r="G19" s="117" t="n">
        <f aca="false">G18+F19</f>
        <v>0.0961967099661152</v>
      </c>
      <c r="H19" s="138"/>
      <c r="I19" s="42" t="s">
        <v>2935</v>
      </c>
      <c r="K19" s="142" t="n">
        <f aca="false">IF(AND(K16="PREVISÃO INFORMADA",K11&gt;0),K18/K11-1,"")</f>
        <v>0.0225953669599388</v>
      </c>
      <c r="L19" s="45" t="n">
        <f aca="false">C19/IF(B19&lt;='VALOR POR PL'!$P$5,IFERROR(INDEX('"INCC-FGV"'!$B$2:$B$800,MATCH(B19,'"INCC-FGV"'!$A$2:$A$800,0)),$K$2),$K$2)</f>
        <v>152.992032929162</v>
      </c>
      <c r="M19" s="139" t="n">
        <f aca="false">'CP RESUMO'!R14</f>
        <v>0</v>
      </c>
      <c r="N19" s="140" t="n">
        <f aca="false">MAX(0,M19-M18)</f>
        <v>0</v>
      </c>
      <c r="O19" s="139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HISTORICOS'!S14)</f>
        <v>215160.73</v>
      </c>
      <c r="D20" s="45" t="n">
        <f aca="false">IF(B20&lt;='VALOR POR PL'!$P$5,0,IF($K$17&gt;0,$K$18*P20/$K$17,0))</f>
        <v>0</v>
      </c>
      <c r="E20" s="45" t="n">
        <f aca="false">L20+D20/$K$2</f>
        <v>172.517645794796</v>
      </c>
      <c r="F20" s="117" t="n">
        <f aca="false">IF($K$9=0,0,E20/$K$9)</f>
        <v>0.0104007496415089</v>
      </c>
      <c r="G20" s="117" t="n">
        <f aca="false">G19+F20</f>
        <v>0.106597459607624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172.517645794796</v>
      </c>
      <c r="M20" s="139" t="n">
        <f aca="false">'CP RESUMO'!S14</f>
        <v>0</v>
      </c>
      <c r="N20" s="140" t="n">
        <f aca="false">MAX(0,M20-M19)</f>
        <v>0</v>
      </c>
      <c r="O20" s="139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HISTORICOS'!T14)</f>
        <v>203548.11</v>
      </c>
      <c r="D21" s="45" t="n">
        <f aca="false">IF(B21&lt;='VALOR POR PL'!$P$5,0,IF($K$17&gt;0,$K$18*P21/$K$17,0))</f>
        <v>0</v>
      </c>
      <c r="E21" s="45" t="n">
        <f aca="false">L21+D21/$K$2</f>
        <v>161.590748873498</v>
      </c>
      <c r="F21" s="117" t="n">
        <f aca="false">IF($K$9=0,0,E21/$K$9)</f>
        <v>0.00974198851180875</v>
      </c>
      <c r="G21" s="117" t="n">
        <f aca="false">G20+F21</f>
        <v>0.116339448119433</v>
      </c>
      <c r="H21" s="138"/>
      <c r="K21" s="143"/>
      <c r="L21" s="45" t="n">
        <f aca="false">C21/IF(B21&lt;='VALOR POR PL'!$P$5,IFERROR(INDEX('"INCC-FGV"'!$B$2:$B$800,MATCH(B21,'"INCC-FGV"'!$A$2:$A$800,0)),$K$2),$K$2)</f>
        <v>161.590748873498</v>
      </c>
      <c r="M21" s="139" t="n">
        <f aca="false">'CP RESUMO'!T14</f>
        <v>0</v>
      </c>
      <c r="N21" s="140" t="n">
        <f aca="false">MAX(0,M21-M20)</f>
        <v>0</v>
      </c>
      <c r="O21" s="139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HISTORICOS'!U14)</f>
        <v>207785.71</v>
      </c>
      <c r="D22" s="45" t="n">
        <f aca="false">IF(B22&lt;='VALOR POR PL'!$P$5,0,IF($K$17&gt;0,$K$18*P22/$K$17,0))</f>
        <v>0</v>
      </c>
      <c r="E22" s="45" t="n">
        <f aca="false">L22+D22/$K$2</f>
        <v>163.521309204805</v>
      </c>
      <c r="F22" s="117" t="n">
        <f aca="false">IF($K$9=0,0,E22/$K$9)</f>
        <v>0.00985837819809994</v>
      </c>
      <c r="G22" s="117" t="n">
        <f aca="false">G21+F22</f>
        <v>0.126197826317533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163.521309204805</v>
      </c>
      <c r="M22" s="139" t="n">
        <f aca="false">'CP RESUMO'!U14</f>
        <v>0</v>
      </c>
      <c r="N22" s="140" t="n">
        <f aca="false">MAX(0,M22-M21)</f>
        <v>0</v>
      </c>
      <c r="O22" s="139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HISTORICOS'!V14)</f>
        <v>205254.17</v>
      </c>
      <c r="D23" s="45" t="n">
        <f aca="false">IF(B23&lt;='VALOR POR PL'!$P$5,0,IF($K$17&gt;0,$K$18*P23/$K$17,0))</f>
        <v>0</v>
      </c>
      <c r="E23" s="45" t="n">
        <f aca="false">L23+D23/$K$2</f>
        <v>160.274557819092</v>
      </c>
      <c r="F23" s="117" t="n">
        <f aca="false">IF($K$9=0,0,E23/$K$9)</f>
        <v>0.00966263794118042</v>
      </c>
      <c r="G23" s="117" t="n">
        <f aca="false">G22+F23</f>
        <v>0.135860464258713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160.274557819092</v>
      </c>
      <c r="M23" s="139" t="n">
        <f aca="false">'CP RESUMO'!V14</f>
        <v>0</v>
      </c>
      <c r="N23" s="140" t="n">
        <f aca="false">MAX(0,M23-M22)</f>
        <v>0</v>
      </c>
      <c r="O23" s="139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HISTORICOS'!W14)</f>
        <v>256382.45</v>
      </c>
      <c r="D24" s="45" t="n">
        <f aca="false">IF(B24&lt;='VALOR POR PL'!$P$5,0,IF($K$17&gt;0,$K$18*P24/$K$17,0))</f>
        <v>0</v>
      </c>
      <c r="E24" s="45" t="n">
        <f aca="false">L24+D24/$K$2</f>
        <v>198.988110345063</v>
      </c>
      <c r="F24" s="117" t="n">
        <f aca="false">IF($K$9=0,0,E24/$K$9)</f>
        <v>0.0119966019000613</v>
      </c>
      <c r="G24" s="117" t="n">
        <f aca="false">G23+F24</f>
        <v>0.147857066158775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198.988110345063</v>
      </c>
      <c r="M24" s="139" t="n">
        <f aca="false">'CP RESUMO'!W14</f>
        <v>0</v>
      </c>
      <c r="N24" s="140" t="n">
        <f aca="false">MAX(0,M24-M23)</f>
        <v>0</v>
      </c>
      <c r="O24" s="139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HISTORICOS'!X14)</f>
        <v>298850.74</v>
      </c>
      <c r="D25" s="45" t="n">
        <f aca="false">IF(B25&lt;='VALOR POR PL'!$P$5,0,IF($K$17&gt;0,$K$18*P25/$K$17,0))</f>
        <v>0</v>
      </c>
      <c r="E25" s="45" t="n">
        <f aca="false">L25+D25/$K$2</f>
        <v>230.436637214133</v>
      </c>
      <c r="F25" s="117" t="n">
        <f aca="false">IF($K$9=0,0,E25/$K$9)</f>
        <v>0.0138925717473923</v>
      </c>
      <c r="G25" s="117" t="n">
        <f aca="false">G24+F25</f>
        <v>0.161749637906167</v>
      </c>
      <c r="H25" s="138"/>
      <c r="L25" s="45" t="n">
        <f aca="false">C25/IF(B25&lt;='VALOR POR PL'!$P$5,IFERROR(INDEX('"INCC-FGV"'!$B$2:$B$800,MATCH(B25,'"INCC-FGV"'!$A$2:$A$800,0)),$K$2),$K$2)</f>
        <v>230.436637214133</v>
      </c>
      <c r="M25" s="139" t="n">
        <f aca="false">'CP RESUMO'!X14</f>
        <v>0</v>
      </c>
      <c r="N25" s="140" t="n">
        <f aca="false">MAX(0,M25-M24)</f>
        <v>0</v>
      </c>
      <c r="O25" s="139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HISTORICOS'!Y14)</f>
        <v>257613.12</v>
      </c>
      <c r="D26" s="45" t="n">
        <f aca="false">IF(B26&lt;='VALOR POR PL'!$P$5,0,IF($K$17&gt;0,$K$18*P26/$K$17,0))</f>
        <v>143245.476008312</v>
      </c>
      <c r="E26" s="45" t="n">
        <f aca="false">L26+D26/$K$2</f>
        <v>309.092448165041</v>
      </c>
      <c r="F26" s="117" t="n">
        <f aca="false">IF($K$9=0,0,E26/$K$9)</f>
        <v>0.0186345759277839</v>
      </c>
      <c r="G26" s="117" t="n">
        <f aca="false">G25+F26</f>
        <v>0.180384213833951</v>
      </c>
      <c r="H26" s="138" t="n">
        <v>140080.31</v>
      </c>
      <c r="L26" s="45" t="n">
        <f aca="false">C26/IF(B26&lt;='VALOR POR PL'!$P$5,IFERROR(INDEX('"INCC-FGV"'!$B$2:$B$800,MATCH(B26,'"INCC-FGV"'!$A$2:$A$800,0)),$K$2),$K$2)</f>
        <v>198.639297580595</v>
      </c>
      <c r="M26" s="139" t="n">
        <f aca="false">'CP RESUMO'!Y14</f>
        <v>0</v>
      </c>
      <c r="N26" s="140" t="n">
        <f aca="false">MAX(0,M26-M25)</f>
        <v>0</v>
      </c>
      <c r="O26" s="139" t="str">
        <f aca="false">IF(B26&lt;='VALOR POR PL'!$P$5,'CP RESUMO'!Y56,"")</f>
        <v/>
      </c>
      <c r="P26" s="66" t="n">
        <f aca="false">IF(B26&lt;='VALOR POR PL'!$P$5,0,IF(OR($K$16="CURVA PREVISION",$K$16="MDO PREVISION + MATERIAL PREMISSA"),N26,IF($K$16="PREVISÃO INFORMADA",MAX(0,H26),0)))</f>
        <v>140080.31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HISTORICOS'!Z14)</f>
        <v>128856.07</v>
      </c>
      <c r="D27" s="45" t="n">
        <f aca="false">IF(B27&lt;='VALOR POR PL'!$P$5,0,IF($K$17&gt;0,$K$18*P27/$K$17,0))</f>
        <v>257833.565611726</v>
      </c>
      <c r="E27" s="45" t="n">
        <f aca="false">L27+D27/$K$2</f>
        <v>298.167102667789</v>
      </c>
      <c r="F27" s="117" t="n">
        <f aca="false">IF($K$9=0,0,E27/$K$9)</f>
        <v>0.0179759083303889</v>
      </c>
      <c r="G27" s="117" t="n">
        <f aca="false">G26+F27</f>
        <v>0.19836012216434</v>
      </c>
      <c r="H27" s="138" t="n">
        <v>252136.45</v>
      </c>
      <c r="L27" s="45" t="n">
        <f aca="false">C27/IF(B27&lt;='VALOR POR PL'!$P$5,IFERROR(INDEX('"INCC-FGV"'!$B$2:$B$800,MATCH(B27,'"INCC-FGV"'!$A$2:$A$800,0)),$K$2),$K$2)</f>
        <v>99.357824763723</v>
      </c>
      <c r="M27" s="139" t="n">
        <f aca="false">'CP RESUMO'!Z14</f>
        <v>0</v>
      </c>
      <c r="N27" s="140" t="n">
        <f aca="false">MAX(0,M27-M26)</f>
        <v>0</v>
      </c>
      <c r="O27" s="139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252136.45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HISTORICOS'!AA14)</f>
        <v>92763.43</v>
      </c>
      <c r="D28" s="45" t="n">
        <f aca="false">IF(B28&lt;='VALOR POR PL'!$P$5,0,IF($K$17&gt;0,$K$18*P28/$K$17,0))</f>
        <v>291076.382127563</v>
      </c>
      <c r="E28" s="45" t="n">
        <f aca="false">L28+D28/$K$2</f>
        <v>295.9696721366</v>
      </c>
      <c r="F28" s="117" t="n">
        <f aca="false">IF($K$9=0,0,E28/$K$9)</f>
        <v>0.0178434295644968</v>
      </c>
      <c r="G28" s="117" t="n">
        <f aca="false">G27+F28</f>
        <v>0.216203551728836</v>
      </c>
      <c r="H28" s="138" t="n">
        <v>284644.73</v>
      </c>
      <c r="L28" s="45" t="n">
        <f aca="false">C28/IF(B28&lt;='VALOR POR PL'!$P$5,IFERROR(INDEX('"INCC-FGV"'!$B$2:$B$800,MATCH(B28,'"INCC-FGV"'!$A$2:$A$800,0)),$K$2),$K$2)</f>
        <v>71.5276557978362</v>
      </c>
      <c r="M28" s="139" t="n">
        <f aca="false">'CP RESUMO'!AA14</f>
        <v>0</v>
      </c>
      <c r="N28" s="140" t="n">
        <f aca="false">MAX(0,M28-M27)</f>
        <v>0</v>
      </c>
      <c r="O28" s="139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284644.73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HISTORICOS'!AB14)</f>
        <v>92720.76</v>
      </c>
      <c r="D29" s="45" t="n">
        <f aca="false">IF(B29&lt;='VALOR POR PL'!$P$5,0,IF($K$17&gt;0,$K$18*P29/$K$17,0))</f>
        <v>336196.735864222</v>
      </c>
      <c r="E29" s="45" t="n">
        <f aca="false">L29+D29/$K$2</f>
        <v>330.727992807574</v>
      </c>
      <c r="F29" s="117" t="n">
        <f aca="false">IF($K$9=0,0,E29/$K$9)</f>
        <v>0.0199389403720584</v>
      </c>
      <c r="G29" s="117" t="n">
        <f aca="false">G28+F29</f>
        <v>0.236142492100895</v>
      </c>
      <c r="H29" s="138" t="n">
        <v>328768.1</v>
      </c>
      <c r="L29" s="45" t="n">
        <f aca="false">C29/IF(B29&lt;='VALOR POR PL'!$P$5,IFERROR(INDEX('"INCC-FGV"'!$B$2:$B$800,MATCH(B29,'"INCC-FGV"'!$A$2:$A$800,0)),$K$2),$K$2)</f>
        <v>71.4947539843425</v>
      </c>
      <c r="M29" s="139" t="n">
        <f aca="false">'CP RESUMO'!AB14</f>
        <v>0</v>
      </c>
      <c r="N29" s="140" t="n">
        <f aca="false">MAX(0,M29-M28)</f>
        <v>0</v>
      </c>
      <c r="O29" s="139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328768.1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HISTORICOS'!AC14)</f>
        <v>1930.87</v>
      </c>
      <c r="D30" s="45" t="n">
        <f aca="false">IF(B30&lt;='VALOR POR PL'!$P$5,0,IF($K$17&gt;0,$K$18*P30/$K$17,0))</f>
        <v>499629.5737903</v>
      </c>
      <c r="E30" s="45" t="n">
        <f aca="false">L30+D30/$K$2</f>
        <v>386.74122749927</v>
      </c>
      <c r="F30" s="117" t="n">
        <f aca="false">IF($K$9=0,0,E30/$K$9)</f>
        <v>0.023315868152144</v>
      </c>
      <c r="G30" s="117" t="n">
        <f aca="false">G29+F30</f>
        <v>0.259458360253039</v>
      </c>
      <c r="H30" s="138" t="n">
        <v>488589.71</v>
      </c>
      <c r="L30" s="45" t="n">
        <f aca="false">C30/IF(B30&lt;='VALOR POR PL'!$P$5,IFERROR(INDEX('"INCC-FGV"'!$B$2:$B$800,MATCH(B30,'"INCC-FGV"'!$A$2:$A$800,0)),$K$2),$K$2)</f>
        <v>1.48884754207955</v>
      </c>
      <c r="M30" s="139" t="n">
        <f aca="false">'CP RESUMO'!AC14</f>
        <v>0</v>
      </c>
      <c r="N30" s="140" t="n">
        <f aca="false">MAX(0,M30-M29)</f>
        <v>0</v>
      </c>
      <c r="O30" s="139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488589.71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HISTORICOS'!AD14)</f>
        <v>1037.4</v>
      </c>
      <c r="D31" s="45" t="n">
        <f aca="false">IF(B31&lt;='VALOR POR PL'!$P$5,0,IF($K$17&gt;0,$K$18*P31/$K$17,0))</f>
        <v>449604.0141455</v>
      </c>
      <c r="E31" s="45" t="n">
        <f aca="false">L31+D31/$K$2</f>
        <v>347.478785112296</v>
      </c>
      <c r="F31" s="117" t="n">
        <f aca="false">IF($K$9=0,0,E31/$K$9)</f>
        <v>0.0209488127028318</v>
      </c>
      <c r="G31" s="117" t="n">
        <f aca="false">G30+F31</f>
        <v>0.280407172955871</v>
      </c>
      <c r="H31" s="138" t="n">
        <v>439669.52</v>
      </c>
      <c r="L31" s="45" t="n">
        <f aca="false">C31/IF(B31&lt;='VALOR POR PL'!$P$5,IFERROR(INDEX('"INCC-FGV"'!$B$2:$B$800,MATCH(B31,'"INCC-FGV"'!$A$2:$A$800,0)),$K$2),$K$2)</f>
        <v>0.799914256347305</v>
      </c>
      <c r="M31" s="139" t="n">
        <f aca="false">'CP RESUMO'!AD14</f>
        <v>0</v>
      </c>
      <c r="N31" s="140" t="n">
        <f aca="false">MAX(0,M31-M30)</f>
        <v>0</v>
      </c>
      <c r="O31" s="139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439669.52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HISTORICOS'!AE14)</f>
        <v>4340.17</v>
      </c>
      <c r="D32" s="45" t="n">
        <f aca="false">IF(B32&lt;='VALOR POR PL'!$P$5,0,IF($K$17&gt;0,$K$18*P32/$K$17,0))</f>
        <v>447369.070615287</v>
      </c>
      <c r="E32" s="45" t="n">
        <f aca="false">L32+D32/$K$2</f>
        <v>348.30216048967</v>
      </c>
      <c r="F32" s="117" t="n">
        <f aca="false">IF($K$9=0,0,E32/$K$9)</f>
        <v>0.0209984523853211</v>
      </c>
      <c r="G32" s="117" t="n">
        <f aca="false">G31+F32</f>
        <v>0.301405625341192</v>
      </c>
      <c r="H32" s="138" t="n">
        <v>437483.96</v>
      </c>
      <c r="L32" s="45" t="n">
        <f aca="false">C32/IF(B32&lt;='VALOR POR PL'!$P$5,IFERROR(INDEX('"INCC-FGV"'!$B$2:$B$800,MATCH(B32,'"INCC-FGV"'!$A$2:$A$800,0)),$K$2),$K$2)</f>
        <v>3.34660098127134</v>
      </c>
      <c r="M32" s="139" t="n">
        <f aca="false">'CP RESUMO'!AE14</f>
        <v>0</v>
      </c>
      <c r="N32" s="140" t="n">
        <f aca="false">MAX(0,M32-M31)</f>
        <v>0</v>
      </c>
      <c r="O32" s="139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437483.96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461166.050017755</v>
      </c>
      <c r="E33" s="45" t="n">
        <f aca="false">L33+D33/$K$2</f>
        <v>355.594079383629</v>
      </c>
      <c r="F33" s="117" t="n">
        <f aca="false">IF($K$9=0,0,E33/$K$9)</f>
        <v>0.0214380678372527</v>
      </c>
      <c r="G33" s="117" t="n">
        <f aca="false">G32+F33</f>
        <v>0.322843693178444</v>
      </c>
      <c r="H33" s="138" t="n">
        <v>450976.08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RESUMO'!AF14</f>
        <v>0</v>
      </c>
      <c r="N33" s="140" t="n">
        <f aca="false">MAX(0,M33-M32)</f>
        <v>0</v>
      </c>
      <c r="O33" s="139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450976.08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466833.375800983</v>
      </c>
      <c r="E34" s="45" t="n">
        <f aca="false">L34+D34/$K$2</f>
        <v>359.964018355452</v>
      </c>
      <c r="F34" s="117" t="n">
        <f aca="false">IF($K$9=0,0,E34/$K$9)</f>
        <v>0.0217015228652019</v>
      </c>
      <c r="G34" s="117" t="n">
        <f aca="false">G33+F34</f>
        <v>0.344545216043646</v>
      </c>
      <c r="H34" s="138" t="n">
        <v>456518.18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RESUMO'!AG14</f>
        <v>0</v>
      </c>
      <c r="N34" s="140" t="n">
        <f aca="false">MAX(0,M34-M33)</f>
        <v>0</v>
      </c>
      <c r="O34" s="139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456518.18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466833.375800983</v>
      </c>
      <c r="E35" s="45" t="n">
        <f aca="false">L35+D35/$K$2</f>
        <v>359.964018355452</v>
      </c>
      <c r="F35" s="117" t="n">
        <f aca="false">IF($K$9=0,0,E35/$K$9)</f>
        <v>0.0217015228652019</v>
      </c>
      <c r="G35" s="117" t="n">
        <f aca="false">G34+F35</f>
        <v>0.366246738908848</v>
      </c>
      <c r="H35" s="138" t="n">
        <v>456518.18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RESUMO'!AH14</f>
        <v>0</v>
      </c>
      <c r="N35" s="140" t="n">
        <f aca="false">MAX(0,M35-M34)</f>
        <v>0</v>
      </c>
      <c r="O35" s="139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456518.18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HISTORICOS'!AI14)</f>
        <v>0</v>
      </c>
      <c r="D36" s="45" t="n">
        <f aca="false">IF(B36&lt;='VALOR POR PL'!$P$5,0,IF($K$17&gt;0,$K$18*P36/$K$17,0))</f>
        <v>466833.375800983</v>
      </c>
      <c r="E36" s="45" t="n">
        <f aca="false">L36+D36/$K$2</f>
        <v>359.964018355452</v>
      </c>
      <c r="F36" s="117" t="n">
        <f aca="false">IF($K$9=0,0,E36/$K$9)</f>
        <v>0.0217015228652019</v>
      </c>
      <c r="G36" s="117" t="n">
        <f aca="false">G35+F36</f>
        <v>0.38794826177405</v>
      </c>
      <c r="H36" s="138" t="n">
        <v>456518.18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RESUMO'!AI14</f>
        <v>0</v>
      </c>
      <c r="N36" s="140" t="n">
        <f aca="false">MAX(0,M36-M35)</f>
        <v>0</v>
      </c>
      <c r="O36" s="139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456518.18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475091.09926398</v>
      </c>
      <c r="E37" s="45" t="n">
        <f aca="false">L37+D37/$K$2</f>
        <v>366.331350843426</v>
      </c>
      <c r="F37" s="117" t="n">
        <f aca="false">IF($K$9=0,0,E37/$K$9)</f>
        <v>0.0220853968207417</v>
      </c>
      <c r="G37" s="117" t="n">
        <f aca="false">G36+F37</f>
        <v>0.410033658594792</v>
      </c>
      <c r="H37" s="138" t="n">
        <v>464593.44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RESUMO'!AJ14</f>
        <v>0</v>
      </c>
      <c r="N37" s="140" t="n">
        <f aca="false">MAX(0,M37-M36)</f>
        <v>0</v>
      </c>
      <c r="O37" s="139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464593.44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475091.09926398</v>
      </c>
      <c r="E38" s="45" t="n">
        <f aca="false">L38+D38/$K$2</f>
        <v>366.331350843426</v>
      </c>
      <c r="F38" s="117" t="n">
        <f aca="false">IF($K$9=0,0,E38/$K$9)</f>
        <v>0.0220853968207417</v>
      </c>
      <c r="G38" s="117" t="n">
        <f aca="false">G37+F38</f>
        <v>0.432119055415533</v>
      </c>
      <c r="H38" s="138" t="n">
        <v>464593.44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RESUMO'!AK14</f>
        <v>0</v>
      </c>
      <c r="N38" s="140" t="n">
        <f aca="false">MAX(0,M38-M37)</f>
        <v>0</v>
      </c>
      <c r="O38" s="139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464593.44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HISTORICOS'!AL14)</f>
        <v>863.52</v>
      </c>
      <c r="D39" s="45" t="n">
        <f aca="false">IF(B39&lt;='VALOR POR PL'!$P$5,0,IF($K$17&gt;0,$K$18*P39/$K$17,0))</f>
        <v>474208.067712703</v>
      </c>
      <c r="E39" s="45" t="n">
        <f aca="false">L39+D39/$K$2</f>
        <v>366.316305954251</v>
      </c>
      <c r="F39" s="117" t="n">
        <f aca="false">IF($K$9=0,0,E39/$K$9)</f>
        <v>0.0220844897939563</v>
      </c>
      <c r="G39" s="117" t="n">
        <f aca="false">G38+F39</f>
        <v>0.45420354520949</v>
      </c>
      <c r="H39" s="138" t="n">
        <v>463729.92</v>
      </c>
      <c r="L39" s="45" t="n">
        <f aca="false">C39/IF(B39&lt;='VALOR POR PL'!$P$5,IFERROR(INDEX('"INCC-FGV"'!$B$2:$B$800,MATCH(B39,'"INCC-FGV"'!$A$2:$A$800,0)),$K$2),$K$2)</f>
        <v>0.665839559129579</v>
      </c>
      <c r="M39" s="139" t="n">
        <f aca="false">'CP RESUMO'!AL14</f>
        <v>0</v>
      </c>
      <c r="N39" s="140" t="n">
        <f aca="false">MAX(0,M39-M38)</f>
        <v>0</v>
      </c>
      <c r="O39" s="139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463729.92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605617.718165211</v>
      </c>
      <c r="E40" s="45" t="n">
        <f aca="false">L40+D40/$K$2</f>
        <v>466.977295794174</v>
      </c>
      <c r="F40" s="117" t="n">
        <f aca="false">IF($K$9=0,0,E40/$K$9)</f>
        <v>0.0281531429405267</v>
      </c>
      <c r="G40" s="117" t="n">
        <f aca="false">G39+F40</f>
        <v>0.482356688150016</v>
      </c>
      <c r="H40" s="138" t="n">
        <v>592235.93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RESUMO'!AM14</f>
        <v>0</v>
      </c>
      <c r="N40" s="140" t="n">
        <f aca="false">MAX(0,M40-M39)</f>
        <v>0</v>
      </c>
      <c r="O40" s="139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592235.93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HISTORICOS'!AN14)</f>
        <v>8451.69</v>
      </c>
      <c r="D41" s="45" t="n">
        <f aca="false">IF(B41&lt;='VALOR POR PL'!$P$5,0,IF($K$17&gt;0,$K$18*P41/$K$17,0))</f>
        <v>596975.059128229</v>
      </c>
      <c r="E41" s="45" t="n">
        <f aca="false">L41+D41/$K$2</f>
        <v>466.830044150447</v>
      </c>
      <c r="F41" s="117" t="n">
        <f aca="false">IF($K$9=0,0,E41/$K$9)</f>
        <v>0.028144265428469</v>
      </c>
      <c r="G41" s="117" t="n">
        <f aca="false">G40+F41</f>
        <v>0.510500953578486</v>
      </c>
      <c r="H41" s="138" t="n">
        <v>583784.24</v>
      </c>
      <c r="L41" s="45" t="n">
        <f aca="false">C41/IF(B41&lt;='VALOR POR PL'!$P$5,IFERROR(INDEX('"INCC-FGV"'!$B$2:$B$800,MATCH(B41,'"INCC-FGV"'!$A$2:$A$800,0)),$K$2),$K$2)</f>
        <v>6.51689543206859</v>
      </c>
      <c r="M41" s="139" t="n">
        <f aca="false">'CP RESUMO'!AN14</f>
        <v>0</v>
      </c>
      <c r="N41" s="140" t="n">
        <f aca="false">MAX(0,M41-M40)</f>
        <v>0</v>
      </c>
      <c r="O41" s="139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583784.24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475091.09926398</v>
      </c>
      <c r="E42" s="45" t="n">
        <f aca="false">L42+D42/$K$2</f>
        <v>366.331350843426</v>
      </c>
      <c r="F42" s="117" t="n">
        <f aca="false">IF($K$9=0,0,E42/$K$9)</f>
        <v>0.0220853968207417</v>
      </c>
      <c r="G42" s="117" t="n">
        <f aca="false">G41+F42</f>
        <v>0.532586350399227</v>
      </c>
      <c r="H42" s="138" t="n">
        <v>464593.44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RESUMO'!AO14</f>
        <v>0</v>
      </c>
      <c r="N42" s="140" t="n">
        <f aca="false">MAX(0,M42-M41)</f>
        <v>0</v>
      </c>
      <c r="O42" s="139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464593.44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475091.09926398</v>
      </c>
      <c r="E43" s="45" t="n">
        <f aca="false">L43+D43/$K$2</f>
        <v>366.331350843426</v>
      </c>
      <c r="F43" s="117" t="n">
        <f aca="false">IF($K$9=0,0,E43/$K$9)</f>
        <v>0.0220853968207417</v>
      </c>
      <c r="G43" s="117" t="n">
        <f aca="false">G42+F43</f>
        <v>0.554671747219969</v>
      </c>
      <c r="H43" s="138" t="n">
        <v>464593.44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RESUMO'!AP14</f>
        <v>0</v>
      </c>
      <c r="N43" s="140" t="n">
        <f aca="false">MAX(0,M43-M42)</f>
        <v>0</v>
      </c>
      <c r="O43" s="139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464593.44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475091.09926398</v>
      </c>
      <c r="E44" s="45" t="n">
        <f aca="false">L44+D44/$K$2</f>
        <v>366.331350843426</v>
      </c>
      <c r="F44" s="117" t="n">
        <f aca="false">IF($K$9=0,0,E44/$K$9)</f>
        <v>0.0220853968207417</v>
      </c>
      <c r="G44" s="117" t="n">
        <f aca="false">G43+F44</f>
        <v>0.576757144040711</v>
      </c>
      <c r="H44" s="138" t="n">
        <v>464593.44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RESUMO'!AQ14</f>
        <v>0</v>
      </c>
      <c r="N44" s="140" t="n">
        <f aca="false">MAX(0,M44-M43)</f>
        <v>0</v>
      </c>
      <c r="O44" s="139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464593.44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456548.121826054</v>
      </c>
      <c r="E45" s="45" t="n">
        <f aca="false">L45+D45/$K$2</f>
        <v>352.033305723199</v>
      </c>
      <c r="F45" s="117" t="n">
        <f aca="false">IF($K$9=0,0,E45/$K$9)</f>
        <v>0.0212233957948562</v>
      </c>
      <c r="G45" s="117" t="n">
        <f aca="false">G44+F45</f>
        <v>0.597980539835567</v>
      </c>
      <c r="H45" s="138" t="n">
        <v>446460.19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RESUMO'!AR14</f>
        <v>0</v>
      </c>
      <c r="N45" s="140" t="n">
        <f aca="false">MAX(0,M45-M44)</f>
        <v>0</v>
      </c>
      <c r="O45" s="139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446460.19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456548.121826054</v>
      </c>
      <c r="E46" s="45" t="n">
        <f aca="false">L46+D46/$K$2</f>
        <v>352.033305723199</v>
      </c>
      <c r="F46" s="117" t="n">
        <f aca="false">IF($K$9=0,0,E46/$K$9)</f>
        <v>0.0212233957948562</v>
      </c>
      <c r="G46" s="117" t="n">
        <f aca="false">G45+F46</f>
        <v>0.619203935630423</v>
      </c>
      <c r="H46" s="138" t="n">
        <v>446460.19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RESUMO'!AS14</f>
        <v>0</v>
      </c>
      <c r="N46" s="140" t="n">
        <f aca="false">MAX(0,M46-M45)</f>
        <v>0</v>
      </c>
      <c r="O46" s="139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446460.19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456548.121826054</v>
      </c>
      <c r="E47" s="45" t="n">
        <f aca="false">L47+D47/$K$2</f>
        <v>352.033305723199</v>
      </c>
      <c r="F47" s="117" t="n">
        <f aca="false">IF($K$9=0,0,E47/$K$9)</f>
        <v>0.0212233957948562</v>
      </c>
      <c r="G47" s="117" t="n">
        <f aca="false">G46+F47</f>
        <v>0.640427331425279</v>
      </c>
      <c r="H47" s="138" t="n">
        <v>446460.19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RESUMO'!AT14</f>
        <v>0</v>
      </c>
      <c r="N47" s="140" t="n">
        <f aca="false">MAX(0,M47-M46)</f>
        <v>0</v>
      </c>
      <c r="O47" s="139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446460.19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439929.495027534</v>
      </c>
      <c r="E48" s="45" t="n">
        <f aca="false">L48+D48/$K$2</f>
        <v>339.219081222475</v>
      </c>
      <c r="F48" s="117" t="n">
        <f aca="false">IF($K$9=0,0,E48/$K$9)</f>
        <v>0.0204508513964666</v>
      </c>
      <c r="G48" s="117" t="n">
        <f aca="false">G47+F48</f>
        <v>0.660878182821746</v>
      </c>
      <c r="H48" s="138" t="n">
        <v>430208.77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RESUMO'!AU14</f>
        <v>0</v>
      </c>
      <c r="N48" s="140" t="n">
        <f aca="false">MAX(0,M48-M47)</f>
        <v>0</v>
      </c>
      <c r="O48" s="139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430208.77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418268.051662341</v>
      </c>
      <c r="E49" s="45" t="n">
        <f aca="false">L49+D49/$K$2</f>
        <v>322.516461826989</v>
      </c>
      <c r="F49" s="117" t="n">
        <f aca="false">IF($K$9=0,0,E49/$K$9)</f>
        <v>0.0194438833156681</v>
      </c>
      <c r="G49" s="117" t="n">
        <f aca="false">G48+F49</f>
        <v>0.680322066137414</v>
      </c>
      <c r="H49" s="138" t="n">
        <v>409025.96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RESUMO'!AV14</f>
        <v>0</v>
      </c>
      <c r="N49" s="140" t="n">
        <f aca="false">MAX(0,M49-M48)</f>
        <v>0</v>
      </c>
      <c r="O49" s="139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409025.96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418268.051662341</v>
      </c>
      <c r="E50" s="45" t="n">
        <f aca="false">L50+D50/$K$2</f>
        <v>322.516461826989</v>
      </c>
      <c r="F50" s="117" t="n">
        <f aca="false">IF($K$9=0,0,E50/$K$9)</f>
        <v>0.0194438833156681</v>
      </c>
      <c r="G50" s="117" t="n">
        <f aca="false">G49+F50</f>
        <v>0.699765949453082</v>
      </c>
      <c r="H50" s="138" t="n">
        <v>409025.96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RESUMO'!AW14</f>
        <v>0</v>
      </c>
      <c r="N50" s="140" t="n">
        <f aca="false">MAX(0,M50-M49)</f>
        <v>0</v>
      </c>
      <c r="O50" s="139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409025.96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418268.051662341</v>
      </c>
      <c r="E51" s="45" t="n">
        <f aca="false">L51+D51/$K$2</f>
        <v>322.516461826989</v>
      </c>
      <c r="F51" s="117" t="n">
        <f aca="false">IF($K$9=0,0,E51/$K$9)</f>
        <v>0.0194438833156681</v>
      </c>
      <c r="G51" s="117" t="n">
        <f aca="false">G50+F51</f>
        <v>0.71920983276875</v>
      </c>
      <c r="H51" s="138" t="n">
        <v>409025.96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RESUMO'!AX14</f>
        <v>0</v>
      </c>
      <c r="N51" s="140" t="n">
        <f aca="false">MAX(0,M51-M50)</f>
        <v>0</v>
      </c>
      <c r="O51" s="139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409025.96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593611.783870112</v>
      </c>
      <c r="E52" s="45" t="n">
        <f aca="false">L52+D52/$K$2</f>
        <v>457.719807840233</v>
      </c>
      <c r="F52" s="117" t="n">
        <f aca="false">IF($K$9=0,0,E52/$K$9)</f>
        <v>0.0275950271948902</v>
      </c>
      <c r="G52" s="117" t="n">
        <f aca="false">G51+F52</f>
        <v>0.74680485996364</v>
      </c>
      <c r="H52" s="138" t="n">
        <v>580495.28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RESUMO'!AY14</f>
        <v>0</v>
      </c>
      <c r="N52" s="140" t="n">
        <f aca="false">MAX(0,M52-M51)</f>
        <v>0</v>
      </c>
      <c r="O52" s="139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580495.28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619449.762362811</v>
      </c>
      <c r="E53" s="45" t="n">
        <f aca="false">L53+D53/$K$2</f>
        <v>477.642853291848</v>
      </c>
      <c r="F53" s="117" t="n">
        <f aca="false">IF($K$9=0,0,E53/$K$9)</f>
        <v>0.0287961484302514</v>
      </c>
      <c r="G53" s="117" t="n">
        <f aca="false">G52+F53</f>
        <v>0.775601008393891</v>
      </c>
      <c r="H53" s="138" t="n">
        <v>605762.34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RESUMO'!AZ14</f>
        <v>0</v>
      </c>
      <c r="N53" s="140" t="n">
        <f aca="false">MAX(0,M53-M52)</f>
        <v>0</v>
      </c>
      <c r="O53" s="139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605762.34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484171.694992816</v>
      </c>
      <c r="E54" s="45" t="n">
        <f aca="false">L54+D54/$K$2</f>
        <v>373.333180397718</v>
      </c>
      <c r="F54" s="117" t="n">
        <f aca="false">IF($K$9=0,0,E54/$K$9)</f>
        <v>0.0225075233567909</v>
      </c>
      <c r="G54" s="117" t="n">
        <f aca="false">G53+F54</f>
        <v>0.798108531750682</v>
      </c>
      <c r="H54" s="138" t="n">
        <v>473473.39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RESUMO'!BA14</f>
        <v>0</v>
      </c>
      <c r="N54" s="140" t="n">
        <f aca="false">MAX(0,M54-M53)</f>
        <v>0</v>
      </c>
      <c r="O54" s="139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473473.39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447814.963099096</v>
      </c>
      <c r="E55" s="45" t="n">
        <f aca="false">L55+D55/$K$2</f>
        <v>345.299376507239</v>
      </c>
      <c r="F55" s="117" t="n">
        <f aca="false">IF($K$9=0,0,E55/$K$9)</f>
        <v>0.0208174204434295</v>
      </c>
      <c r="G55" s="117" t="n">
        <f aca="false">G54+F55</f>
        <v>0.818925952194112</v>
      </c>
      <c r="H55" s="138" t="n">
        <v>437920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RESUMO'!BB14</f>
        <v>0</v>
      </c>
      <c r="N55" s="140" t="n">
        <f aca="false">MAX(0,M55-M54)</f>
        <v>0</v>
      </c>
      <c r="O55" s="139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437920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447814.963099096</v>
      </c>
      <c r="E56" s="45" t="n">
        <f aca="false">L56+D56/$K$2</f>
        <v>345.299376507239</v>
      </c>
      <c r="F56" s="117" t="n">
        <f aca="false">IF($K$9=0,0,E56/$K$9)</f>
        <v>0.0208174204434295</v>
      </c>
      <c r="G56" s="117" t="n">
        <f aca="false">G55+F56</f>
        <v>0.839743372637541</v>
      </c>
      <c r="H56" s="138" t="n">
        <v>437920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RESUMO'!BC14</f>
        <v>0</v>
      </c>
      <c r="N56" s="140" t="n">
        <f aca="false">MAX(0,M56-M55)</f>
        <v>0</v>
      </c>
      <c r="O56" s="139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437920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629426.806094139</v>
      </c>
      <c r="E57" s="45" t="n">
        <f aca="false">L57+D57/$K$2</f>
        <v>485.335912398161</v>
      </c>
      <c r="F57" s="117" t="n">
        <f aca="false">IF($K$9=0,0,E57/$K$9)</f>
        <v>0.0292599478368191</v>
      </c>
      <c r="G57" s="117" t="n">
        <f aca="false">G56+F57</f>
        <v>0.86900332047436</v>
      </c>
      <c r="H57" s="138" t="n">
        <v>615518.93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RESUMO'!BD14</f>
        <v>0</v>
      </c>
      <c r="N57" s="140" t="n">
        <f aca="false">MAX(0,M57-M56)</f>
        <v>0</v>
      </c>
      <c r="O57" s="139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615518.93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166821.238352361</v>
      </c>
      <c r="E58" s="45" t="n">
        <f aca="false">L58+D58/$K$2</f>
        <v>128.63185542661</v>
      </c>
      <c r="F58" s="117" t="n">
        <f aca="false">IF($K$9=0,0,E58/$K$9)</f>
        <v>0.00775496163335251</v>
      </c>
      <c r="G58" s="117" t="n">
        <f aca="false">G57+F58</f>
        <v>0.876758282107713</v>
      </c>
      <c r="H58" s="138" t="n">
        <v>163135.14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RESUMO'!BE14</f>
        <v>0</v>
      </c>
      <c r="N58" s="140" t="n">
        <f aca="false">MAX(0,M58-M57)</f>
        <v>0</v>
      </c>
      <c r="O58" s="139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163135.14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64804.4657964834</v>
      </c>
      <c r="E59" s="45" t="n">
        <f aca="false">L59+D59/$K$2</f>
        <v>49.9691691397517</v>
      </c>
      <c r="F59" s="117" t="n">
        <f aca="false">IF($K$9=0,0,E59/$K$9)</f>
        <v>0.00301254295247546</v>
      </c>
      <c r="G59" s="117" t="n">
        <f aca="false">G58+F59</f>
        <v>0.879770825060188</v>
      </c>
      <c r="H59" s="138" t="n">
        <v>63372.54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RESUMO'!BF14</f>
        <v>0</v>
      </c>
      <c r="N59" s="140" t="n">
        <f aca="false">MAX(0,M59-M58)</f>
        <v>0</v>
      </c>
      <c r="O59" s="139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63372.54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64804.4657964834</v>
      </c>
      <c r="E60" s="45" t="n">
        <f aca="false">L60+D60/$K$2</f>
        <v>49.9691691397517</v>
      </c>
      <c r="F60" s="117" t="n">
        <f aca="false">IF($K$9=0,0,E60/$K$9)</f>
        <v>0.00301254295247546</v>
      </c>
      <c r="G60" s="117" t="n">
        <f aca="false">G59+F60</f>
        <v>0.882783368012664</v>
      </c>
      <c r="H60" s="138" t="n">
        <v>63372.54</v>
      </c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RESUMO'!BG14</f>
        <v>0</v>
      </c>
      <c r="N60" s="140" t="n">
        <f aca="false">MAX(0,M60-M59)</f>
        <v>0</v>
      </c>
      <c r="O60" s="139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63372.54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0.882783368012664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RESUMO'!BH14</f>
        <v>0</v>
      </c>
      <c r="N61" s="140" t="n">
        <f aca="false">MAX(0,M61-M60)</f>
        <v>0</v>
      </c>
      <c r="O61" s="139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0.882783368012664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RESUMO'!BI14</f>
        <v>0</v>
      </c>
      <c r="N62" s="140" t="n">
        <f aca="false">MAX(0,M62-M61)</f>
        <v>0</v>
      </c>
      <c r="O62" s="139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2521511.34049737</v>
      </c>
      <c r="E63" s="45" t="n">
        <f aca="false">L63+D63/$K$2</f>
        <v>1944.27691228576</v>
      </c>
      <c r="F63" s="117" t="n">
        <f aca="false">IF($K$9=0,0,E63/$K$9)</f>
        <v>0.117216631987336</v>
      </c>
      <c r="G63" s="117" t="n">
        <f aca="false">G62+F63</f>
        <v>1</v>
      </c>
      <c r="H63" s="138" t="n">
        <v>2465795.78</v>
      </c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RESUMO'!BJ14</f>
        <v>0</v>
      </c>
      <c r="N63" s="140" t="n">
        <f aca="false">MAX(0,M63-M62)</f>
        <v>0</v>
      </c>
      <c r="O63" s="139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2465795.78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RESUMO'!BK14</f>
        <v>0</v>
      </c>
      <c r="N64" s="140" t="n">
        <f aca="false">MAX(0,M64-M63)</f>
        <v>0</v>
      </c>
      <c r="O64" s="139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RESUMO'!BL14</f>
        <v>0</v>
      </c>
      <c r="N65" s="140" t="n">
        <f aca="false">MAX(0,M65-M64)</f>
        <v>0</v>
      </c>
      <c r="O65" s="139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RESUMO'!BM14</f>
        <v>0</v>
      </c>
      <c r="N66" s="140" t="n">
        <f aca="false">MAX(0,M66-M65)</f>
        <v>0</v>
      </c>
      <c r="O66" s="139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RESUMO'!BN14</f>
        <v>0</v>
      </c>
      <c r="N67" s="140" t="n">
        <f aca="false">MAX(0,M67-M66)</f>
        <v>0</v>
      </c>
      <c r="O67" s="139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RESUMO'!BO14</f>
        <v>0</v>
      </c>
      <c r="N68" s="140" t="n">
        <f aca="false">MAX(0,M68-M67)</f>
        <v>0</v>
      </c>
      <c r="O68" s="139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RESUMO'!BP14</f>
        <v>0</v>
      </c>
      <c r="N69" s="140" t="n">
        <f aca="false">MAX(0,M69-M68)</f>
        <v>0</v>
      </c>
      <c r="O69" s="139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RESUMO'!BQ14</f>
        <v>0</v>
      </c>
      <c r="N70" s="140" t="n">
        <f aca="false">MAX(0,M70-M69)</f>
        <v>0</v>
      </c>
      <c r="O70" s="139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RESUMO'!BR14</f>
        <v>0</v>
      </c>
      <c r="N71" s="140" t="n">
        <f aca="false">MAX(0,M71-M70)</f>
        <v>0</v>
      </c>
      <c r="O71" s="139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RESUMO'!BS14</f>
        <v>0</v>
      </c>
      <c r="N72" s="140" t="n">
        <f aca="false">MAX(0,M72-M71)</f>
        <v>0</v>
      </c>
      <c r="O72" s="139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RESUMO'!BT14</f>
        <v>0</v>
      </c>
      <c r="N73" s="140" t="n">
        <f aca="false">MAX(0,M73-M72)</f>
        <v>0</v>
      </c>
      <c r="O73" s="139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RESUMO'!BU14</f>
        <v>0</v>
      </c>
      <c r="N74" s="140" t="n">
        <f aca="false">MAX(0,M74-M73)</f>
        <v>0</v>
      </c>
      <c r="O74" s="139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RESUMO'!BV14</f>
        <v>0</v>
      </c>
      <c r="N75" s="140" t="n">
        <f aca="false">MAX(0,M75-M74)</f>
        <v>0</v>
      </c>
      <c r="O75" s="139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RESUMO'!BW14</f>
        <v>0</v>
      </c>
      <c r="N76" s="140" t="n">
        <f aca="false">MAX(0,M76-M75)</f>
        <v>0</v>
      </c>
      <c r="O76" s="139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3888937.19</v>
      </c>
      <c r="D78" s="61" t="n">
        <f aca="false">SUM(D5:D76)</f>
        <v>17443486.8363631</v>
      </c>
      <c r="E78" s="61" t="n">
        <f aca="false">SUM(E5:E76)</f>
        <v>16587.039563599</v>
      </c>
      <c r="F78" s="145" t="n">
        <f aca="false">SUM(F5:F76)</f>
        <v>1</v>
      </c>
      <c r="H78" s="61" t="n">
        <f aca="false">SUM(H5:H76)</f>
        <v>17058053.85</v>
      </c>
      <c r="L78" s="61" t="n">
        <f aca="false">SUM(L5:L76)</f>
        <v>3136.78527324479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PL'!F21</f>
        <v>6467911.66</v>
      </c>
      <c r="K5" s="56" t="n">
        <f aca="false">'VALOR POR PL'!G21</f>
        <v>5315.919921</v>
      </c>
      <c r="L5" s="56" t="n">
        <f aca="false">'DADOS HISTORICOS'!$BZ$15</f>
        <v>0</v>
      </c>
      <c r="M5" s="139" t="n">
        <f aca="false">'CP RESUMO'!D15</f>
        <v>0</v>
      </c>
      <c r="N5" s="140" t="n">
        <v>0</v>
      </c>
      <c r="O5" s="139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PL'!H21</f>
        <v>5300.15774000144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RESUMO'!E15</f>
        <v>0</v>
      </c>
      <c r="N6" s="140" t="n">
        <f aca="false">MAX(0,M6-M5)</f>
        <v>0</v>
      </c>
      <c r="O6" s="139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6854195.05722762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RESUMO'!F15</f>
        <v>0</v>
      </c>
      <c r="N7" s="140" t="n">
        <f aca="false">MAX(0,M7-M6)</f>
        <v>0</v>
      </c>
      <c r="O7" s="139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590.80525051957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RESUMO'!G15</f>
        <v>0</v>
      </c>
      <c r="N8" s="140" t="n">
        <f aca="false">MAX(0,M8-M7)</f>
        <v>0</v>
      </c>
      <c r="O8" s="139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6854195.05722762</v>
      </c>
      <c r="K9" s="45" t="n">
        <f aca="false">E78</f>
        <v>5298.29545764417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RESUMO'!H15</f>
        <v>0</v>
      </c>
      <c r="N9" s="140" t="n">
        <f aca="false">MAX(0,M9-M8)</f>
        <v>0</v>
      </c>
      <c r="O9" s="139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4707.4902071246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RESUMO'!I15</f>
        <v>0</v>
      </c>
      <c r="N10" s="140" t="n">
        <f aca="false">MAX(0,M10-M9)</f>
        <v>0</v>
      </c>
      <c r="O10" s="139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6128608.3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RESUMO'!J15</f>
        <v>0</v>
      </c>
      <c r="N11" s="140" t="n">
        <f aca="false">MAX(0,M11-M10)</f>
        <v>0</v>
      </c>
      <c r="O11" s="139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HISTORICOS'!K15)</f>
        <v>672.9</v>
      </c>
      <c r="D12" s="45" t="n">
        <f aca="false">IF(B12&lt;='VALOR POR PL'!$P$5,0,IF($K$17&gt;0,$K$18*P12/$K$17,0))</f>
        <v>0</v>
      </c>
      <c r="E12" s="45" t="n">
        <f aca="false">L12+D12/$K$2</f>
        <v>0.555899315225231</v>
      </c>
      <c r="F12" s="117" t="n">
        <f aca="false">IF($K$9=0,0,E12/$K$9)</f>
        <v>0.000104920406887313</v>
      </c>
      <c r="G12" s="117" t="n">
        <f aca="false">G11+F12</f>
        <v>0.000104920406887313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0.555899315225231</v>
      </c>
      <c r="M12" s="139" t="n">
        <f aca="false">'CP RESUMO'!K15</f>
        <v>0</v>
      </c>
      <c r="N12" s="140" t="n">
        <f aca="false">MAX(0,M12-M11)</f>
        <v>0</v>
      </c>
      <c r="O12" s="139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HISTORICOS'!L15)</f>
        <v>5281.41</v>
      </c>
      <c r="D13" s="45" t="n">
        <f aca="false">IF(B13&lt;='VALOR POR PL'!$P$5,0,IF($K$17&gt;0,$K$18*P13/$K$17,0))</f>
        <v>0</v>
      </c>
      <c r="E13" s="45" t="n">
        <f aca="false">L13+D13/$K$2</f>
        <v>4.34074460058552</v>
      </c>
      <c r="F13" s="117" t="n">
        <f aca="false">IF($K$9=0,0,E13/$K$9)</f>
        <v>0.000819271902687658</v>
      </c>
      <c r="G13" s="117" t="n">
        <f aca="false">G12+F13</f>
        <v>0.000924192309574971</v>
      </c>
      <c r="H13" s="138"/>
      <c r="I13" s="42" t="s">
        <v>2928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4.34074460058552</v>
      </c>
      <c r="M13" s="139" t="n">
        <f aca="false">'CP RESUMO'!L15</f>
        <v>0</v>
      </c>
      <c r="N13" s="140" t="n">
        <f aca="false">MAX(0,M13-M12)</f>
        <v>0</v>
      </c>
      <c r="O13" s="139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HISTORICOS'!M15)</f>
        <v>6232.49</v>
      </c>
      <c r="D14" s="45" t="n">
        <f aca="false">IF(B14&lt;='VALOR POR PL'!$P$5,0,IF($K$17&gt;0,$K$18*P14/$K$17,0))</f>
        <v>0</v>
      </c>
      <c r="E14" s="45" t="n">
        <f aca="false">L14+D14/$K$2</f>
        <v>5.11385053665773</v>
      </c>
      <c r="F14" s="117" t="n">
        <f aca="false">IF($K$9=0,0,E14/$K$9)</f>
        <v>0.000965187875523187</v>
      </c>
      <c r="G14" s="117" t="n">
        <f aca="false">G13+F14</f>
        <v>0.00188938018509816</v>
      </c>
      <c r="H14" s="138"/>
      <c r="I14" s="42" t="s">
        <v>2929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5.11385053665773</v>
      </c>
      <c r="M14" s="139" t="n">
        <f aca="false">'CP RESUMO'!M15</f>
        <v>0</v>
      </c>
      <c r="N14" s="140" t="n">
        <f aca="false">MAX(0,M14-M13)</f>
        <v>0</v>
      </c>
      <c r="O14" s="139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HISTORICOS'!N15)</f>
        <v>9500.17</v>
      </c>
      <c r="D15" s="45" t="n">
        <f aca="false">IF(B15&lt;='VALOR POR PL'!$P$5,0,IF($K$17&gt;0,$K$18*P15/$K$17,0))</f>
        <v>0</v>
      </c>
      <c r="E15" s="45" t="n">
        <f aca="false">L15+D15/$K$2</f>
        <v>7.77201568119271</v>
      </c>
      <c r="F15" s="117" t="n">
        <f aca="false">IF($K$9=0,0,E15/$K$9)</f>
        <v>0.00146688982208034</v>
      </c>
      <c r="G15" s="117" t="n">
        <f aca="false">G14+F15</f>
        <v>0.0033562700071785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7.77201568119271</v>
      </c>
      <c r="M15" s="139" t="n">
        <f aca="false">'CP RESUMO'!N15</f>
        <v>0</v>
      </c>
      <c r="N15" s="140" t="n">
        <f aca="false">MAX(0,M15-M14)</f>
        <v>0</v>
      </c>
      <c r="O15" s="139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HISTORICOS'!O15)</f>
        <v>55945.36</v>
      </c>
      <c r="D16" s="45" t="n">
        <f aca="false">IF(B16&lt;='VALOR POR PL'!$P$5,0,IF($K$17&gt;0,$K$18*P16/$K$17,0))</f>
        <v>0</v>
      </c>
      <c r="E16" s="45" t="n">
        <f aca="false">L16+D16/$K$2</f>
        <v>45.6460947118754</v>
      </c>
      <c r="F16" s="117" t="n">
        <f aca="false">IF($K$9=0,0,E16/$K$9)</f>
        <v>0.00861524146336895</v>
      </c>
      <c r="G16" s="117" t="n">
        <f aca="false">G15+F16</f>
        <v>0.0119715114705474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45.6460947118754</v>
      </c>
      <c r="M16" s="139" t="n">
        <f aca="false">'CP RESUMO'!O15</f>
        <v>0</v>
      </c>
      <c r="N16" s="140" t="n">
        <f aca="false">MAX(0,M16-M15)</f>
        <v>0</v>
      </c>
      <c r="O16" s="139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HISTORICOS'!P15)</f>
        <v>58948.93</v>
      </c>
      <c r="D17" s="45" t="n">
        <f aca="false">IF(B17&lt;='VALOR POR PL'!$P$5,0,IF($K$17&gt;0,$K$18*P17/$K$17,0))</f>
        <v>0</v>
      </c>
      <c r="E17" s="45" t="n">
        <f aca="false">L17+D17/$K$2</f>
        <v>47.9977217970608</v>
      </c>
      <c r="F17" s="117" t="n">
        <f aca="false">IF($K$9=0,0,E17/$K$9)</f>
        <v>0.00905908743307465</v>
      </c>
      <c r="G17" s="117" t="n">
        <f aca="false">G16+F17</f>
        <v>0.0210305989036221</v>
      </c>
      <c r="H17" s="138"/>
      <c r="I17" s="42" t="s">
        <v>2933</v>
      </c>
      <c r="K17" s="45" t="n">
        <f aca="false">SUM(P5:P76)</f>
        <v>6128608.3</v>
      </c>
      <c r="L17" s="45" t="n">
        <f aca="false">C17/IF(B17&lt;='VALOR POR PL'!$P$5,IFERROR(INDEX('"INCC-FGV"'!$B$2:$B$800,MATCH(B17,'"INCC-FGV"'!$A$2:$A$800,0)),$K$2),$K$2)</f>
        <v>47.9977217970608</v>
      </c>
      <c r="M17" s="139" t="n">
        <f aca="false">'CP RESUMO'!P15</f>
        <v>0</v>
      </c>
      <c r="N17" s="140" t="n">
        <f aca="false">MAX(0,M17-M16)</f>
        <v>0</v>
      </c>
      <c r="O17" s="139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HISTORICOS'!Q15)</f>
        <v>144547.58</v>
      </c>
      <c r="D18" s="45" t="n">
        <f aca="false">IF(B18&lt;='VALOR POR PL'!$P$5,0,IF($K$17&gt;0,$K$18*P18/$K$17,0))</f>
        <v>0</v>
      </c>
      <c r="E18" s="45" t="n">
        <f aca="false">L18+D18/$K$2</f>
        <v>116.849938077792</v>
      </c>
      <c r="F18" s="117" t="n">
        <f aca="false">IF($K$9=0,0,E18/$K$9)</f>
        <v>0.0220542510344918</v>
      </c>
      <c r="G18" s="117" t="n">
        <f aca="false">G17+F18</f>
        <v>0.0430848499381139</v>
      </c>
      <c r="H18" s="138"/>
      <c r="I18" s="42" t="s">
        <v>2934</v>
      </c>
      <c r="K18" s="45" t="n">
        <f aca="false">MAX(0,K10)*$K$2</f>
        <v>6105092.26722762</v>
      </c>
      <c r="L18" s="45" t="n">
        <f aca="false">C18/IF(B18&lt;='VALOR POR PL'!$P$5,IFERROR(INDEX('"INCC-FGV"'!$B$2:$B$800,MATCH(B18,'"INCC-FGV"'!$A$2:$A$800,0)),$K$2),$K$2)</f>
        <v>116.849938077792</v>
      </c>
      <c r="M18" s="139" t="n">
        <f aca="false">'CP RESUMO'!Q15</f>
        <v>0</v>
      </c>
      <c r="N18" s="140" t="n">
        <f aca="false">MAX(0,M18-M17)</f>
        <v>0</v>
      </c>
      <c r="O18" s="139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HISTORICOS'!R15)</f>
        <v>11787.59</v>
      </c>
      <c r="D19" s="45" t="n">
        <f aca="false">IF(B19&lt;='VALOR POR PL'!$P$5,0,IF($K$17&gt;0,$K$18*P19/$K$17,0))</f>
        <v>0</v>
      </c>
      <c r="E19" s="45" t="n">
        <f aca="false">L19+D19/$K$2</f>
        <v>9.5024349425747</v>
      </c>
      <c r="F19" s="117" t="n">
        <f aca="false">IF($K$9=0,0,E19/$K$9)</f>
        <v>0.00179348906049869</v>
      </c>
      <c r="G19" s="117" t="n">
        <f aca="false">G18+F19</f>
        <v>0.0448783389986126</v>
      </c>
      <c r="H19" s="138"/>
      <c r="I19" s="42" t="s">
        <v>2935</v>
      </c>
      <c r="K19" s="142" t="n">
        <f aca="false">IF(AND(K16="PREVISÃO INFORMADA",K11&gt;0),K18/K11-1,"")</f>
        <v>-0.00383709181942382</v>
      </c>
      <c r="L19" s="45" t="n">
        <f aca="false">C19/IF(B19&lt;='VALOR POR PL'!$P$5,IFERROR(INDEX('"INCC-FGV"'!$B$2:$B$800,MATCH(B19,'"INCC-FGV"'!$A$2:$A$800,0)),$K$2),$K$2)</f>
        <v>9.5024349425747</v>
      </c>
      <c r="M19" s="139" t="n">
        <f aca="false">'CP RESUMO'!R15</f>
        <v>0</v>
      </c>
      <c r="N19" s="140" t="n">
        <f aca="false">MAX(0,M19-M18)</f>
        <v>0</v>
      </c>
      <c r="O19" s="139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HISTORICOS'!S15)</f>
        <v>6734.81</v>
      </c>
      <c r="D20" s="45" t="n">
        <f aca="false">IF(B20&lt;='VALOR POR PL'!$P$5,0,IF($K$17&gt;0,$K$18*P20/$K$17,0))</f>
        <v>0</v>
      </c>
      <c r="E20" s="45" t="n">
        <f aca="false">L20+D20/$K$2</f>
        <v>5.40002613894856</v>
      </c>
      <c r="F20" s="117" t="n">
        <f aca="false">IF($K$9=0,0,E20/$K$9)</f>
        <v>0.00101920064332343</v>
      </c>
      <c r="G20" s="117" t="n">
        <f aca="false">G19+F20</f>
        <v>0.0458975396419361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5.40002613894856</v>
      </c>
      <c r="M20" s="139" t="n">
        <f aca="false">'CP RESUMO'!S15</f>
        <v>0</v>
      </c>
      <c r="N20" s="140" t="n">
        <f aca="false">MAX(0,M20-M19)</f>
        <v>0</v>
      </c>
      <c r="O20" s="139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HISTORICOS'!T15)</f>
        <v>2323.6</v>
      </c>
      <c r="D21" s="45" t="n">
        <f aca="false">IF(B21&lt;='VALOR POR PL'!$P$5,0,IF($K$17&gt;0,$K$18*P21/$K$17,0))</f>
        <v>0</v>
      </c>
      <c r="E21" s="45" t="n">
        <f aca="false">L21+D21/$K$2</f>
        <v>1.84463645514793</v>
      </c>
      <c r="F21" s="117" t="n">
        <f aca="false">IF($K$9=0,0,E21/$K$9)</f>
        <v>0.000348156585432879</v>
      </c>
      <c r="G21" s="117" t="n">
        <f aca="false">G20+F21</f>
        <v>0.0462456962273689</v>
      </c>
      <c r="H21" s="138"/>
      <c r="K21" s="143"/>
      <c r="L21" s="45" t="n">
        <f aca="false">C21/IF(B21&lt;='VALOR POR PL'!$P$5,IFERROR(INDEX('"INCC-FGV"'!$B$2:$B$800,MATCH(B21,'"INCC-FGV"'!$A$2:$A$800,0)),$K$2),$K$2)</f>
        <v>1.84463645514793</v>
      </c>
      <c r="M21" s="139" t="n">
        <f aca="false">'CP RESUMO'!T15</f>
        <v>0</v>
      </c>
      <c r="N21" s="140" t="n">
        <f aca="false">MAX(0,M21-M20)</f>
        <v>0</v>
      </c>
      <c r="O21" s="139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HISTORICOS'!U15)</f>
        <v>28516.02</v>
      </c>
      <c r="D22" s="45" t="n">
        <f aca="false">IF(B22&lt;='VALOR POR PL'!$P$5,0,IF($K$17&gt;0,$K$18*P22/$K$17,0))</f>
        <v>0</v>
      </c>
      <c r="E22" s="45" t="n">
        <f aca="false">L22+D22/$K$2</f>
        <v>22.4412781981514</v>
      </c>
      <c r="F22" s="117" t="n">
        <f aca="false">IF($K$9=0,0,E22/$K$9)</f>
        <v>0.00423556564135622</v>
      </c>
      <c r="G22" s="117" t="n">
        <f aca="false">G21+F22</f>
        <v>0.0504812618687252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22.4412781981514</v>
      </c>
      <c r="M22" s="139" t="n">
        <f aca="false">'CP RESUMO'!U15</f>
        <v>0</v>
      </c>
      <c r="N22" s="140" t="n">
        <f aca="false">MAX(0,M22-M21)</f>
        <v>0</v>
      </c>
      <c r="O22" s="139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HISTORICOS'!V15)</f>
        <v>24451.29</v>
      </c>
      <c r="D23" s="45" t="n">
        <f aca="false">IF(B23&lt;='VALOR POR PL'!$P$5,0,IF($K$17&gt;0,$K$18*P23/$K$17,0))</f>
        <v>0</v>
      </c>
      <c r="E23" s="45" t="n">
        <f aca="false">L23+D23/$K$2</f>
        <v>19.093008891641</v>
      </c>
      <c r="F23" s="117" t="n">
        <f aca="false">IF($K$9=0,0,E23/$K$9)</f>
        <v>0.00360361347234691</v>
      </c>
      <c r="G23" s="117" t="n">
        <f aca="false">G22+F23</f>
        <v>0.0540848753410721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19.093008891641</v>
      </c>
      <c r="M23" s="139" t="n">
        <f aca="false">'CP RESUMO'!V15</f>
        <v>0</v>
      </c>
      <c r="N23" s="140" t="n">
        <f aca="false">MAX(0,M23-M22)</f>
        <v>0</v>
      </c>
      <c r="O23" s="139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HISTORICOS'!W15)</f>
        <v>63176.57</v>
      </c>
      <c r="D24" s="45" t="n">
        <f aca="false">IF(B24&lt;='VALOR POR PL'!$P$5,0,IF($K$17&gt;0,$K$18*P24/$K$17,0))</f>
        <v>0</v>
      </c>
      <c r="E24" s="45" t="n">
        <f aca="false">L24+D24/$K$2</f>
        <v>49.0337239634874</v>
      </c>
      <c r="F24" s="117" t="n">
        <f aca="false">IF($K$9=0,0,E24/$K$9)</f>
        <v>0.00925462242630193</v>
      </c>
      <c r="G24" s="117" t="n">
        <f aca="false">G23+F24</f>
        <v>0.063339497767374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49.0337239634874</v>
      </c>
      <c r="M24" s="139" t="n">
        <f aca="false">'CP RESUMO'!W15</f>
        <v>0</v>
      </c>
      <c r="N24" s="140" t="n">
        <f aca="false">MAX(0,M24-M23)</f>
        <v>0</v>
      </c>
      <c r="O24" s="139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HISTORICOS'!X15)</f>
        <v>125549</v>
      </c>
      <c r="D25" s="45" t="n">
        <f aca="false">IF(B25&lt;='VALOR POR PL'!$P$5,0,IF($K$17&gt;0,$K$18*P25/$K$17,0))</f>
        <v>0</v>
      </c>
      <c r="E25" s="45" t="n">
        <f aca="false">L25+D25/$K$2</f>
        <v>96.8078224119412</v>
      </c>
      <c r="F25" s="117" t="n">
        <f aca="false">IF($K$9=0,0,E25/$K$9)</f>
        <v>0.0182715032005757</v>
      </c>
      <c r="G25" s="117" t="n">
        <f aca="false">G24+F25</f>
        <v>0.0816110009679497</v>
      </c>
      <c r="H25" s="138"/>
      <c r="L25" s="45" t="n">
        <f aca="false">C25/IF(B25&lt;='VALOR POR PL'!$P$5,IFERROR(INDEX('"INCC-FGV"'!$B$2:$B$800,MATCH(B25,'"INCC-FGV"'!$A$2:$A$800,0)),$K$2),$K$2)</f>
        <v>96.8078224119412</v>
      </c>
      <c r="M25" s="139" t="n">
        <f aca="false">'CP RESUMO'!X15</f>
        <v>0</v>
      </c>
      <c r="N25" s="140" t="n">
        <f aca="false">MAX(0,M25-M24)</f>
        <v>0</v>
      </c>
      <c r="O25" s="139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HISTORICOS'!Y15)</f>
        <v>107406.86</v>
      </c>
      <c r="D26" s="45" t="n">
        <f aca="false">IF(B26&lt;='VALOR POR PL'!$P$5,0,IF($K$17&gt;0,$K$18*P26/$K$17,0))</f>
        <v>94575.6766177767</v>
      </c>
      <c r="E26" s="45" t="n">
        <f aca="false">L26+D26/$K$2</f>
        <v>155.743889120639</v>
      </c>
      <c r="F26" s="117" t="n">
        <f aca="false">IF($K$9=0,0,E26/$K$9)</f>
        <v>0.0293950932645589</v>
      </c>
      <c r="G26" s="117" t="n">
        <f aca="false">G25+F26</f>
        <v>0.111006094232509</v>
      </c>
      <c r="H26" s="138" t="n">
        <v>94939.97</v>
      </c>
      <c r="L26" s="45" t="n">
        <f aca="false">C26/IF(B26&lt;='VALOR POR PL'!$P$5,IFERROR(INDEX('"INCC-FGV"'!$B$2:$B$800,MATCH(B26,'"INCC-FGV"'!$A$2:$A$800,0)),$K$2),$K$2)</f>
        <v>82.8188534253895</v>
      </c>
      <c r="M26" s="139" t="n">
        <f aca="false">'CP RESUMO'!Y15</f>
        <v>0</v>
      </c>
      <c r="N26" s="140" t="n">
        <f aca="false">MAX(0,M26-M25)</f>
        <v>0</v>
      </c>
      <c r="O26" s="139" t="str">
        <f aca="false">IF(B26&lt;='VALOR POR PL'!$P$5,'CP RESUMO'!Y57,"")</f>
        <v/>
      </c>
      <c r="P26" s="66" t="n">
        <f aca="false">IF(B26&lt;='VALOR POR PL'!$P$5,0,IF(OR($K$16="CURVA PREVISION",$K$16="MDO PREVISION + MATERIAL PREMISSA"),N26,IF($K$16="PREVISÃO INFORMADA",MAX(0,H26),0)))</f>
        <v>94939.97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HISTORICOS'!Z15)</f>
        <v>73087.59</v>
      </c>
      <c r="D27" s="45" t="n">
        <f aca="false">IF(B27&lt;='VALOR POR PL'!$P$5,0,IF($K$17&gt;0,$K$18*P27/$K$17,0))</f>
        <v>157956.153147232</v>
      </c>
      <c r="E27" s="45" t="n">
        <f aca="false">L27+D27/$K$2</f>
        <v>178.152288397258</v>
      </c>
      <c r="F27" s="117" t="n">
        <f aca="false">IF($K$9=0,0,E27/$K$9)</f>
        <v>0.0336244533400317</v>
      </c>
      <c r="G27" s="117" t="n">
        <f aca="false">G26+F27</f>
        <v>0.14463054757254</v>
      </c>
      <c r="H27" s="138" t="n">
        <v>158564.58</v>
      </c>
      <c r="L27" s="45" t="n">
        <f aca="false">C27/IF(B27&lt;='VALOR POR PL'!$P$5,IFERROR(INDEX('"INCC-FGV"'!$B$2:$B$800,MATCH(B27,'"INCC-FGV"'!$A$2:$A$800,0)),$K$2),$K$2)</f>
        <v>56.3560875294647</v>
      </c>
      <c r="M27" s="139" t="n">
        <f aca="false">'CP RESUMO'!Z15</f>
        <v>0</v>
      </c>
      <c r="N27" s="140" t="n">
        <f aca="false">MAX(0,M27-M26)</f>
        <v>0</v>
      </c>
      <c r="O27" s="139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158564.58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HISTORICOS'!AA15)</f>
        <v>12181.83</v>
      </c>
      <c r="D28" s="45" t="n">
        <f aca="false">IF(B28&lt;='VALOR POR PL'!$P$5,0,IF($K$17&gt;0,$K$18*P28/$K$17,0))</f>
        <v>95377.6176437493</v>
      </c>
      <c r="E28" s="45" t="n">
        <f aca="false">L28+D28/$K$2</f>
        <v>82.9365100974326</v>
      </c>
      <c r="F28" s="117" t="n">
        <f aca="false">IF($K$9=0,0,E28/$K$9)</f>
        <v>0.0156534324596366</v>
      </c>
      <c r="G28" s="117" t="n">
        <f aca="false">G27+F28</f>
        <v>0.160283980032177</v>
      </c>
      <c r="H28" s="138" t="n">
        <v>95745</v>
      </c>
      <c r="L28" s="45" t="n">
        <f aca="false">C28/IF(B28&lt;='VALOR POR PL'!$P$5,IFERROR(INDEX('"INCC-FGV"'!$B$2:$B$800,MATCH(B28,'"INCC-FGV"'!$A$2:$A$800,0)),$K$2),$K$2)</f>
        <v>9.39311691285839</v>
      </c>
      <c r="M28" s="139" t="n">
        <f aca="false">'CP RESUMO'!AA15</f>
        <v>0</v>
      </c>
      <c r="N28" s="140" t="n">
        <f aca="false">MAX(0,M28-M27)</f>
        <v>0</v>
      </c>
      <c r="O28" s="139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95745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HISTORICOS'!AB15)</f>
        <v>6653</v>
      </c>
      <c r="D29" s="45" t="n">
        <f aca="false">IF(B29&lt;='VALOR POR PL'!$P$5,0,IF($K$17&gt;0,$K$18*P29/$K$17,0))</f>
        <v>200311.505758707</v>
      </c>
      <c r="E29" s="45" t="n">
        <f aca="false">L29+D29/$K$2</f>
        <v>159.585366024932</v>
      </c>
      <c r="F29" s="117" t="n">
        <f aca="false">IF($K$9=0,0,E29/$K$9)</f>
        <v>0.0301201334090737</v>
      </c>
      <c r="G29" s="117" t="n">
        <f aca="false">G28+F29</f>
        <v>0.190404113441251</v>
      </c>
      <c r="H29" s="138" t="n">
        <v>201083.08</v>
      </c>
      <c r="L29" s="45" t="n">
        <f aca="false">C29/IF(B29&lt;='VALOR POR PL'!$P$5,IFERROR(INDEX('"INCC-FGV"'!$B$2:$B$800,MATCH(B29,'"INCC-FGV"'!$A$2:$A$800,0)),$K$2),$K$2)</f>
        <v>5.12996871744614</v>
      </c>
      <c r="M29" s="139" t="n">
        <f aca="false">'CP RESUMO'!AB15</f>
        <v>0</v>
      </c>
      <c r="N29" s="140" t="n">
        <f aca="false">MAX(0,M29-M28)</f>
        <v>0</v>
      </c>
      <c r="O29" s="139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201083.08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HISTORICOS'!AC15)</f>
        <v>0</v>
      </c>
      <c r="D30" s="45" t="n">
        <f aca="false">IF(B30&lt;='VALOR POR PL'!$P$5,0,IF($K$17&gt;0,$K$18*P30/$K$17,0))</f>
        <v>97761.8140249305</v>
      </c>
      <c r="E30" s="45" t="n">
        <f aca="false">L30+D30/$K$2</f>
        <v>75.3817898254442</v>
      </c>
      <c r="F30" s="117" t="n">
        <f aca="false">IF($K$9=0,0,E30/$K$9)</f>
        <v>0.0142275549614143</v>
      </c>
      <c r="G30" s="117" t="n">
        <f aca="false">G29+F30</f>
        <v>0.204631668402665</v>
      </c>
      <c r="H30" s="138" t="n">
        <v>98138.38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RESUMO'!AC15</f>
        <v>0</v>
      </c>
      <c r="N30" s="140" t="n">
        <f aca="false">MAX(0,M30-M29)</f>
        <v>0</v>
      </c>
      <c r="O30" s="139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98138.38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HISTORICOS'!AD15)</f>
        <v>1456.4</v>
      </c>
      <c r="D31" s="45" t="n">
        <f aca="false">IF(B31&lt;='VALOR POR PL'!$P$5,0,IF($K$17&gt;0,$K$18*P31/$K$17,0))</f>
        <v>197148.130674006</v>
      </c>
      <c r="E31" s="45" t="n">
        <f aca="false">L31+D31/$K$2</f>
        <v>153.139189764124</v>
      </c>
      <c r="F31" s="117" t="n">
        <f aca="false">IF($K$9=0,0,E31/$K$9)</f>
        <v>0.02890348244796</v>
      </c>
      <c r="G31" s="117" t="n">
        <f aca="false">G30+F31</f>
        <v>0.233535150850625</v>
      </c>
      <c r="H31" s="138" t="n">
        <v>197907.52</v>
      </c>
      <c r="L31" s="45" t="n">
        <f aca="false">C31/IF(B31&lt;='VALOR POR PL'!$P$5,IFERROR(INDEX('"INCC-FGV"'!$B$2:$B$800,MATCH(B31,'"INCC-FGV"'!$A$2:$A$800,0)),$K$2),$K$2)</f>
        <v>1.12299510598054</v>
      </c>
      <c r="M31" s="139" t="n">
        <f aca="false">'CP RESUMO'!AD15</f>
        <v>0</v>
      </c>
      <c r="N31" s="140" t="n">
        <f aca="false">MAX(0,M31-M30)</f>
        <v>0</v>
      </c>
      <c r="O31" s="139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197907.52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HISTORICOS'!AE15)</f>
        <v>1802.48</v>
      </c>
      <c r="D32" s="45" t="n">
        <f aca="false">IF(B32&lt;='VALOR POR PL'!$P$5,0,IF($K$17&gt;0,$K$18*P32/$K$17,0))</f>
        <v>162293.755259951</v>
      </c>
      <c r="E32" s="45" t="n">
        <f aca="false">L32+D32/$K$2</f>
        <v>126.530670905491</v>
      </c>
      <c r="F32" s="117" t="n">
        <f aca="false">IF($K$9=0,0,E32/$K$9)</f>
        <v>0.0238813920282489</v>
      </c>
      <c r="G32" s="117" t="n">
        <f aca="false">G31+F32</f>
        <v>0.257416542878874</v>
      </c>
      <c r="H32" s="138" t="n">
        <v>162918.89</v>
      </c>
      <c r="L32" s="45" t="n">
        <f aca="false">C32/IF(B32&lt;='VALOR POR PL'!$P$5,IFERROR(INDEX('"INCC-FGV"'!$B$2:$B$800,MATCH(B32,'"INCC-FGV"'!$A$2:$A$800,0)),$K$2),$K$2)</f>
        <v>1.38984909271341</v>
      </c>
      <c r="M32" s="139" t="n">
        <f aca="false">'CP RESUMO'!AE15</f>
        <v>0</v>
      </c>
      <c r="N32" s="140" t="n">
        <f aca="false">MAX(0,M32-M31)</f>
        <v>0</v>
      </c>
      <c r="O32" s="139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162918.89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168410.19551618</v>
      </c>
      <c r="E33" s="45" t="n">
        <f aca="false">L33+D33/$K$2</f>
        <v>129.857062182022</v>
      </c>
      <c r="F33" s="117" t="n">
        <f aca="false">IF($K$9=0,0,E33/$K$9)</f>
        <v>0.0245092149390554</v>
      </c>
      <c r="G33" s="117" t="n">
        <f aca="false">G32+F33</f>
        <v>0.281925757817929</v>
      </c>
      <c r="H33" s="138" t="n">
        <v>169058.89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RESUMO'!AF15</f>
        <v>0</v>
      </c>
      <c r="N33" s="140" t="n">
        <f aca="false">MAX(0,M33-M32)</f>
        <v>0</v>
      </c>
      <c r="O33" s="139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169058.89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271962.027135587</v>
      </c>
      <c r="E34" s="45" t="n">
        <f aca="false">L34+D34/$K$2</f>
        <v>209.703395691988</v>
      </c>
      <c r="F34" s="117" t="n">
        <f aca="false">IF($K$9=0,0,E34/$K$9)</f>
        <v>0.0395794076356079</v>
      </c>
      <c r="G34" s="117" t="n">
        <f aca="false">G33+F34</f>
        <v>0.321505165453537</v>
      </c>
      <c r="H34" s="138" t="n">
        <v>273009.59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RESUMO'!AG15</f>
        <v>0</v>
      </c>
      <c r="N34" s="140" t="n">
        <f aca="false">MAX(0,M34-M33)</f>
        <v>0</v>
      </c>
      <c r="O34" s="139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273009.59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217568.175279927</v>
      </c>
      <c r="E35" s="45" t="n">
        <f aca="false">L35+D35/$K$2</f>
        <v>167.761601247236</v>
      </c>
      <c r="F35" s="117" t="n">
        <f aca="false">IF($K$9=0,0,E35/$K$9)</f>
        <v>0.0316633156056249</v>
      </c>
      <c r="G35" s="117" t="n">
        <f aca="false">G34+F35</f>
        <v>0.353168481059162</v>
      </c>
      <c r="H35" s="138" t="n">
        <v>218406.22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RESUMO'!AH15</f>
        <v>0</v>
      </c>
      <c r="N35" s="140" t="n">
        <f aca="false">MAX(0,M35-M34)</f>
        <v>0</v>
      </c>
      <c r="O35" s="139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218406.22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266245.02828228</v>
      </c>
      <c r="E36" s="45" t="n">
        <f aca="false">L36+D36/$K$2</f>
        <v>205.295155007314</v>
      </c>
      <c r="F36" s="117" t="n">
        <f aca="false">IF($K$9=0,0,E36/$K$9)</f>
        <v>0.0387473965256358</v>
      </c>
      <c r="G36" s="117" t="n">
        <f aca="false">G35+F36</f>
        <v>0.391915877584798</v>
      </c>
      <c r="H36" s="138" t="n">
        <v>267270.57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RESUMO'!AI15</f>
        <v>0</v>
      </c>
      <c r="N36" s="140" t="n">
        <f aca="false">MAX(0,M36-M35)</f>
        <v>0</v>
      </c>
      <c r="O36" s="139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267270.57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232367.171443857</v>
      </c>
      <c r="E37" s="45" t="n">
        <f aca="false">L37+D37/$K$2</f>
        <v>179.1727522123</v>
      </c>
      <c r="F37" s="117" t="n">
        <f aca="false">IF($K$9=0,0,E37/$K$9)</f>
        <v>0.0338170556256534</v>
      </c>
      <c r="G37" s="117" t="n">
        <f aca="false">G36+F37</f>
        <v>0.425732933210451</v>
      </c>
      <c r="H37" s="138" t="n">
        <v>233262.22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RESUMO'!AJ15</f>
        <v>0</v>
      </c>
      <c r="N37" s="140" t="n">
        <f aca="false">MAX(0,M37-M36)</f>
        <v>0</v>
      </c>
      <c r="O37" s="139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233262.22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228711.253570835</v>
      </c>
      <c r="E38" s="45" t="n">
        <f aca="false">L38+D38/$K$2</f>
        <v>176.353761633289</v>
      </c>
      <c r="F38" s="117" t="n">
        <f aca="false">IF($K$9=0,0,E38/$K$9)</f>
        <v>0.0332849994952344</v>
      </c>
      <c r="G38" s="117" t="n">
        <f aca="false">G37+F38</f>
        <v>0.459017932705686</v>
      </c>
      <c r="H38" s="138" t="n">
        <v>229592.22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RESUMO'!AK15</f>
        <v>0</v>
      </c>
      <c r="N38" s="140" t="n">
        <f aca="false">MAX(0,M38-M37)</f>
        <v>0</v>
      </c>
      <c r="O38" s="139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229592.22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HISTORICOS'!AL15)</f>
        <v>0</v>
      </c>
      <c r="D39" s="45" t="n">
        <f aca="false">IF(B39&lt;='VALOR POR PL'!$P$5,0,IF($K$17&gt;0,$K$18*P39/$K$17,0))</f>
        <v>285669.208828893</v>
      </c>
      <c r="E39" s="45" t="n">
        <f aca="false">L39+D39/$K$2</f>
        <v>220.272674707622</v>
      </c>
      <c r="F39" s="117" t="n">
        <f aca="false">IF($K$9=0,0,E39/$K$9)</f>
        <v>0.0415742527891346</v>
      </c>
      <c r="G39" s="117" t="n">
        <f aca="false">G38+F39</f>
        <v>0.50059218549482</v>
      </c>
      <c r="H39" s="138" t="n">
        <v>286769.57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RESUMO'!AL15</f>
        <v>0</v>
      </c>
      <c r="N39" s="140" t="n">
        <f aca="false">MAX(0,M39-M38)</f>
        <v>0</v>
      </c>
      <c r="O39" s="139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286769.57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325964.287352041</v>
      </c>
      <c r="E40" s="45" t="n">
        <f aca="false">L40+D40/$K$2</f>
        <v>251.343243216683</v>
      </c>
      <c r="F40" s="117" t="n">
        <f aca="false">IF($K$9=0,0,E40/$K$9)</f>
        <v>0.0474385102201228</v>
      </c>
      <c r="G40" s="117" t="n">
        <f aca="false">G39+F40</f>
        <v>0.548030695714943</v>
      </c>
      <c r="H40" s="138" t="n">
        <v>327219.86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RESUMO'!AM15</f>
        <v>0</v>
      </c>
      <c r="N40" s="140" t="n">
        <f aca="false">MAX(0,M40-M39)</f>
        <v>0</v>
      </c>
      <c r="O40" s="139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327219.86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HISTORICOS'!AN15)</f>
        <v>0</v>
      </c>
      <c r="D41" s="45" t="n">
        <f aca="false">IF(B41&lt;='VALOR POR PL'!$P$5,0,IF($K$17&gt;0,$K$18*P41/$K$17,0))</f>
        <v>262636.039643862</v>
      </c>
      <c r="E41" s="45" t="n">
        <f aca="false">L41+D41/$K$2</f>
        <v>202.512350435436</v>
      </c>
      <c r="F41" s="117" t="n">
        <f aca="false">IF($K$9=0,0,E41/$K$9)</f>
        <v>0.0382221701402588</v>
      </c>
      <c r="G41" s="117" t="n">
        <f aca="false">G40+F41</f>
        <v>0.586252865855202</v>
      </c>
      <c r="H41" s="138" t="n">
        <v>263647.68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RESUMO'!AN15</f>
        <v>0</v>
      </c>
      <c r="N41" s="140" t="n">
        <f aca="false">MAX(0,M41-M40)</f>
        <v>0</v>
      </c>
      <c r="O41" s="139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263647.68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244067.563035376</v>
      </c>
      <c r="E42" s="45" t="n">
        <f aca="false">L42+D42/$K$2</f>
        <v>188.194643516427</v>
      </c>
      <c r="F42" s="117" t="n">
        <f aca="false">IF($K$9=0,0,E42/$K$9)</f>
        <v>0.0355198469056511</v>
      </c>
      <c r="G42" s="117" t="n">
        <f aca="false">G41+F42</f>
        <v>0.621772712760853</v>
      </c>
      <c r="H42" s="138" t="n">
        <v>245007.68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RESUMO'!AO15</f>
        <v>0</v>
      </c>
      <c r="N42" s="140" t="n">
        <f aca="false">MAX(0,M42-M41)</f>
        <v>0</v>
      </c>
      <c r="O42" s="139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245007.68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248052.214668098</v>
      </c>
      <c r="E43" s="45" t="n">
        <f aca="false">L43+D43/$K$2</f>
        <v>191.267112812352</v>
      </c>
      <c r="F43" s="117" t="n">
        <f aca="false">IF($K$9=0,0,E43/$K$9)</f>
        <v>0.036099744595481</v>
      </c>
      <c r="G43" s="117" t="n">
        <f aca="false">G42+F43</f>
        <v>0.657872457356334</v>
      </c>
      <c r="H43" s="138" t="n">
        <v>249007.68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RESUMO'!AP15</f>
        <v>0</v>
      </c>
      <c r="N43" s="140" t="n">
        <f aca="false">MAX(0,M43-M42)</f>
        <v>0</v>
      </c>
      <c r="O43" s="139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249007.68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238768.972526764</v>
      </c>
      <c r="E44" s="45" t="n">
        <f aca="false">L44+D44/$K$2</f>
        <v>184.109027470172</v>
      </c>
      <c r="F44" s="117" t="n">
        <f aca="false">IF($K$9=0,0,E44/$K$9)</f>
        <v>0.0347487279525996</v>
      </c>
      <c r="G44" s="117" t="n">
        <f aca="false">G43+F44</f>
        <v>0.692621185308933</v>
      </c>
      <c r="H44" s="138" t="n">
        <v>239688.68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RESUMO'!AQ15</f>
        <v>0</v>
      </c>
      <c r="N44" s="140" t="n">
        <f aca="false">MAX(0,M44-M43)</f>
        <v>0</v>
      </c>
      <c r="O44" s="139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239688.68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249666.994742259</v>
      </c>
      <c r="E45" s="45" t="n">
        <f aca="false">L45+D45/$K$2</f>
        <v>192.512230994525</v>
      </c>
      <c r="F45" s="117" t="n">
        <f aca="false">IF($K$9=0,0,E45/$K$9)</f>
        <v>0.0363347481342846</v>
      </c>
      <c r="G45" s="117" t="n">
        <f aca="false">G44+F45</f>
        <v>0.728955933443218</v>
      </c>
      <c r="H45" s="138" t="n">
        <v>250628.68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RESUMO'!AR15</f>
        <v>0</v>
      </c>
      <c r="N45" s="140" t="n">
        <f aca="false">MAX(0,M45-M44)</f>
        <v>0</v>
      </c>
      <c r="O45" s="139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250628.68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HISTORICOS'!AS15)</f>
        <v>0</v>
      </c>
      <c r="D46" s="45" t="n">
        <f aca="false">IF(B46&lt;='VALOR POR PL'!$P$5,0,IF($K$17&gt;0,$K$18*P46/$K$17,0))</f>
        <v>262244.547620947</v>
      </c>
      <c r="E46" s="45" t="n">
        <f aca="false">L46+D46/$K$2</f>
        <v>202.210480327111</v>
      </c>
      <c r="F46" s="117" t="n">
        <f aca="false">IF($K$9=0,0,E46/$K$9)</f>
        <v>0.038165195192233</v>
      </c>
      <c r="G46" s="117" t="n">
        <f aca="false">G45+F46</f>
        <v>0.767121128635451</v>
      </c>
      <c r="H46" s="138" t="n">
        <v>263254.68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RESUMO'!AS15</f>
        <v>0</v>
      </c>
      <c r="N46" s="140" t="n">
        <f aca="false">MAX(0,M46-M45)</f>
        <v>0</v>
      </c>
      <c r="O46" s="139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263254.68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HISTORICOS'!AT15)</f>
        <v>0</v>
      </c>
      <c r="D47" s="45" t="n">
        <f aca="false">IF(B47&lt;='VALOR POR PL'!$P$5,0,IF($K$17&gt;0,$K$18*P47/$K$17,0))</f>
        <v>248790.989004063</v>
      </c>
      <c r="E47" s="45" t="n">
        <f aca="false">L47+D47/$K$2</f>
        <v>191.836763982163</v>
      </c>
      <c r="F47" s="117" t="n">
        <f aca="false">IF($K$9=0,0,E47/$K$9)</f>
        <v>0.036207260526664</v>
      </c>
      <c r="G47" s="117" t="n">
        <f aca="false">G46+F47</f>
        <v>0.803328389162115</v>
      </c>
      <c r="H47" s="138" t="n">
        <v>249749.3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RESUMO'!AT15</f>
        <v>0</v>
      </c>
      <c r="N47" s="140" t="n">
        <f aca="false">MAX(0,M47-M46)</f>
        <v>0</v>
      </c>
      <c r="O47" s="139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249749.3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HISTORICOS'!AU15)</f>
        <v>2846.91</v>
      </c>
      <c r="D48" s="45" t="n">
        <f aca="false">IF(B48&lt;='VALOR POR PL'!$P$5,0,IF($K$17&gt;0,$K$18*P48/$K$17,0))</f>
        <v>259864.943550772</v>
      </c>
      <c r="E48" s="45" t="n">
        <f aca="false">L48+D48/$K$2</f>
        <v>202.57080872054</v>
      </c>
      <c r="F48" s="117" t="n">
        <f aca="false">IF($K$9=0,0,E48/$K$9)</f>
        <v>0.0382332035538484</v>
      </c>
      <c r="G48" s="117" t="n">
        <f aca="false">G47+F48</f>
        <v>0.841561592715963</v>
      </c>
      <c r="H48" s="138" t="n">
        <v>260865.91</v>
      </c>
      <c r="L48" s="45" t="n">
        <f aca="false">C48/IF(B48&lt;='VALOR POR PL'!$P$5,IFERROR(INDEX('"INCC-FGV"'!$B$2:$B$800,MATCH(B48,'"INCC-FGV"'!$A$2:$A$800,0)),$K$2),$K$2)</f>
        <v>2.19518401343523</v>
      </c>
      <c r="M48" s="139" t="n">
        <f aca="false">'CP RESUMO'!AU15</f>
        <v>0</v>
      </c>
      <c r="N48" s="140" t="n">
        <f aca="false">MAX(0,M48-M47)</f>
        <v>0</v>
      </c>
      <c r="O48" s="139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260865.91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317466.778666163</v>
      </c>
      <c r="E49" s="45" t="n">
        <f aca="false">L49+D49/$K$2</f>
        <v>244.791018094966</v>
      </c>
      <c r="F49" s="117" t="n">
        <f aca="false">IF($K$9=0,0,E49/$K$9)</f>
        <v>0.046201843602699</v>
      </c>
      <c r="G49" s="117" t="n">
        <f aca="false">G48+F49</f>
        <v>0.887763436318662</v>
      </c>
      <c r="H49" s="138" t="n">
        <v>318689.62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RESUMO'!AV15</f>
        <v>0</v>
      </c>
      <c r="N49" s="140" t="n">
        <f aca="false">MAX(0,M49-M48)</f>
        <v>0</v>
      </c>
      <c r="O49" s="139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318689.62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209114.816534139</v>
      </c>
      <c r="E50" s="45" t="n">
        <f aca="false">L50+D50/$K$2</f>
        <v>161.243419085318</v>
      </c>
      <c r="F50" s="117" t="n">
        <f aca="false">IF($K$9=0,0,E50/$K$9)</f>
        <v>0.0304330742546044</v>
      </c>
      <c r="G50" s="117" t="n">
        <f aca="false">G49+F50</f>
        <v>0.918196510573267</v>
      </c>
      <c r="H50" s="138" t="n">
        <v>209920.3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RESUMO'!AW15</f>
        <v>0</v>
      </c>
      <c r="N50" s="140" t="n">
        <f aca="false">MAX(0,M50-M49)</f>
        <v>0</v>
      </c>
      <c r="O50" s="139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209920.3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232571.135799307</v>
      </c>
      <c r="E51" s="45" t="n">
        <f aca="false">L51+D51/$K$2</f>
        <v>179.330024234385</v>
      </c>
      <c r="F51" s="117" t="n">
        <f aca="false">IF($K$9=0,0,E51/$K$9)</f>
        <v>0.0338467391386516</v>
      </c>
      <c r="G51" s="117" t="n">
        <f aca="false">G50+F51</f>
        <v>0.952043249711918</v>
      </c>
      <c r="H51" s="138" t="n">
        <v>233466.97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RESUMO'!AX15</f>
        <v>0</v>
      </c>
      <c r="N51" s="140" t="n">
        <f aca="false">MAX(0,M51-M50)</f>
        <v>0</v>
      </c>
      <c r="O51" s="139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233466.97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18672.2767835184</v>
      </c>
      <c r="E52" s="45" t="n">
        <f aca="false">L52+D52/$K$2</f>
        <v>14.3977447441673</v>
      </c>
      <c r="F52" s="117" t="n">
        <f aca="false">IF($K$9=0,0,E52/$K$9)</f>
        <v>0.0027174295694278</v>
      </c>
      <c r="G52" s="117" t="n">
        <f aca="false">G51+F52</f>
        <v>0.954760679281346</v>
      </c>
      <c r="H52" s="138" t="n">
        <v>18744.2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RESUMO'!AY15</f>
        <v>0</v>
      </c>
      <c r="N52" s="140" t="n">
        <f aca="false">MAX(0,M52-M51)</f>
        <v>0</v>
      </c>
      <c r="O52" s="139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18744.2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108992.504843613</v>
      </c>
      <c r="E53" s="45" t="n">
        <f aca="false">L53+D53/$K$2</f>
        <v>84.0415061301414</v>
      </c>
      <c r="F53" s="117" t="n">
        <f aca="false">IF($K$9=0,0,E53/$K$9)</f>
        <v>0.015861989351479</v>
      </c>
      <c r="G53" s="117" t="n">
        <f aca="false">G52+F53</f>
        <v>0.970622668632825</v>
      </c>
      <c r="H53" s="138" t="n">
        <v>109412.33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RESUMO'!AZ15</f>
        <v>0</v>
      </c>
      <c r="N53" s="140" t="n">
        <f aca="false">MAX(0,M53-M52)</f>
        <v>0</v>
      </c>
      <c r="O53" s="139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109412.33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104031.613560874</v>
      </c>
      <c r="E54" s="45" t="n">
        <f aca="false">L54+D54/$K$2</f>
        <v>80.2162818567153</v>
      </c>
      <c r="F54" s="117" t="n">
        <f aca="false">IF($K$9=0,0,E54/$K$9)</f>
        <v>0.0151400167276407</v>
      </c>
      <c r="G54" s="117" t="n">
        <f aca="false">G53+F54</f>
        <v>0.985762685360466</v>
      </c>
      <c r="H54" s="138" t="n">
        <v>104432.33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RESUMO'!BA15</f>
        <v>0</v>
      </c>
      <c r="N54" s="140" t="n">
        <f aca="false">MAX(0,M54-M53)</f>
        <v>0</v>
      </c>
      <c r="O54" s="139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104432.33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85794.4208891322</v>
      </c>
      <c r="E55" s="45" t="n">
        <f aca="false">L55+D55/$K$2</f>
        <v>66.15402003497</v>
      </c>
      <c r="F55" s="117" t="n">
        <f aca="false">IF($K$9=0,0,E55/$K$9)</f>
        <v>0.0124859061869654</v>
      </c>
      <c r="G55" s="117" t="n">
        <f aca="false">G54+F55</f>
        <v>0.998248591547431</v>
      </c>
      <c r="H55" s="138" t="n">
        <v>86124.89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RESUMO'!BB15</f>
        <v>0</v>
      </c>
      <c r="N55" s="140" t="n">
        <f aca="false">MAX(0,M55-M54)</f>
        <v>0</v>
      </c>
      <c r="O55" s="139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86124.89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6327.89575674823</v>
      </c>
      <c r="E56" s="45" t="n">
        <f aca="false">L56+D56/$K$2</f>
        <v>4.87928863360567</v>
      </c>
      <c r="F56" s="117" t="n">
        <f aca="false">IF($K$9=0,0,E56/$K$9)</f>
        <v>0.00092091667454408</v>
      </c>
      <c r="G56" s="117" t="n">
        <f aca="false">G55+F56</f>
        <v>0.999169508221975</v>
      </c>
      <c r="H56" s="138" t="n">
        <v>6352.27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RESUMO'!BC15</f>
        <v>0</v>
      </c>
      <c r="N56" s="140" t="n">
        <f aca="false">MAX(0,M56-M55)</f>
        <v>0</v>
      </c>
      <c r="O56" s="139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6352.27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2853.27953301438</v>
      </c>
      <c r="E57" s="45" t="n">
        <f aca="false">L57+D57/$K$2</f>
        <v>2.20009540755946</v>
      </c>
      <c r="F57" s="117" t="n">
        <f aca="false">IF($K$9=0,0,E57/$K$9)</f>
        <v>0.000415245889012333</v>
      </c>
      <c r="G57" s="117" t="n">
        <f aca="false">G56+F57</f>
        <v>0.999584754110988</v>
      </c>
      <c r="H57" s="138" t="n">
        <v>2864.27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RESUMO'!BD15</f>
        <v>0</v>
      </c>
      <c r="N57" s="140" t="n">
        <f aca="false">MAX(0,M57-M56)</f>
        <v>0</v>
      </c>
      <c r="O57" s="139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2864.27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2853.27953301438</v>
      </c>
      <c r="E58" s="45" t="n">
        <f aca="false">L58+D58/$K$2</f>
        <v>2.20009540755946</v>
      </c>
      <c r="F58" s="117" t="n">
        <f aca="false">IF($K$9=0,0,E58/$K$9)</f>
        <v>0.000415245889012333</v>
      </c>
      <c r="G58" s="117" t="n">
        <f aca="false">G57+F58</f>
        <v>1</v>
      </c>
      <c r="H58" s="138" t="n">
        <v>2864.27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RESUMO'!BE15</f>
        <v>0</v>
      </c>
      <c r="N58" s="140" t="n">
        <f aca="false">MAX(0,M58-M57)</f>
        <v>0</v>
      </c>
      <c r="O58" s="139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2864.27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RESUMO'!BF15</f>
        <v>0</v>
      </c>
      <c r="N59" s="140" t="n">
        <f aca="false">MAX(0,M59-M58)</f>
        <v>0</v>
      </c>
      <c r="O59" s="139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RESUMO'!BG15</f>
        <v>0</v>
      </c>
      <c r="N60" s="140" t="n">
        <f aca="false">MAX(0,M60-M59)</f>
        <v>0</v>
      </c>
      <c r="O60" s="139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RESUMO'!BH15</f>
        <v>0</v>
      </c>
      <c r="N61" s="140" t="n">
        <f aca="false">MAX(0,M61-M60)</f>
        <v>0</v>
      </c>
      <c r="O61" s="139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RESUMO'!BI15</f>
        <v>0</v>
      </c>
      <c r="N62" s="140" t="n">
        <f aca="false">MAX(0,M62-M61)</f>
        <v>0</v>
      </c>
      <c r="O62" s="139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RESUMO'!BJ15</f>
        <v>0</v>
      </c>
      <c r="N63" s="140" t="n">
        <f aca="false">MAX(0,M63-M62)</f>
        <v>0</v>
      </c>
      <c r="O63" s="139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RESUMO'!BK15</f>
        <v>0</v>
      </c>
      <c r="N64" s="140" t="n">
        <f aca="false">MAX(0,M64-M63)</f>
        <v>0</v>
      </c>
      <c r="O64" s="139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RESUMO'!BL15</f>
        <v>0</v>
      </c>
      <c r="N65" s="140" t="n">
        <f aca="false">MAX(0,M65-M64)</f>
        <v>0</v>
      </c>
      <c r="O65" s="139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RESUMO'!BM15</f>
        <v>0</v>
      </c>
      <c r="N66" s="140" t="n">
        <f aca="false">MAX(0,M66-M65)</f>
        <v>0</v>
      </c>
      <c r="O66" s="139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RESUMO'!BN15</f>
        <v>0</v>
      </c>
      <c r="N67" s="140" t="n">
        <f aca="false">MAX(0,M67-M66)</f>
        <v>0</v>
      </c>
      <c r="O67" s="139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RESUMO'!BO15</f>
        <v>0</v>
      </c>
      <c r="N68" s="140" t="n">
        <f aca="false">MAX(0,M68-M67)</f>
        <v>0</v>
      </c>
      <c r="O68" s="139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RESUMO'!BP15</f>
        <v>0</v>
      </c>
      <c r="N69" s="140" t="n">
        <f aca="false">MAX(0,M69-M68)</f>
        <v>0</v>
      </c>
      <c r="O69" s="139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RESUMO'!BQ15</f>
        <v>0</v>
      </c>
      <c r="N70" s="140" t="n">
        <f aca="false">MAX(0,M70-M69)</f>
        <v>0</v>
      </c>
      <c r="O70" s="139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RESUMO'!BR15</f>
        <v>0</v>
      </c>
      <c r="N71" s="140" t="n">
        <f aca="false">MAX(0,M71-M70)</f>
        <v>0</v>
      </c>
      <c r="O71" s="139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RESUMO'!BS15</f>
        <v>0</v>
      </c>
      <c r="N72" s="140" t="n">
        <f aca="false">MAX(0,M72-M71)</f>
        <v>0</v>
      </c>
      <c r="O72" s="139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RESUMO'!BT15</f>
        <v>0</v>
      </c>
      <c r="N73" s="140" t="n">
        <f aca="false">MAX(0,M73-M72)</f>
        <v>0</v>
      </c>
      <c r="O73" s="139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RESUMO'!BU15</f>
        <v>0</v>
      </c>
      <c r="N74" s="140" t="n">
        <f aca="false">MAX(0,M74-M73)</f>
        <v>0</v>
      </c>
      <c r="O74" s="139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RESUMO'!BV15</f>
        <v>0</v>
      </c>
      <c r="N75" s="140" t="n">
        <f aca="false">MAX(0,M75-M74)</f>
        <v>0</v>
      </c>
      <c r="O75" s="139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RESUMO'!BW15</f>
        <v>0</v>
      </c>
      <c r="N76" s="140" t="n">
        <f aca="false">MAX(0,M76-M75)</f>
        <v>0</v>
      </c>
      <c r="O76" s="139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749102.79</v>
      </c>
      <c r="D78" s="61" t="n">
        <f aca="false">SUM(D5:D76)</f>
        <v>6105092.26722762</v>
      </c>
      <c r="E78" s="61" t="n">
        <f aca="false">SUM(E5:E76)</f>
        <v>5298.29545764417</v>
      </c>
      <c r="F78" s="145" t="n">
        <f aca="false">SUM(F5:F76)</f>
        <v>1</v>
      </c>
      <c r="H78" s="61" t="n">
        <f aca="false">SUM(H5:H76)</f>
        <v>6128608.3</v>
      </c>
      <c r="L78" s="61" t="n">
        <f aca="false">SUM(L5:L76)</f>
        <v>590.80525051957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PL'!F22</f>
        <v>175350.93</v>
      </c>
      <c r="K5" s="56" t="n">
        <f aca="false">'VALOR POR PL'!G22</f>
        <v>144.119392</v>
      </c>
      <c r="L5" s="56" t="n">
        <f aca="false">'DADOS HISTORICOS'!$BZ$16</f>
        <v>0</v>
      </c>
      <c r="M5" s="139" t="n">
        <f aca="false">'CP RESUMO'!D16</f>
        <v>0</v>
      </c>
      <c r="N5" s="140" t="n">
        <v>0</v>
      </c>
      <c r="O5" s="139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PL'!H22</f>
        <v>136.726941995109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RESUMO'!E16</f>
        <v>0</v>
      </c>
      <c r="N6" s="140" t="n">
        <f aca="false">MAX(0,M6-M5)</f>
        <v>0</v>
      </c>
      <c r="O6" s="139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170605.435110053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RESUMO'!F16</f>
        <v>0</v>
      </c>
      <c r="N7" s="140" t="n">
        <f aca="false">MAX(0,M7-M6)</f>
        <v>0</v>
      </c>
      <c r="O7" s="139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93.8887619290509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RESUMO'!G16</f>
        <v>0</v>
      </c>
      <c r="N8" s="140" t="n">
        <f aca="false">MAX(0,M8-M7)</f>
        <v>0</v>
      </c>
      <c r="O8" s="139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170605.435110053</v>
      </c>
      <c r="K9" s="45" t="n">
        <f aca="false">E78</f>
        <v>136.710001919561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RESUMO'!H16</f>
        <v>0</v>
      </c>
      <c r="N9" s="140" t="n">
        <f aca="false">MAX(0,M9-M8)</f>
        <v>0</v>
      </c>
      <c r="O9" s="139" t="n">
        <f aca="false">IF(B9&lt;='VALOR POR PL'!$P$5,'CP RESUMO'!H58,"")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42.8212399905104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RESUMO'!I16</f>
        <v>0</v>
      </c>
      <c r="N10" s="140" t="n">
        <f aca="false">MAX(0,M10-M9)</f>
        <v>0</v>
      </c>
      <c r="O10" s="139" t="n">
        <f aca="false">IF(B10&lt;='VALOR POR PL'!$P$5,'CP RESUMO'!I58,"")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HISTORICOS'!J16)</f>
        <v>29688.12</v>
      </c>
      <c r="D11" s="45" t="n">
        <f aca="false">IF(B11&lt;='VALOR POR PL'!$P$5,0,IF($K$17&gt;0,$K$18*P11/$K$17,0))</f>
        <v>0</v>
      </c>
      <c r="E11" s="45" t="n">
        <f aca="false">L11+D11/$K$2</f>
        <v>24.7502269678677</v>
      </c>
      <c r="F11" s="117" t="n">
        <f aca="false">IF($K$9=0,0,E11/$K$9)</f>
        <v>0.18104181567074</v>
      </c>
      <c r="G11" s="117" t="n">
        <f aca="false">G10+F11</f>
        <v>0.18104181567074</v>
      </c>
      <c r="H11" s="138"/>
      <c r="I11" s="42" t="s">
        <v>2926</v>
      </c>
      <c r="K11" s="56" t="n">
        <f aca="false">SUMPRODUCT((B5:B76&gt;'VALOR POR PL'!$P$5)*H5:H76)</f>
        <v>56654.6</v>
      </c>
      <c r="L11" s="45" t="n">
        <f aca="false">C11/IF(B11&lt;='VALOR POR PL'!$P$5,IFERROR(INDEX('"INCC-FGV"'!$B$2:$B$800,MATCH(B11,'"INCC-FGV"'!$A$2:$A$800,0)),$K$2),$K$2)</f>
        <v>24.7502269678677</v>
      </c>
      <c r="M11" s="139" t="n">
        <f aca="false">'CP RESUMO'!J16</f>
        <v>15.31</v>
      </c>
      <c r="N11" s="140" t="n">
        <f aca="false">MAX(0,M11-M10)</f>
        <v>15.31</v>
      </c>
      <c r="O11" s="139" t="n">
        <f aca="false">IF(B11&lt;='VALOR POR PL'!$P$5,'CP RESUMO'!J58,"")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HISTORICOS'!K16)</f>
        <v>5465.88</v>
      </c>
      <c r="D12" s="45" t="n">
        <f aca="false">IF(B12&lt;='VALOR POR PL'!$P$5,0,IF($K$17&gt;0,$K$18*P12/$K$17,0))</f>
        <v>0</v>
      </c>
      <c r="E12" s="45" t="n">
        <f aca="false">L12+D12/$K$2</f>
        <v>4.51549851256247</v>
      </c>
      <c r="F12" s="117" t="n">
        <f aca="false">IF($K$9=0,0,E12/$K$9)</f>
        <v>0.03302975970419</v>
      </c>
      <c r="G12" s="117" t="n">
        <f aca="false">G11+F12</f>
        <v>0.21407157537493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4.51549851256247</v>
      </c>
      <c r="M12" s="139" t="n">
        <f aca="false">'CP RESUMO'!K16</f>
        <v>100</v>
      </c>
      <c r="N12" s="140" t="n">
        <f aca="false">MAX(0,M12-M11)</f>
        <v>84.69</v>
      </c>
      <c r="O12" s="139" t="n">
        <f aca="false">IF(B12&lt;='VALOR POR PL'!$P$5,'CP RESUMO'!K58,"")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0.21407157537493</v>
      </c>
      <c r="H13" s="138"/>
      <c r="I13" s="42" t="s">
        <v>2928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RESUMO'!L16</f>
        <v>100</v>
      </c>
      <c r="N13" s="140" t="n">
        <f aca="false">MAX(0,M13-M12)</f>
        <v>0</v>
      </c>
      <c r="O13" s="139" t="n">
        <f aca="false">IF(B13&lt;='VALOR POR PL'!$P$5,'CP RESUMO'!L58,"")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HISTORICOS'!M16)</f>
        <v>15003.12</v>
      </c>
      <c r="D14" s="45" t="n">
        <f aca="false">IF(B14&lt;='VALOR POR PL'!$P$5,0,IF($K$17&gt;0,$K$18*P14/$K$17,0))</f>
        <v>0</v>
      </c>
      <c r="E14" s="45" t="n">
        <f aca="false">L14+D14/$K$2</f>
        <v>12.3102826099264</v>
      </c>
      <c r="F14" s="117" t="n">
        <f aca="false">IF($K$9=0,0,E14/$K$9)</f>
        <v>0.0900466859562307</v>
      </c>
      <c r="G14" s="117" t="n">
        <f aca="false">G13+F14</f>
        <v>0.30411826133116</v>
      </c>
      <c r="H14" s="138"/>
      <c r="I14" s="42" t="s">
        <v>2929</v>
      </c>
      <c r="K14" s="58" t="n">
        <f aca="false">IFERROR(INDEX('CP RESUMO'!$D$58:$BW$58,MATCH('VALOR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12.3102826099264</v>
      </c>
      <c r="M14" s="139" t="n">
        <f aca="false">'CP RESUMO'!M16</f>
        <v>100</v>
      </c>
      <c r="N14" s="140" t="n">
        <f aca="false">MAX(0,M14-M13)</f>
        <v>0</v>
      </c>
      <c r="O14" s="139" t="n">
        <f aca="false">IF(B14&lt;='VALOR POR PL'!$P$5,'CP RESUMO'!M58,"")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HISTORICOS'!N16)</f>
        <v>8525.88</v>
      </c>
      <c r="D15" s="45" t="n">
        <f aca="false">IF(B15&lt;='VALOR POR PL'!$P$5,0,IF($K$17&gt;0,$K$18*P15/$K$17,0))</f>
        <v>0</v>
      </c>
      <c r="E15" s="45" t="n">
        <f aca="false">L15+D15/$K$2</f>
        <v>6.97495655930024</v>
      </c>
      <c r="F15" s="117" t="n">
        <f aca="false">IF($K$9=0,0,E15/$K$9)</f>
        <v>0.05102008968886</v>
      </c>
      <c r="G15" s="117" t="n">
        <f aca="false">G14+F15</f>
        <v>0.35513835102002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6.97495655930024</v>
      </c>
      <c r="M15" s="139" t="n">
        <f aca="false">'CP RESUMO'!N16</f>
        <v>100</v>
      </c>
      <c r="N15" s="140" t="n">
        <f aca="false">MAX(0,M15-M14)</f>
        <v>0</v>
      </c>
      <c r="O15" s="139" t="n">
        <f aca="false">IF(B15&lt;='VALOR POR PL'!$P$5,'CP RESUMO'!N58,"")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HISTORICOS'!O16)</f>
        <v>9755.94</v>
      </c>
      <c r="D16" s="45" t="n">
        <f aca="false">IF(B16&lt;='VALOR POR PL'!$P$5,0,IF($K$17&gt;0,$K$18*P16/$K$17,0))</f>
        <v>0</v>
      </c>
      <c r="E16" s="45" t="n">
        <f aca="false">L16+D16/$K$2</f>
        <v>7.95991948650208</v>
      </c>
      <c r="F16" s="117" t="n">
        <f aca="false">IF($K$9=0,0,E16/$K$9)</f>
        <v>0.0582248509599584</v>
      </c>
      <c r="G16" s="117" t="n">
        <f aca="false">G15+F16</f>
        <v>0.413363201979979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7.95991948650208</v>
      </c>
      <c r="M16" s="139" t="n">
        <f aca="false">'CP RESUMO'!O16</f>
        <v>100</v>
      </c>
      <c r="N16" s="140" t="n">
        <f aca="false">MAX(0,M16-M15)</f>
        <v>0</v>
      </c>
      <c r="O16" s="139" t="n">
        <f aca="false">IF(B16&lt;='VALOR POR PL'!$P$5,'CP RESUMO'!O58,"")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HISTORICOS'!P16)</f>
        <v>13712.62</v>
      </c>
      <c r="D17" s="45" t="n">
        <f aca="false">IF(B17&lt;='VALOR POR PL'!$P$5,0,IF($K$17&gt;0,$K$18*P17/$K$17,0))</f>
        <v>0</v>
      </c>
      <c r="E17" s="45" t="n">
        <f aca="false">L17+D17/$K$2</f>
        <v>11.1651648277384</v>
      </c>
      <c r="F17" s="117" t="n">
        <f aca="false">IF($K$9=0,0,E17/$K$9)</f>
        <v>0.0816704313581083</v>
      </c>
      <c r="G17" s="117" t="n">
        <f aca="false">G16+F17</f>
        <v>0.495033633338087</v>
      </c>
      <c r="H17" s="138"/>
      <c r="I17" s="42" t="s">
        <v>2933</v>
      </c>
      <c r="K17" s="45" t="n">
        <f aca="false">SUM(P5:P76)</f>
        <v>56654.6</v>
      </c>
      <c r="L17" s="45" t="n">
        <f aca="false">C17/IF(B17&lt;='VALOR POR PL'!$P$5,IFERROR(INDEX('"INCC-FGV"'!$B$2:$B$800,MATCH(B17,'"INCC-FGV"'!$A$2:$A$800,0)),$K$2),$K$2)</f>
        <v>11.1651648277384</v>
      </c>
      <c r="M17" s="139" t="n">
        <f aca="false">'CP RESUMO'!P16</f>
        <v>100</v>
      </c>
      <c r="N17" s="140" t="n">
        <f aca="false">MAX(0,M17-M16)</f>
        <v>0</v>
      </c>
      <c r="O17" s="139" t="n">
        <f aca="false">IF(B17&lt;='VALOR POR PL'!$P$5,'CP RESUMO'!P58,"")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HISTORICOS'!Q16)</f>
        <v>9641.44</v>
      </c>
      <c r="D18" s="45" t="n">
        <f aca="false">IF(B18&lt;='VALOR POR PL'!$P$5,0,IF($K$17&gt;0,$K$18*P18/$K$17,0))</f>
        <v>0</v>
      </c>
      <c r="E18" s="45" t="n">
        <f aca="false">L18+D18/$K$2</f>
        <v>7.79398497699339</v>
      </c>
      <c r="F18" s="117" t="n">
        <f aca="false">IF($K$9=0,0,E18/$K$9)</f>
        <v>0.0570110808833087</v>
      </c>
      <c r="G18" s="117" t="n">
        <f aca="false">G17+F18</f>
        <v>0.552044714221396</v>
      </c>
      <c r="H18" s="138"/>
      <c r="I18" s="42" t="s">
        <v>2934</v>
      </c>
      <c r="K18" s="45" t="n">
        <f aca="false">MAX(0,K10)*$K$2</f>
        <v>55534.3951100531</v>
      </c>
      <c r="L18" s="45" t="n">
        <f aca="false">C18/IF(B18&lt;='VALOR POR PL'!$P$5,IFERROR(INDEX('"INCC-FGV"'!$B$2:$B$800,MATCH(B18,'"INCC-FGV"'!$A$2:$A$800,0)),$K$2),$K$2)</f>
        <v>7.79398497699339</v>
      </c>
      <c r="M18" s="139" t="n">
        <f aca="false">'CP RESUMO'!Q16</f>
        <v>100</v>
      </c>
      <c r="N18" s="140" t="n">
        <f aca="false">MAX(0,M18-M17)</f>
        <v>0</v>
      </c>
      <c r="O18" s="139" t="n">
        <f aca="false">IF(B18&lt;='VALOR POR PL'!$P$5,'CP RESUMO'!Q58,"")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HISTORICOS'!R16)</f>
        <v>1604.07</v>
      </c>
      <c r="D19" s="45" t="n">
        <f aca="false">IF(B19&lt;='VALOR POR PL'!$P$5,0,IF($K$17&gt;0,$K$18*P19/$K$17,0))</f>
        <v>0</v>
      </c>
      <c r="E19" s="45" t="n">
        <f aca="false">L19+D19/$K$2</f>
        <v>1.29310323979166</v>
      </c>
      <c r="F19" s="117" t="n">
        <f aca="false">IF($K$9=0,0,E19/$K$9)</f>
        <v>0.00945873177993597</v>
      </c>
      <c r="G19" s="117" t="n">
        <f aca="false">G18+F19</f>
        <v>0.561503446001332</v>
      </c>
      <c r="H19" s="138"/>
      <c r="I19" s="42" t="s">
        <v>2935</v>
      </c>
      <c r="K19" s="142" t="n">
        <f aca="false">IF(AND(K16="PREVISÃO INFORMADA",K11&gt;0),K18/K11-1,"")</f>
        <v>-0.0197725319735191</v>
      </c>
      <c r="L19" s="45" t="n">
        <f aca="false">C19/IF(B19&lt;='VALOR POR PL'!$P$5,IFERROR(INDEX('"INCC-FGV"'!$B$2:$B$800,MATCH(B19,'"INCC-FGV"'!$A$2:$A$800,0)),$K$2),$K$2)</f>
        <v>1.29310323979166</v>
      </c>
      <c r="M19" s="139" t="n">
        <f aca="false">'CP RESUMO'!R16</f>
        <v>100</v>
      </c>
      <c r="N19" s="140" t="n">
        <f aca="false">MAX(0,M19-M18)</f>
        <v>0</v>
      </c>
      <c r="O19" s="139" t="n">
        <f aca="false">IF(B19&lt;='VALOR POR PL'!$P$5,'CP RESUMO'!R58,"")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HISTORICOS'!S16)</f>
        <v>10302.97</v>
      </c>
      <c r="D20" s="45" t="n">
        <f aca="false">IF(B20&lt;='VALOR POR PL'!$P$5,0,IF($K$17&gt;0,$K$18*P20/$K$17,0))</f>
        <v>0</v>
      </c>
      <c r="E20" s="45" t="n">
        <f aca="false">L20+D20/$K$2</f>
        <v>8.26100622123012</v>
      </c>
      <c r="F20" s="117" t="n">
        <f aca="false">IF($K$9=0,0,E20/$K$9)</f>
        <v>0.0604272262836395</v>
      </c>
      <c r="G20" s="117" t="n">
        <f aca="false">G19+F20</f>
        <v>0.621930672284971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8.26100622123012</v>
      </c>
      <c r="M20" s="139" t="n">
        <f aca="false">'CP RESUMO'!S16</f>
        <v>100</v>
      </c>
      <c r="N20" s="140" t="n">
        <f aca="false">MAX(0,M20-M19)</f>
        <v>0</v>
      </c>
      <c r="O20" s="139" t="n">
        <f aca="false">IF(B20&lt;='VALOR POR PL'!$P$5,'CP RESUMO'!S58,"")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HISTORICOS'!T16)</f>
        <v>3859.6</v>
      </c>
      <c r="D21" s="45" t="n">
        <f aca="false">IF(B21&lt;='VALOR POR PL'!$P$5,0,IF($K$17&gt;0,$K$18*P21/$K$17,0))</f>
        <v>0</v>
      </c>
      <c r="E21" s="45" t="n">
        <f aca="false">L21+D21/$K$2</f>
        <v>3.06402085655403</v>
      </c>
      <c r="F21" s="117" t="n">
        <f aca="false">IF($K$9=0,0,E21/$K$9)</f>
        <v>0.0224125580684058</v>
      </c>
      <c r="G21" s="117" t="n">
        <f aca="false">G20+F21</f>
        <v>0.644343230353377</v>
      </c>
      <c r="H21" s="138"/>
      <c r="K21" s="143"/>
      <c r="L21" s="45" t="n">
        <f aca="false">C21/IF(B21&lt;='VALOR POR PL'!$P$5,IFERROR(INDEX('"INCC-FGV"'!$B$2:$B$800,MATCH(B21,'"INCC-FGV"'!$A$2:$A$800,0)),$K$2),$K$2)</f>
        <v>3.06402085655403</v>
      </c>
      <c r="M21" s="139" t="n">
        <f aca="false">'CP RESUMO'!T16</f>
        <v>100</v>
      </c>
      <c r="N21" s="140" t="n">
        <f aca="false">MAX(0,M21-M20)</f>
        <v>0</v>
      </c>
      <c r="O21" s="139" t="n">
        <f aca="false">IF(B21&lt;='VALOR POR PL'!$P$5,'CP RESUMO'!T58,"")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HISTORICOS'!U16)</f>
        <v>140.4</v>
      </c>
      <c r="D22" s="45" t="n">
        <f aca="false">IF(B22&lt;='VALOR POR PL'!$P$5,0,IF($K$17&gt;0,$K$18*P22/$K$17,0))</f>
        <v>0</v>
      </c>
      <c r="E22" s="45" t="n">
        <f aca="false">L22+D22/$K$2</f>
        <v>0.110490715710694</v>
      </c>
      <c r="F22" s="117" t="n">
        <f aca="false">IF($K$9=0,0,E22/$K$9)</f>
        <v>0.000808212377728627</v>
      </c>
      <c r="G22" s="117" t="n">
        <f aca="false">G21+F22</f>
        <v>0.645151442731106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0.110490715710694</v>
      </c>
      <c r="M22" s="139" t="n">
        <f aca="false">'CP RESUMO'!U16</f>
        <v>100</v>
      </c>
      <c r="N22" s="140" t="n">
        <f aca="false">MAX(0,M22-M21)</f>
        <v>0</v>
      </c>
      <c r="O22" s="139" t="n">
        <f aca="false">IF(B22&lt;='VALOR POR PL'!$P$5,'CP RESUMO'!U58,"")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HISTORICOS'!V16)</f>
        <v>665</v>
      </c>
      <c r="D23" s="45" t="n">
        <f aca="false">IF(B23&lt;='VALOR POR PL'!$P$5,0,IF($K$17&gt;0,$K$18*P23/$K$17,0))</f>
        <v>0</v>
      </c>
      <c r="E23" s="45" t="n">
        <f aca="false">L23+D23/$K$2</f>
        <v>0.519271208715011</v>
      </c>
      <c r="F23" s="117" t="n">
        <f aca="false">IF($K$9=0,0,E23/$K$9)</f>
        <v>0.00379834102424009</v>
      </c>
      <c r="G23" s="117" t="n">
        <f aca="false">G22+F23</f>
        <v>0.648949783755346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0.519271208715011</v>
      </c>
      <c r="M23" s="139" t="n">
        <f aca="false">'CP RESUMO'!V16</f>
        <v>100</v>
      </c>
      <c r="N23" s="140" t="n">
        <f aca="false">MAX(0,M23-M22)</f>
        <v>0</v>
      </c>
      <c r="O23" s="139" t="n">
        <f aca="false">IF(B23&lt;='VALOR POR PL'!$P$5,'CP RESUMO'!V58,"")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0.648949783755346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RESUMO'!W16</f>
        <v>100</v>
      </c>
      <c r="N24" s="140" t="n">
        <f aca="false">MAX(0,M24-M23)</f>
        <v>0</v>
      </c>
      <c r="O24" s="139" t="n">
        <f aca="false">IF(B24&lt;='VALOR POR PL'!$P$5,'CP RESUMO'!W58,"")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0.648949783755346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RESUMO'!X16</f>
        <v>100</v>
      </c>
      <c r="N25" s="140" t="n">
        <f aca="false">MAX(0,M25-M24)</f>
        <v>0</v>
      </c>
      <c r="O25" s="139" t="n">
        <f aca="false">IF(B25&lt;='VALOR POR PL'!$P$5,'CP RESUMO'!X58,"")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0.648949783755346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RESUMO'!Y16</f>
        <v>100</v>
      </c>
      <c r="N26" s="140" t="n">
        <f aca="false">MAX(0,M26-M25)</f>
        <v>0</v>
      </c>
      <c r="O26" s="139" t="str">
        <f aca="false">IF(B26&lt;='VALOR POR PL'!$P$5,'CP RESUMO'!Y58,"")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0.648949783755346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RESUMO'!Z16</f>
        <v>100</v>
      </c>
      <c r="N27" s="140" t="n">
        <f aca="false">MAX(0,M27-M26)</f>
        <v>0</v>
      </c>
      <c r="O27" s="139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HISTORICOS'!AA16)</f>
        <v>3801</v>
      </c>
      <c r="D28" s="45" t="n">
        <f aca="false">IF(B28&lt;='VALOR POR PL'!$P$5,0,IF($K$17&gt;0,$K$18*P28/$K$17,0))</f>
        <v>0</v>
      </c>
      <c r="E28" s="45" t="n">
        <f aca="false">L28+D28/$K$2</f>
        <v>2.93085992710247</v>
      </c>
      <c r="F28" s="117" t="n">
        <f aca="false">IF($K$9=0,0,E28/$K$9)</f>
        <v>0.0214385186595708</v>
      </c>
      <c r="G28" s="117" t="n">
        <f aca="false">G27+F28</f>
        <v>0.670388302414916</v>
      </c>
      <c r="H28" s="138"/>
      <c r="L28" s="45" t="n">
        <f aca="false">C28/IF(B28&lt;='VALOR POR PL'!$P$5,IFERROR(INDEX('"INCC-FGV"'!$B$2:$B$800,MATCH(B28,'"INCC-FGV"'!$A$2:$A$800,0)),$K$2),$K$2)</f>
        <v>2.93085992710247</v>
      </c>
      <c r="M28" s="139" t="n">
        <f aca="false">'CP RESUMO'!AA16</f>
        <v>100</v>
      </c>
      <c r="N28" s="140" t="n">
        <f aca="false">MAX(0,M28-M27)</f>
        <v>0</v>
      </c>
      <c r="O28" s="139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0.670388302414916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RESUMO'!AB16</f>
        <v>100</v>
      </c>
      <c r="N29" s="140" t="n">
        <f aca="false">MAX(0,M29-M28)</f>
        <v>0</v>
      </c>
      <c r="O29" s="139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0.670388302414916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RESUMO'!AC16</f>
        <v>100</v>
      </c>
      <c r="N30" s="140" t="n">
        <f aca="false">MAX(0,M30-M29)</f>
        <v>0</v>
      </c>
      <c r="O30" s="139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0.670388302414916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RESUMO'!AD16</f>
        <v>100</v>
      </c>
      <c r="N31" s="140" t="n">
        <f aca="false">MAX(0,M31-M30)</f>
        <v>0</v>
      </c>
      <c r="O31" s="139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0.670388302414916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RESUMO'!AE16</f>
        <v>100</v>
      </c>
      <c r="N32" s="140" t="n">
        <f aca="false">MAX(0,M32-M31)</f>
        <v>0</v>
      </c>
      <c r="O32" s="139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55534.3951100531</v>
      </c>
      <c r="E33" s="45" t="n">
        <f aca="false">L33+D33/$K$2</f>
        <v>42.8212399905104</v>
      </c>
      <c r="F33" s="117" t="n">
        <f aca="false">IF($K$9=0,0,E33/$K$9)</f>
        <v>0.313226826049684</v>
      </c>
      <c r="G33" s="117" t="n">
        <f aca="false">G32+F33</f>
        <v>0.983615128464601</v>
      </c>
      <c r="H33" s="138" t="n">
        <v>56654.6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RESUMO'!AF16</f>
        <v>100</v>
      </c>
      <c r="N33" s="140" t="n">
        <f aca="false">MAX(0,M33-M32)</f>
        <v>0</v>
      </c>
      <c r="O33" s="139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56654.6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0.983615128464601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RESUMO'!AG16</f>
        <v>100</v>
      </c>
      <c r="N34" s="140" t="n">
        <f aca="false">MAX(0,M34-M33)</f>
        <v>0</v>
      </c>
      <c r="O34" s="139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0.983615128464601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RESUMO'!AH16</f>
        <v>100</v>
      </c>
      <c r="N35" s="140" t="n">
        <f aca="false">MAX(0,M35-M34)</f>
        <v>0</v>
      </c>
      <c r="O35" s="139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0.983615128464601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RESUMO'!AI16</f>
        <v>100</v>
      </c>
      <c r="N36" s="140" t="n">
        <f aca="false">MAX(0,M36-M35)</f>
        <v>0</v>
      </c>
      <c r="O36" s="139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0.983615128464601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RESUMO'!AJ16</f>
        <v>100</v>
      </c>
      <c r="N37" s="140" t="n">
        <f aca="false">MAX(0,M37-M36)</f>
        <v>0</v>
      </c>
      <c r="O37" s="139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0.983615128464601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RESUMO'!AK16</f>
        <v>100</v>
      </c>
      <c r="N38" s="140" t="n">
        <f aca="false">MAX(0,M38-M37)</f>
        <v>0</v>
      </c>
      <c r="O38" s="139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HISTORICOS'!AL16)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0.983615128464601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RESUMO'!AL16</f>
        <v>100</v>
      </c>
      <c r="N39" s="140" t="n">
        <f aca="false">MAX(0,M39-M38)</f>
        <v>0</v>
      </c>
      <c r="O39" s="139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0.983615128464601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RESUMO'!AM16</f>
        <v>100</v>
      </c>
      <c r="N40" s="140" t="n">
        <f aca="false">MAX(0,M40-M39)</f>
        <v>0</v>
      </c>
      <c r="O40" s="139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HISTORICOS'!AN16)</f>
        <v>2905</v>
      </c>
      <c r="D41" s="45" t="n">
        <f aca="false">IF(B41&lt;='VALOR POR PL'!$P$5,0,IF($K$17&gt;0,$K$18*P41/$K$17,0))</f>
        <v>0</v>
      </c>
      <c r="E41" s="45" t="n">
        <f aca="false">L41+D41/$K$2</f>
        <v>2.23997581905622</v>
      </c>
      <c r="F41" s="117" t="n">
        <f aca="false">IF($K$9=0,0,E41/$K$9)</f>
        <v>0.0163848715353994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2.23997581905622</v>
      </c>
      <c r="M41" s="139" t="n">
        <f aca="false">'CP RESUMO'!AN16</f>
        <v>100</v>
      </c>
      <c r="N41" s="140" t="n">
        <f aca="false">MAX(0,M41-M40)</f>
        <v>0</v>
      </c>
      <c r="O41" s="139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RESUMO'!AO16</f>
        <v>100</v>
      </c>
      <c r="N42" s="140" t="n">
        <f aca="false">MAX(0,M42-M41)</f>
        <v>0</v>
      </c>
      <c r="O42" s="139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RESUMO'!AP16</f>
        <v>100</v>
      </c>
      <c r="N43" s="140" t="n">
        <f aca="false">MAX(0,M43-M42)</f>
        <v>0</v>
      </c>
      <c r="O43" s="139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RESUMO'!AQ16</f>
        <v>100</v>
      </c>
      <c r="N44" s="140" t="n">
        <f aca="false">MAX(0,M44-M43)</f>
        <v>0</v>
      </c>
      <c r="O44" s="139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RESUMO'!AR16</f>
        <v>100</v>
      </c>
      <c r="N45" s="140" t="n">
        <f aca="false">MAX(0,M45-M44)</f>
        <v>0</v>
      </c>
      <c r="O45" s="139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RESUMO'!AS16</f>
        <v>100</v>
      </c>
      <c r="N46" s="140" t="n">
        <f aca="false">MAX(0,M46-M45)</f>
        <v>0</v>
      </c>
      <c r="O46" s="139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RESUMO'!AT16</f>
        <v>100</v>
      </c>
      <c r="N47" s="140" t="n">
        <f aca="false">MAX(0,M47-M46)</f>
        <v>0</v>
      </c>
      <c r="O47" s="139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RESUMO'!AU16</f>
        <v>100</v>
      </c>
      <c r="N48" s="140" t="n">
        <f aca="false">MAX(0,M48-M47)</f>
        <v>0</v>
      </c>
      <c r="O48" s="139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RESUMO'!AV16</f>
        <v>100</v>
      </c>
      <c r="N49" s="140" t="n">
        <f aca="false">MAX(0,M49-M48)</f>
        <v>0</v>
      </c>
      <c r="O49" s="139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RESUMO'!AW16</f>
        <v>100</v>
      </c>
      <c r="N50" s="140" t="n">
        <f aca="false">MAX(0,M50-M49)</f>
        <v>0</v>
      </c>
      <c r="O50" s="139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RESUMO'!AX16</f>
        <v>100</v>
      </c>
      <c r="N51" s="140" t="n">
        <f aca="false">MAX(0,M51-M50)</f>
        <v>0</v>
      </c>
      <c r="O51" s="139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RESUMO'!AY16</f>
        <v>100</v>
      </c>
      <c r="N52" s="140" t="n">
        <f aca="false">MAX(0,M52-M51)</f>
        <v>0</v>
      </c>
      <c r="O52" s="139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RESUMO'!AZ16</f>
        <v>100</v>
      </c>
      <c r="N53" s="140" t="n">
        <f aca="false">MAX(0,M53-M52)</f>
        <v>0</v>
      </c>
      <c r="O53" s="139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RESUMO'!BA16</f>
        <v>100</v>
      </c>
      <c r="N54" s="140" t="n">
        <f aca="false">MAX(0,M54-M53)</f>
        <v>0</v>
      </c>
      <c r="O54" s="139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RESUMO'!BB16</f>
        <v>100</v>
      </c>
      <c r="N55" s="140" t="n">
        <f aca="false">MAX(0,M55-M54)</f>
        <v>0</v>
      </c>
      <c r="O55" s="139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RESUMO'!BC16</f>
        <v>100</v>
      </c>
      <c r="N56" s="140" t="n">
        <f aca="false">MAX(0,M56-M55)</f>
        <v>0</v>
      </c>
      <c r="O56" s="139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RESUMO'!BD16</f>
        <v>100</v>
      </c>
      <c r="N57" s="140" t="n">
        <f aca="false">MAX(0,M57-M56)</f>
        <v>0</v>
      </c>
      <c r="O57" s="139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RESUMO'!BE16</f>
        <v>100</v>
      </c>
      <c r="N58" s="140" t="n">
        <f aca="false">MAX(0,M58-M57)</f>
        <v>0</v>
      </c>
      <c r="O58" s="139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RESUMO'!BF16</f>
        <v>100</v>
      </c>
      <c r="N59" s="140" t="n">
        <f aca="false">MAX(0,M59-M58)</f>
        <v>0</v>
      </c>
      <c r="O59" s="139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RESUMO'!BG16</f>
        <v>100</v>
      </c>
      <c r="N60" s="140" t="n">
        <f aca="false">MAX(0,M60-M59)</f>
        <v>0</v>
      </c>
      <c r="O60" s="139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RESUMO'!BH16</f>
        <v>100</v>
      </c>
      <c r="N61" s="140" t="n">
        <f aca="false">MAX(0,M61-M60)</f>
        <v>0</v>
      </c>
      <c r="O61" s="139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RESUMO'!BI16</f>
        <v>100</v>
      </c>
      <c r="N62" s="140" t="n">
        <f aca="false">MAX(0,M62-M61)</f>
        <v>0</v>
      </c>
      <c r="O62" s="139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RESUMO'!BJ16</f>
        <v>100</v>
      </c>
      <c r="N63" s="140" t="n">
        <f aca="false">MAX(0,M63-M62)</f>
        <v>0</v>
      </c>
      <c r="O63" s="139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RESUMO'!BK16</f>
        <v>100</v>
      </c>
      <c r="N64" s="140" t="n">
        <f aca="false">MAX(0,M64-M63)</f>
        <v>0</v>
      </c>
      <c r="O64" s="139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RESUMO'!BL16</f>
        <v>100</v>
      </c>
      <c r="N65" s="140" t="n">
        <f aca="false">MAX(0,M65-M64)</f>
        <v>0</v>
      </c>
      <c r="O65" s="139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RESUMO'!BM16</f>
        <v>100</v>
      </c>
      <c r="N66" s="140" t="n">
        <f aca="false">MAX(0,M66-M65)</f>
        <v>0</v>
      </c>
      <c r="O66" s="139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RESUMO'!BN16</f>
        <v>100</v>
      </c>
      <c r="N67" s="140" t="n">
        <f aca="false">MAX(0,M67-M66)</f>
        <v>0</v>
      </c>
      <c r="O67" s="139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RESUMO'!BO16</f>
        <v>100</v>
      </c>
      <c r="N68" s="140" t="n">
        <f aca="false">MAX(0,M68-M67)</f>
        <v>0</v>
      </c>
      <c r="O68" s="139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RESUMO'!BP16</f>
        <v>100</v>
      </c>
      <c r="N69" s="140" t="n">
        <f aca="false">MAX(0,M69-M68)</f>
        <v>0</v>
      </c>
      <c r="O69" s="139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RESUMO'!BQ16</f>
        <v>100</v>
      </c>
      <c r="N70" s="140" t="n">
        <f aca="false">MAX(0,M70-M69)</f>
        <v>0</v>
      </c>
      <c r="O70" s="139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RESUMO'!BR16</f>
        <v>100</v>
      </c>
      <c r="N71" s="140" t="n">
        <f aca="false">MAX(0,M71-M70)</f>
        <v>0</v>
      </c>
      <c r="O71" s="139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RESUMO'!BS16</f>
        <v>100</v>
      </c>
      <c r="N72" s="140" t="n">
        <f aca="false">MAX(0,M72-M71)</f>
        <v>0</v>
      </c>
      <c r="O72" s="139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RESUMO'!BT16</f>
        <v>100</v>
      </c>
      <c r="N73" s="140" t="n">
        <f aca="false">MAX(0,M73-M72)</f>
        <v>0</v>
      </c>
      <c r="O73" s="139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RESUMO'!BU16</f>
        <v>100</v>
      </c>
      <c r="N74" s="140" t="n">
        <f aca="false">MAX(0,M74-M73)</f>
        <v>0</v>
      </c>
      <c r="O74" s="139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RESUMO'!BV16</f>
        <v>100</v>
      </c>
      <c r="N75" s="140" t="n">
        <f aca="false">MAX(0,M75-M74)</f>
        <v>0</v>
      </c>
      <c r="O75" s="139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RESUMO'!BW16</f>
        <v>100</v>
      </c>
      <c r="N76" s="140" t="n">
        <f aca="false">MAX(0,M76-M75)</f>
        <v>0</v>
      </c>
      <c r="O76" s="139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115071.04</v>
      </c>
      <c r="D78" s="61" t="n">
        <f aca="false">SUM(D5:D76)</f>
        <v>55534.3951100531</v>
      </c>
      <c r="E78" s="61" t="n">
        <f aca="false">SUM(E5:E76)</f>
        <v>136.710001919561</v>
      </c>
      <c r="F78" s="145" t="n">
        <f aca="false">SUM(F5:F76)</f>
        <v>1</v>
      </c>
      <c r="H78" s="61" t="n">
        <f aca="false">SUM(H5:H76)</f>
        <v>56654.6</v>
      </c>
      <c r="L78" s="61" t="n">
        <f aca="false">SUM(L5:L76)</f>
        <v>93.8887619290509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-1.4210854715202E-014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PL'!F23</f>
        <v>1644553.52</v>
      </c>
      <c r="K5" s="56" t="n">
        <f aca="false">'VALOR POR PL'!G23</f>
        <v>1351.644127</v>
      </c>
      <c r="L5" s="56" t="n">
        <f aca="false">'DADOS HISTORICOS'!$BZ$17</f>
        <v>0</v>
      </c>
      <c r="M5" s="139" t="n">
        <f aca="false">'CP RESUMO'!D17</f>
        <v>0</v>
      </c>
      <c r="N5" s="140" t="n">
        <v>0</v>
      </c>
      <c r="O5" s="139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PL'!H23</f>
        <v>1144.63052963836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RESUMO'!E17</f>
        <v>0</v>
      </c>
      <c r="N6" s="140" t="n">
        <f aca="false">MAX(0,M6-M5)</f>
        <v>0</v>
      </c>
      <c r="O6" s="139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1423010.61313945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RESUMO'!F17</f>
        <v>0</v>
      </c>
      <c r="N7" s="140" t="n">
        <f aca="false">MAX(0,M7-M6)</f>
        <v>0</v>
      </c>
      <c r="O7" s="139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893.594846681519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RESUMO'!G17</f>
        <v>0</v>
      </c>
      <c r="N8" s="140" t="n">
        <f aca="false">MAX(0,M8-M7)</f>
        <v>0</v>
      </c>
      <c r="O8" s="139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1423010.61313945</v>
      </c>
      <c r="K9" s="45" t="n">
        <f aca="false">E78</f>
        <v>1144.53125923452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RESUMO'!H17</f>
        <v>0</v>
      </c>
      <c r="N9" s="140" t="n">
        <f aca="false">MAX(0,M9-M8)</f>
        <v>0</v>
      </c>
      <c r="O9" s="139" t="n">
        <f aca="false">IF(B9&lt;='VALOR POR PL'!$P$5,'CP RESUMO'!H59,"")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250.936412553005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RESUMO'!I17</f>
        <v>0</v>
      </c>
      <c r="N10" s="140" t="n">
        <f aca="false">MAX(0,M10-M9)</f>
        <v>0</v>
      </c>
      <c r="O10" s="139" t="n">
        <f aca="false">IF(B10&lt;='VALOR POR PL'!$P$5,'CP RESUMO'!I59,"")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384571.25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RESUMO'!J17</f>
        <v>0</v>
      </c>
      <c r="N11" s="140" t="n">
        <f aca="false">MAX(0,M11-M10)</f>
        <v>0</v>
      </c>
      <c r="O11" s="139" t="n">
        <f aca="false">IF(B11&lt;='VALOR POR PL'!$P$5,'CP RESUMO'!J59,"")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HISTORICOS'!K17)</f>
        <v>12009.9</v>
      </c>
      <c r="D12" s="45" t="n">
        <f aca="false">IF(B12&lt;='VALOR POR PL'!$P$5,0,IF($K$17&gt;0,$K$18*P12/$K$17,0))</f>
        <v>0</v>
      </c>
      <c r="E12" s="45" t="n">
        <f aca="false">L12+D12/$K$2</f>
        <v>9.92167511654554</v>
      </c>
      <c r="F12" s="117" t="n">
        <f aca="false">IF($K$9=0,0,E12/$K$9)</f>
        <v>0.00866876726738007</v>
      </c>
      <c r="G12" s="117" t="n">
        <f aca="false">G11+F12</f>
        <v>0.00866876726738007</v>
      </c>
      <c r="H12" s="138"/>
      <c r="I12" s="42" t="s">
        <v>2927</v>
      </c>
      <c r="K12" s="139" t="n">
        <f aca="false">SUMPRODUCT((B5:B76&gt;'VALOR POR PL'!$P$5)*N5:N76)</f>
        <v>22.7</v>
      </c>
      <c r="L12" s="45" t="n">
        <f aca="false">C12/IF(B12&lt;='VALOR POR PL'!$P$5,IFERROR(INDEX('"INCC-FGV"'!$B$2:$B$800,MATCH(B12,'"INCC-FGV"'!$A$2:$A$800,0)),$K$2),$K$2)</f>
        <v>9.92167511654554</v>
      </c>
      <c r="M12" s="139" t="n">
        <f aca="false">'CP RESUMO'!K17</f>
        <v>32.58</v>
      </c>
      <c r="N12" s="140" t="n">
        <f aca="false">MAX(0,M12-M11)</f>
        <v>32.58</v>
      </c>
      <c r="O12" s="139" t="n">
        <f aca="false">IF(B12&lt;='VALOR POR PL'!$P$5,'CP RESUMO'!K59,"")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HISTORICOS'!L17)</f>
        <v>107813.99</v>
      </c>
      <c r="D13" s="45" t="n">
        <f aca="false">IF(B13&lt;='VALOR POR PL'!$P$5,0,IF($K$17&gt;0,$K$18*P13/$K$17,0))</f>
        <v>0</v>
      </c>
      <c r="E13" s="45" t="n">
        <f aca="false">L13+D13/$K$2</f>
        <v>88.6113736597009</v>
      </c>
      <c r="F13" s="117" t="n">
        <f aca="false">IF($K$9=0,0,E13/$K$9)</f>
        <v>0.0774215408664025</v>
      </c>
      <c r="G13" s="117" t="n">
        <f aca="false">G12+F13</f>
        <v>0.0860903081337826</v>
      </c>
      <c r="H13" s="138"/>
      <c r="I13" s="42" t="s">
        <v>2928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88.6113736597009</v>
      </c>
      <c r="M13" s="139" t="n">
        <f aca="false">'CP RESUMO'!L17</f>
        <v>68.78</v>
      </c>
      <c r="N13" s="140" t="n">
        <f aca="false">MAX(0,M13-M12)</f>
        <v>36.2</v>
      </c>
      <c r="O13" s="139" t="n">
        <f aca="false">IF(B13&lt;='VALOR POR PL'!$P$5,'CP RESUMO'!L59,"")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HISTORICOS'!M17)</f>
        <v>236848.02</v>
      </c>
      <c r="D14" s="45" t="n">
        <f aca="false">IF(B14&lt;='VALOR POR PL'!$P$5,0,IF($K$17&gt;0,$K$18*P14/$K$17,0))</f>
        <v>0</v>
      </c>
      <c r="E14" s="45" t="n">
        <f aca="false">L14+D14/$K$2</f>
        <v>194.337315291853</v>
      </c>
      <c r="F14" s="117" t="n">
        <f aca="false">IF($K$9=0,0,E14/$K$9)</f>
        <v>0.169796424277506</v>
      </c>
      <c r="G14" s="117" t="n">
        <f aca="false">G13+F14</f>
        <v>0.255886732411288</v>
      </c>
      <c r="H14" s="138"/>
      <c r="I14" s="42" t="s">
        <v>2929</v>
      </c>
      <c r="K14" s="58" t="n">
        <f aca="false">IFERROR(INDEX('CP RESUMO'!$D$59:$BW$59,MATCH('VALOR POR PL'!$P$5,'CP RESUMO'!$D$4:$BW$4,0))/100,0)</f>
        <v>0.7523</v>
      </c>
      <c r="L14" s="45" t="n">
        <f aca="false">C14/IF(B14&lt;='VALOR POR PL'!$P$5,IFERROR(INDEX('"INCC-FGV"'!$B$2:$B$800,MATCH(B14,'"INCC-FGV"'!$A$2:$A$800,0)),$K$2),$K$2)</f>
        <v>194.337315291853</v>
      </c>
      <c r="M14" s="139" t="n">
        <f aca="false">'CP RESUMO'!M17</f>
        <v>72.62</v>
      </c>
      <c r="N14" s="140" t="n">
        <f aca="false">MAX(0,M14-M13)</f>
        <v>3.84</v>
      </c>
      <c r="O14" s="139" t="n">
        <f aca="false">IF(B14&lt;='VALOR POR PL'!$P$5,'CP RESUMO'!M59,"")</f>
        <v>52.95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HISTORICOS'!N17)</f>
        <v>285810.89</v>
      </c>
      <c r="D15" s="45" t="n">
        <f aca="false">IF(B15&lt;='VALOR POR PL'!$P$5,0,IF($K$17&gt;0,$K$18*P15/$K$17,0))</f>
        <v>0</v>
      </c>
      <c r="E15" s="45" t="n">
        <f aca="false">L15+D15/$K$2</f>
        <v>233.81968100946</v>
      </c>
      <c r="F15" s="117" t="n">
        <f aca="false">IF($K$9=0,0,E15/$K$9)</f>
        <v>0.204292961964046</v>
      </c>
      <c r="G15" s="117" t="n">
        <f aca="false">G14+F15</f>
        <v>0.460179694375334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233.81968100946</v>
      </c>
      <c r="M15" s="139" t="n">
        <f aca="false">'CP RESUMO'!N17</f>
        <v>77.3</v>
      </c>
      <c r="N15" s="140" t="n">
        <f aca="false">MAX(0,M15-M14)</f>
        <v>4.67999999999999</v>
      </c>
      <c r="O15" s="139" t="n">
        <f aca="false">IF(B15&lt;='VALOR POR PL'!$P$5,'CP RESUMO'!N59,"")</f>
        <v>57.35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HISTORICOS'!O17)</f>
        <v>200940.58</v>
      </c>
      <c r="D16" s="45" t="n">
        <f aca="false">IF(B16&lt;='VALOR POR PL'!$P$5,0,IF($K$17&gt;0,$K$18*P16/$K$17,0))</f>
        <v>0</v>
      </c>
      <c r="E16" s="45" t="n">
        <f aca="false">L16+D16/$K$2</f>
        <v>163.948408699831</v>
      </c>
      <c r="F16" s="117" t="n">
        <f aca="false">IF($K$9=0,0,E16/$K$9)</f>
        <v>0.143245024875495</v>
      </c>
      <c r="G16" s="117" t="n">
        <f aca="false">G15+F16</f>
        <v>0.603424719250829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163.948408699831</v>
      </c>
      <c r="M16" s="139" t="n">
        <f aca="false">'CP RESUMO'!O17</f>
        <v>77.3</v>
      </c>
      <c r="N16" s="140" t="n">
        <f aca="false">MAX(0,M16-M15)</f>
        <v>0</v>
      </c>
      <c r="O16" s="139" t="n">
        <f aca="false">IF(B16&lt;='VALOR POR PL'!$P$5,'CP RESUMO'!O59,"")</f>
        <v>57.35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HISTORICOS'!P17)</f>
        <v>146047.49</v>
      </c>
      <c r="D17" s="45" t="n">
        <f aca="false">IF(B17&lt;='VALOR POR PL'!$P$5,0,IF($K$17&gt;0,$K$18*P17/$K$17,0))</f>
        <v>0</v>
      </c>
      <c r="E17" s="45" t="n">
        <f aca="false">L17+D17/$K$2</f>
        <v>118.915590057004</v>
      </c>
      <c r="F17" s="117" t="n">
        <f aca="false">IF($K$9=0,0,E17/$K$9)</f>
        <v>0.103898944740518</v>
      </c>
      <c r="G17" s="117" t="n">
        <f aca="false">G16+F17</f>
        <v>0.707323663991348</v>
      </c>
      <c r="H17" s="138"/>
      <c r="I17" s="42" t="s">
        <v>2933</v>
      </c>
      <c r="K17" s="45" t="n">
        <f aca="false">SUM(P5:P76)</f>
        <v>22.7</v>
      </c>
      <c r="L17" s="45" t="n">
        <f aca="false">C17/IF(B17&lt;='VALOR POR PL'!$P$5,IFERROR(INDEX('"INCC-FGV"'!$B$2:$B$800,MATCH(B17,'"INCC-FGV"'!$A$2:$A$800,0)),$K$2),$K$2)</f>
        <v>118.915590057004</v>
      </c>
      <c r="M17" s="139" t="n">
        <f aca="false">'CP RESUMO'!P17</f>
        <v>77.3</v>
      </c>
      <c r="N17" s="140" t="n">
        <f aca="false">MAX(0,M17-M16)</f>
        <v>0</v>
      </c>
      <c r="O17" s="139" t="n">
        <f aca="false">IF(B17&lt;='VALOR POR PL'!$P$5,'CP RESUMO'!P59,"")</f>
        <v>57.35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HISTORICOS'!Q17)</f>
        <v>4650</v>
      </c>
      <c r="D18" s="45" t="n">
        <f aca="false">IF(B18&lt;='VALOR POR PL'!$P$5,0,IF($K$17&gt;0,$K$18*P18/$K$17,0))</f>
        <v>0</v>
      </c>
      <c r="E18" s="45" t="n">
        <f aca="false">L18+D18/$K$2</f>
        <v>3.75898518717321</v>
      </c>
      <c r="F18" s="117" t="n">
        <f aca="false">IF($K$9=0,0,E18/$K$9)</f>
        <v>0.00328430102440999</v>
      </c>
      <c r="G18" s="117" t="n">
        <f aca="false">G17+F18</f>
        <v>0.710607965015758</v>
      </c>
      <c r="H18" s="138"/>
      <c r="I18" s="42" t="s">
        <v>2934</v>
      </c>
      <c r="K18" s="45" t="n">
        <f aca="false">MAX(0,K10)*$K$2</f>
        <v>325436.673139455</v>
      </c>
      <c r="L18" s="45" t="n">
        <f aca="false">C18/IF(B18&lt;='VALOR POR PL'!$P$5,IFERROR(INDEX('"INCC-FGV"'!$B$2:$B$800,MATCH(B18,'"INCC-FGV"'!$A$2:$A$800,0)),$K$2),$K$2)</f>
        <v>3.75898518717321</v>
      </c>
      <c r="M18" s="139" t="n">
        <f aca="false">'CP RESUMO'!Q17</f>
        <v>77.3</v>
      </c>
      <c r="N18" s="140" t="n">
        <f aca="false">MAX(0,M18-M17)</f>
        <v>0</v>
      </c>
      <c r="O18" s="139" t="n">
        <f aca="false">IF(B18&lt;='VALOR POR PL'!$P$5,'CP RESUMO'!Q59,"")</f>
        <v>57.35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HISTORICOS'!R17)</f>
        <v>860</v>
      </c>
      <c r="D19" s="45" t="n">
        <f aca="false">IF(B19&lt;='VALOR POR PL'!$P$5,0,IF($K$17&gt;0,$K$18*P19/$K$17,0))</f>
        <v>0</v>
      </c>
      <c r="E19" s="45" t="n">
        <f aca="false">L19+D19/$K$2</f>
        <v>0.693279461757173</v>
      </c>
      <c r="F19" s="117" t="n">
        <f aca="false">IF($K$9=0,0,E19/$K$9)</f>
        <v>0.000605732221084854</v>
      </c>
      <c r="G19" s="117" t="n">
        <f aca="false">G18+F19</f>
        <v>0.711213697236843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0.693279461757173</v>
      </c>
      <c r="M19" s="139" t="n">
        <f aca="false">'CP RESUMO'!R17</f>
        <v>77.3</v>
      </c>
      <c r="N19" s="140" t="n">
        <f aca="false">MAX(0,M19-M18)</f>
        <v>0</v>
      </c>
      <c r="O19" s="139" t="n">
        <f aca="false">IF(B19&lt;='VALOR POR PL'!$P$5,'CP RESUMO'!R59,"")</f>
        <v>57.35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HISTORICOS'!S17)</f>
        <v>2632</v>
      </c>
      <c r="D20" s="45" t="n">
        <f aca="false">IF(B20&lt;='VALOR POR PL'!$P$5,0,IF($K$17&gt;0,$K$18*P20/$K$17,0))</f>
        <v>0</v>
      </c>
      <c r="E20" s="45" t="n">
        <f aca="false">L20+D20/$K$2</f>
        <v>2.11035928225334</v>
      </c>
      <c r="F20" s="117" t="n">
        <f aca="false">IF($K$9=0,0,E20/$K$9)</f>
        <v>0.00184386338531703</v>
      </c>
      <c r="G20" s="117" t="n">
        <f aca="false">G19+F20</f>
        <v>0.71305756062216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2.11035928225334</v>
      </c>
      <c r="M20" s="139" t="n">
        <f aca="false">'CP RESUMO'!S17</f>
        <v>77.3</v>
      </c>
      <c r="N20" s="140" t="n">
        <f aca="false">MAX(0,M20-M19)</f>
        <v>0</v>
      </c>
      <c r="O20" s="139" t="n">
        <f aca="false">IF(B20&lt;='VALOR POR PL'!$P$5,'CP RESUMO'!S59,"")</f>
        <v>57.35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HISTORICOS'!T17)</f>
        <v>346.94</v>
      </c>
      <c r="D21" s="45" t="n">
        <f aca="false">IF(B21&lt;='VALOR POR PL'!$P$5,0,IF($K$17&gt;0,$K$18*P21/$K$17,0))</f>
        <v>0</v>
      </c>
      <c r="E21" s="45" t="n">
        <f aca="false">L21+D21/$K$2</f>
        <v>0.275425276187391</v>
      </c>
      <c r="F21" s="117" t="n">
        <f aca="false">IF($K$9=0,0,E21/$K$9)</f>
        <v>0.000240644607969553</v>
      </c>
      <c r="G21" s="117" t="n">
        <f aca="false">G20+F21</f>
        <v>0.713298205230129</v>
      </c>
      <c r="H21" s="138"/>
      <c r="K21" s="143"/>
      <c r="L21" s="45" t="n">
        <f aca="false">C21/IF(B21&lt;='VALOR POR PL'!$P$5,IFERROR(INDEX('"INCC-FGV"'!$B$2:$B$800,MATCH(B21,'"INCC-FGV"'!$A$2:$A$800,0)),$K$2),$K$2)</f>
        <v>0.275425276187391</v>
      </c>
      <c r="M21" s="139" t="n">
        <f aca="false">'CP RESUMO'!T17</f>
        <v>77.3</v>
      </c>
      <c r="N21" s="140" t="n">
        <f aca="false">MAX(0,M21-M20)</f>
        <v>0</v>
      </c>
      <c r="O21" s="139" t="n">
        <f aca="false">IF(B21&lt;='VALOR POR PL'!$P$5,'CP RESUMO'!T59,"")</f>
        <v>57.35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HISTORICOS'!U17)</f>
        <v>4280</v>
      </c>
      <c r="D22" s="45" t="n">
        <f aca="false">IF(B22&lt;='VALOR POR PL'!$P$5,0,IF($K$17&gt;0,$K$18*P22/$K$17,0))</f>
        <v>0</v>
      </c>
      <c r="E22" s="45" t="n">
        <f aca="false">L22+D22/$K$2</f>
        <v>3.368235493175</v>
      </c>
      <c r="F22" s="117" t="n">
        <f aca="false">IF($K$9=0,0,E22/$K$9)</f>
        <v>0.0029428951511798</v>
      </c>
      <c r="G22" s="117" t="n">
        <f aca="false">G21+F22</f>
        <v>0.716241100381309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3.368235493175</v>
      </c>
      <c r="M22" s="139" t="n">
        <f aca="false">'CP RESUMO'!U17</f>
        <v>77.3</v>
      </c>
      <c r="N22" s="140" t="n">
        <f aca="false">MAX(0,M22-M21)</f>
        <v>0</v>
      </c>
      <c r="O22" s="139" t="n">
        <f aca="false">IF(B22&lt;='VALOR POR PL'!$P$5,'CP RESUMO'!U59,"")</f>
        <v>72.08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HISTORICOS'!V17)</f>
        <v>6148</v>
      </c>
      <c r="D23" s="45" t="n">
        <f aca="false">IF(B23&lt;='VALOR POR PL'!$P$5,0,IF($K$17&gt;0,$K$18*P23/$K$17,0))</f>
        <v>0</v>
      </c>
      <c r="E23" s="45" t="n">
        <f aca="false">L23+D23/$K$2</f>
        <v>4.80072088899231</v>
      </c>
      <c r="F23" s="117" t="n">
        <f aca="false">IF($K$9=0,0,E23/$K$9)</f>
        <v>0.00419448647667613</v>
      </c>
      <c r="G23" s="117" t="n">
        <f aca="false">G22+F23</f>
        <v>0.720435586857985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4.80072088899231</v>
      </c>
      <c r="M23" s="139" t="n">
        <f aca="false">'CP RESUMO'!V17</f>
        <v>77.3</v>
      </c>
      <c r="N23" s="140" t="n">
        <f aca="false">MAX(0,M23-M22)</f>
        <v>0</v>
      </c>
      <c r="O23" s="139" t="n">
        <f aca="false">IF(B23&lt;='VALOR POR PL'!$P$5,'CP RESUMO'!V59,"")</f>
        <v>75.43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HISTORICOS'!W17)</f>
        <v>52256.6</v>
      </c>
      <c r="D24" s="45" t="n">
        <f aca="false">IF(B24&lt;='VALOR POR PL'!$P$5,0,IF($K$17&gt;0,$K$18*P24/$K$17,0))</f>
        <v>0</v>
      </c>
      <c r="E24" s="45" t="n">
        <f aca="false">L24+D24/$K$2</f>
        <v>40.5583224868076</v>
      </c>
      <c r="F24" s="117" t="n">
        <f aca="false">IF($K$9=0,0,E24/$K$9)</f>
        <v>0.0354366227742294</v>
      </c>
      <c r="G24" s="117" t="n">
        <f aca="false">G23+F24</f>
        <v>0.755872209632215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40.5583224868076</v>
      </c>
      <c r="M24" s="139" t="n">
        <f aca="false">'CP RESUMO'!W17</f>
        <v>77.3</v>
      </c>
      <c r="N24" s="140" t="n">
        <f aca="false">MAX(0,M24-M23)</f>
        <v>0</v>
      </c>
      <c r="O24" s="139" t="n">
        <f aca="false">IF(B24&lt;='VALOR POR PL'!$P$5,'CP RESUMO'!W59,"")</f>
        <v>75.23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0.755872209632215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RESUMO'!X17</f>
        <v>77.3</v>
      </c>
      <c r="N25" s="140" t="n">
        <f aca="false">MAX(0,M25-M24)</f>
        <v>0</v>
      </c>
      <c r="O25" s="139" t="n">
        <f aca="false">IF(B25&lt;='VALOR POR PL'!$P$5,'CP RESUMO'!X59,"")</f>
        <v>75.23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0.755872209632215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RESUMO'!Y17</f>
        <v>77.3</v>
      </c>
      <c r="N26" s="140" t="n">
        <f aca="false">MAX(0,M26-M25)</f>
        <v>0</v>
      </c>
      <c r="O26" s="139" t="str">
        <f aca="false">IF(B26&lt;='VALOR POR PL'!$P$5,'CP RESUMO'!Y59,"")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HISTORICOS'!Z17)</f>
        <v>24240</v>
      </c>
      <c r="D27" s="45" t="n">
        <f aca="false">IF(B27&lt;='VALOR POR PL'!$P$5,0,IF($K$17&gt;0,$K$18*P27/$K$17,0))</f>
        <v>87738.8739917825</v>
      </c>
      <c r="E27" s="45" t="n">
        <f aca="false">L27+D27/$K$2</f>
        <v>86.3442237475856</v>
      </c>
      <c r="F27" s="117" t="n">
        <f aca="false">IF($K$9=0,0,E27/$K$9)</f>
        <v>0.0754406863516629</v>
      </c>
      <c r="G27" s="117" t="n">
        <f aca="false">G26+F27</f>
        <v>0.831312895983877</v>
      </c>
      <c r="H27" s="138" t="n">
        <v>70000</v>
      </c>
      <c r="L27" s="45" t="n">
        <f aca="false">C27/IF(B27&lt;='VALOR POR PL'!$P$5,IFERROR(INDEX('"INCC-FGV"'!$B$2:$B$800,MATCH(B27,'"INCC-FGV"'!$A$2:$A$800,0)),$K$2),$K$2)</f>
        <v>18.6908825658942</v>
      </c>
      <c r="M27" s="139" t="n">
        <f aca="false">'CP RESUMO'!Z17</f>
        <v>83.42</v>
      </c>
      <c r="N27" s="140" t="n">
        <f aca="false">MAX(0,M27-M26)</f>
        <v>6.12</v>
      </c>
      <c r="O27" s="139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6.12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HISTORICOS'!AA17)</f>
        <v>1528.38</v>
      </c>
      <c r="D28" s="45" t="n">
        <f aca="false">IF(B28&lt;='VALOR POR PL'!$P$5,0,IF($K$17&gt;0,$K$18*P28/$K$17,0))</f>
        <v>178488.395620538</v>
      </c>
      <c r="E28" s="45" t="n">
        <f aca="false">L28+D28/$K$2</f>
        <v>138.806617698614</v>
      </c>
      <c r="F28" s="117" t="n">
        <f aca="false">IF($K$9=0,0,E28/$K$9)</f>
        <v>0.121278135986823</v>
      </c>
      <c r="G28" s="117" t="n">
        <f aca="false">G27+F28</f>
        <v>0.9525910319707</v>
      </c>
      <c r="H28" s="138" t="n">
        <v>70000</v>
      </c>
      <c r="L28" s="45" t="n">
        <f aca="false">C28/IF(B28&lt;='VALOR POR PL'!$P$5,IFERROR(INDEX('"INCC-FGV"'!$B$2:$B$800,MATCH(B28,'"INCC-FGV"'!$A$2:$A$800,0)),$K$2),$K$2)</f>
        <v>1.17849715742828</v>
      </c>
      <c r="M28" s="139" t="n">
        <f aca="false">'CP RESUMO'!AA17</f>
        <v>95.87</v>
      </c>
      <c r="N28" s="140" t="n">
        <f aca="false">MAX(0,M28-M27)</f>
        <v>12.45</v>
      </c>
      <c r="O28" s="139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12.45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HISTORICOS'!AB17)</f>
        <v>1803.27</v>
      </c>
      <c r="D29" s="45" t="n">
        <f aca="false">IF(B29&lt;='VALOR POR PL'!$P$5,0,IF($K$17&gt;0,$K$18*P29/$K$17,0))</f>
        <v>17203.7007827023</v>
      </c>
      <c r="E29" s="45" t="n">
        <f aca="false">L29+D29/$K$2</f>
        <v>14.6558192587818</v>
      </c>
      <c r="F29" s="117" t="n">
        <f aca="false">IF($K$9=0,0,E29/$K$9)</f>
        <v>0.0128050843002609</v>
      </c>
      <c r="G29" s="117" t="n">
        <f aca="false">G28+F29</f>
        <v>0.965396116270961</v>
      </c>
      <c r="H29" s="138"/>
      <c r="L29" s="45" t="n">
        <f aca="false">C29/IF(B29&lt;='VALOR POR PL'!$P$5,IFERROR(INDEX('"INCC-FGV"'!$B$2:$B$800,MATCH(B29,'"INCC-FGV"'!$A$2:$A$800,0)),$K$2),$K$2)</f>
        <v>1.39045824276403</v>
      </c>
      <c r="M29" s="139" t="n">
        <f aca="false">'CP RESUMO'!AB17</f>
        <v>97.07</v>
      </c>
      <c r="N29" s="140" t="n">
        <f aca="false">MAX(0,M29-M28)</f>
        <v>1.19999999999999</v>
      </c>
      <c r="O29" s="139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1.19999999999999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0.965396116270961</v>
      </c>
      <c r="H30" s="138" t="n">
        <v>130000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RESUMO'!AC17</f>
        <v>97.07</v>
      </c>
      <c r="N30" s="140" t="n">
        <f aca="false">MAX(0,M30-M29)</f>
        <v>0</v>
      </c>
      <c r="O30" s="139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0.965396116270961</v>
      </c>
      <c r="H31" s="138" t="n">
        <v>114571.25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RESUMO'!AD17</f>
        <v>97.07</v>
      </c>
      <c r="N31" s="140" t="n">
        <f aca="false">MAX(0,M31-M30)</f>
        <v>0</v>
      </c>
      <c r="O31" s="139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HISTORICOS'!AE17)</f>
        <v>9357.88</v>
      </c>
      <c r="D32" s="45" t="n">
        <f aca="false">IF(B32&lt;='VALOR POR PL'!$P$5,0,IF($K$17&gt;0,$K$18*P32/$K$17,0))</f>
        <v>0</v>
      </c>
      <c r="E32" s="45" t="n">
        <f aca="false">L32+D32/$K$2</f>
        <v>7.21563680469184</v>
      </c>
      <c r="F32" s="117" t="n">
        <f aca="false">IF($K$9=0,0,E32/$K$9)</f>
        <v>0.00630444712319849</v>
      </c>
      <c r="G32" s="117" t="n">
        <f aca="false">G31+F32</f>
        <v>0.971700563394159</v>
      </c>
      <c r="H32" s="138"/>
      <c r="L32" s="45" t="n">
        <f aca="false">C32/IF(B32&lt;='VALOR POR PL'!$P$5,IFERROR(INDEX('"INCC-FGV"'!$B$2:$B$800,MATCH(B32,'"INCC-FGV"'!$A$2:$A$800,0)),$K$2),$K$2)</f>
        <v>7.21563680469184</v>
      </c>
      <c r="M32" s="139" t="n">
        <f aca="false">'CP RESUMO'!AE17</f>
        <v>97.07</v>
      </c>
      <c r="N32" s="140" t="n">
        <f aca="false">MAX(0,M32-M31)</f>
        <v>0</v>
      </c>
      <c r="O32" s="139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28672.8346378374</v>
      </c>
      <c r="E33" s="45" t="n">
        <f aca="false">L33+D33/$K$2</f>
        <v>22.1089350266965</v>
      </c>
      <c r="F33" s="117" t="n">
        <f aca="false">IF($K$9=0,0,E33/$K$9)</f>
        <v>0.0193170215739527</v>
      </c>
      <c r="G33" s="117" t="n">
        <f aca="false">G32+F33</f>
        <v>0.991017584968112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RESUMO'!AF17</f>
        <v>99.07</v>
      </c>
      <c r="N33" s="140" t="n">
        <f aca="false">MAX(0,M33-M32)</f>
        <v>2</v>
      </c>
      <c r="O33" s="139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13332.8681065945</v>
      </c>
      <c r="E34" s="45" t="n">
        <f aca="false">L34+D34/$K$2</f>
        <v>10.280654787414</v>
      </c>
      <c r="F34" s="117" t="n">
        <f aca="false">IF($K$9=0,0,E34/$K$9)</f>
        <v>0.00898241503188805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RESUMO'!AG17</f>
        <v>100</v>
      </c>
      <c r="N34" s="140" t="n">
        <f aca="false">MAX(0,M34-M33)</f>
        <v>0.930000000000007</v>
      </c>
      <c r="O34" s="139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0.930000000000007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RESUMO'!AH17</f>
        <v>100</v>
      </c>
      <c r="N35" s="140" t="n">
        <f aca="false">MAX(0,M35-M34)</f>
        <v>0</v>
      </c>
      <c r="O35" s="139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RESUMO'!AI17</f>
        <v>100</v>
      </c>
      <c r="N36" s="140" t="n">
        <f aca="false">MAX(0,M36-M35)</f>
        <v>0</v>
      </c>
      <c r="O36" s="139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RESUMO'!AJ17</f>
        <v>100</v>
      </c>
      <c r="N37" s="140" t="n">
        <f aca="false">MAX(0,M37-M36)</f>
        <v>0</v>
      </c>
      <c r="O37" s="139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RESUMO'!AK17</f>
        <v>100</v>
      </c>
      <c r="N38" s="140" t="n">
        <f aca="false">MAX(0,M38-M37)</f>
        <v>0</v>
      </c>
      <c r="O38" s="139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RESUMO'!AL17</f>
        <v>100</v>
      </c>
      <c r="N39" s="140" t="n">
        <f aca="false">MAX(0,M39-M38)</f>
        <v>0</v>
      </c>
      <c r="O39" s="139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RESUMO'!AM17</f>
        <v>100</v>
      </c>
      <c r="N40" s="140" t="n">
        <f aca="false">MAX(0,M40-M39)</f>
        <v>0</v>
      </c>
      <c r="O40" s="139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RESUMO'!AN17</f>
        <v>100</v>
      </c>
      <c r="N41" s="140" t="n">
        <f aca="false">MAX(0,M41-M40)</f>
        <v>0</v>
      </c>
      <c r="O41" s="139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RESUMO'!AO17</f>
        <v>100</v>
      </c>
      <c r="N42" s="140" t="n">
        <f aca="false">MAX(0,M42-M41)</f>
        <v>0</v>
      </c>
      <c r="O42" s="139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RESUMO'!AP17</f>
        <v>100</v>
      </c>
      <c r="N43" s="140" t="n">
        <f aca="false">MAX(0,M43-M42)</f>
        <v>0</v>
      </c>
      <c r="O43" s="139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RESUMO'!AQ17</f>
        <v>100</v>
      </c>
      <c r="N44" s="140" t="n">
        <f aca="false">MAX(0,M44-M43)</f>
        <v>0</v>
      </c>
      <c r="O44" s="139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RESUMO'!AR17</f>
        <v>100</v>
      </c>
      <c r="N45" s="140" t="n">
        <f aca="false">MAX(0,M45-M44)</f>
        <v>0</v>
      </c>
      <c r="O45" s="139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RESUMO'!AS17</f>
        <v>100</v>
      </c>
      <c r="N46" s="140" t="n">
        <f aca="false">MAX(0,M46-M45)</f>
        <v>0</v>
      </c>
      <c r="O46" s="139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RESUMO'!AT17</f>
        <v>100</v>
      </c>
      <c r="N47" s="140" t="n">
        <f aca="false">MAX(0,M47-M46)</f>
        <v>0</v>
      </c>
      <c r="O47" s="139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RESUMO'!AU17</f>
        <v>100</v>
      </c>
      <c r="N48" s="140" t="n">
        <f aca="false">MAX(0,M48-M47)</f>
        <v>0</v>
      </c>
      <c r="O48" s="139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RESUMO'!AV17</f>
        <v>100</v>
      </c>
      <c r="N49" s="140" t="n">
        <f aca="false">MAX(0,M49-M48)</f>
        <v>0</v>
      </c>
      <c r="O49" s="139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RESUMO'!AW17</f>
        <v>100</v>
      </c>
      <c r="N50" s="140" t="n">
        <f aca="false">MAX(0,M50-M49)</f>
        <v>0</v>
      </c>
      <c r="O50" s="139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RESUMO'!AX17</f>
        <v>100</v>
      </c>
      <c r="N51" s="140" t="n">
        <f aca="false">MAX(0,M51-M50)</f>
        <v>0</v>
      </c>
      <c r="O51" s="139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RESUMO'!AY17</f>
        <v>100</v>
      </c>
      <c r="N52" s="140" t="n">
        <f aca="false">MAX(0,M52-M51)</f>
        <v>0</v>
      </c>
      <c r="O52" s="139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RESUMO'!AZ17</f>
        <v>100</v>
      </c>
      <c r="N53" s="140" t="n">
        <f aca="false">MAX(0,M53-M52)</f>
        <v>0</v>
      </c>
      <c r="O53" s="139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RESUMO'!BA17</f>
        <v>100</v>
      </c>
      <c r="N54" s="140" t="n">
        <f aca="false">MAX(0,M54-M53)</f>
        <v>0</v>
      </c>
      <c r="O54" s="139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RESUMO'!BB17</f>
        <v>100</v>
      </c>
      <c r="N55" s="140" t="n">
        <f aca="false">MAX(0,M55-M54)</f>
        <v>0</v>
      </c>
      <c r="O55" s="139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RESUMO'!BC17</f>
        <v>100</v>
      </c>
      <c r="N56" s="140" t="n">
        <f aca="false">MAX(0,M56-M55)</f>
        <v>0</v>
      </c>
      <c r="O56" s="139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RESUMO'!BD17</f>
        <v>100</v>
      </c>
      <c r="N57" s="140" t="n">
        <f aca="false">MAX(0,M57-M56)</f>
        <v>0</v>
      </c>
      <c r="O57" s="139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RESUMO'!BE17</f>
        <v>100</v>
      </c>
      <c r="N58" s="140" t="n">
        <f aca="false">MAX(0,M58-M57)</f>
        <v>0</v>
      </c>
      <c r="O58" s="139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RESUMO'!BF17</f>
        <v>100</v>
      </c>
      <c r="N59" s="140" t="n">
        <f aca="false">MAX(0,M59-M58)</f>
        <v>0</v>
      </c>
      <c r="O59" s="139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RESUMO'!BG17</f>
        <v>100</v>
      </c>
      <c r="N60" s="140" t="n">
        <f aca="false">MAX(0,M60-M59)</f>
        <v>0</v>
      </c>
      <c r="O60" s="139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RESUMO'!BH17</f>
        <v>100</v>
      </c>
      <c r="N61" s="140" t="n">
        <f aca="false">MAX(0,M61-M60)</f>
        <v>0</v>
      </c>
      <c r="O61" s="139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RESUMO'!BI17</f>
        <v>100</v>
      </c>
      <c r="N62" s="140" t="n">
        <f aca="false">MAX(0,M62-M61)</f>
        <v>0</v>
      </c>
      <c r="O62" s="139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RESUMO'!BJ17</f>
        <v>100</v>
      </c>
      <c r="N63" s="140" t="n">
        <f aca="false">MAX(0,M63-M62)</f>
        <v>0</v>
      </c>
      <c r="O63" s="139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RESUMO'!BK17</f>
        <v>100</v>
      </c>
      <c r="N64" s="140" t="n">
        <f aca="false">MAX(0,M64-M63)</f>
        <v>0</v>
      </c>
      <c r="O64" s="139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RESUMO'!BL17</f>
        <v>100</v>
      </c>
      <c r="N65" s="140" t="n">
        <f aca="false">MAX(0,M65-M64)</f>
        <v>0</v>
      </c>
      <c r="O65" s="139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RESUMO'!BM17</f>
        <v>100</v>
      </c>
      <c r="N66" s="140" t="n">
        <f aca="false">MAX(0,M66-M65)</f>
        <v>0</v>
      </c>
      <c r="O66" s="139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RESUMO'!BN17</f>
        <v>100</v>
      </c>
      <c r="N67" s="140" t="n">
        <f aca="false">MAX(0,M67-M66)</f>
        <v>0</v>
      </c>
      <c r="O67" s="139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RESUMO'!BO17</f>
        <v>100</v>
      </c>
      <c r="N68" s="140" t="n">
        <f aca="false">MAX(0,M68-M67)</f>
        <v>0</v>
      </c>
      <c r="O68" s="139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RESUMO'!BP17</f>
        <v>100</v>
      </c>
      <c r="N69" s="140" t="n">
        <f aca="false">MAX(0,M69-M68)</f>
        <v>0</v>
      </c>
      <c r="O69" s="139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RESUMO'!BQ17</f>
        <v>100</v>
      </c>
      <c r="N70" s="140" t="n">
        <f aca="false">MAX(0,M70-M69)</f>
        <v>0</v>
      </c>
      <c r="O70" s="139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RESUMO'!BR17</f>
        <v>100</v>
      </c>
      <c r="N71" s="140" t="n">
        <f aca="false">MAX(0,M71-M70)</f>
        <v>0</v>
      </c>
      <c r="O71" s="139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RESUMO'!BS17</f>
        <v>100</v>
      </c>
      <c r="N72" s="140" t="n">
        <f aca="false">MAX(0,M72-M71)</f>
        <v>0</v>
      </c>
      <c r="O72" s="139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RESUMO'!BT17</f>
        <v>100</v>
      </c>
      <c r="N73" s="140" t="n">
        <f aca="false">MAX(0,M73-M72)</f>
        <v>0</v>
      </c>
      <c r="O73" s="139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RESUMO'!BU17</f>
        <v>100</v>
      </c>
      <c r="N74" s="140" t="n">
        <f aca="false">MAX(0,M74-M73)</f>
        <v>0</v>
      </c>
      <c r="O74" s="139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RESUMO'!BV17</f>
        <v>100</v>
      </c>
      <c r="N75" s="140" t="n">
        <f aca="false">MAX(0,M75-M74)</f>
        <v>0</v>
      </c>
      <c r="O75" s="139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RESUMO'!BW17</f>
        <v>100</v>
      </c>
      <c r="N76" s="140" t="n">
        <f aca="false">MAX(0,M76-M75)</f>
        <v>0</v>
      </c>
      <c r="O76" s="139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1097573.94</v>
      </c>
      <c r="D78" s="61" t="n">
        <f aca="false">SUM(D5:D76)</f>
        <v>325436.673139455</v>
      </c>
      <c r="E78" s="61" t="n">
        <f aca="false">SUM(E5:E76)</f>
        <v>1144.53125923452</v>
      </c>
      <c r="F78" s="145" t="n">
        <f aca="false">SUM(F5:F76)</f>
        <v>1</v>
      </c>
      <c r="H78" s="61" t="n">
        <f aca="false">SUM(H5:H76)</f>
        <v>384571.25</v>
      </c>
      <c r="L78" s="61" t="n">
        <f aca="false">SUM(L5:L76)</f>
        <v>893.594846681519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PL'!F24</f>
        <v>1259784.46</v>
      </c>
      <c r="K5" s="56" t="n">
        <f aca="false">'VALOR POR PL'!G24</f>
        <v>1035.405812</v>
      </c>
      <c r="L5" s="56" t="n">
        <f aca="false">'DADOS HISTORICOS'!$BZ$18</f>
        <v>0</v>
      </c>
      <c r="M5" s="139" t="n">
        <f aca="false">'CP RESUMO'!D18</f>
        <v>0</v>
      </c>
      <c r="N5" s="140" t="n">
        <v>0</v>
      </c>
      <c r="O5" s="139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PL'!H24</f>
        <v>1001.69121786328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RESUMO'!E18</f>
        <v>0</v>
      </c>
      <c r="N6" s="140" t="n">
        <f aca="false">MAX(0,M6-M5)</f>
        <v>0</v>
      </c>
      <c r="O6" s="139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1274343.65832616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RESUMO'!F18</f>
        <v>0</v>
      </c>
      <c r="N7" s="140" t="n">
        <f aca="false">MAX(0,M7-M6)</f>
        <v>0</v>
      </c>
      <c r="O7" s="139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789.766694630012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RESUMO'!G18</f>
        <v>0</v>
      </c>
      <c r="N8" s="140" t="n">
        <f aca="false">MAX(0,M8-M7)</f>
        <v>0</v>
      </c>
      <c r="O8" s="139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1274343.65832616</v>
      </c>
      <c r="K9" s="45" t="n">
        <f aca="false">E78</f>
        <v>1001.60741370941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RESUMO'!H18</f>
        <v>0</v>
      </c>
      <c r="N9" s="140" t="n">
        <f aca="false">MAX(0,M9-M8)</f>
        <v>0</v>
      </c>
      <c r="O9" s="139" t="n">
        <f aca="false">IF(B9&lt;='VALOR POR PL'!$P$5,'CP RESUMO'!H60,"")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211.840719079394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RESUMO'!I18</f>
        <v>0</v>
      </c>
      <c r="N10" s="140" t="n">
        <f aca="false">MAX(0,M10-M9)</f>
        <v>0</v>
      </c>
      <c r="O10" s="139" t="n">
        <f aca="false">IF(B10&lt;='VALOR POR PL'!$P$5,'CP RESUMO'!I60,"")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251741.15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RESUMO'!J18</f>
        <v>0</v>
      </c>
      <c r="N11" s="140" t="n">
        <f aca="false">MAX(0,M11-M10)</f>
        <v>0</v>
      </c>
      <c r="O11" s="139" t="n">
        <f aca="false">IF(B11&lt;='VALOR POR PL'!$P$5,'CP RESUMO'!J60,"")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14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RESUMO'!K18</f>
        <v>0</v>
      </c>
      <c r="N12" s="140" t="n">
        <f aca="false">MAX(0,M12-M11)</f>
        <v>0</v>
      </c>
      <c r="O12" s="139" t="n">
        <f aca="false">IF(B12&lt;='VALOR POR PL'!$P$5,'CP RESUMO'!K60,"")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RESUMO'!L18</f>
        <v>0</v>
      </c>
      <c r="N13" s="140" t="n">
        <f aca="false">MAX(0,M13-M12)</f>
        <v>0</v>
      </c>
      <c r="O13" s="139" t="n">
        <f aca="false">IF(B13&lt;='VALOR POR PL'!$P$5,'CP RESUMO'!L60,"")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RESUMO'!$D$60:$BW$60,MATCH('VALOR POR PL'!$P$5,'CP RESUMO'!$D$4:$BW$4,0))/100,0)</f>
        <v>0.86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RESUMO'!M18</f>
        <v>0</v>
      </c>
      <c r="N14" s="140" t="n">
        <f aca="false">MAX(0,M14-M13)</f>
        <v>0</v>
      </c>
      <c r="O14" s="139" t="n">
        <f aca="false">IF(B14&lt;='VALOR POR PL'!$P$5,'CP RESUMO'!M60,"")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RESUMO'!N18</f>
        <v>0</v>
      </c>
      <c r="N15" s="140" t="n">
        <f aca="false">MAX(0,M15-M14)</f>
        <v>0</v>
      </c>
      <c r="O15" s="139" t="n">
        <f aca="false">IF(B15&lt;='VALOR POR PL'!$P$5,'CP RESUMO'!N60,"")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HISTORICOS'!O18)</f>
        <v>3866</v>
      </c>
      <c r="D16" s="45" t="n">
        <f aca="false">IF(B16&lt;='VALOR POR PL'!$P$5,0,IF($K$17&gt;0,$K$18*P16/$K$17,0))</f>
        <v>0</v>
      </c>
      <c r="E16" s="45" t="n">
        <f aca="false">L16+D16/$K$2</f>
        <v>3.154288437077</v>
      </c>
      <c r="F16" s="117" t="n">
        <f aca="false">IF($K$9=0,0,E16/$K$9)</f>
        <v>0.00314922632750415</v>
      </c>
      <c r="G16" s="117" t="n">
        <f aca="false">G15+F16</f>
        <v>0.00314922632750415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3.154288437077</v>
      </c>
      <c r="M16" s="139" t="n">
        <f aca="false">'CP RESUMO'!O18</f>
        <v>0</v>
      </c>
      <c r="N16" s="140" t="n">
        <f aca="false">MAX(0,M16-M15)</f>
        <v>0</v>
      </c>
      <c r="O16" s="139" t="n">
        <f aca="false">IF(B16&lt;='VALOR POR PL'!$P$5,'CP RESUMO'!O60,"")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HISTORICOS'!P18)</f>
        <v>58166.5</v>
      </c>
      <c r="D17" s="45" t="n">
        <f aca="false">IF(B17&lt;='VALOR POR PL'!$P$5,0,IF($K$17&gt;0,$K$18*P17/$K$17,0))</f>
        <v>0</v>
      </c>
      <c r="E17" s="45" t="n">
        <f aca="false">L17+D17/$K$2</f>
        <v>47.3606473418387</v>
      </c>
      <c r="F17" s="117" t="n">
        <f aca="false">IF($K$9=0,0,E17/$K$9)</f>
        <v>0.0472846413610706</v>
      </c>
      <c r="G17" s="117" t="n">
        <f aca="false">G16+F17</f>
        <v>0.0504338676885747</v>
      </c>
      <c r="H17" s="138"/>
      <c r="I17" s="42" t="s">
        <v>2933</v>
      </c>
      <c r="K17" s="45" t="n">
        <f aca="false">SUM(P5:P76)</f>
        <v>14</v>
      </c>
      <c r="L17" s="45" t="n">
        <f aca="false">C17/IF(B17&lt;='VALOR POR PL'!$P$5,IFERROR(INDEX('"INCC-FGV"'!$B$2:$B$800,MATCH(B17,'"INCC-FGV"'!$A$2:$A$800,0)),$K$2),$K$2)</f>
        <v>47.3606473418387</v>
      </c>
      <c r="M17" s="139" t="n">
        <f aca="false">'CP RESUMO'!P18</f>
        <v>0</v>
      </c>
      <c r="N17" s="140" t="n">
        <f aca="false">MAX(0,M17-M16)</f>
        <v>0</v>
      </c>
      <c r="O17" s="139" t="n">
        <f aca="false">IF(B17&lt;='VALOR POR PL'!$P$5,'CP RESUMO'!P60,"")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HISTORICOS'!Q18)</f>
        <v>21398.48</v>
      </c>
      <c r="D18" s="45" t="n">
        <f aca="false">IF(B18&lt;='VALOR POR PL'!$P$5,0,IF($K$17&gt;0,$K$18*P18/$K$17,0))</f>
        <v>0</v>
      </c>
      <c r="E18" s="45" t="n">
        <f aca="false">L18+D18/$K$2</f>
        <v>17.2981869565639</v>
      </c>
      <c r="F18" s="117" t="n">
        <f aca="false">IF($K$9=0,0,E18/$K$9)</f>
        <v>0.0172704262366638</v>
      </c>
      <c r="G18" s="117" t="n">
        <f aca="false">G17+F18</f>
        <v>0.0677042939252386</v>
      </c>
      <c r="H18" s="138"/>
      <c r="I18" s="42" t="s">
        <v>2934</v>
      </c>
      <c r="K18" s="45" t="n">
        <f aca="false">MAX(0,K10)*$K$2</f>
        <v>274733.898326157</v>
      </c>
      <c r="L18" s="45" t="n">
        <f aca="false">C18/IF(B18&lt;='VALOR POR PL'!$P$5,IFERROR(INDEX('"INCC-FGV"'!$B$2:$B$800,MATCH(B18,'"INCC-FGV"'!$A$2:$A$800,0)),$K$2),$K$2)</f>
        <v>17.2981869565639</v>
      </c>
      <c r="M18" s="139" t="n">
        <f aca="false">'CP RESUMO'!Q18</f>
        <v>0</v>
      </c>
      <c r="N18" s="140" t="n">
        <f aca="false">MAX(0,M18-M17)</f>
        <v>0</v>
      </c>
      <c r="O18" s="139" t="n">
        <f aca="false">IF(B18&lt;='VALOR POR PL'!$P$5,'CP RESUMO'!Q60,"")</f>
        <v>14.87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HISTORICOS'!R18)</f>
        <v>104829.66</v>
      </c>
      <c r="D19" s="45" t="n">
        <f aca="false">IF(B19&lt;='VALOR POR PL'!$P$5,0,IF($K$17&gt;0,$K$18*P19/$K$17,0))</f>
        <v>0</v>
      </c>
      <c r="E19" s="45" t="n">
        <f aca="false">L19+D19/$K$2</f>
        <v>84.5072677453343</v>
      </c>
      <c r="F19" s="117" t="n">
        <f aca="false">IF($K$9=0,0,E19/$K$9)</f>
        <v>0.0843716476022932</v>
      </c>
      <c r="G19" s="117" t="n">
        <f aca="false">G18+F19</f>
        <v>0.152075941527532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84.5072677453343</v>
      </c>
      <c r="M19" s="139" t="n">
        <f aca="false">'CP RESUMO'!R18</f>
        <v>0</v>
      </c>
      <c r="N19" s="140" t="n">
        <f aca="false">MAX(0,M19-M18)</f>
        <v>0</v>
      </c>
      <c r="O19" s="139" t="n">
        <f aca="false">IF(B19&lt;='VALOR POR PL'!$P$5,'CP RESUMO'!R60,"")</f>
        <v>16.98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HISTORICOS'!S18)</f>
        <v>21701.49</v>
      </c>
      <c r="D20" s="45" t="n">
        <f aca="false">IF(B20&lt;='VALOR POR PL'!$P$5,0,IF($K$17&gt;0,$K$18*P20/$K$17,0))</f>
        <v>0</v>
      </c>
      <c r="E20" s="45" t="n">
        <f aca="false">L20+D20/$K$2</f>
        <v>17.4004334575334</v>
      </c>
      <c r="F20" s="117" t="n">
        <f aca="false">IF($K$9=0,0,E20/$K$9)</f>
        <v>0.0173725086489643</v>
      </c>
      <c r="G20" s="117" t="n">
        <f aca="false">G19+F20</f>
        <v>0.169448450176496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17.4004334575334</v>
      </c>
      <c r="M20" s="139" t="n">
        <f aca="false">'CP RESUMO'!S18</f>
        <v>47.53</v>
      </c>
      <c r="N20" s="140" t="n">
        <f aca="false">MAX(0,M20-M19)</f>
        <v>47.53</v>
      </c>
      <c r="O20" s="139" t="n">
        <f aca="false">IF(B20&lt;='VALOR POR PL'!$P$5,'CP RESUMO'!S60,"")</f>
        <v>41.31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HISTORICOS'!T18)</f>
        <v>203306.37</v>
      </c>
      <c r="D21" s="45" t="n">
        <f aca="false">IF(B21&lt;='VALOR POR PL'!$P$5,0,IF($K$17&gt;0,$K$18*P21/$K$17,0))</f>
        <v>0</v>
      </c>
      <c r="E21" s="45" t="n">
        <f aca="false">L21+D21/$K$2</f>
        <v>161.398838726886</v>
      </c>
      <c r="F21" s="117" t="n">
        <f aca="false">IF($K$9=0,0,E21/$K$9)</f>
        <v>0.161139820370492</v>
      </c>
      <c r="G21" s="117" t="n">
        <f aca="false">G20+F21</f>
        <v>0.330588270546988</v>
      </c>
      <c r="H21" s="138"/>
      <c r="K21" s="143"/>
      <c r="L21" s="45" t="n">
        <f aca="false">C21/IF(B21&lt;='VALOR POR PL'!$P$5,IFERROR(INDEX('"INCC-FGV"'!$B$2:$B$800,MATCH(B21,'"INCC-FGV"'!$A$2:$A$800,0)),$K$2),$K$2)</f>
        <v>161.398838726886</v>
      </c>
      <c r="M21" s="139" t="n">
        <f aca="false">'CP RESUMO'!T18</f>
        <v>86</v>
      </c>
      <c r="N21" s="140" t="n">
        <f aca="false">MAX(0,M21-M20)</f>
        <v>38.47</v>
      </c>
      <c r="O21" s="139" t="n">
        <f aca="false">IF(B21&lt;='VALOR POR PL'!$P$5,'CP RESUMO'!T60,"")</f>
        <v>86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HISTORICOS'!U18)</f>
        <v>269416.54</v>
      </c>
      <c r="D22" s="45" t="n">
        <f aca="false">IF(B22&lt;='VALOR POR PL'!$P$5,0,IF($K$17&gt;0,$K$18*P22/$K$17,0))</f>
        <v>0</v>
      </c>
      <c r="E22" s="45" t="n">
        <f aca="false">L22+D22/$K$2</f>
        <v>212.022979550561</v>
      </c>
      <c r="F22" s="117" t="n">
        <f aca="false">IF($K$9=0,0,E22/$K$9)</f>
        <v>0.211682717847848</v>
      </c>
      <c r="G22" s="117" t="n">
        <f aca="false">G21+F22</f>
        <v>0.542270988394836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212.022979550561</v>
      </c>
      <c r="M22" s="139" t="n">
        <f aca="false">'CP RESUMO'!U18</f>
        <v>86</v>
      </c>
      <c r="N22" s="140" t="n">
        <f aca="false">MAX(0,M22-M21)</f>
        <v>0</v>
      </c>
      <c r="O22" s="139" t="n">
        <f aca="false">IF(B22&lt;='VALOR POR PL'!$P$5,'CP RESUMO'!U60,"")</f>
        <v>86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HISTORICOS'!V18)</f>
        <v>202541.18</v>
      </c>
      <c r="D23" s="45" t="n">
        <f aca="false">IF(B23&lt;='VALOR POR PL'!$P$5,0,IF($K$17&gt;0,$K$18*P23/$K$17,0))</f>
        <v>0</v>
      </c>
      <c r="E23" s="45" t="n">
        <f aca="false">L23+D23/$K$2</f>
        <v>158.156095267917</v>
      </c>
      <c r="F23" s="117" t="n">
        <f aca="false">IF($K$9=0,0,E23/$K$9)</f>
        <v>0.157902280976728</v>
      </c>
      <c r="G23" s="117" t="n">
        <f aca="false">G22+F23</f>
        <v>0.700173269371564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158.156095267917</v>
      </c>
      <c r="M23" s="139" t="n">
        <f aca="false">'CP RESUMO'!V18</f>
        <v>86</v>
      </c>
      <c r="N23" s="140" t="n">
        <f aca="false">MAX(0,M23-M22)</f>
        <v>0</v>
      </c>
      <c r="O23" s="139" t="n">
        <f aca="false">IF(B23&lt;='VALOR POR PL'!$P$5,'CP RESUMO'!V60,"")</f>
        <v>86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HISTORICOS'!W18)</f>
        <v>53252.58</v>
      </c>
      <c r="D24" s="45" t="n">
        <f aca="false">IF(B24&lt;='VALOR POR PL'!$P$5,0,IF($K$17&gt;0,$K$18*P24/$K$17,0))</f>
        <v>0</v>
      </c>
      <c r="E24" s="45" t="n">
        <f aca="false">L24+D24/$K$2</f>
        <v>41.3313402114665</v>
      </c>
      <c r="F24" s="117" t="n">
        <f aca="false">IF($K$9=0,0,E24/$K$9)</f>
        <v>0.0412650102682425</v>
      </c>
      <c r="G24" s="117" t="n">
        <f aca="false">G23+F24</f>
        <v>0.741438279639806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41.3313402114665</v>
      </c>
      <c r="M24" s="139" t="n">
        <f aca="false">'CP RESUMO'!W18</f>
        <v>86</v>
      </c>
      <c r="N24" s="140" t="n">
        <f aca="false">MAX(0,M24-M23)</f>
        <v>0</v>
      </c>
      <c r="O24" s="139" t="n">
        <f aca="false">IF(B24&lt;='VALOR POR PL'!$P$5,'CP RESUMO'!W60,"")</f>
        <v>86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0.741438279639806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RESUMO'!X18</f>
        <v>86</v>
      </c>
      <c r="N25" s="140" t="n">
        <f aca="false">MAX(0,M25-M24)</f>
        <v>0</v>
      </c>
      <c r="O25" s="139" t="n">
        <f aca="false">IF(B25&lt;='VALOR POR PL'!$P$5,'CP RESUMO'!X60,"")</f>
        <v>86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HISTORICOS'!Y18)</f>
        <v>58007.08</v>
      </c>
      <c r="D26" s="45" t="n">
        <f aca="false">IF(B26&lt;='VALOR POR PL'!$P$5,0,IF($K$17&gt;0,$K$18*P26/$K$17,0))</f>
        <v>166802.723983738</v>
      </c>
      <c r="E26" s="45" t="n">
        <f aca="false">L26+D26/$K$2</f>
        <v>173.345447439016</v>
      </c>
      <c r="F26" s="117" t="n">
        <f aca="false">IF($K$9=0,0,E26/$K$9)</f>
        <v>0.173067256757854</v>
      </c>
      <c r="G26" s="117" t="n">
        <f aca="false">G25+F26</f>
        <v>0.91450553639766</v>
      </c>
      <c r="H26" s="138" t="n">
        <v>50000</v>
      </c>
      <c r="L26" s="45" t="n">
        <f aca="false">C26/IF(B26&lt;='VALOR POR PL'!$P$5,IFERROR(INDEX('"INCC-FGV"'!$B$2:$B$800,MATCH(B26,'"INCC-FGV"'!$A$2:$A$800,0)),$K$2),$K$2)</f>
        <v>44.7278679979551</v>
      </c>
      <c r="M26" s="139" t="n">
        <f aca="false">'CP RESUMO'!Y18</f>
        <v>94.5</v>
      </c>
      <c r="N26" s="140" t="n">
        <f aca="false">MAX(0,M26-M25)</f>
        <v>8.5</v>
      </c>
      <c r="O26" s="139" t="str">
        <f aca="false">IF(B26&lt;='VALOR POR PL'!$P$5,'CP RESUMO'!Y60,"")</f>
        <v/>
      </c>
      <c r="P26" s="66" t="n">
        <f aca="false">IF(B26&lt;='VALOR POR PL'!$P$5,0,IF(OR($K$16="CURVA PREVISION",$K$16="MDO PREVISION + MATERIAL PREMISSA"),N26,IF($K$16="PREVISÃO INFORMADA",MAX(0,H26),0)))</f>
        <v>8.5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HISTORICOS'!Z18)</f>
        <v>0</v>
      </c>
      <c r="D27" s="45" t="n">
        <f aca="false">IF(B27&lt;='VALOR POR PL'!$P$5,0,IF($K$17&gt;0,$K$18*P27/$K$17,0))</f>
        <v>107931.174342419</v>
      </c>
      <c r="E27" s="45" t="n">
        <f aca="false">L27+D27/$K$2</f>
        <v>83.2231396383335</v>
      </c>
      <c r="F27" s="117" t="n">
        <f aca="false">IF($K$9=0,0,E27/$K$9)</f>
        <v>0.0830895803078378</v>
      </c>
      <c r="G27" s="117" t="n">
        <f aca="false">G26+F27</f>
        <v>0.997595116705498</v>
      </c>
      <c r="H27" s="138" t="n">
        <v>75000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RESUMO'!Z18</f>
        <v>100</v>
      </c>
      <c r="N27" s="140" t="n">
        <f aca="false">MAX(0,M27-M26)</f>
        <v>5.5</v>
      </c>
      <c r="O27" s="139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5.5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0.997595116705498</v>
      </c>
      <c r="H28" s="138" t="n">
        <v>75000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RESUMO'!AA18</f>
        <v>100</v>
      </c>
      <c r="N28" s="140" t="n">
        <f aca="false">MAX(0,M28-M27)</f>
        <v>0</v>
      </c>
      <c r="O28" s="139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0.997595116705498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RESUMO'!AB18</f>
        <v>100</v>
      </c>
      <c r="N29" s="140" t="n">
        <f aca="false">MAX(0,M29-M28)</f>
        <v>0</v>
      </c>
      <c r="O29" s="139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0.997595116705498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RESUMO'!AC18</f>
        <v>100</v>
      </c>
      <c r="N30" s="140" t="n">
        <f aca="false">MAX(0,M30-M29)</f>
        <v>0</v>
      </c>
      <c r="O30" s="139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0.997595116705498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RESUMO'!AD18</f>
        <v>100</v>
      </c>
      <c r="N31" s="140" t="n">
        <f aca="false">MAX(0,M31-M30)</f>
        <v>0</v>
      </c>
      <c r="O31" s="139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HISTORICOS'!AE18)</f>
        <v>2100</v>
      </c>
      <c r="D32" s="45" t="n">
        <f aca="false">IF(B32&lt;='VALOR POR PL'!$P$5,0,IF($K$17&gt;0,$K$18*P32/$K$17,0))</f>
        <v>0</v>
      </c>
      <c r="E32" s="45" t="n">
        <f aca="false">L32+D32/$K$2</f>
        <v>1.61925962823341</v>
      </c>
      <c r="F32" s="117" t="n">
        <f aca="false">IF($K$9=0,0,E32/$K$9)</f>
        <v>0.00161666098520233</v>
      </c>
      <c r="G32" s="117" t="n">
        <f aca="false">G31+F32</f>
        <v>0.999211777690701</v>
      </c>
      <c r="H32" s="138"/>
      <c r="L32" s="45" t="n">
        <f aca="false">C32/IF(B32&lt;='VALOR POR PL'!$P$5,IFERROR(INDEX('"INCC-FGV"'!$B$2:$B$800,MATCH(B32,'"INCC-FGV"'!$A$2:$A$800,0)),$K$2),$K$2)</f>
        <v>1.61925962823341</v>
      </c>
      <c r="M32" s="139" t="n">
        <f aca="false">'CP RESUMO'!AE18</f>
        <v>100</v>
      </c>
      <c r="N32" s="140" t="n">
        <f aca="false">MAX(0,M32-M31)</f>
        <v>0</v>
      </c>
      <c r="O32" s="139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HISTORICOS'!AF18)</f>
        <v>1023.88</v>
      </c>
      <c r="D33" s="45" t="n">
        <f aca="false">IF(B33&lt;='VALOR POR PL'!$P$5,0,IF($K$17&gt;0,$K$18*P33/$K$17,0))</f>
        <v>0</v>
      </c>
      <c r="E33" s="45" t="n">
        <f aca="false">L33+D33/$K$2</f>
        <v>0.789489308645536</v>
      </c>
      <c r="F33" s="117" t="n">
        <f aca="false">IF($K$9=0,0,E33/$K$9)</f>
        <v>0.000788222309299508</v>
      </c>
      <c r="G33" s="117" t="n">
        <f aca="false">G32+F33</f>
        <v>1</v>
      </c>
      <c r="H33" s="138" t="n">
        <v>51741.15</v>
      </c>
      <c r="L33" s="45" t="n">
        <f aca="false">C33/IF(B33&lt;='VALOR POR PL'!$P$5,IFERROR(INDEX('"INCC-FGV"'!$B$2:$B$800,MATCH(B33,'"INCC-FGV"'!$A$2:$A$800,0)),$K$2),$K$2)</f>
        <v>0.789489308645536</v>
      </c>
      <c r="M33" s="139" t="n">
        <f aca="false">'CP RESUMO'!AF18</f>
        <v>100</v>
      </c>
      <c r="N33" s="140" t="n">
        <f aca="false">MAX(0,M33-M32)</f>
        <v>0</v>
      </c>
      <c r="O33" s="139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RESUMO'!AG18</f>
        <v>100</v>
      </c>
      <c r="N34" s="140" t="n">
        <f aca="false">MAX(0,M34-M33)</f>
        <v>0</v>
      </c>
      <c r="O34" s="139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RESUMO'!AH18</f>
        <v>100</v>
      </c>
      <c r="N35" s="140" t="n">
        <f aca="false">MAX(0,M35-M34)</f>
        <v>0</v>
      </c>
      <c r="O35" s="139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RESUMO'!AI18</f>
        <v>100</v>
      </c>
      <c r="N36" s="140" t="n">
        <f aca="false">MAX(0,M36-M35)</f>
        <v>0</v>
      </c>
      <c r="O36" s="139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RESUMO'!AJ18</f>
        <v>100</v>
      </c>
      <c r="N37" s="140" t="n">
        <f aca="false">MAX(0,M37-M36)</f>
        <v>0</v>
      </c>
      <c r="O37" s="139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RESUMO'!AK18</f>
        <v>100</v>
      </c>
      <c r="N38" s="140" t="n">
        <f aca="false">MAX(0,M38-M37)</f>
        <v>0</v>
      </c>
      <c r="O38" s="139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RESUMO'!AL18</f>
        <v>100</v>
      </c>
      <c r="N39" s="140" t="n">
        <f aca="false">MAX(0,M39-M38)</f>
        <v>0</v>
      </c>
      <c r="O39" s="139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RESUMO'!AM18</f>
        <v>100</v>
      </c>
      <c r="N40" s="140" t="n">
        <f aca="false">MAX(0,M40-M39)</f>
        <v>0</v>
      </c>
      <c r="O40" s="139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RESUMO'!AN18</f>
        <v>100</v>
      </c>
      <c r="N41" s="140" t="n">
        <f aca="false">MAX(0,M41-M40)</f>
        <v>0</v>
      </c>
      <c r="O41" s="139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RESUMO'!AO18</f>
        <v>100</v>
      </c>
      <c r="N42" s="140" t="n">
        <f aca="false">MAX(0,M42-M41)</f>
        <v>0</v>
      </c>
      <c r="O42" s="139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RESUMO'!AP18</f>
        <v>100</v>
      </c>
      <c r="N43" s="140" t="n">
        <f aca="false">MAX(0,M43-M42)</f>
        <v>0</v>
      </c>
      <c r="O43" s="139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RESUMO'!AQ18</f>
        <v>100</v>
      </c>
      <c r="N44" s="140" t="n">
        <f aca="false">MAX(0,M44-M43)</f>
        <v>0</v>
      </c>
      <c r="O44" s="139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RESUMO'!AR18</f>
        <v>100</v>
      </c>
      <c r="N45" s="140" t="n">
        <f aca="false">MAX(0,M45-M44)</f>
        <v>0</v>
      </c>
      <c r="O45" s="139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RESUMO'!AS18</f>
        <v>100</v>
      </c>
      <c r="N46" s="140" t="n">
        <f aca="false">MAX(0,M46-M45)</f>
        <v>0</v>
      </c>
      <c r="O46" s="139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RESUMO'!AT18</f>
        <v>100</v>
      </c>
      <c r="N47" s="140" t="n">
        <f aca="false">MAX(0,M47-M46)</f>
        <v>0</v>
      </c>
      <c r="O47" s="139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RESUMO'!AU18</f>
        <v>100</v>
      </c>
      <c r="N48" s="140" t="n">
        <f aca="false">MAX(0,M48-M47)</f>
        <v>0</v>
      </c>
      <c r="O48" s="139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RESUMO'!AV18</f>
        <v>100</v>
      </c>
      <c r="N49" s="140" t="n">
        <f aca="false">MAX(0,M49-M48)</f>
        <v>0</v>
      </c>
      <c r="O49" s="139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RESUMO'!AW18</f>
        <v>100</v>
      </c>
      <c r="N50" s="140" t="n">
        <f aca="false">MAX(0,M50-M49)</f>
        <v>0</v>
      </c>
      <c r="O50" s="139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RESUMO'!AX18</f>
        <v>100</v>
      </c>
      <c r="N51" s="140" t="n">
        <f aca="false">MAX(0,M51-M50)</f>
        <v>0</v>
      </c>
      <c r="O51" s="139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RESUMO'!AY18</f>
        <v>100</v>
      </c>
      <c r="N52" s="140" t="n">
        <f aca="false">MAX(0,M52-M51)</f>
        <v>0</v>
      </c>
      <c r="O52" s="139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RESUMO'!AZ18</f>
        <v>100</v>
      </c>
      <c r="N53" s="140" t="n">
        <f aca="false">MAX(0,M53-M52)</f>
        <v>0</v>
      </c>
      <c r="O53" s="139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RESUMO'!BA18</f>
        <v>100</v>
      </c>
      <c r="N54" s="140" t="n">
        <f aca="false">MAX(0,M54-M53)</f>
        <v>0</v>
      </c>
      <c r="O54" s="139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RESUMO'!BB18</f>
        <v>100</v>
      </c>
      <c r="N55" s="140" t="n">
        <f aca="false">MAX(0,M55-M54)</f>
        <v>0</v>
      </c>
      <c r="O55" s="139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RESUMO'!BC18</f>
        <v>100</v>
      </c>
      <c r="N56" s="140" t="n">
        <f aca="false">MAX(0,M56-M55)</f>
        <v>0</v>
      </c>
      <c r="O56" s="139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RESUMO'!BD18</f>
        <v>100</v>
      </c>
      <c r="N57" s="140" t="n">
        <f aca="false">MAX(0,M57-M56)</f>
        <v>0</v>
      </c>
      <c r="O57" s="139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RESUMO'!BE18</f>
        <v>100</v>
      </c>
      <c r="N58" s="140" t="n">
        <f aca="false">MAX(0,M58-M57)</f>
        <v>0</v>
      </c>
      <c r="O58" s="139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RESUMO'!BF18</f>
        <v>100</v>
      </c>
      <c r="N59" s="140" t="n">
        <f aca="false">MAX(0,M59-M58)</f>
        <v>0</v>
      </c>
      <c r="O59" s="139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RESUMO'!BG18</f>
        <v>100</v>
      </c>
      <c r="N60" s="140" t="n">
        <f aca="false">MAX(0,M60-M59)</f>
        <v>0</v>
      </c>
      <c r="O60" s="139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RESUMO'!BH18</f>
        <v>100</v>
      </c>
      <c r="N61" s="140" t="n">
        <f aca="false">MAX(0,M61-M60)</f>
        <v>0</v>
      </c>
      <c r="O61" s="139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RESUMO'!BI18</f>
        <v>100</v>
      </c>
      <c r="N62" s="140" t="n">
        <f aca="false">MAX(0,M62-M61)</f>
        <v>0</v>
      </c>
      <c r="O62" s="139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RESUMO'!BJ18</f>
        <v>100</v>
      </c>
      <c r="N63" s="140" t="n">
        <f aca="false">MAX(0,M63-M62)</f>
        <v>0</v>
      </c>
      <c r="O63" s="139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RESUMO'!BK18</f>
        <v>100</v>
      </c>
      <c r="N64" s="140" t="n">
        <f aca="false">MAX(0,M64-M63)</f>
        <v>0</v>
      </c>
      <c r="O64" s="139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RESUMO'!BL18</f>
        <v>100</v>
      </c>
      <c r="N65" s="140" t="n">
        <f aca="false">MAX(0,M65-M64)</f>
        <v>0</v>
      </c>
      <c r="O65" s="139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RESUMO'!BM18</f>
        <v>100</v>
      </c>
      <c r="N66" s="140" t="n">
        <f aca="false">MAX(0,M66-M65)</f>
        <v>0</v>
      </c>
      <c r="O66" s="139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RESUMO'!BN18</f>
        <v>100</v>
      </c>
      <c r="N67" s="140" t="n">
        <f aca="false">MAX(0,M67-M66)</f>
        <v>0</v>
      </c>
      <c r="O67" s="139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RESUMO'!BO18</f>
        <v>100</v>
      </c>
      <c r="N68" s="140" t="n">
        <f aca="false">MAX(0,M68-M67)</f>
        <v>0</v>
      </c>
      <c r="O68" s="139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RESUMO'!BP18</f>
        <v>100</v>
      </c>
      <c r="N69" s="140" t="n">
        <f aca="false">MAX(0,M69-M68)</f>
        <v>0</v>
      </c>
      <c r="O69" s="139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RESUMO'!BQ18</f>
        <v>100</v>
      </c>
      <c r="N70" s="140" t="n">
        <f aca="false">MAX(0,M70-M69)</f>
        <v>0</v>
      </c>
      <c r="O70" s="139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RESUMO'!BR18</f>
        <v>100</v>
      </c>
      <c r="N71" s="140" t="n">
        <f aca="false">MAX(0,M71-M70)</f>
        <v>0</v>
      </c>
      <c r="O71" s="139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RESUMO'!BS18</f>
        <v>100</v>
      </c>
      <c r="N72" s="140" t="n">
        <f aca="false">MAX(0,M72-M71)</f>
        <v>0</v>
      </c>
      <c r="O72" s="139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RESUMO'!BT18</f>
        <v>100</v>
      </c>
      <c r="N73" s="140" t="n">
        <f aca="false">MAX(0,M73-M72)</f>
        <v>0</v>
      </c>
      <c r="O73" s="139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RESUMO'!BU18</f>
        <v>100</v>
      </c>
      <c r="N74" s="140" t="n">
        <f aca="false">MAX(0,M74-M73)</f>
        <v>0</v>
      </c>
      <c r="O74" s="139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RESUMO'!BV18</f>
        <v>100</v>
      </c>
      <c r="N75" s="140" t="n">
        <f aca="false">MAX(0,M75-M74)</f>
        <v>0</v>
      </c>
      <c r="O75" s="139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RESUMO'!BW18</f>
        <v>100</v>
      </c>
      <c r="N76" s="140" t="n">
        <f aca="false">MAX(0,M76-M75)</f>
        <v>0</v>
      </c>
      <c r="O76" s="139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999609.76</v>
      </c>
      <c r="D78" s="61" t="n">
        <f aca="false">SUM(D5:D76)</f>
        <v>274733.898326157</v>
      </c>
      <c r="E78" s="61" t="n">
        <f aca="false">SUM(E5:E76)</f>
        <v>1001.60741370941</v>
      </c>
      <c r="F78" s="145" t="n">
        <f aca="false">SUM(F5:F76)</f>
        <v>1</v>
      </c>
      <c r="H78" s="61" t="n">
        <f aca="false">SUM(H5:H76)</f>
        <v>251741.15</v>
      </c>
      <c r="L78" s="61" t="n">
        <f aca="false">SUM(L5:L76)</f>
        <v>789.766694630012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PL'!F25</f>
        <v>6226579.22</v>
      </c>
      <c r="K5" s="56" t="n">
        <f aca="false">'VALOR POR PL'!G25</f>
        <v>5117.570899</v>
      </c>
      <c r="L5" s="56" t="n">
        <f aca="false">'DADOS HISTORICOS'!$BZ$19</f>
        <v>0</v>
      </c>
      <c r="M5" s="139" t="n">
        <f aca="false">'CP RESUMO'!D19</f>
        <v>0</v>
      </c>
      <c r="N5" s="140" t="n">
        <v>0</v>
      </c>
      <c r="O5" s="139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HISTORICOS'!E19)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PL'!H25</f>
        <v>5539.15691790596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RESUMO'!E19</f>
        <v>0</v>
      </c>
      <c r="N6" s="140" t="n">
        <f aca="false">MAX(0,M6-M5)</f>
        <v>0</v>
      </c>
      <c r="O6" s="139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HISTORICOS'!F19)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6863872.54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RESUMO'!F19</f>
        <v>0</v>
      </c>
      <c r="N7" s="140" t="n">
        <f aca="false">MAX(0,M7-M6)</f>
        <v>0</v>
      </c>
      <c r="O7" s="139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HISTORICOS'!G19)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5539.15691790596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RESUMO'!G19</f>
        <v>0</v>
      </c>
      <c r="N8" s="140" t="n">
        <f aca="false">MAX(0,M8-M7)</f>
        <v>0</v>
      </c>
      <c r="O8" s="139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HISTORICOS'!H19)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6863872.54</v>
      </c>
      <c r="K9" s="45" t="n">
        <f aca="false">E78</f>
        <v>5539.15691790596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RESUMO'!H19</f>
        <v>0</v>
      </c>
      <c r="N9" s="140" t="n">
        <f aca="false">MAX(0,M9-M8)</f>
        <v>0</v>
      </c>
      <c r="O9" s="139" t="n">
        <f aca="false">IF(B9&lt;='VALOR POR PL'!$P$5,'CP RESUMO'!H61,"")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HISTORICOS'!I19)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RESUMO'!I19</f>
        <v>0</v>
      </c>
      <c r="N10" s="140" t="n">
        <f aca="false">MAX(0,M10-M9)</f>
        <v>0</v>
      </c>
      <c r="O10" s="139" t="n">
        <f aca="false">IF(B10&lt;='VALOR POR PL'!$P$5,'CP RESUMO'!I61,"")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HISTORICOS'!J19)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RESUMO'!J19</f>
        <v>0</v>
      </c>
      <c r="N11" s="140" t="n">
        <f aca="false">MAX(0,M11-M10)</f>
        <v>0</v>
      </c>
      <c r="O11" s="139" t="n">
        <f aca="false">IF(B11&lt;='VALOR POR PL'!$P$5,'CP RESUMO'!J61,"")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HISTORICOS'!K19)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RESUMO'!K19</f>
        <v>0</v>
      </c>
      <c r="N12" s="140" t="n">
        <f aca="false">MAX(0,M12-M11)</f>
        <v>0</v>
      </c>
      <c r="O12" s="139" t="n">
        <f aca="false">IF(B12&lt;='VALOR POR PL'!$P$5,'CP RESUMO'!K61,"")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HISTORICOS'!L19)</f>
        <v>1930</v>
      </c>
      <c r="D13" s="45" t="n">
        <f aca="false">IF(B13&lt;='VALOR POR PL'!$P$5,0,IF($K$17&gt;0,$K$18*P13/$K$17,0))</f>
        <v>0</v>
      </c>
      <c r="E13" s="45" t="n">
        <f aca="false">L13+D13/$K$2</f>
        <v>1.58625008835331</v>
      </c>
      <c r="F13" s="117" t="n">
        <f aca="false">IF($K$9=0,0,E13/$K$9)</f>
        <v>0.000286370310836578</v>
      </c>
      <c r="G13" s="117" t="n">
        <f aca="false">G12+F13</f>
        <v>0.000286370310836578</v>
      </c>
      <c r="H13" s="138"/>
      <c r="I13" s="42" t="s">
        <v>2928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1.58625008835331</v>
      </c>
      <c r="M13" s="139" t="n">
        <f aca="false">'CP RESUMO'!L19</f>
        <v>0</v>
      </c>
      <c r="N13" s="140" t="n">
        <f aca="false">MAX(0,M13-M12)</f>
        <v>0</v>
      </c>
      <c r="O13" s="139" t="n">
        <f aca="false">IF(B13&lt;='VALOR POR PL'!$P$5,'CP RESUMO'!L61,"")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HISTORICOS'!M19)</f>
        <v>145877.57</v>
      </c>
      <c r="D14" s="45" t="n">
        <f aca="false">IF(B14&lt;='VALOR POR PL'!$P$5,0,IF($K$17&gt;0,$K$18*P14/$K$17,0))</f>
        <v>0</v>
      </c>
      <c r="E14" s="45" t="n">
        <f aca="false">L14+D14/$K$2</f>
        <v>119.694711043391</v>
      </c>
      <c r="F14" s="117" t="n">
        <f aca="false">IF($K$9=0,0,E14/$K$9)</f>
        <v>0.0216088319607745</v>
      </c>
      <c r="G14" s="117" t="n">
        <f aca="false">G13+F14</f>
        <v>0.0218952022716111</v>
      </c>
      <c r="H14" s="138"/>
      <c r="I14" s="42" t="s">
        <v>2929</v>
      </c>
      <c r="K14" s="58" t="n">
        <f aca="false">IFERROR(INDEX('CP RESUMO'!$D$61:$BW$61,MATCH('VALOR POR PL'!$P$5,'CP RESUMO'!$D$4:$BW$4,0))/100,0)</f>
        <v>0.9953</v>
      </c>
      <c r="L14" s="45" t="n">
        <f aca="false">C14/IF(B14&lt;='VALOR POR PL'!$P$5,IFERROR(INDEX('"INCC-FGV"'!$B$2:$B$800,MATCH(B14,'"INCC-FGV"'!$A$2:$A$800,0)),$K$2),$K$2)</f>
        <v>119.694711043391</v>
      </c>
      <c r="M14" s="139" t="n">
        <f aca="false">'CP RESUMO'!M19</f>
        <v>0</v>
      </c>
      <c r="N14" s="140" t="n">
        <f aca="false">MAX(0,M14-M13)</f>
        <v>0</v>
      </c>
      <c r="O14" s="139" t="n">
        <f aca="false">IF(B14&lt;='VALOR POR PL'!$P$5,'CP RESUMO'!M61,"")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HISTORICOS'!N19)</f>
        <v>521095.71</v>
      </c>
      <c r="D15" s="45" t="n">
        <f aca="false">IF(B15&lt;='VALOR POR PL'!$P$5,0,IF($K$17&gt;0,$K$18*P15/$K$17,0))</f>
        <v>0</v>
      </c>
      <c r="E15" s="45" t="n">
        <f aca="false">L15+D15/$K$2</f>
        <v>426.304374503009</v>
      </c>
      <c r="F15" s="117" t="n">
        <f aca="false">IF($K$9=0,0,E15/$K$9)</f>
        <v>0.0769619602443346</v>
      </c>
      <c r="G15" s="117" t="n">
        <f aca="false">G14+F15</f>
        <v>0.0988571625159456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426.304374503009</v>
      </c>
      <c r="M15" s="139" t="n">
        <f aca="false">'CP RESUMO'!N19</f>
        <v>17.44</v>
      </c>
      <c r="N15" s="140" t="n">
        <f aca="false">MAX(0,M15-M14)</f>
        <v>17.44</v>
      </c>
      <c r="O15" s="139" t="n">
        <f aca="false">IF(B15&lt;='VALOR POR PL'!$P$5,'CP RESUMO'!N61,"")</f>
        <v>21.06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HISTORICOS'!O19)</f>
        <v>1121245.4</v>
      </c>
      <c r="D16" s="45" t="n">
        <f aca="false">IF(B16&lt;='VALOR POR PL'!$P$5,0,IF($K$17&gt;0,$K$18*P16/$K$17,0))</f>
        <v>0</v>
      </c>
      <c r="E16" s="45" t="n">
        <f aca="false">L16+D16/$K$2</f>
        <v>914.829643131345</v>
      </c>
      <c r="F16" s="117" t="n">
        <f aca="false">IF($K$9=0,0,E16/$K$9)</f>
        <v>0.165156838249889</v>
      </c>
      <c r="G16" s="117" t="n">
        <f aca="false">G15+F16</f>
        <v>0.264014000765834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914.829643131345</v>
      </c>
      <c r="M16" s="139" t="n">
        <f aca="false">'CP RESUMO'!O19</f>
        <v>39.53</v>
      </c>
      <c r="N16" s="140" t="n">
        <f aca="false">MAX(0,M16-M15)</f>
        <v>22.09</v>
      </c>
      <c r="O16" s="139" t="n">
        <f aca="false">IF(B16&lt;='VALOR POR PL'!$P$5,'CP RESUMO'!O61,"")</f>
        <v>46.99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HISTORICOS'!P19)</f>
        <v>876284.06</v>
      </c>
      <c r="D17" s="45" t="n">
        <f aca="false">IF(B17&lt;='VALOR POR PL'!$P$5,0,IF($K$17&gt;0,$K$18*P17/$K$17,0))</f>
        <v>0</v>
      </c>
      <c r="E17" s="45" t="n">
        <f aca="false">L17+D17/$K$2</f>
        <v>713.492823823587</v>
      </c>
      <c r="F17" s="117" t="n">
        <f aca="false">IF($K$9=0,0,E17/$K$9)</f>
        <v>0.128808920635041</v>
      </c>
      <c r="G17" s="117" t="n">
        <f aca="false">G16+F17</f>
        <v>0.392822921400875</v>
      </c>
      <c r="H17" s="138"/>
      <c r="I17" s="42" t="s">
        <v>2933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713.492823823587</v>
      </c>
      <c r="M17" s="139" t="n">
        <f aca="false">'CP RESUMO'!P19</f>
        <v>55.81</v>
      </c>
      <c r="N17" s="140" t="n">
        <f aca="false">MAX(0,M17-M16)</f>
        <v>16.28</v>
      </c>
      <c r="O17" s="139" t="n">
        <f aca="false">IF(B17&lt;='VALOR POR PL'!$P$5,'CP RESUMO'!P61,"")</f>
        <v>62.54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HISTORICOS'!Q19)</f>
        <v>1371139.53</v>
      </c>
      <c r="D18" s="45" t="n">
        <f aca="false">IF(B18&lt;='VALOR POR PL'!$P$5,0,IF($K$17&gt;0,$K$18*P18/$K$17,0))</f>
        <v>0</v>
      </c>
      <c r="E18" s="45" t="n">
        <f aca="false">L18+D18/$K$2</f>
        <v>1108.40713608981</v>
      </c>
      <c r="F18" s="117" t="n">
        <f aca="false">IF($K$9=0,0,E18/$K$9)</f>
        <v>0.200103942263625</v>
      </c>
      <c r="G18" s="117" t="n">
        <f aca="false">G17+F18</f>
        <v>0.592926863664501</v>
      </c>
      <c r="H18" s="138"/>
      <c r="I18" s="42" t="s">
        <v>2934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1108.40713608981</v>
      </c>
      <c r="M18" s="139" t="n">
        <f aca="false">'CP RESUMO'!Q19</f>
        <v>79.07</v>
      </c>
      <c r="N18" s="140" t="n">
        <f aca="false">MAX(0,M18-M17)</f>
        <v>23.26</v>
      </c>
      <c r="O18" s="139" t="n">
        <f aca="false">IF(B18&lt;='VALOR POR PL'!$P$5,'CP RESUMO'!Q61,"")</f>
        <v>80.98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HISTORICOS'!R19)</f>
        <v>644213.9</v>
      </c>
      <c r="D19" s="45" t="n">
        <f aca="false">IF(B19&lt;='VALOR POR PL'!$P$5,0,IF($K$17&gt;0,$K$18*P19/$K$17,0))</f>
        <v>0</v>
      </c>
      <c r="E19" s="45" t="n">
        <f aca="false">L19+D19/$K$2</f>
        <v>519.325890521499</v>
      </c>
      <c r="F19" s="117" t="n">
        <f aca="false">IF($K$9=0,0,E19/$K$9)</f>
        <v>0.0937554032532856</v>
      </c>
      <c r="G19" s="117" t="n">
        <f aca="false">G18+F19</f>
        <v>0.686682266917786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519.325890521499</v>
      </c>
      <c r="M19" s="139" t="n">
        <f aca="false">'CP RESUMO'!R19</f>
        <v>99.53</v>
      </c>
      <c r="N19" s="140" t="n">
        <f aca="false">MAX(0,M19-M18)</f>
        <v>20.46</v>
      </c>
      <c r="O19" s="139" t="n">
        <f aca="false">IF(B19&lt;='VALOR POR PL'!$P$5,'CP RESUMO'!R61,"")</f>
        <v>94.31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HISTORICOS'!S19)</f>
        <v>1233027.32</v>
      </c>
      <c r="D20" s="45" t="n">
        <f aca="false">IF(B20&lt;='VALOR POR PL'!$P$5,0,IF($K$17&gt;0,$K$18*P20/$K$17,0))</f>
        <v>0</v>
      </c>
      <c r="E20" s="45" t="n">
        <f aca="false">L20+D20/$K$2</f>
        <v>988.651462778859</v>
      </c>
      <c r="F20" s="117" t="n">
        <f aca="false">IF($K$9=0,0,E20/$K$9)</f>
        <v>0.178484104608579</v>
      </c>
      <c r="G20" s="117" t="n">
        <f aca="false">G19+F20</f>
        <v>0.865166371526365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988.651462778859</v>
      </c>
      <c r="M20" s="139" t="n">
        <f aca="false">'CP RESUMO'!S19</f>
        <v>100</v>
      </c>
      <c r="N20" s="140" t="n">
        <f aca="false">MAX(0,M20-M19)</f>
        <v>0.469999999999999</v>
      </c>
      <c r="O20" s="139" t="n">
        <f aca="false">IF(B20&lt;='VALOR POR PL'!$P$5,'CP RESUMO'!S61,"")</f>
        <v>99.53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HISTORICOS'!T19)</f>
        <v>606377.66</v>
      </c>
      <c r="D21" s="45" t="n">
        <f aca="false">IF(B21&lt;='VALOR POR PL'!$P$5,0,IF($K$17&gt;0,$K$18*P21/$K$17,0))</f>
        <v>0</v>
      </c>
      <c r="E21" s="45" t="n">
        <f aca="false">L21+D21/$K$2</f>
        <v>481.385065081467</v>
      </c>
      <c r="F21" s="117" t="n">
        <f aca="false">IF($K$9=0,0,E21/$K$9)</f>
        <v>0.0869058364324966</v>
      </c>
      <c r="G21" s="117" t="n">
        <f aca="false">G20+F21</f>
        <v>0.952072207958862</v>
      </c>
      <c r="H21" s="138"/>
      <c r="K21" s="143"/>
      <c r="L21" s="45" t="n">
        <f aca="false">C21/IF(B21&lt;='VALOR POR PL'!$P$5,IFERROR(INDEX('"INCC-FGV"'!$B$2:$B$800,MATCH(B21,'"INCC-FGV"'!$A$2:$A$800,0)),$K$2),$K$2)</f>
        <v>481.385065081467</v>
      </c>
      <c r="M21" s="139" t="n">
        <f aca="false">'CP RESUMO'!T19</f>
        <v>100</v>
      </c>
      <c r="N21" s="140" t="n">
        <f aca="false">MAX(0,M21-M20)</f>
        <v>0</v>
      </c>
      <c r="O21" s="139" t="n">
        <f aca="false">IF(B21&lt;='VALOR POR PL'!$P$5,'CP RESUMO'!T61,"")</f>
        <v>99.53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HISTORICOS'!U19)</f>
        <v>43774.24</v>
      </c>
      <c r="D22" s="45" t="n">
        <f aca="false">IF(B22&lt;='VALOR POR PL'!$P$5,0,IF($K$17&gt;0,$K$18*P22/$K$17,0))</f>
        <v>0</v>
      </c>
      <c r="E22" s="45" t="n">
        <f aca="false">L22+D22/$K$2</f>
        <v>34.4490534707385</v>
      </c>
      <c r="F22" s="117" t="n">
        <f aca="false">IF($K$9=0,0,E22/$K$9)</f>
        <v>0.00621918714008227</v>
      </c>
      <c r="G22" s="117" t="n">
        <f aca="false">G21+F22</f>
        <v>0.958291395098944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34.4490534707385</v>
      </c>
      <c r="M22" s="139" t="n">
        <f aca="false">'CP RESUMO'!U19</f>
        <v>100</v>
      </c>
      <c r="N22" s="140" t="n">
        <f aca="false">MAX(0,M22-M21)</f>
        <v>0</v>
      </c>
      <c r="O22" s="139" t="n">
        <f aca="false">IF(B22&lt;='VALOR POR PL'!$P$5,'CP RESUMO'!U61,"")</f>
        <v>99.53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HISTORICOS'!V19)</f>
        <v>15692.87</v>
      </c>
      <c r="D23" s="45" t="n">
        <f aca="false">IF(B23&lt;='VALOR POR PL'!$P$5,0,IF($K$17&gt;0,$K$18*P23/$K$17,0))</f>
        <v>0</v>
      </c>
      <c r="E23" s="45" t="n">
        <f aca="false">L23+D23/$K$2</f>
        <v>12.2539181550489</v>
      </c>
      <c r="F23" s="117" t="n">
        <f aca="false">IF($K$9=0,0,E23/$K$9)</f>
        <v>0.00221223524385755</v>
      </c>
      <c r="G23" s="117" t="n">
        <f aca="false">G22+F23</f>
        <v>0.960503630342801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12.2539181550489</v>
      </c>
      <c r="M23" s="139" t="n">
        <f aca="false">'CP RESUMO'!V19</f>
        <v>100</v>
      </c>
      <c r="N23" s="140" t="n">
        <f aca="false">MAX(0,M23-M22)</f>
        <v>0</v>
      </c>
      <c r="O23" s="139" t="n">
        <f aca="false">IF(B23&lt;='VALOR POR PL'!$P$5,'CP RESUMO'!V61,"")</f>
        <v>99.53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HISTORICOS'!W19)</f>
        <v>78401.44</v>
      </c>
      <c r="D24" s="45" t="n">
        <f aca="false">IF(B24&lt;='VALOR POR PL'!$P$5,0,IF($K$17&gt;0,$K$18*P24/$K$17,0))</f>
        <v>0</v>
      </c>
      <c r="E24" s="45" t="n">
        <f aca="false">L24+D24/$K$2</f>
        <v>60.8503210494004</v>
      </c>
      <c r="F24" s="117" t="n">
        <f aca="false">IF($K$9=0,0,E24/$K$9)</f>
        <v>0.0109854842444876</v>
      </c>
      <c r="G24" s="117" t="n">
        <f aca="false">G23+F24</f>
        <v>0.971489114587289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60.8503210494004</v>
      </c>
      <c r="M24" s="139" t="n">
        <f aca="false">'CP RESUMO'!W19</f>
        <v>100</v>
      </c>
      <c r="N24" s="140" t="n">
        <f aca="false">MAX(0,M24-M23)</f>
        <v>0</v>
      </c>
      <c r="O24" s="139" t="n">
        <f aca="false">IF(B24&lt;='VALOR POR PL'!$P$5,'CP RESUMO'!W61,"")</f>
        <v>99.53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HISTORICOS'!X19)</f>
        <v>37660.47</v>
      </c>
      <c r="D25" s="45" t="n">
        <f aca="false">IF(B25&lt;='VALOR POR PL'!$P$5,0,IF($K$17&gt;0,$K$18*P25/$K$17,0))</f>
        <v>0</v>
      </c>
      <c r="E25" s="45" t="n">
        <f aca="false">L25+D25/$K$2</f>
        <v>29.0390850720455</v>
      </c>
      <c r="F25" s="117" t="n">
        <f aca="false">IF($K$9=0,0,E25/$K$9)</f>
        <v>0.00524250991665778</v>
      </c>
      <c r="G25" s="117" t="n">
        <f aca="false">G24+F25</f>
        <v>0.976731624503947</v>
      </c>
      <c r="H25" s="138"/>
      <c r="L25" s="45" t="n">
        <f aca="false">C25/IF(B25&lt;='VALOR POR PL'!$P$5,IFERROR(INDEX('"INCC-FGV"'!$B$2:$B$800,MATCH(B25,'"INCC-FGV"'!$A$2:$A$800,0)),$K$2),$K$2)</f>
        <v>29.0390850720455</v>
      </c>
      <c r="M25" s="139" t="n">
        <f aca="false">'CP RESUMO'!X19</f>
        <v>100</v>
      </c>
      <c r="N25" s="140" t="n">
        <f aca="false">MAX(0,M25-M24)</f>
        <v>0</v>
      </c>
      <c r="O25" s="139" t="n">
        <f aca="false">IF(B25&lt;='VALOR POR PL'!$P$5,'CP RESUMO'!X61,"")</f>
        <v>99.53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HISTORICOS'!Y19)</f>
        <v>102068.64</v>
      </c>
      <c r="D26" s="45" t="n">
        <f aca="false">IF(B26&lt;='VALOR POR PL'!$P$5,0,IF($K$17&gt;0,$K$18*P26/$K$17,0))</f>
        <v>0</v>
      </c>
      <c r="E26" s="45" t="n">
        <f aca="false">L26+D26/$K$2</f>
        <v>78.7026800288999</v>
      </c>
      <c r="F26" s="117" t="n">
        <f aca="false">IF($K$9=0,0,E26/$K$9)</f>
        <v>0.014208422183254</v>
      </c>
      <c r="G26" s="117" t="n">
        <f aca="false">G25+F26</f>
        <v>0.990940046687201</v>
      </c>
      <c r="H26" s="138"/>
      <c r="L26" s="45" t="n">
        <f aca="false">C26/IF(B26&lt;='VALOR POR PL'!$P$5,IFERROR(INDEX('"INCC-FGV"'!$B$2:$B$800,MATCH(B26,'"INCC-FGV"'!$A$2:$A$800,0)),$K$2),$K$2)</f>
        <v>78.7026800288999</v>
      </c>
      <c r="M26" s="139" t="n">
        <f aca="false">'CP RESUMO'!Y19</f>
        <v>100</v>
      </c>
      <c r="N26" s="140" t="n">
        <f aca="false">MAX(0,M26-M25)</f>
        <v>0</v>
      </c>
      <c r="O26" s="139" t="str">
        <f aca="false">IF(B26&lt;='VALOR POR PL'!$P$5,'CP RESUMO'!Y61,"")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HISTORICOS'!Z19)</f>
        <v>34599.67</v>
      </c>
      <c r="D27" s="45" t="n">
        <f aca="false">IF(B27&lt;='VALOR POR PL'!$P$5,0,IF($K$17&gt;0,$K$18*P27/$K$17,0))</f>
        <v>0</v>
      </c>
      <c r="E27" s="45" t="n">
        <f aca="false">L27+D27/$K$2</f>
        <v>26.6789756100946</v>
      </c>
      <c r="F27" s="117" t="n">
        <f aca="false">IF($K$9=0,0,E27/$K$9)</f>
        <v>0.00481643253756755</v>
      </c>
      <c r="G27" s="117" t="n">
        <f aca="false">G26+F27</f>
        <v>0.995756479224768</v>
      </c>
      <c r="H27" s="138"/>
      <c r="L27" s="45" t="n">
        <f aca="false">C27/IF(B27&lt;='VALOR POR PL'!$P$5,IFERROR(INDEX('"INCC-FGV"'!$B$2:$B$800,MATCH(B27,'"INCC-FGV"'!$A$2:$A$800,0)),$K$2),$K$2)</f>
        <v>26.6789756100946</v>
      </c>
      <c r="M27" s="139" t="n">
        <f aca="false">'CP RESUMO'!Z19</f>
        <v>100</v>
      </c>
      <c r="N27" s="140" t="n">
        <f aca="false">MAX(0,M27-M26)</f>
        <v>0</v>
      </c>
      <c r="O27" s="139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HISTORICOS'!AA19)</f>
        <v>10360.68</v>
      </c>
      <c r="D28" s="45" t="n">
        <f aca="false">IF(B28&lt;='VALOR POR PL'!$P$5,0,IF($K$17&gt;0,$K$18*P28/$K$17,0))</f>
        <v>0</v>
      </c>
      <c r="E28" s="45" t="n">
        <f aca="false">L28+D28/$K$2</f>
        <v>7.98887183097397</v>
      </c>
      <c r="F28" s="117" t="n">
        <f aca="false">IF($K$9=0,0,E28/$K$9)</f>
        <v>0.00144225411003415</v>
      </c>
      <c r="G28" s="117" t="n">
        <f aca="false">G27+F28</f>
        <v>0.997198733334803</v>
      </c>
      <c r="H28" s="138"/>
      <c r="L28" s="45" t="n">
        <f aca="false">C28/IF(B28&lt;='VALOR POR PL'!$P$5,IFERROR(INDEX('"INCC-FGV"'!$B$2:$B$800,MATCH(B28,'"INCC-FGV"'!$A$2:$A$800,0)),$K$2),$K$2)</f>
        <v>7.98887183097397</v>
      </c>
      <c r="M28" s="139" t="n">
        <f aca="false">'CP RESUMO'!AA19</f>
        <v>100</v>
      </c>
      <c r="N28" s="140" t="n">
        <f aca="false">MAX(0,M28-M27)</f>
        <v>0</v>
      </c>
      <c r="O28" s="139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HISTORICOS'!AB19)</f>
        <v>5768</v>
      </c>
      <c r="D29" s="45" t="n">
        <f aca="false">IF(B29&lt;='VALOR POR PL'!$P$5,0,IF($K$17&gt;0,$K$18*P29/$K$17,0))</f>
        <v>0</v>
      </c>
      <c r="E29" s="45" t="n">
        <f aca="false">L29+D29/$K$2</f>
        <v>4.44756644554777</v>
      </c>
      <c r="F29" s="117" t="n">
        <f aca="false">IF($K$9=0,0,E29/$K$9)</f>
        <v>0.000802932018620109</v>
      </c>
      <c r="G29" s="117" t="n">
        <f aca="false">G28+F29</f>
        <v>0.998001665353423</v>
      </c>
      <c r="H29" s="138"/>
      <c r="L29" s="45" t="n">
        <f aca="false">C29/IF(B29&lt;='VALOR POR PL'!$P$5,IFERROR(INDEX('"INCC-FGV"'!$B$2:$B$800,MATCH(B29,'"INCC-FGV"'!$A$2:$A$800,0)),$K$2),$K$2)</f>
        <v>4.44756644554777</v>
      </c>
      <c r="M29" s="139" t="n">
        <f aca="false">'CP RESUMO'!AB19</f>
        <v>100</v>
      </c>
      <c r="N29" s="140" t="n">
        <f aca="false">MAX(0,M29-M28)</f>
        <v>0</v>
      </c>
      <c r="O29" s="139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0.998001665353423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RESUMO'!AC19</f>
        <v>100</v>
      </c>
      <c r="N30" s="140" t="n">
        <f aca="false">MAX(0,M30-M29)</f>
        <v>0</v>
      </c>
      <c r="O30" s="139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HISTORICOS'!AD19)</f>
        <v>2828</v>
      </c>
      <c r="D31" s="45" t="n">
        <f aca="false">IF(B31&lt;='VALOR POR PL'!$P$5,0,IF($K$17&gt;0,$K$18*P31/$K$17,0))</f>
        <v>0</v>
      </c>
      <c r="E31" s="45" t="n">
        <f aca="false">L31+D31/$K$2</f>
        <v>2.18060296602099</v>
      </c>
      <c r="F31" s="117" t="n">
        <f aca="false">IF($K$9=0,0,E31/$K$9)</f>
        <v>0.000393670552818597</v>
      </c>
      <c r="G31" s="117" t="n">
        <f aca="false">G30+F31</f>
        <v>0.998395335906241</v>
      </c>
      <c r="H31" s="138"/>
      <c r="L31" s="45" t="n">
        <f aca="false">C31/IF(B31&lt;='VALOR POR PL'!$P$5,IFERROR(INDEX('"INCC-FGV"'!$B$2:$B$800,MATCH(B31,'"INCC-FGV"'!$A$2:$A$800,0)),$K$2),$K$2)</f>
        <v>2.18060296602099</v>
      </c>
      <c r="M31" s="139" t="n">
        <f aca="false">'CP RESUMO'!AD19</f>
        <v>100</v>
      </c>
      <c r="N31" s="140" t="n">
        <f aca="false">MAX(0,M31-M30)</f>
        <v>0</v>
      </c>
      <c r="O31" s="139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HISTORICOS'!AE19)</f>
        <v>9483.38</v>
      </c>
      <c r="D32" s="45" t="n">
        <f aca="false">IF(B32&lt;='VALOR POR PL'!$P$5,0,IF($K$17&gt;0,$K$18*P32/$K$17,0))</f>
        <v>0</v>
      </c>
      <c r="E32" s="45" t="n">
        <f aca="false">L32+D32/$K$2</f>
        <v>7.31240684437913</v>
      </c>
      <c r="F32" s="117" t="n">
        <f aca="false">IF($K$9=0,0,E32/$K$9)</f>
        <v>0.00132012993182066</v>
      </c>
      <c r="G32" s="117" t="n">
        <f aca="false">G31+F32</f>
        <v>0.999715465838062</v>
      </c>
      <c r="H32" s="138"/>
      <c r="L32" s="45" t="n">
        <f aca="false">C32/IF(B32&lt;='VALOR POR PL'!$P$5,IFERROR(INDEX('"INCC-FGV"'!$B$2:$B$800,MATCH(B32,'"INCC-FGV"'!$A$2:$A$800,0)),$K$2),$K$2)</f>
        <v>7.31240684437913</v>
      </c>
      <c r="M32" s="139" t="n">
        <f aca="false">'CP RESUMO'!AE19</f>
        <v>100</v>
      </c>
      <c r="N32" s="140" t="n">
        <f aca="false">MAX(0,M32-M31)</f>
        <v>0</v>
      </c>
      <c r="O32" s="139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0.999715465838062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RESUMO'!AF19</f>
        <v>100</v>
      </c>
      <c r="N33" s="140" t="n">
        <f aca="false">MAX(0,M33-M32)</f>
        <v>0</v>
      </c>
      <c r="O33" s="139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0.999715465838062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RESUMO'!AG19</f>
        <v>100</v>
      </c>
      <c r="N34" s="140" t="n">
        <f aca="false">MAX(0,M34-M33)</f>
        <v>0</v>
      </c>
      <c r="O34" s="139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0.999715465838062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RESUMO'!AH19</f>
        <v>100</v>
      </c>
      <c r="N35" s="140" t="n">
        <f aca="false">MAX(0,M35-M34)</f>
        <v>0</v>
      </c>
      <c r="O35" s="139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0.999715465838062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RESUMO'!AI19</f>
        <v>100</v>
      </c>
      <c r="N36" s="140" t="n">
        <f aca="false">MAX(0,M36-M35)</f>
        <v>0</v>
      </c>
      <c r="O36" s="139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0.999715465838062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RESUMO'!AJ19</f>
        <v>100</v>
      </c>
      <c r="N37" s="140" t="n">
        <f aca="false">MAX(0,M37-M36)</f>
        <v>0</v>
      </c>
      <c r="O37" s="139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0.999715465838062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RESUMO'!AK19</f>
        <v>100</v>
      </c>
      <c r="N38" s="140" t="n">
        <f aca="false">MAX(0,M38-M37)</f>
        <v>0</v>
      </c>
      <c r="O38" s="139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0.999715465838062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RESUMO'!AL19</f>
        <v>100</v>
      </c>
      <c r="N39" s="140" t="n">
        <f aca="false">MAX(0,M39-M38)</f>
        <v>0</v>
      </c>
      <c r="O39" s="139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0.999715465838062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RESUMO'!AM19</f>
        <v>100</v>
      </c>
      <c r="N40" s="140" t="n">
        <f aca="false">MAX(0,M40-M39)</f>
        <v>0</v>
      </c>
      <c r="O40" s="139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0.999715465838062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RESUMO'!AN19</f>
        <v>100</v>
      </c>
      <c r="N41" s="140" t="n">
        <f aca="false">MAX(0,M41-M40)</f>
        <v>0</v>
      </c>
      <c r="O41" s="139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0.999715465838062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RESUMO'!AO19</f>
        <v>100</v>
      </c>
      <c r="N42" s="140" t="n">
        <f aca="false">MAX(0,M42-M41)</f>
        <v>0</v>
      </c>
      <c r="O42" s="139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0.999715465838062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RESUMO'!AP19</f>
        <v>100</v>
      </c>
      <c r="N43" s="140" t="n">
        <f aca="false">MAX(0,M43-M42)</f>
        <v>0</v>
      </c>
      <c r="O43" s="139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0.999715465838062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RESUMO'!AQ19</f>
        <v>100</v>
      </c>
      <c r="N44" s="140" t="n">
        <f aca="false">MAX(0,M44-M43)</f>
        <v>0</v>
      </c>
      <c r="O44" s="139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0.999715465838062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RESUMO'!AR19</f>
        <v>100</v>
      </c>
      <c r="N45" s="140" t="n">
        <f aca="false">MAX(0,M45-M44)</f>
        <v>0</v>
      </c>
      <c r="O45" s="139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0.999715465838062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RESUMO'!AS19</f>
        <v>100</v>
      </c>
      <c r="N46" s="140" t="n">
        <f aca="false">MAX(0,M46-M45)</f>
        <v>0</v>
      </c>
      <c r="O46" s="139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0.999715465838062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RESUMO'!AT19</f>
        <v>100</v>
      </c>
      <c r="N47" s="140" t="n">
        <f aca="false">MAX(0,M47-M46)</f>
        <v>0</v>
      </c>
      <c r="O47" s="139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HISTORICOS'!AU19)</f>
        <v>2044</v>
      </c>
      <c r="D48" s="45" t="n">
        <f aca="false">IF(B48&lt;='VALOR POR PL'!$P$5,0,IF($K$17&gt;0,$K$18*P48/$K$17,0))</f>
        <v>0</v>
      </c>
      <c r="E48" s="45" t="n">
        <f aca="false">L48+D48/$K$2</f>
        <v>1.57607937148052</v>
      </c>
      <c r="F48" s="117" t="n">
        <f aca="false">IF($K$9=0,0,E48/$K$9)</f>
        <v>0.000284534161938194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1.57607937148052</v>
      </c>
      <c r="M48" s="139" t="n">
        <f aca="false">'CP RESUMO'!AU19</f>
        <v>100</v>
      </c>
      <c r="N48" s="140" t="n">
        <f aca="false">MAX(0,M48-M47)</f>
        <v>0</v>
      </c>
      <c r="O48" s="139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RESUMO'!AV19</f>
        <v>100</v>
      </c>
      <c r="N49" s="140" t="n">
        <f aca="false">MAX(0,M49-M48)</f>
        <v>0</v>
      </c>
      <c r="O49" s="139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RESUMO'!AW19</f>
        <v>100</v>
      </c>
      <c r="N50" s="140" t="n">
        <f aca="false">MAX(0,M50-M49)</f>
        <v>0</v>
      </c>
      <c r="O50" s="139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RESUMO'!AX19</f>
        <v>100</v>
      </c>
      <c r="N51" s="140" t="n">
        <f aca="false">MAX(0,M51-M50)</f>
        <v>0</v>
      </c>
      <c r="O51" s="139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RESUMO'!AY19</f>
        <v>100</v>
      </c>
      <c r="N52" s="140" t="n">
        <f aca="false">MAX(0,M52-M51)</f>
        <v>0</v>
      </c>
      <c r="O52" s="139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RESUMO'!AZ19</f>
        <v>100</v>
      </c>
      <c r="N53" s="140" t="n">
        <f aca="false">MAX(0,M53-M52)</f>
        <v>0</v>
      </c>
      <c r="O53" s="139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RESUMO'!BA19</f>
        <v>100</v>
      </c>
      <c r="N54" s="140" t="n">
        <f aca="false">MAX(0,M54-M53)</f>
        <v>0</v>
      </c>
      <c r="O54" s="139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RESUMO'!BB19</f>
        <v>100</v>
      </c>
      <c r="N55" s="140" t="n">
        <f aca="false">MAX(0,M55-M54)</f>
        <v>0</v>
      </c>
      <c r="O55" s="139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RESUMO'!BC19</f>
        <v>100</v>
      </c>
      <c r="N56" s="140" t="n">
        <f aca="false">MAX(0,M56-M55)</f>
        <v>0</v>
      </c>
      <c r="O56" s="139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RESUMO'!BD19</f>
        <v>100</v>
      </c>
      <c r="N57" s="140" t="n">
        <f aca="false">MAX(0,M57-M56)</f>
        <v>0</v>
      </c>
      <c r="O57" s="139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RESUMO'!BE19</f>
        <v>100</v>
      </c>
      <c r="N58" s="140" t="n">
        <f aca="false">MAX(0,M58-M57)</f>
        <v>0</v>
      </c>
      <c r="O58" s="139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RESUMO'!BF19</f>
        <v>100</v>
      </c>
      <c r="N59" s="140" t="n">
        <f aca="false">MAX(0,M59-M58)</f>
        <v>0</v>
      </c>
      <c r="O59" s="139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RESUMO'!BG19</f>
        <v>100</v>
      </c>
      <c r="N60" s="140" t="n">
        <f aca="false">MAX(0,M60-M59)</f>
        <v>0</v>
      </c>
      <c r="O60" s="139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RESUMO'!BH19</f>
        <v>100</v>
      </c>
      <c r="N61" s="140" t="n">
        <f aca="false">MAX(0,M61-M60)</f>
        <v>0</v>
      </c>
      <c r="O61" s="139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RESUMO'!BI19</f>
        <v>100</v>
      </c>
      <c r="N62" s="140" t="n">
        <f aca="false">MAX(0,M62-M61)</f>
        <v>0</v>
      </c>
      <c r="O62" s="139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RESUMO'!BJ19</f>
        <v>100</v>
      </c>
      <c r="N63" s="140" t="n">
        <f aca="false">MAX(0,M63-M62)</f>
        <v>0</v>
      </c>
      <c r="O63" s="139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RESUMO'!BK19</f>
        <v>100</v>
      </c>
      <c r="N64" s="140" t="n">
        <f aca="false">MAX(0,M64-M63)</f>
        <v>0</v>
      </c>
      <c r="O64" s="139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RESUMO'!BL19</f>
        <v>100</v>
      </c>
      <c r="N65" s="140" t="n">
        <f aca="false">MAX(0,M65-M64)</f>
        <v>0</v>
      </c>
      <c r="O65" s="139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RESUMO'!BM19</f>
        <v>100</v>
      </c>
      <c r="N66" s="140" t="n">
        <f aca="false">MAX(0,M66-M65)</f>
        <v>0</v>
      </c>
      <c r="O66" s="139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RESUMO'!BN19</f>
        <v>100</v>
      </c>
      <c r="N67" s="140" t="n">
        <f aca="false">MAX(0,M67-M66)</f>
        <v>0</v>
      </c>
      <c r="O67" s="139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RESUMO'!BO19</f>
        <v>100</v>
      </c>
      <c r="N68" s="140" t="n">
        <f aca="false">MAX(0,M68-M67)</f>
        <v>0</v>
      </c>
      <c r="O68" s="139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RESUMO'!BP19</f>
        <v>100</v>
      </c>
      <c r="N69" s="140" t="n">
        <f aca="false">MAX(0,M69-M68)</f>
        <v>0</v>
      </c>
      <c r="O69" s="139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RESUMO'!BQ19</f>
        <v>100</v>
      </c>
      <c r="N70" s="140" t="n">
        <f aca="false">MAX(0,M70-M69)</f>
        <v>0</v>
      </c>
      <c r="O70" s="139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RESUMO'!BR19</f>
        <v>100</v>
      </c>
      <c r="N71" s="140" t="n">
        <f aca="false">MAX(0,M71-M70)</f>
        <v>0</v>
      </c>
      <c r="O71" s="139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RESUMO'!BS19</f>
        <v>100</v>
      </c>
      <c r="N72" s="140" t="n">
        <f aca="false">MAX(0,M72-M71)</f>
        <v>0</v>
      </c>
      <c r="O72" s="139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RESUMO'!BT19</f>
        <v>100</v>
      </c>
      <c r="N73" s="140" t="n">
        <f aca="false">MAX(0,M73-M72)</f>
        <v>0</v>
      </c>
      <c r="O73" s="139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RESUMO'!BU19</f>
        <v>100</v>
      </c>
      <c r="N74" s="140" t="n">
        <f aca="false">MAX(0,M74-M73)</f>
        <v>0</v>
      </c>
      <c r="O74" s="139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RESUMO'!BV19</f>
        <v>100</v>
      </c>
      <c r="N75" s="140" t="n">
        <f aca="false">MAX(0,M75-M74)</f>
        <v>0</v>
      </c>
      <c r="O75" s="139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RESUMO'!BW19</f>
        <v>100</v>
      </c>
      <c r="N76" s="140" t="n">
        <f aca="false">MAX(0,M76-M75)</f>
        <v>0</v>
      </c>
      <c r="O76" s="139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6863872.54</v>
      </c>
      <c r="D78" s="61" t="n">
        <f aca="false">SUM(D5:D76)</f>
        <v>0</v>
      </c>
      <c r="E78" s="61" t="n">
        <f aca="false">SUM(E5:E76)</f>
        <v>5539.15691790596</v>
      </c>
      <c r="F78" s="145" t="n">
        <f aca="false">SUM(F5:F76)</f>
        <v>1</v>
      </c>
      <c r="H78" s="61" t="n">
        <f aca="false">SUM(H5:H76)</f>
        <v>0</v>
      </c>
      <c r="L78" s="61" t="n">
        <f aca="false">SUM(L5:L76)</f>
        <v>5539.15691790596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PL'!F26</f>
        <v>4057797.91</v>
      </c>
      <c r="K5" s="56" t="n">
        <f aca="false">'VALOR POR PL'!G26</f>
        <v>3335.068547</v>
      </c>
      <c r="L5" s="56" t="n">
        <f aca="false">'DADOS HISTORICOS'!$BZ$20</f>
        <v>0</v>
      </c>
      <c r="M5" s="139" t="n">
        <f aca="false">'CP RESUMO'!D20</f>
        <v>0</v>
      </c>
      <c r="N5" s="140" t="n">
        <v>0</v>
      </c>
      <c r="O5" s="139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PL'!H26</f>
        <v>3370.8967881922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RESUMO'!E20</f>
        <v>0</v>
      </c>
      <c r="N6" s="140" t="n">
        <f aca="false">MAX(0,M6-M5)</f>
        <v>0</v>
      </c>
      <c r="O6" s="139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4345864.1654116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RESUMO'!F20</f>
        <v>0</v>
      </c>
      <c r="N7" s="140" t="n">
        <f aca="false">MAX(0,M7-M6)</f>
        <v>0</v>
      </c>
      <c r="O7" s="139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2387.98093335224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RESUMO'!G20</f>
        <v>0</v>
      </c>
      <c r="N8" s="140" t="n">
        <f aca="false">MAX(0,M8-M7)</f>
        <v>0</v>
      </c>
      <c r="O8" s="139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4345864.1654116</v>
      </c>
      <c r="K9" s="45" t="n">
        <f aca="false">E78</f>
        <v>3370.50810060526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RESUMO'!H20</f>
        <v>0</v>
      </c>
      <c r="N9" s="140" t="n">
        <f aca="false">MAX(0,M9-M8)</f>
        <v>0</v>
      </c>
      <c r="O9" s="139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982.527167253019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RESUMO'!I20</f>
        <v>0</v>
      </c>
      <c r="N10" s="140" t="n">
        <f aca="false">MAX(0,M10-M9)</f>
        <v>0</v>
      </c>
      <c r="O10" s="139" t="n">
        <f aca="false">IF(B10&lt;='VALOR POR PL'!$P$5,'CP RESUMO'!I62,"")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1267966.05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RESUMO'!J20</f>
        <v>0</v>
      </c>
      <c r="N11" s="140" t="n">
        <f aca="false">MAX(0,M11-M10)</f>
        <v>0</v>
      </c>
      <c r="O11" s="139" t="n">
        <f aca="false">IF(B11&lt;='VALOR POR PL'!$P$5,'CP RESUMO'!J62,"")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22.56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RESUMO'!K20</f>
        <v>0</v>
      </c>
      <c r="N12" s="140" t="n">
        <f aca="false">MAX(0,M12-M11)</f>
        <v>0</v>
      </c>
      <c r="O12" s="139" t="n">
        <f aca="false">IF(B12&lt;='VALOR POR PL'!$P$5,'CP RESUMO'!K62,"")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RESUMO'!L20</f>
        <v>0</v>
      </c>
      <c r="N13" s="140" t="n">
        <f aca="false">MAX(0,M13-M12)</f>
        <v>0</v>
      </c>
      <c r="O13" s="139" t="n">
        <f aca="false">IF(B13&lt;='VALOR POR PL'!$P$5,'CP RESUMO'!L62,"")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RESUMO'!$D$62:$BW$62,MATCH('VALOR POR PL'!$P$5,'CP RESUMO'!$D$4:$BW$4,0))/100,0)</f>
        <v>0.7666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RESUMO'!M20</f>
        <v>0</v>
      </c>
      <c r="N14" s="140" t="n">
        <f aca="false">MAX(0,M14-M13)</f>
        <v>0</v>
      </c>
      <c r="O14" s="139" t="n">
        <f aca="false">IF(B14&lt;='VALOR POR PL'!$P$5,'CP RESUMO'!M62,"")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RESUMO'!N20</f>
        <v>0</v>
      </c>
      <c r="N15" s="140" t="n">
        <f aca="false">MAX(0,M15-M14)</f>
        <v>0</v>
      </c>
      <c r="O15" s="139" t="n">
        <f aca="false">IF(B15&lt;='VALOR POR PL'!$P$5,'CP RESUMO'!N62,"")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RESUMO'!O20</f>
        <v>0</v>
      </c>
      <c r="N16" s="140" t="n">
        <f aca="false">MAX(0,M16-M15)</f>
        <v>0</v>
      </c>
      <c r="O16" s="139" t="n">
        <f aca="false">IF(B16&lt;='VALOR POR PL'!$P$5,'CP RESUMO'!O62,"")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22.56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RESUMO'!P20</f>
        <v>0</v>
      </c>
      <c r="N17" s="140" t="n">
        <f aca="false">MAX(0,M17-M16)</f>
        <v>0</v>
      </c>
      <c r="O17" s="139" t="n">
        <f aca="false">IF(B17&lt;='VALOR POR PL'!$P$5,'CP RESUMO'!P62,"")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1274228.6754116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RESUMO'!Q20</f>
        <v>0</v>
      </c>
      <c r="N18" s="140" t="n">
        <f aca="false">MAX(0,M18-M17)</f>
        <v>0</v>
      </c>
      <c r="O18" s="139" t="n">
        <f aca="false">IF(B18&lt;='VALOR POR PL'!$P$5,'CP RESUMO'!Q62,"")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RESUMO'!R20</f>
        <v>0</v>
      </c>
      <c r="N19" s="140" t="n">
        <f aca="false">MAX(0,M19-M18)</f>
        <v>0</v>
      </c>
      <c r="O19" s="139" t="n">
        <f aca="false">IF(B19&lt;='VALOR POR PL'!$P$5,'CP RESUMO'!R62,"")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RESUMO'!S20</f>
        <v>0</v>
      </c>
      <c r="N20" s="140" t="n">
        <f aca="false">MAX(0,M20-M19)</f>
        <v>0</v>
      </c>
      <c r="O20" s="139" t="n">
        <f aca="false">IF(B20&lt;='VALOR POR PL'!$P$5,'CP RESUMO'!S62,"")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HISTORICOS'!T20)</f>
        <v>20138.34</v>
      </c>
      <c r="D21" s="45" t="n">
        <f aca="false">IF(B21&lt;='VALOR POR PL'!$P$5,0,IF($K$17&gt;0,$K$18*P21/$K$17,0))</f>
        <v>0</v>
      </c>
      <c r="E21" s="45" t="n">
        <f aca="false">L21+D21/$K$2</f>
        <v>15.9872250431071</v>
      </c>
      <c r="F21" s="117" t="n">
        <f aca="false">IF($K$9=0,0,E21/$K$9)</f>
        <v>0.00474326854168848</v>
      </c>
      <c r="G21" s="117" t="n">
        <f aca="false">G20+F21</f>
        <v>0.00474326854168848</v>
      </c>
      <c r="H21" s="138"/>
      <c r="K21" s="143"/>
      <c r="L21" s="45" t="n">
        <f aca="false">C21/IF(B21&lt;='VALOR POR PL'!$P$5,IFERROR(INDEX('"INCC-FGV"'!$B$2:$B$800,MATCH(B21,'"INCC-FGV"'!$A$2:$A$800,0)),$K$2),$K$2)</f>
        <v>15.9872250431071</v>
      </c>
      <c r="M21" s="139" t="n">
        <f aca="false">'CP RESUMO'!T20</f>
        <v>12.28</v>
      </c>
      <c r="N21" s="140" t="n">
        <f aca="false">MAX(0,M21-M20)</f>
        <v>12.28</v>
      </c>
      <c r="O21" s="139" t="n">
        <f aca="false">IF(B21&lt;='VALOR POR PL'!$P$5,'CP RESUMO'!T62,"")</f>
        <v>9.03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HISTORICOS'!U20)</f>
        <v>304245.22</v>
      </c>
      <c r="D22" s="45" t="n">
        <f aca="false">IF(B22&lt;='VALOR POR PL'!$P$5,0,IF($K$17&gt;0,$K$18*P22/$K$17,0))</f>
        <v>0</v>
      </c>
      <c r="E22" s="45" t="n">
        <f aca="false">L22+D22/$K$2</f>
        <v>239.432137531036</v>
      </c>
      <c r="F22" s="117" t="n">
        <f aca="false">IF($K$9=0,0,E22/$K$9)</f>
        <v>0.0710374015977116</v>
      </c>
      <c r="G22" s="117" t="n">
        <f aca="false">G21+F22</f>
        <v>0.0757806701394001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239.432137531036</v>
      </c>
      <c r="M22" s="139" t="n">
        <f aca="false">'CP RESUMO'!U20</f>
        <v>31.16</v>
      </c>
      <c r="N22" s="140" t="n">
        <f aca="false">MAX(0,M22-M21)</f>
        <v>18.88</v>
      </c>
      <c r="O22" s="139" t="n">
        <f aca="false">IF(B22&lt;='VALOR POR PL'!$P$5,'CP RESUMO'!U62,"")</f>
        <v>36.07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HISTORICOS'!V20)</f>
        <v>700460.71</v>
      </c>
      <c r="D23" s="45" t="n">
        <f aca="false">IF(B23&lt;='VALOR POR PL'!$P$5,0,IF($K$17&gt;0,$K$18*P23/$K$17,0))</f>
        <v>0</v>
      </c>
      <c r="E23" s="45" t="n">
        <f aca="false">L23+D23/$K$2</f>
        <v>546.96102186327</v>
      </c>
      <c r="F23" s="117" t="n">
        <f aca="false">IF($K$9=0,0,E23/$K$9)</f>
        <v>0.162278506841461</v>
      </c>
      <c r="G23" s="117" t="n">
        <f aca="false">G22+F23</f>
        <v>0.238059176980861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546.96102186327</v>
      </c>
      <c r="M23" s="139" t="n">
        <f aca="false">'CP RESUMO'!V20</f>
        <v>50.99</v>
      </c>
      <c r="N23" s="140" t="n">
        <f aca="false">MAX(0,M23-M22)</f>
        <v>19.83</v>
      </c>
      <c r="O23" s="139" t="n">
        <f aca="false">IF(B23&lt;='VALOR POR PL'!$P$5,'CP RESUMO'!V62,"")</f>
        <v>66.15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HISTORICOS'!W20)</f>
        <v>1455797.59</v>
      </c>
      <c r="D24" s="45" t="n">
        <f aca="false">IF(B24&lt;='VALOR POR PL'!$P$5,0,IF($K$17&gt;0,$K$18*P24/$K$17,0))</f>
        <v>0</v>
      </c>
      <c r="E24" s="45" t="n">
        <f aca="false">L24+D24/$K$2</f>
        <v>1129.89953672335</v>
      </c>
      <c r="F24" s="117" t="n">
        <f aca="false">IF($K$9=0,0,E24/$K$9)</f>
        <v>0.335231218260667</v>
      </c>
      <c r="G24" s="117" t="n">
        <f aca="false">G23+F24</f>
        <v>0.573290395241528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1129.89953672335</v>
      </c>
      <c r="M24" s="139" t="n">
        <f aca="false">'CP RESUMO'!W20</f>
        <v>72.71</v>
      </c>
      <c r="N24" s="140" t="n">
        <f aca="false">MAX(0,M24-M23)</f>
        <v>21.72</v>
      </c>
      <c r="O24" s="139" t="n">
        <f aca="false">IF(B24&lt;='VALOR POR PL'!$P$5,'CP RESUMO'!W62,"")</f>
        <v>76.66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HISTORICOS'!X20)</f>
        <v>480698.83</v>
      </c>
      <c r="D25" s="45" t="n">
        <f aca="false">IF(B25&lt;='VALOR POR PL'!$P$5,0,IF($K$17&gt;0,$K$18*P25/$K$17,0))</f>
        <v>0</v>
      </c>
      <c r="E25" s="45" t="n">
        <f aca="false">L25+D25/$K$2</f>
        <v>370.655337503827</v>
      </c>
      <c r="F25" s="117" t="n">
        <f aca="false">IF($K$9=0,0,E25/$K$9)</f>
        <v>0.109970166645577</v>
      </c>
      <c r="G25" s="117" t="n">
        <f aca="false">G24+F25</f>
        <v>0.683260561887104</v>
      </c>
      <c r="H25" s="138"/>
      <c r="L25" s="45" t="n">
        <f aca="false">C25/IF(B25&lt;='VALOR POR PL'!$P$5,IFERROR(INDEX('"INCC-FGV"'!$B$2:$B$800,MATCH(B25,'"INCC-FGV"'!$A$2:$A$800,0)),$K$2),$K$2)</f>
        <v>370.655337503827</v>
      </c>
      <c r="M25" s="139" t="n">
        <f aca="false">'CP RESUMO'!X20</f>
        <v>77.44</v>
      </c>
      <c r="N25" s="140" t="n">
        <f aca="false">MAX(0,M25-M24)</f>
        <v>4.73</v>
      </c>
      <c r="O25" s="139" t="n">
        <f aca="false">IF(B25&lt;='VALOR POR PL'!$P$5,'CP RESUMO'!X62,"")</f>
        <v>76.66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HISTORICOS'!Y20)</f>
        <v>50605.81</v>
      </c>
      <c r="D26" s="45" t="n">
        <f aca="false">IF(B26&lt;='VALOR POR PL'!$P$5,0,IF($K$17&gt;0,$K$18*P26/$K$17,0))</f>
        <v>0</v>
      </c>
      <c r="E26" s="45" t="n">
        <f aca="false">L26+D26/$K$2</f>
        <v>39.0209262319289</v>
      </c>
      <c r="F26" s="117" t="n">
        <f aca="false">IF($K$9=0,0,E26/$K$9)</f>
        <v>0.0115771643524374</v>
      </c>
      <c r="G26" s="117" t="n">
        <f aca="false">G25+F26</f>
        <v>0.694837726239541</v>
      </c>
      <c r="H26" s="138"/>
      <c r="L26" s="45" t="n">
        <f aca="false">C26/IF(B26&lt;='VALOR POR PL'!$P$5,IFERROR(INDEX('"INCC-FGV"'!$B$2:$B$800,MATCH(B26,'"INCC-FGV"'!$A$2:$A$800,0)),$K$2),$K$2)</f>
        <v>39.0209262319289</v>
      </c>
      <c r="M26" s="139" t="n">
        <f aca="false">'CP RESUMO'!Y20</f>
        <v>77.44</v>
      </c>
      <c r="N26" s="140" t="n">
        <f aca="false">MAX(0,M26-M25)</f>
        <v>0</v>
      </c>
      <c r="O26" s="139" t="str">
        <f aca="false">IF(B26&lt;='VALOR POR PL'!$P$5,'CP RESUMO'!Y62,"")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HISTORICOS'!Z20)</f>
        <v>8834.66</v>
      </c>
      <c r="D27" s="45" t="n">
        <f aca="false">IF(B27&lt;='VALOR POR PL'!$P$5,0,IF($K$17&gt;0,$K$18*P27/$K$17,0))</f>
        <v>0</v>
      </c>
      <c r="E27" s="45" t="n">
        <f aca="false">L27+D27/$K$2</f>
        <v>6.81219441293742</v>
      </c>
      <c r="F27" s="117" t="n">
        <f aca="false">IF($K$9=0,0,E27/$K$9)</f>
        <v>0.0020211179470876</v>
      </c>
      <c r="G27" s="117" t="n">
        <f aca="false">G26+F27</f>
        <v>0.696858844186629</v>
      </c>
      <c r="H27" s="138" t="n">
        <v>50000</v>
      </c>
      <c r="L27" s="45" t="n">
        <f aca="false">C27/IF(B27&lt;='VALOR POR PL'!$P$5,IFERROR(INDEX('"INCC-FGV"'!$B$2:$B$800,MATCH(B27,'"INCC-FGV"'!$A$2:$A$800,0)),$K$2),$K$2)</f>
        <v>6.81219441293742</v>
      </c>
      <c r="M27" s="139" t="n">
        <f aca="false">'CP RESUMO'!Z20</f>
        <v>77.44</v>
      </c>
      <c r="N27" s="140" t="n">
        <f aca="false">MAX(0,M27-M26)</f>
        <v>0</v>
      </c>
      <c r="O27" s="139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0.696858844186629</v>
      </c>
      <c r="H28" s="138" t="n">
        <v>50000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RESUMO'!AA20</f>
        <v>77.44</v>
      </c>
      <c r="N28" s="140" t="n">
        <f aca="false">MAX(0,M28-M27)</f>
        <v>0</v>
      </c>
      <c r="O28" s="139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HISTORICOS'!AB20)</f>
        <v>19943.08</v>
      </c>
      <c r="D29" s="45" t="n">
        <f aca="false">IF(B29&lt;='VALOR POR PL'!$P$5,0,IF($K$17&gt;0,$K$18*P29/$K$17,0))</f>
        <v>0</v>
      </c>
      <c r="E29" s="45" t="n">
        <f aca="false">L29+D29/$K$2</f>
        <v>15.3776306222044</v>
      </c>
      <c r="F29" s="117" t="n">
        <f aca="false">IF($K$9=0,0,E29/$K$9)</f>
        <v>0.00456240725825371</v>
      </c>
      <c r="G29" s="117" t="n">
        <f aca="false">G28+F29</f>
        <v>0.701421251444883</v>
      </c>
      <c r="H29" s="138"/>
      <c r="L29" s="45" t="n">
        <f aca="false">C29/IF(B29&lt;='VALOR POR PL'!$P$5,IFERROR(INDEX('"INCC-FGV"'!$B$2:$B$800,MATCH(B29,'"INCC-FGV"'!$A$2:$A$800,0)),$K$2),$K$2)</f>
        <v>15.3776306222044</v>
      </c>
      <c r="M29" s="139" t="n">
        <f aca="false">'CP RESUMO'!AB20</f>
        <v>77.44</v>
      </c>
      <c r="N29" s="140" t="n">
        <f aca="false">MAX(0,M29-M28)</f>
        <v>0</v>
      </c>
      <c r="O29" s="139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HISTORICOS'!AC20)</f>
        <v>22778.61</v>
      </c>
      <c r="D30" s="45" t="n">
        <f aca="false">IF(B30&lt;='VALOR POR PL'!$P$5,0,IF($K$17&gt;0,$K$18*P30/$K$17,0))</f>
        <v>0</v>
      </c>
      <c r="E30" s="45" t="n">
        <f aca="false">L30+D30/$K$2</f>
        <v>17.5640397906066</v>
      </c>
      <c r="F30" s="117" t="n">
        <f aca="false">IF($K$9=0,0,E30/$K$9)</f>
        <v>0.00521109555780403</v>
      </c>
      <c r="G30" s="117" t="n">
        <f aca="false">G29+F30</f>
        <v>0.706632347002687</v>
      </c>
      <c r="H30" s="138"/>
      <c r="L30" s="45" t="n">
        <f aca="false">C30/IF(B30&lt;='VALOR POR PL'!$P$5,IFERROR(INDEX('"INCC-FGV"'!$B$2:$B$800,MATCH(B30,'"INCC-FGV"'!$A$2:$A$800,0)),$K$2),$K$2)</f>
        <v>17.5640397906066</v>
      </c>
      <c r="M30" s="139" t="n">
        <f aca="false">'CP RESUMO'!AC20</f>
        <v>77.44</v>
      </c>
      <c r="N30" s="140" t="n">
        <f aca="false">MAX(0,M30-M29)</f>
        <v>0</v>
      </c>
      <c r="O30" s="139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HISTORICOS'!AD20)</f>
        <v>2356.48</v>
      </c>
      <c r="D31" s="45" t="n">
        <f aca="false">IF(B31&lt;='VALOR POR PL'!$P$5,0,IF($K$17&gt;0,$K$18*P31/$K$17,0))</f>
        <v>495909.918888025</v>
      </c>
      <c r="E31" s="45" t="n">
        <f aca="false">L31+D31/$K$2</f>
        <v>384.201268487916</v>
      </c>
      <c r="F31" s="117" t="n">
        <f aca="false">IF($K$9=0,0,E31/$K$9)</f>
        <v>0.113989124790687</v>
      </c>
      <c r="G31" s="117" t="n">
        <f aca="false">G30+F31</f>
        <v>0.820621471793374</v>
      </c>
      <c r="H31" s="138"/>
      <c r="L31" s="45" t="n">
        <f aca="false">C31/IF(B31&lt;='VALOR POR PL'!$P$5,IFERROR(INDEX('"INCC-FGV"'!$B$2:$B$800,MATCH(B31,'"INCC-FGV"'!$A$2:$A$800,0)),$K$2),$K$2)</f>
        <v>1.81702520416165</v>
      </c>
      <c r="M31" s="139" t="n">
        <f aca="false">'CP RESUMO'!AD20</f>
        <v>86.22</v>
      </c>
      <c r="N31" s="140" t="n">
        <f aca="false">MAX(0,M31-M30)</f>
        <v>8.78</v>
      </c>
      <c r="O31" s="139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8.78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HISTORICOS'!AE20)</f>
        <v>2007.28</v>
      </c>
      <c r="D32" s="45" t="n">
        <f aca="false">IF(B32&lt;='VALOR POR PL'!$P$5,0,IF($K$17&gt;0,$K$18*P32/$K$17,0))</f>
        <v>290881.102764616</v>
      </c>
      <c r="E32" s="45" t="n">
        <f aca="false">L32+D32/$K$2</f>
        <v>225.839206566342</v>
      </c>
      <c r="F32" s="117" t="n">
        <f aca="false">IF($K$9=0,0,E32/$K$9)</f>
        <v>0.0670044989732517</v>
      </c>
      <c r="G32" s="117" t="n">
        <f aca="false">G31+F32</f>
        <v>0.887625970766626</v>
      </c>
      <c r="H32" s="138"/>
      <c r="L32" s="45" t="n">
        <f aca="false">C32/IF(B32&lt;='VALOR POR PL'!$P$5,IFERROR(INDEX('"INCC-FGV"'!$B$2:$B$800,MATCH(B32,'"INCC-FGV"'!$A$2:$A$800,0)),$K$2),$K$2)</f>
        <v>1.54776546026684</v>
      </c>
      <c r="M32" s="139" t="n">
        <f aca="false">'CP RESUMO'!AE20</f>
        <v>91.37</v>
      </c>
      <c r="N32" s="140" t="n">
        <f aca="false">MAX(0,M32-M31)</f>
        <v>5.15000000000001</v>
      </c>
      <c r="O32" s="139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5.15000000000001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139509.965791961</v>
      </c>
      <c r="E33" s="45" t="n">
        <f aca="false">L33+D33/$K$2</f>
        <v>107.572788258642</v>
      </c>
      <c r="F33" s="117" t="n">
        <f aca="false">IF($K$9=0,0,E33/$K$9)</f>
        <v>0.0319158966683166</v>
      </c>
      <c r="G33" s="117" t="n">
        <f aca="false">G32+F33</f>
        <v>0.919541867434943</v>
      </c>
      <c r="H33" s="138" t="n">
        <v>250000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RESUMO'!AF20</f>
        <v>93.84</v>
      </c>
      <c r="N33" s="140" t="n">
        <f aca="false">MAX(0,M33-M32)</f>
        <v>2.47</v>
      </c>
      <c r="O33" s="139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2.47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0.919541867434943</v>
      </c>
      <c r="H34" s="138" t="n">
        <v>250000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RESUMO'!AG20</f>
        <v>93.84</v>
      </c>
      <c r="N34" s="140" t="n">
        <f aca="false">MAX(0,M34-M33)</f>
        <v>0</v>
      </c>
      <c r="O34" s="139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0.919541867434943</v>
      </c>
      <c r="H35" s="138" t="n">
        <v>200000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RESUMO'!AH20</f>
        <v>93.84</v>
      </c>
      <c r="N35" s="140" t="n">
        <f aca="false">MAX(0,M35-M34)</f>
        <v>0</v>
      </c>
      <c r="O35" s="139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0.919541867434943</v>
      </c>
      <c r="H36" s="138" t="n">
        <v>125000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RESUMO'!AI20</f>
        <v>93.84</v>
      </c>
      <c r="N36" s="140" t="n">
        <f aca="false">MAX(0,M36-M35)</f>
        <v>0</v>
      </c>
      <c r="O36" s="139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0.919541867434943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RESUMO'!AJ20</f>
        <v>93.84</v>
      </c>
      <c r="N37" s="140" t="n">
        <f aca="false">MAX(0,M37-M36)</f>
        <v>0</v>
      </c>
      <c r="O37" s="139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0.919541867434943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RESUMO'!AK20</f>
        <v>93.84</v>
      </c>
      <c r="N38" s="140" t="n">
        <f aca="false">MAX(0,M38-M37)</f>
        <v>0</v>
      </c>
      <c r="O38" s="139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94889.3694455443</v>
      </c>
      <c r="E39" s="45" t="n">
        <f aca="false">L39+D39/$K$2</f>
        <v>73.1669167103308</v>
      </c>
      <c r="F39" s="117" t="n">
        <f aca="false">IF($K$9=0,0,E39/$K$9)</f>
        <v>0.0217079783007173</v>
      </c>
      <c r="G39" s="117" t="n">
        <f aca="false">G38+F39</f>
        <v>0.94124984573566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RESUMO'!AL20</f>
        <v>95.52</v>
      </c>
      <c r="N39" s="140" t="n">
        <f aca="false">MAX(0,M39-M38)</f>
        <v>1.67999999999999</v>
      </c>
      <c r="O39" s="139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1.67999999999999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210676.99287612</v>
      </c>
      <c r="E40" s="45" t="n">
        <f aca="false">L40+D40/$K$2</f>
        <v>162.44797579139</v>
      </c>
      <c r="F40" s="117" t="n">
        <f aca="false">IF($K$9=0,0,E40/$K$9)</f>
        <v>0.0481968803938547</v>
      </c>
      <c r="G40" s="117" t="n">
        <f aca="false">G39+F40</f>
        <v>0.989446726129515</v>
      </c>
      <c r="H40" s="138" t="n">
        <v>92971.37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RESUMO'!AM20</f>
        <v>99.25</v>
      </c>
      <c r="N40" s="140" t="n">
        <f aca="false">MAX(0,M40-M39)</f>
        <v>3.73</v>
      </c>
      <c r="O40" s="139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3.73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42361.3256453324</v>
      </c>
      <c r="E41" s="45" t="n">
        <f aca="false">L41+D41/$K$2</f>
        <v>32.6638021028264</v>
      </c>
      <c r="F41" s="117" t="n">
        <f aca="false">IF($K$9=0,0,E41/$K$9)</f>
        <v>0.00969106174139169</v>
      </c>
      <c r="G41" s="117" t="n">
        <f aca="false">G40+F41</f>
        <v>0.999137787870906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RESUMO'!AN20</f>
        <v>100</v>
      </c>
      <c r="N41" s="140" t="n">
        <f aca="false">MAX(0,M41-M40)</f>
        <v>0.75</v>
      </c>
      <c r="O41" s="139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0.75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0.999137787870906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RESUMO'!AO20</f>
        <v>100</v>
      </c>
      <c r="N42" s="140" t="n">
        <f aca="false">MAX(0,M42-M41)</f>
        <v>0</v>
      </c>
      <c r="O42" s="139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0.999137787870906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RESUMO'!AP20</f>
        <v>100</v>
      </c>
      <c r="N43" s="140" t="n">
        <f aca="false">MAX(0,M43-M42)</f>
        <v>0</v>
      </c>
      <c r="O43" s="139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0.999137787870906</v>
      </c>
      <c r="H44" s="138" t="n">
        <v>125000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RESUMO'!AQ20</f>
        <v>100</v>
      </c>
      <c r="N44" s="140" t="n">
        <f aca="false">MAX(0,M44-M43)</f>
        <v>0</v>
      </c>
      <c r="O44" s="139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0.999137787870906</v>
      </c>
      <c r="H45" s="138" t="n">
        <v>124994.68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RESUMO'!AR20</f>
        <v>100</v>
      </c>
      <c r="N45" s="140" t="n">
        <f aca="false">MAX(0,M45-M44)</f>
        <v>0</v>
      </c>
      <c r="O45" s="139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0.999137787870906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RESUMO'!AS20</f>
        <v>100</v>
      </c>
      <c r="N46" s="140" t="n">
        <f aca="false">MAX(0,M46-M45)</f>
        <v>0</v>
      </c>
      <c r="O46" s="139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0.999137787870906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RESUMO'!AT20</f>
        <v>100</v>
      </c>
      <c r="N47" s="140" t="n">
        <f aca="false">MAX(0,M47-M46)</f>
        <v>0</v>
      </c>
      <c r="O47" s="139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HISTORICOS'!AU20)</f>
        <v>3768.88</v>
      </c>
      <c r="D48" s="45" t="n">
        <f aca="false">IF(B48&lt;='VALOR POR PL'!$P$5,0,IF($K$17&gt;0,$K$18*P48/$K$17,0))</f>
        <v>0</v>
      </c>
      <c r="E48" s="45" t="n">
        <f aca="false">L48+D48/$K$2</f>
        <v>2.90609296555064</v>
      </c>
      <c r="F48" s="117" t="n">
        <f aca="false">IF($K$9=0,0,E48/$K$9)</f>
        <v>0.000862212129093763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2.90609296555064</v>
      </c>
      <c r="M48" s="139" t="n">
        <f aca="false">'CP RESUMO'!AU20</f>
        <v>100</v>
      </c>
      <c r="N48" s="140" t="n">
        <f aca="false">MAX(0,M48-M47)</f>
        <v>0</v>
      </c>
      <c r="O48" s="139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RESUMO'!AV20</f>
        <v>100</v>
      </c>
      <c r="N49" s="140" t="n">
        <f aca="false">MAX(0,M49-M48)</f>
        <v>0</v>
      </c>
      <c r="O49" s="139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RESUMO'!AW20</f>
        <v>100</v>
      </c>
      <c r="N50" s="140" t="n">
        <f aca="false">MAX(0,M50-M49)</f>
        <v>0</v>
      </c>
      <c r="O50" s="139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RESUMO'!AX20</f>
        <v>100</v>
      </c>
      <c r="N51" s="140" t="n">
        <f aca="false">MAX(0,M51-M50)</f>
        <v>0</v>
      </c>
      <c r="O51" s="139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RESUMO'!AY20</f>
        <v>100</v>
      </c>
      <c r="N52" s="140" t="n">
        <f aca="false">MAX(0,M52-M51)</f>
        <v>0</v>
      </c>
      <c r="O52" s="139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RESUMO'!AZ20</f>
        <v>100</v>
      </c>
      <c r="N53" s="140" t="n">
        <f aca="false">MAX(0,M53-M52)</f>
        <v>0</v>
      </c>
      <c r="O53" s="139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RESUMO'!BA20</f>
        <v>100</v>
      </c>
      <c r="N54" s="140" t="n">
        <f aca="false">MAX(0,M54-M53)</f>
        <v>0</v>
      </c>
      <c r="O54" s="139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RESUMO'!BB20</f>
        <v>100</v>
      </c>
      <c r="N55" s="140" t="n">
        <f aca="false">MAX(0,M55-M54)</f>
        <v>0</v>
      </c>
      <c r="O55" s="139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RESUMO'!BC20</f>
        <v>100</v>
      </c>
      <c r="N56" s="140" t="n">
        <f aca="false">MAX(0,M56-M55)</f>
        <v>0</v>
      </c>
      <c r="O56" s="139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RESUMO'!BD20</f>
        <v>100</v>
      </c>
      <c r="N57" s="140" t="n">
        <f aca="false">MAX(0,M57-M56)</f>
        <v>0</v>
      </c>
      <c r="O57" s="139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RESUMO'!BE20</f>
        <v>100</v>
      </c>
      <c r="N58" s="140" t="n">
        <f aca="false">MAX(0,M58-M57)</f>
        <v>0</v>
      </c>
      <c r="O58" s="139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RESUMO'!BF20</f>
        <v>100</v>
      </c>
      <c r="N59" s="140" t="n">
        <f aca="false">MAX(0,M59-M58)</f>
        <v>0</v>
      </c>
      <c r="O59" s="139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RESUMO'!BG20</f>
        <v>100</v>
      </c>
      <c r="N60" s="140" t="n">
        <f aca="false">MAX(0,M60-M59)</f>
        <v>0</v>
      </c>
      <c r="O60" s="139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RESUMO'!BH20</f>
        <v>100</v>
      </c>
      <c r="N61" s="140" t="n">
        <f aca="false">MAX(0,M61-M60)</f>
        <v>0</v>
      </c>
      <c r="O61" s="139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RESUMO'!BI20</f>
        <v>100</v>
      </c>
      <c r="N62" s="140" t="n">
        <f aca="false">MAX(0,M62-M61)</f>
        <v>0</v>
      </c>
      <c r="O62" s="139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RESUMO'!BJ20</f>
        <v>100</v>
      </c>
      <c r="N63" s="140" t="n">
        <f aca="false">MAX(0,M63-M62)</f>
        <v>0</v>
      </c>
      <c r="O63" s="139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RESUMO'!BK20</f>
        <v>100</v>
      </c>
      <c r="N64" s="140" t="n">
        <f aca="false">MAX(0,M64-M63)</f>
        <v>0</v>
      </c>
      <c r="O64" s="139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RESUMO'!BL20</f>
        <v>100</v>
      </c>
      <c r="N65" s="140" t="n">
        <f aca="false">MAX(0,M65-M64)</f>
        <v>0</v>
      </c>
      <c r="O65" s="139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RESUMO'!BM20</f>
        <v>100</v>
      </c>
      <c r="N66" s="140" t="n">
        <f aca="false">MAX(0,M66-M65)</f>
        <v>0</v>
      </c>
      <c r="O66" s="139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RESUMO'!BN20</f>
        <v>100</v>
      </c>
      <c r="N67" s="140" t="n">
        <f aca="false">MAX(0,M67-M66)</f>
        <v>0</v>
      </c>
      <c r="O67" s="139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RESUMO'!BO20</f>
        <v>100</v>
      </c>
      <c r="N68" s="140" t="n">
        <f aca="false">MAX(0,M68-M67)</f>
        <v>0</v>
      </c>
      <c r="O68" s="139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RESUMO'!BP20</f>
        <v>100</v>
      </c>
      <c r="N69" s="140" t="n">
        <f aca="false">MAX(0,M69-M68)</f>
        <v>0</v>
      </c>
      <c r="O69" s="139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RESUMO'!BQ20</f>
        <v>100</v>
      </c>
      <c r="N70" s="140" t="n">
        <f aca="false">MAX(0,M70-M69)</f>
        <v>0</v>
      </c>
      <c r="O70" s="139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RESUMO'!BR20</f>
        <v>100</v>
      </c>
      <c r="N71" s="140" t="n">
        <f aca="false">MAX(0,M71-M70)</f>
        <v>0</v>
      </c>
      <c r="O71" s="139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RESUMO'!BS20</f>
        <v>100</v>
      </c>
      <c r="N72" s="140" t="n">
        <f aca="false">MAX(0,M72-M71)</f>
        <v>0</v>
      </c>
      <c r="O72" s="139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RESUMO'!BT20</f>
        <v>100</v>
      </c>
      <c r="N73" s="140" t="n">
        <f aca="false">MAX(0,M73-M72)</f>
        <v>0</v>
      </c>
      <c r="O73" s="139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RESUMO'!BU20</f>
        <v>100</v>
      </c>
      <c r="N74" s="140" t="n">
        <f aca="false">MAX(0,M74-M73)</f>
        <v>0</v>
      </c>
      <c r="O74" s="139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RESUMO'!BV20</f>
        <v>100</v>
      </c>
      <c r="N75" s="140" t="n">
        <f aca="false">MAX(0,M75-M74)</f>
        <v>0</v>
      </c>
      <c r="O75" s="139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RESUMO'!BW20</f>
        <v>100</v>
      </c>
      <c r="N76" s="140" t="n">
        <f aca="false">MAX(0,M76-M75)</f>
        <v>0</v>
      </c>
      <c r="O76" s="139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3071635.49</v>
      </c>
      <c r="D78" s="61" t="n">
        <f aca="false">SUM(D5:D76)</f>
        <v>1274228.6754116</v>
      </c>
      <c r="E78" s="61" t="n">
        <f aca="false">SUM(E5:E76)</f>
        <v>3370.50810060526</v>
      </c>
      <c r="F78" s="145" t="n">
        <f aca="false">SUM(F5:F76)</f>
        <v>1</v>
      </c>
      <c r="H78" s="61" t="n">
        <f aca="false">SUM(H5:H76)</f>
        <v>1267966.05</v>
      </c>
      <c r="L78" s="61" t="n">
        <f aca="false">SUM(L5:L76)</f>
        <v>2387.98093335224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PL'!F27</f>
        <v>25651081.59</v>
      </c>
      <c r="K5" s="56" t="n">
        <f aca="false">'VALOR POR PL'!G27</f>
        <v>21082.399193</v>
      </c>
      <c r="L5" s="56" t="n">
        <f aca="false">'DADOS HISTORICOS'!$BZ$21</f>
        <v>0</v>
      </c>
      <c r="M5" s="139" t="n">
        <f aca="false">'CP RESUMO'!D21</f>
        <v>0</v>
      </c>
      <c r="N5" s="140" t="n">
        <v>0</v>
      </c>
      <c r="O5" s="139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PL'!H27</f>
        <v>20961.9611386582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RESUMO'!E21</f>
        <v>0</v>
      </c>
      <c r="N6" s="140" t="n">
        <f aca="false">MAX(0,M6-M5)</f>
        <v>0</v>
      </c>
      <c r="O6" s="139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27173442.6676606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RESUMO'!F21</f>
        <v>0</v>
      </c>
      <c r="N7" s="140" t="n">
        <f aca="false">MAX(0,M7-M6)</f>
        <v>0</v>
      </c>
      <c r="O7" s="139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3345.3138248171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RESUMO'!G21</f>
        <v>0</v>
      </c>
      <c r="N8" s="140" t="n">
        <f aca="false">MAX(0,M8-M7)</f>
        <v>0</v>
      </c>
      <c r="O8" s="139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27173442.6676606</v>
      </c>
      <c r="K9" s="45" t="n">
        <f aca="false">E78</f>
        <v>20954.9947517589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RESUMO'!H21</f>
        <v>0</v>
      </c>
      <c r="N9" s="140" t="n">
        <f aca="false">MAX(0,M9-M8)</f>
        <v>0</v>
      </c>
      <c r="O9" s="139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17609.6809269418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RESUMO'!I21</f>
        <v>0</v>
      </c>
      <c r="N10" s="140" t="n">
        <f aca="false">MAX(0,M10-M9)</f>
        <v>0</v>
      </c>
      <c r="O10" s="139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23773297.72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RESUMO'!J21</f>
        <v>0</v>
      </c>
      <c r="N11" s="140" t="n">
        <f aca="false">MAX(0,M11-M10)</f>
        <v>0</v>
      </c>
      <c r="O11" s="139" t="n">
        <f aca="false">IF(B11&lt;='VALOR POR PL'!$P$5,'CP RESUMO'!J63,"")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90.25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RESUMO'!K21</f>
        <v>0</v>
      </c>
      <c r="N12" s="140" t="n">
        <f aca="false">MAX(0,M12-M11)</f>
        <v>0</v>
      </c>
      <c r="O12" s="139" t="n">
        <f aca="false">IF(B12&lt;='VALOR POR PL'!$P$5,'CP RESUMO'!K63,"")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RESUMO'!L21</f>
        <v>0</v>
      </c>
      <c r="N13" s="140" t="n">
        <f aca="false">MAX(0,M13-M12)</f>
        <v>0</v>
      </c>
      <c r="O13" s="139" t="n">
        <f aca="false">IF(B13&lt;='VALOR POR PL'!$P$5,'CP RESUMO'!L63,"")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RESUMO'!$D$63:$BW$63,MATCH('VALOR POR PL'!$P$5,'CP RESUMO'!$D$4:$BW$4,0))/100,0)</f>
        <v>0.0807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RESUMO'!M21</f>
        <v>0</v>
      </c>
      <c r="N14" s="140" t="n">
        <f aca="false">MAX(0,M14-M13)</f>
        <v>0</v>
      </c>
      <c r="O14" s="139" t="n">
        <f aca="false">IF(B14&lt;='VALOR POR PL'!$P$5,'CP RESUMO'!M63,"")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RESUMO'!N21</f>
        <v>0</v>
      </c>
      <c r="N15" s="140" t="n">
        <f aca="false">MAX(0,M15-M14)</f>
        <v>0</v>
      </c>
      <c r="O15" s="139" t="n">
        <f aca="false">IF(B15&lt;='VALOR POR PL'!$P$5,'CP RESUMO'!N63,"")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RESUMO'!O21</f>
        <v>0</v>
      </c>
      <c r="N16" s="140" t="n">
        <f aca="false">MAX(0,M16-M15)</f>
        <v>0</v>
      </c>
      <c r="O16" s="139" t="n">
        <f aca="false">IF(B16&lt;='VALOR POR PL'!$P$5,'CP RESUMO'!O63,"")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90.25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RESUMO'!P21</f>
        <v>0</v>
      </c>
      <c r="N17" s="140" t="n">
        <f aca="false">MAX(0,M17-M16)</f>
        <v>0</v>
      </c>
      <c r="O17" s="139" t="n">
        <f aca="false">IF(B17&lt;='VALOR POR PL'!$P$5,'CP RESUMO'!P63,"")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22837801.4876606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RESUMO'!Q21</f>
        <v>0</v>
      </c>
      <c r="N18" s="140" t="n">
        <f aca="false">MAX(0,M18-M17)</f>
        <v>0</v>
      </c>
      <c r="O18" s="139" t="n">
        <f aca="false">IF(B18&lt;='VALOR POR PL'!$P$5,'CP RESUMO'!Q63,"")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RESUMO'!R21</f>
        <v>0</v>
      </c>
      <c r="N19" s="140" t="n">
        <f aca="false">MAX(0,M19-M18)</f>
        <v>0</v>
      </c>
      <c r="O19" s="139" t="n">
        <f aca="false">IF(B19&lt;='VALOR POR PL'!$P$5,'CP RESUMO'!R63,"")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RESUMO'!S21</f>
        <v>0</v>
      </c>
      <c r="N20" s="140" t="n">
        <f aca="false">MAX(0,M20-M19)</f>
        <v>0</v>
      </c>
      <c r="O20" s="139" t="n">
        <f aca="false">IF(B20&lt;='VALOR POR PL'!$P$5,'CP RESUMO'!S63,"")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RESUMO'!T21</f>
        <v>0</v>
      </c>
      <c r="N21" s="140" t="n">
        <f aca="false">MAX(0,M21-M20)</f>
        <v>0</v>
      </c>
      <c r="O21" s="139" t="n">
        <f aca="false">IF(B21&lt;='VALOR POR PL'!$P$5,'CP RESUMO'!T63,"")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HISTORICOS'!U21)</f>
        <v>22233.82</v>
      </c>
      <c r="D22" s="45" t="n">
        <f aca="false">IF(B22&lt;='VALOR POR PL'!$P$5,0,IF($K$17&gt;0,$K$18*P22/$K$17,0))</f>
        <v>0</v>
      </c>
      <c r="E22" s="45" t="n">
        <f aca="false">L22+D22/$K$2</f>
        <v>17.4973695497346</v>
      </c>
      <c r="F22" s="117" t="n">
        <f aca="false">IF($K$9=0,0,E22/$K$9)</f>
        <v>0.000834997562968415</v>
      </c>
      <c r="G22" s="117" t="n">
        <f aca="false">G21+F22</f>
        <v>0.000834997562968415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17.4973695497346</v>
      </c>
      <c r="M22" s="139" t="n">
        <f aca="false">'CP RESUMO'!U21</f>
        <v>0</v>
      </c>
      <c r="N22" s="140" t="n">
        <f aca="false">MAX(0,M22-M21)</f>
        <v>0</v>
      </c>
      <c r="O22" s="139" t="n">
        <f aca="false">IF(B22&lt;='VALOR POR PL'!$P$5,'CP RESUMO'!U63,"")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HISTORICOS'!V21)</f>
        <v>49774.54</v>
      </c>
      <c r="D23" s="45" t="n">
        <f aca="false">IF(B23&lt;='VALOR POR PL'!$P$5,0,IF($K$17&gt;0,$K$18*P23/$K$17,0))</f>
        <v>0</v>
      </c>
      <c r="E23" s="45" t="n">
        <f aca="false">L23+D23/$K$2</f>
        <v>38.8668955624566</v>
      </c>
      <c r="F23" s="117" t="n">
        <f aca="false">IF($K$9=0,0,E23/$K$9)</f>
        <v>0.00185477954172211</v>
      </c>
      <c r="G23" s="117" t="n">
        <f aca="false">G22+F23</f>
        <v>0.00268977710469053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38.8668955624566</v>
      </c>
      <c r="M23" s="139" t="n">
        <f aca="false">'CP RESUMO'!V21</f>
        <v>0.81</v>
      </c>
      <c r="N23" s="140" t="n">
        <f aca="false">MAX(0,M23-M22)</f>
        <v>0.81</v>
      </c>
      <c r="O23" s="139" t="n">
        <f aca="false">IF(B23&lt;='VALOR POR PL'!$P$5,'CP RESUMO'!V63,"")</f>
        <v>0.7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HISTORICOS'!W21)</f>
        <v>269581.19</v>
      </c>
      <c r="D24" s="45" t="n">
        <f aca="false">IF(B24&lt;='VALOR POR PL'!$P$5,0,IF($K$17&gt;0,$K$18*P24/$K$17,0))</f>
        <v>0</v>
      </c>
      <c r="E24" s="45" t="n">
        <f aca="false">L24+D24/$K$2</f>
        <v>209.23215135308</v>
      </c>
      <c r="F24" s="117" t="n">
        <f aca="false">IF($K$9=0,0,E24/$K$9)</f>
        <v>0.00998483434769258</v>
      </c>
      <c r="G24" s="117" t="n">
        <f aca="false">G23+F24</f>
        <v>0.0126746114523831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209.23215135308</v>
      </c>
      <c r="M24" s="139" t="n">
        <f aca="false">'CP RESUMO'!W21</f>
        <v>2.36</v>
      </c>
      <c r="N24" s="140" t="n">
        <f aca="false">MAX(0,M24-M23)</f>
        <v>1.55</v>
      </c>
      <c r="O24" s="139" t="n">
        <f aca="false">IF(B24&lt;='VALOR POR PL'!$P$5,'CP RESUMO'!W63,"")</f>
        <v>3.16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HISTORICOS'!X21)</f>
        <v>650557.02</v>
      </c>
      <c r="D25" s="45" t="n">
        <f aca="false">IF(B25&lt;='VALOR POR PL'!$P$5,0,IF($K$17&gt;0,$K$18*P25/$K$17,0))</f>
        <v>0</v>
      </c>
      <c r="E25" s="45" t="n">
        <f aca="false">L25+D25/$K$2</f>
        <v>501.628913499922</v>
      </c>
      <c r="F25" s="117" t="n">
        <f aca="false">IF($K$9=0,0,E25/$K$9)</f>
        <v>0.0239383936594791</v>
      </c>
      <c r="G25" s="117" t="n">
        <f aca="false">G24+F25</f>
        <v>0.0366130051118622</v>
      </c>
      <c r="H25" s="138"/>
      <c r="L25" s="45" t="n">
        <f aca="false">C25/IF(B25&lt;='VALOR POR PL'!$P$5,IFERROR(INDEX('"INCC-FGV"'!$B$2:$B$800,MATCH(B25,'"INCC-FGV"'!$A$2:$A$800,0)),$K$2),$K$2)</f>
        <v>501.628913499922</v>
      </c>
      <c r="M25" s="139" t="n">
        <f aca="false">'CP RESUMO'!X21</f>
        <v>9.75</v>
      </c>
      <c r="N25" s="140" t="n">
        <f aca="false">MAX(0,M25-M24)</f>
        <v>7.39</v>
      </c>
      <c r="O25" s="139" t="n">
        <f aca="false">IF(B25&lt;='VALOR POR PL'!$P$5,'CP RESUMO'!X63,"")</f>
        <v>8.07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HISTORICOS'!Y21)</f>
        <v>1415388.68</v>
      </c>
      <c r="D26" s="45" t="n">
        <f aca="false">IF(B26&lt;='VALOR POR PL'!$P$5,0,IF($K$17&gt;0,$K$18*P26/$K$17,0))</f>
        <v>1282965.69022093</v>
      </c>
      <c r="E26" s="45" t="n">
        <f aca="false">L26+D26/$K$2</f>
        <v>2080.63633065045</v>
      </c>
      <c r="F26" s="117" t="n">
        <f aca="false">IF($K$9=0,0,E26/$K$9)</f>
        <v>0.0992907111310925</v>
      </c>
      <c r="G26" s="117" t="n">
        <f aca="false">G25+F26</f>
        <v>0.135903716242955</v>
      </c>
      <c r="H26" s="138"/>
      <c r="L26" s="45" t="n">
        <f aca="false">C26/IF(B26&lt;='VALOR POR PL'!$P$5,IFERROR(INDEX('"INCC-FGV"'!$B$2:$B$800,MATCH(B26,'"INCC-FGV"'!$A$2:$A$800,0)),$K$2),$K$2)</f>
        <v>1091.37226084885</v>
      </c>
      <c r="M26" s="139" t="n">
        <f aca="false">'CP RESUMO'!Y21</f>
        <v>14.82</v>
      </c>
      <c r="N26" s="140" t="n">
        <f aca="false">MAX(0,M26-M25)</f>
        <v>5.07</v>
      </c>
      <c r="O26" s="139" t="str">
        <f aca="false">IF(B26&lt;='VALOR POR PL'!$P$5,'CP RESUMO'!Y63,"")</f>
        <v/>
      </c>
      <c r="P26" s="66" t="n">
        <f aca="false">IF(B26&lt;='VALOR POR PL'!$P$5,0,IF(OR($K$16="CURVA PREVISION",$K$16="MDO PREVISION + MATERIAL PREMISSA"),N26,IF($K$16="PREVISÃO INFORMADA",MAX(0,H26),0)))</f>
        <v>5.07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HISTORICOS'!Z21)</f>
        <v>1153768.07</v>
      </c>
      <c r="D27" s="45" t="n">
        <f aca="false">IF(B27&lt;='VALOR POR PL'!$P$5,0,IF($K$17&gt;0,$K$18*P27/$K$17,0))</f>
        <v>1358880.81981981</v>
      </c>
      <c r="E27" s="45" t="n">
        <f aca="false">L27+D27/$K$2</f>
        <v>1937.44328914796</v>
      </c>
      <c r="F27" s="117" t="n">
        <f aca="false">IF($K$9=0,0,E27/$K$9)</f>
        <v>0.0924573502451169</v>
      </c>
      <c r="G27" s="117" t="n">
        <f aca="false">G26+F27</f>
        <v>0.228361066488072</v>
      </c>
      <c r="H27" s="138" t="n">
        <v>686964.52</v>
      </c>
      <c r="L27" s="45" t="n">
        <f aca="false">C27/IF(B27&lt;='VALOR POR PL'!$P$5,IFERROR(INDEX('"INCC-FGV"'!$B$2:$B$800,MATCH(B27,'"INCC-FGV"'!$A$2:$A$800,0)),$K$2),$K$2)</f>
        <v>889.642883855133</v>
      </c>
      <c r="M27" s="139" t="n">
        <f aca="false">'CP RESUMO'!Z21</f>
        <v>20.19</v>
      </c>
      <c r="N27" s="140" t="n">
        <f aca="false">MAX(0,M27-M26)</f>
        <v>5.37</v>
      </c>
      <c r="O27" s="139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5.37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HISTORICOS'!AA21)</f>
        <v>184443.09</v>
      </c>
      <c r="D28" s="45" t="n">
        <f aca="false">IF(B28&lt;='VALOR POR PL'!$P$5,0,IF($K$17&gt;0,$K$18*P28/$K$17,0))</f>
        <v>1290557.20318082</v>
      </c>
      <c r="E28" s="45" t="n">
        <f aca="false">L28+D28/$K$2</f>
        <v>1137.33734589531</v>
      </c>
      <c r="F28" s="117" t="n">
        <f aca="false">IF($K$9=0,0,E28/$K$9)</f>
        <v>0.0542752388806895</v>
      </c>
      <c r="G28" s="117" t="n">
        <f aca="false">G27+F28</f>
        <v>0.282636305368761</v>
      </c>
      <c r="H28" s="138" t="n">
        <v>1047212.71</v>
      </c>
      <c r="L28" s="45" t="n">
        <f aca="false">C28/IF(B28&lt;='VALOR POR PL'!$P$5,IFERROR(INDEX('"INCC-FGV"'!$B$2:$B$800,MATCH(B28,'"INCC-FGV"'!$A$2:$A$800,0)),$K$2),$K$2)</f>
        <v>142.219642544582</v>
      </c>
      <c r="M28" s="139" t="n">
        <f aca="false">'CP RESUMO'!AA21</f>
        <v>25.29</v>
      </c>
      <c r="N28" s="140" t="n">
        <f aca="false">MAX(0,M28-M27)</f>
        <v>5.1</v>
      </c>
      <c r="O28" s="139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5.1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HISTORICOS'!AB21)</f>
        <v>23141.5</v>
      </c>
      <c r="D29" s="45" t="n">
        <f aca="false">IF(B29&lt;='VALOR POR PL'!$P$5,0,IF($K$17&gt;0,$K$18*P29/$K$17,0))</f>
        <v>1141257.44830304</v>
      </c>
      <c r="E29" s="45" t="n">
        <f aca="false">L29+D29/$K$2</f>
        <v>897.840099116455</v>
      </c>
      <c r="F29" s="117" t="n">
        <f aca="false">IF($K$9=0,0,E29/$K$9)</f>
        <v>0.0428461142440083</v>
      </c>
      <c r="G29" s="117" t="n">
        <f aca="false">G28+F29</f>
        <v>0.325482419612769</v>
      </c>
      <c r="H29" s="138" t="n">
        <v>1620508.15</v>
      </c>
      <c r="L29" s="45" t="n">
        <f aca="false">C29/IF(B29&lt;='VALOR POR PL'!$P$5,IFERROR(INDEX('"INCC-FGV"'!$B$2:$B$800,MATCH(B29,'"INCC-FGV"'!$A$2:$A$800,0)),$K$2),$K$2)</f>
        <v>17.8438555651255</v>
      </c>
      <c r="M29" s="139" t="n">
        <f aca="false">'CP RESUMO'!AB21</f>
        <v>29.8</v>
      </c>
      <c r="N29" s="140" t="n">
        <f aca="false">MAX(0,M29-M28)</f>
        <v>4.51</v>
      </c>
      <c r="O29" s="139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4.51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HISTORICOS'!AC21)</f>
        <v>529800</v>
      </c>
      <c r="D30" s="45" t="n">
        <f aca="false">IF(B30&lt;='VALOR POR PL'!$P$5,0,IF($K$17&gt;0,$K$18*P30/$K$17,0))</f>
        <v>1581565.1999765</v>
      </c>
      <c r="E30" s="45" t="n">
        <f aca="false">L30+D30/$K$2</f>
        <v>1628.02306132329</v>
      </c>
      <c r="F30" s="117" t="n">
        <f aca="false">IF($K$9=0,0,E30/$K$9)</f>
        <v>0.077691408688453</v>
      </c>
      <c r="G30" s="117" t="n">
        <f aca="false">G29+F30</f>
        <v>0.403173828301222</v>
      </c>
      <c r="H30" s="138" t="n">
        <v>1912666.93</v>
      </c>
      <c r="L30" s="45" t="n">
        <f aca="false">C30/IF(B30&lt;='VALOR POR PL'!$P$5,IFERROR(INDEX('"INCC-FGV"'!$B$2:$B$800,MATCH(B30,'"INCC-FGV"'!$A$2:$A$800,0)),$K$2),$K$2)</f>
        <v>408.516071922886</v>
      </c>
      <c r="M30" s="139" t="n">
        <f aca="false">'CP RESUMO'!AC21</f>
        <v>36.05</v>
      </c>
      <c r="N30" s="140" t="n">
        <f aca="false">MAX(0,M30-M29)</f>
        <v>6.25</v>
      </c>
      <c r="O30" s="139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6.25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HISTORICOS'!AD21)</f>
        <v>0</v>
      </c>
      <c r="D31" s="45" t="n">
        <f aca="false">IF(B31&lt;='VALOR POR PL'!$P$5,0,IF($K$17&gt;0,$K$18*P31/$K$17,0))</f>
        <v>1242477.62110154</v>
      </c>
      <c r="E31" s="45" t="n">
        <f aca="false">L31+D31/$K$2</f>
        <v>958.044690872956</v>
      </c>
      <c r="F31" s="117" t="n">
        <f aca="false">IF($K$9=0,0,E31/$K$9)</f>
        <v>0.0457191568035368</v>
      </c>
      <c r="G31" s="117" t="n">
        <f aca="false">G30+F31</f>
        <v>0.448892985104759</v>
      </c>
      <c r="H31" s="138" t="n">
        <v>1716911.78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RESUMO'!AD21</f>
        <v>40.96</v>
      </c>
      <c r="N31" s="140" t="n">
        <f aca="false">MAX(0,M31-M30)</f>
        <v>4.91</v>
      </c>
      <c r="O31" s="139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4.91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HISTORICOS'!AE21)</f>
        <v>8355.27</v>
      </c>
      <c r="D32" s="45" t="n">
        <f aca="false">IF(B32&lt;='VALOR POR PL'!$P$5,0,IF($K$17&gt;0,$K$18*P32/$K$17,0))</f>
        <v>1308270.73342056</v>
      </c>
      <c r="E32" s="45" t="n">
        <f aca="false">L32+D32/$K$2</f>
        <v>1015.21872991486</v>
      </c>
      <c r="F32" s="117" t="n">
        <f aca="false">IF($K$9=0,0,E32/$K$9)</f>
        <v>0.0484475773886629</v>
      </c>
      <c r="G32" s="117" t="n">
        <f aca="false">G31+F32</f>
        <v>0.497340562493422</v>
      </c>
      <c r="H32" s="138" t="n">
        <v>1724029.04</v>
      </c>
      <c r="L32" s="45" t="n">
        <f aca="false">C32/IF(B32&lt;='VALOR POR PL'!$P$5,IFERROR(INDEX('"INCC-FGV"'!$B$2:$B$800,MATCH(B32,'"INCC-FGV"'!$A$2:$A$800,0)),$K$2),$K$2)</f>
        <v>6.44254828285227</v>
      </c>
      <c r="M32" s="139" t="n">
        <f aca="false">'CP RESUMO'!AE21</f>
        <v>46.13</v>
      </c>
      <c r="N32" s="140" t="n">
        <f aca="false">MAX(0,M32-M31)</f>
        <v>5.17</v>
      </c>
      <c r="O32" s="139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5.17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HISTORICOS'!AF21)</f>
        <v>0</v>
      </c>
      <c r="D33" s="45" t="n">
        <f aca="false">IF(B33&lt;='VALOR POR PL'!$P$5,0,IF($K$17&gt;0,$K$18*P33/$K$17,0))</f>
        <v>1523363.60061736</v>
      </c>
      <c r="E33" s="45" t="n">
        <f aca="false">L33+D33/$K$2</f>
        <v>1174.62913219047</v>
      </c>
      <c r="F33" s="117" t="n">
        <f aca="false">IF($K$9=0,0,E33/$K$9)</f>
        <v>0.0560548521297945</v>
      </c>
      <c r="G33" s="117" t="n">
        <f aca="false">G32+F33</f>
        <v>0.553395414623217</v>
      </c>
      <c r="H33" s="138" t="n">
        <v>1240873.84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RESUMO'!AF21</f>
        <v>52.15</v>
      </c>
      <c r="N33" s="140" t="n">
        <f aca="false">MAX(0,M33-M32)</f>
        <v>6.02</v>
      </c>
      <c r="O33" s="139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6.02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1503119.56605766</v>
      </c>
      <c r="E34" s="45" t="n">
        <f aca="false">L34+D34/$K$2</f>
        <v>1159.01944272614</v>
      </c>
      <c r="F34" s="117" t="n">
        <f aca="false">IF($K$9=0,0,E34/$K$9)</f>
        <v>0.0553099371513256</v>
      </c>
      <c r="G34" s="117" t="n">
        <f aca="false">G33+F34</f>
        <v>0.608705351774542</v>
      </c>
      <c r="H34" s="138" t="n">
        <v>1377375.67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RESUMO'!AG21</f>
        <v>58.09</v>
      </c>
      <c r="N34" s="140" t="n">
        <f aca="false">MAX(0,M34-M33)</f>
        <v>5.94000000000001</v>
      </c>
      <c r="O34" s="139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5.94000000000001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1662541.33821529</v>
      </c>
      <c r="E35" s="45" t="n">
        <f aca="false">L35+D35/$K$2</f>
        <v>1281.9457472577</v>
      </c>
      <c r="F35" s="117" t="n">
        <f aca="false">IF($K$9=0,0,E35/$K$9)</f>
        <v>0.0611761426067691</v>
      </c>
      <c r="G35" s="117" t="n">
        <f aca="false">G34+F35</f>
        <v>0.669881494381311</v>
      </c>
      <c r="H35" s="138" t="n">
        <v>1690022.9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RESUMO'!AH21</f>
        <v>64.66</v>
      </c>
      <c r="N35" s="140" t="n">
        <f aca="false">MAX(0,M35-M34)</f>
        <v>6.56999999999999</v>
      </c>
      <c r="O35" s="139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6.56999999999999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1465162.00125823</v>
      </c>
      <c r="E36" s="45" t="n">
        <f aca="false">L36+D36/$K$2</f>
        <v>1129.75127498053</v>
      </c>
      <c r="F36" s="117" t="n">
        <f aca="false">IF($K$9=0,0,E36/$K$9)</f>
        <v>0.0539132215666962</v>
      </c>
      <c r="G36" s="117" t="n">
        <f aca="false">G35+F36</f>
        <v>0.723794715948007</v>
      </c>
      <c r="H36" s="138" t="n">
        <v>1533152.88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RESUMO'!AI21</f>
        <v>70.45</v>
      </c>
      <c r="N36" s="140" t="n">
        <f aca="false">MAX(0,M36-M35)</f>
        <v>5.79000000000001</v>
      </c>
      <c r="O36" s="139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5.79000000000001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1642297.30365559</v>
      </c>
      <c r="E37" s="45" t="n">
        <f aca="false">L37+D37/$K$2</f>
        <v>1266.33605779338</v>
      </c>
      <c r="F37" s="117" t="n">
        <f aca="false">IF($K$9=0,0,E37/$K$9)</f>
        <v>0.0604312276283001</v>
      </c>
      <c r="G37" s="117" t="n">
        <f aca="false">G36+F37</f>
        <v>0.784225943576308</v>
      </c>
      <c r="H37" s="138" t="n">
        <v>1541765.8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RESUMO'!AJ21</f>
        <v>76.94</v>
      </c>
      <c r="N37" s="140" t="n">
        <f aca="false">MAX(0,M37-M36)</f>
        <v>6.49</v>
      </c>
      <c r="O37" s="139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6.49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HISTORICOS'!AK21)</f>
        <v>0</v>
      </c>
      <c r="D38" s="45" t="n">
        <f aca="false">IF(B38&lt;='VALOR POR PL'!$P$5,0,IF($K$17&gt;0,$K$18*P38/$K$17,0))</f>
        <v>1439856.9580586</v>
      </c>
      <c r="E38" s="45" t="n">
        <f aca="false">L38+D38/$K$2</f>
        <v>1110.23916315012</v>
      </c>
      <c r="F38" s="117" t="n">
        <f aca="false">IF($K$9=0,0,E38/$K$9)</f>
        <v>0.0529820778436098</v>
      </c>
      <c r="G38" s="117" t="n">
        <f aca="false">G37+F38</f>
        <v>0.837208021419917</v>
      </c>
      <c r="H38" s="138" t="n">
        <v>1266058.13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RESUMO'!AK21</f>
        <v>82.63</v>
      </c>
      <c r="N38" s="140" t="n">
        <f aca="false">MAX(0,M38-M37)</f>
        <v>5.69</v>
      </c>
      <c r="O38" s="139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5.69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HISTORICOS'!AL21)</f>
        <v>0</v>
      </c>
      <c r="D39" s="45" t="n">
        <f aca="false">IF(B39&lt;='VALOR POR PL'!$P$5,0,IF($K$17&gt;0,$K$18*P39/$K$17,0))</f>
        <v>1449978.97533845</v>
      </c>
      <c r="E39" s="45" t="n">
        <f aca="false">L39+D39/$K$2</f>
        <v>1118.04400788229</v>
      </c>
      <c r="F39" s="117" t="n">
        <f aca="false">IF($K$9=0,0,E39/$K$9)</f>
        <v>0.0533545353328444</v>
      </c>
      <c r="G39" s="117" t="n">
        <f aca="false">G38+F39</f>
        <v>0.890562556752762</v>
      </c>
      <c r="H39" s="138" t="n">
        <v>1261900.44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RESUMO'!AL21</f>
        <v>88.36</v>
      </c>
      <c r="N39" s="140" t="n">
        <f aca="false">MAX(0,M39-M38)</f>
        <v>5.73</v>
      </c>
      <c r="O39" s="139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5.73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1252599.63838139</v>
      </c>
      <c r="E40" s="45" t="n">
        <f aca="false">L40+D40/$K$2</f>
        <v>965.849535605118</v>
      </c>
      <c r="F40" s="117" t="n">
        <f aca="false">IF($K$9=0,0,E40/$K$9)</f>
        <v>0.0460916142927713</v>
      </c>
      <c r="G40" s="117" t="n">
        <f aca="false">G39+F40</f>
        <v>0.936654171045533</v>
      </c>
      <c r="H40" s="138" t="n">
        <v>1261551.82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RESUMO'!AM21</f>
        <v>93.31</v>
      </c>
      <c r="N40" s="140" t="n">
        <f aca="false">MAX(0,M40-M39)</f>
        <v>4.95</v>
      </c>
      <c r="O40" s="139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4.95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HISTORICOS'!AN21)</f>
        <v>0</v>
      </c>
      <c r="D41" s="45" t="n">
        <f aca="false">IF(B41&lt;='VALOR POR PL'!$P$5,0,IF($K$17&gt;0,$K$18*P41/$K$17,0))</f>
        <v>837596.929907553</v>
      </c>
      <c r="E41" s="45" t="n">
        <f aca="false">L41+D41/$K$2</f>
        <v>645.850901586453</v>
      </c>
      <c r="F41" s="117" t="n">
        <f aca="false">IF($K$9=0,0,E41/$K$9)</f>
        <v>0.0308208572341562</v>
      </c>
      <c r="G41" s="117" t="n">
        <f aca="false">G40+F41</f>
        <v>0.967475028279689</v>
      </c>
      <c r="H41" s="138" t="n">
        <v>1261500.17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RESUMO'!AN21</f>
        <v>96.62</v>
      </c>
      <c r="N41" s="140" t="n">
        <f aca="false">MAX(0,M41-M40)</f>
        <v>3.31</v>
      </c>
      <c r="O41" s="139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3.31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HISTORICOS'!AO21)</f>
        <v>0</v>
      </c>
      <c r="D42" s="45" t="n">
        <f aca="false">IF(B42&lt;='VALOR POR PL'!$P$5,0,IF($K$17&gt;0,$K$18*P42/$K$17,0))</f>
        <v>622504.062710747</v>
      </c>
      <c r="E42" s="45" t="n">
        <f aca="false">L42+D42/$K$2</f>
        <v>479.997951027997</v>
      </c>
      <c r="F42" s="117" t="n">
        <f aca="false">IF($K$9=0,0,E42/$K$9)</f>
        <v>0.0229061355879226</v>
      </c>
      <c r="G42" s="117" t="n">
        <f aca="false">G41+F42</f>
        <v>0.990381163867612</v>
      </c>
      <c r="H42" s="138" t="n">
        <v>374755.37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RESUMO'!AO21</f>
        <v>99.08</v>
      </c>
      <c r="N42" s="140" t="n">
        <f aca="false">MAX(0,M42-M41)</f>
        <v>2.45999999999999</v>
      </c>
      <c r="O42" s="139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2.45999999999999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232806.397436541</v>
      </c>
      <c r="E43" s="45" t="n">
        <f aca="false">L43+D43/$K$2</f>
        <v>179.511428839739</v>
      </c>
      <c r="F43" s="117" t="n">
        <f aca="false">IF($K$9=0,0,E43/$K$9)</f>
        <v>0.00856652225239387</v>
      </c>
      <c r="G43" s="117" t="n">
        <f aca="false">G42+F43</f>
        <v>0.998947686120006</v>
      </c>
      <c r="H43" s="138" t="n">
        <v>374517.08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RESUMO'!AP21</f>
        <v>100</v>
      </c>
      <c r="N43" s="140" t="n">
        <f aca="false">MAX(0,M43-M42)</f>
        <v>0.920000000000002</v>
      </c>
      <c r="O43" s="139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0.920000000000002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0.998947686120006</v>
      </c>
      <c r="H44" s="138" t="n">
        <v>361591.02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RESUMO'!AQ21</f>
        <v>100</v>
      </c>
      <c r="N44" s="140" t="n">
        <f aca="false">MAX(0,M44-M43)</f>
        <v>0</v>
      </c>
      <c r="O44" s="139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0.998947686120006</v>
      </c>
      <c r="H45" s="138" t="n">
        <v>340999.31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RESUMO'!AR21</f>
        <v>100</v>
      </c>
      <c r="N45" s="140" t="n">
        <f aca="false">MAX(0,M45-M44)</f>
        <v>0</v>
      </c>
      <c r="O45" s="139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0.998947686120006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RESUMO'!AS21</f>
        <v>100</v>
      </c>
      <c r="N46" s="140" t="n">
        <f aca="false">MAX(0,M46-M45)</f>
        <v>0</v>
      </c>
      <c r="O46" s="139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0.998947686120006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RESUMO'!AT21</f>
        <v>100</v>
      </c>
      <c r="N47" s="140" t="n">
        <f aca="false">MAX(0,M47-M46)</f>
        <v>0</v>
      </c>
      <c r="O47" s="139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HISTORICOS'!AU21)</f>
        <v>23975.79</v>
      </c>
      <c r="D48" s="45" t="n">
        <f aca="false">IF(B48&lt;='VALOR POR PL'!$P$5,0,IF($K$17&gt;0,$K$18*P48/$K$17,0))</f>
        <v>0</v>
      </c>
      <c r="E48" s="45" t="n">
        <f aca="false">L48+D48/$K$2</f>
        <v>18.4871565723821</v>
      </c>
      <c r="F48" s="117" t="n">
        <f aca="false">IF($K$9=0,0,E48/$K$9)</f>
        <v>0.000882231505728739</v>
      </c>
      <c r="G48" s="117" t="n">
        <f aca="false">G47+F48</f>
        <v>0.999829917625735</v>
      </c>
      <c r="H48" s="138"/>
      <c r="L48" s="45" t="n">
        <f aca="false">C48/IF(B48&lt;='VALOR POR PL'!$P$5,IFERROR(INDEX('"INCC-FGV"'!$B$2:$B$800,MATCH(B48,'"INCC-FGV"'!$A$2:$A$800,0)),$K$2),$K$2)</f>
        <v>18.4871565723821</v>
      </c>
      <c r="M48" s="139" t="n">
        <f aca="false">'CP RESUMO'!AU21</f>
        <v>100</v>
      </c>
      <c r="N48" s="140" t="n">
        <f aca="false">MAX(0,M48-M47)</f>
        <v>0</v>
      </c>
      <c r="O48" s="139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0.999829917625735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RESUMO'!AV21</f>
        <v>100</v>
      </c>
      <c r="N49" s="140" t="n">
        <f aca="false">MAX(0,M49-M48)</f>
        <v>0</v>
      </c>
      <c r="O49" s="139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0.999829917625735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RESUMO'!AW21</f>
        <v>100</v>
      </c>
      <c r="N50" s="140" t="n">
        <f aca="false">MAX(0,M50-M49)</f>
        <v>0</v>
      </c>
      <c r="O50" s="139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0.999829917625735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RESUMO'!AX21</f>
        <v>100</v>
      </c>
      <c r="N51" s="140" t="n">
        <f aca="false">MAX(0,M51-M50)</f>
        <v>0</v>
      </c>
      <c r="O51" s="139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HISTORICOS'!AY21)</f>
        <v>227.52</v>
      </c>
      <c r="D52" s="45" t="n">
        <f aca="false">IF(B52&lt;='VALOR POR PL'!$P$5,0,IF($K$17&gt;0,$K$18*P52/$K$17,0))</f>
        <v>0</v>
      </c>
      <c r="E52" s="45" t="n">
        <f aca="false">L52+D52/$K$2</f>
        <v>0.175435214578888</v>
      </c>
      <c r="F52" s="117" t="n">
        <f aca="false">IF($K$9=0,0,E52/$K$9)</f>
        <v>8.37199992923706E-006</v>
      </c>
      <c r="G52" s="117" t="n">
        <f aca="false">G51+F52</f>
        <v>0.999838289625664</v>
      </c>
      <c r="H52" s="138"/>
      <c r="L52" s="45" t="n">
        <f aca="false">C52/IF(B52&lt;='VALOR POR PL'!$P$5,IFERROR(INDEX('"INCC-FGV"'!$B$2:$B$800,MATCH(B52,'"INCC-FGV"'!$A$2:$A$800,0)),$K$2),$K$2)</f>
        <v>0.175435214578888</v>
      </c>
      <c r="M52" s="139" t="n">
        <f aca="false">'CP RESUMO'!AY21</f>
        <v>100</v>
      </c>
      <c r="N52" s="140" t="n">
        <f aca="false">MAX(0,M52-M51)</f>
        <v>0</v>
      </c>
      <c r="O52" s="139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0.999838289625664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RESUMO'!AZ21</f>
        <v>100</v>
      </c>
      <c r="N53" s="140" t="n">
        <f aca="false">MAX(0,M53-M52)</f>
        <v>0</v>
      </c>
      <c r="O53" s="139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0.999838289625664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RESUMO'!BA21</f>
        <v>100</v>
      </c>
      <c r="N54" s="140" t="n">
        <f aca="false">MAX(0,M54-M53)</f>
        <v>0</v>
      </c>
      <c r="O54" s="139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HISTORICOS'!BB21)</f>
        <v>4394.69</v>
      </c>
      <c r="D55" s="45" t="n">
        <f aca="false">IF(B55&lt;='VALOR POR PL'!$P$5,0,IF($K$17&gt;0,$K$18*P55/$K$17,0))</f>
        <v>0</v>
      </c>
      <c r="E55" s="45" t="n">
        <f aca="false">L55+D55/$K$2</f>
        <v>3.38864004552433</v>
      </c>
      <c r="F55" s="117" t="n">
        <f aca="false">IF($K$9=0,0,E55/$K$9)</f>
        <v>0.000161710374336405</v>
      </c>
      <c r="G55" s="117" t="n">
        <f aca="false">G54+F55</f>
        <v>1</v>
      </c>
      <c r="H55" s="138" t="n">
        <v>1178940.16</v>
      </c>
      <c r="L55" s="45" t="n">
        <f aca="false">C55/IF(B55&lt;='VALOR POR PL'!$P$5,IFERROR(INDEX('"INCC-FGV"'!$B$2:$B$800,MATCH(B55,'"INCC-FGV"'!$A$2:$A$800,0)),$K$2),$K$2)</f>
        <v>3.38864004552433</v>
      </c>
      <c r="M55" s="139" t="n">
        <f aca="false">'CP RESUMO'!BB21</f>
        <v>100</v>
      </c>
      <c r="N55" s="140" t="n">
        <f aca="false">MAX(0,M55-M54)</f>
        <v>0</v>
      </c>
      <c r="O55" s="139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RESUMO'!BC21</f>
        <v>100</v>
      </c>
      <c r="N56" s="140" t="n">
        <f aca="false">MAX(0,M56-M55)</f>
        <v>0</v>
      </c>
      <c r="O56" s="139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RESUMO'!BD21</f>
        <v>100</v>
      </c>
      <c r="N57" s="140" t="n">
        <f aca="false">MAX(0,M57-M56)</f>
        <v>0</v>
      </c>
      <c r="O57" s="139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RESUMO'!BE21</f>
        <v>100</v>
      </c>
      <c r="N58" s="140" t="n">
        <f aca="false">MAX(0,M58-M57)</f>
        <v>0</v>
      </c>
      <c r="O58" s="139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RESUMO'!BF21</f>
        <v>100</v>
      </c>
      <c r="N59" s="140" t="n">
        <f aca="false">MAX(0,M59-M58)</f>
        <v>0</v>
      </c>
      <c r="O59" s="139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RESUMO'!BG21</f>
        <v>100</v>
      </c>
      <c r="N60" s="140" t="n">
        <f aca="false">MAX(0,M60-M59)</f>
        <v>0</v>
      </c>
      <c r="O60" s="139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RESUMO'!BH21</f>
        <v>100</v>
      </c>
      <c r="N61" s="140" t="n">
        <f aca="false">MAX(0,M61-M60)</f>
        <v>0</v>
      </c>
      <c r="O61" s="139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RESUMO'!BI21</f>
        <v>100</v>
      </c>
      <c r="N62" s="140" t="n">
        <f aca="false">MAX(0,M62-M61)</f>
        <v>0</v>
      </c>
      <c r="O62" s="139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RESUMO'!BJ21</f>
        <v>100</v>
      </c>
      <c r="N63" s="140" t="n">
        <f aca="false">MAX(0,M63-M62)</f>
        <v>0</v>
      </c>
      <c r="O63" s="139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RESUMO'!BK21</f>
        <v>100</v>
      </c>
      <c r="N64" s="140" t="n">
        <f aca="false">MAX(0,M64-M63)</f>
        <v>0</v>
      </c>
      <c r="O64" s="139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RESUMO'!BL21</f>
        <v>100</v>
      </c>
      <c r="N65" s="140" t="n">
        <f aca="false">MAX(0,M65-M64)</f>
        <v>0</v>
      </c>
      <c r="O65" s="139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RESUMO'!BM21</f>
        <v>100</v>
      </c>
      <c r="N66" s="140" t="n">
        <f aca="false">MAX(0,M66-M65)</f>
        <v>0</v>
      </c>
      <c r="O66" s="139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RESUMO'!BN21</f>
        <v>100</v>
      </c>
      <c r="N67" s="140" t="n">
        <f aca="false">MAX(0,M67-M66)</f>
        <v>0</v>
      </c>
      <c r="O67" s="139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RESUMO'!BO21</f>
        <v>100</v>
      </c>
      <c r="N68" s="140" t="n">
        <f aca="false">MAX(0,M68-M67)</f>
        <v>0</v>
      </c>
      <c r="O68" s="139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RESUMO'!BP21</f>
        <v>100</v>
      </c>
      <c r="N69" s="140" t="n">
        <f aca="false">MAX(0,M69-M68)</f>
        <v>0</v>
      </c>
      <c r="O69" s="139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RESUMO'!BQ21</f>
        <v>100</v>
      </c>
      <c r="N70" s="140" t="n">
        <f aca="false">MAX(0,M70-M69)</f>
        <v>0</v>
      </c>
      <c r="O70" s="139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RESUMO'!BR21</f>
        <v>100</v>
      </c>
      <c r="N71" s="140" t="n">
        <f aca="false">MAX(0,M71-M70)</f>
        <v>0</v>
      </c>
      <c r="O71" s="139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RESUMO'!BS21</f>
        <v>100</v>
      </c>
      <c r="N72" s="140" t="n">
        <f aca="false">MAX(0,M72-M71)</f>
        <v>0</v>
      </c>
      <c r="O72" s="139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RESUMO'!BT21</f>
        <v>100</v>
      </c>
      <c r="N73" s="140" t="n">
        <f aca="false">MAX(0,M73-M72)</f>
        <v>0</v>
      </c>
      <c r="O73" s="139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RESUMO'!BU21</f>
        <v>100</v>
      </c>
      <c r="N74" s="140" t="n">
        <f aca="false">MAX(0,M74-M73)</f>
        <v>0</v>
      </c>
      <c r="O74" s="139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RESUMO'!BV21</f>
        <v>100</v>
      </c>
      <c r="N75" s="140" t="n">
        <f aca="false">MAX(0,M75-M74)</f>
        <v>0</v>
      </c>
      <c r="O75" s="139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RESUMO'!BW21</f>
        <v>100</v>
      </c>
      <c r="N76" s="140" t="n">
        <f aca="false">MAX(0,M76-M75)</f>
        <v>0</v>
      </c>
      <c r="O76" s="139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4335641.18</v>
      </c>
      <c r="D78" s="61" t="n">
        <f aca="false">SUM(D5:D76)</f>
        <v>22837801.4876606</v>
      </c>
      <c r="E78" s="61" t="n">
        <f aca="false">SUM(E5:E76)</f>
        <v>20954.9947517589</v>
      </c>
      <c r="F78" s="145" t="n">
        <f aca="false">SUM(F5:F76)</f>
        <v>1</v>
      </c>
      <c r="H78" s="61" t="n">
        <f aca="false">SUM(H5:H76)</f>
        <v>23773297.72</v>
      </c>
      <c r="L78" s="61" t="n">
        <f aca="false">SUM(L5:L76)</f>
        <v>3345.3138248171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-3.63797880709171E-012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J1" s="2" t="n">
        <v>31139.1758</v>
      </c>
      <c r="K1" s="2" t="n">
        <v>10452</v>
      </c>
      <c r="L1" s="2" t="n">
        <v>48906.6288298535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</v>
      </c>
    </row>
    <row r="2" customFormat="false" ht="15" hidden="false" customHeight="false" outlineLevel="0" collapsed="false">
      <c r="B2" s="2" t="s">
        <v>2943</v>
      </c>
      <c r="H2" s="2" t="s">
        <v>2944</v>
      </c>
      <c r="J2" s="2" t="s">
        <v>2945</v>
      </c>
      <c r="K2" s="2" t="s">
        <v>2946</v>
      </c>
      <c r="L2" s="126" t="s">
        <v>2947</v>
      </c>
      <c r="M2" s="126" t="s">
        <v>2948</v>
      </c>
      <c r="N2" s="2" t="s">
        <v>2949</v>
      </c>
      <c r="O2" s="2" t="s">
        <v>2950</v>
      </c>
      <c r="P2" s="2" t="s">
        <v>2951</v>
      </c>
      <c r="Q2" s="2" t="s">
        <v>2952</v>
      </c>
      <c r="S2" s="126" t="s">
        <v>2953</v>
      </c>
      <c r="T2" s="126" t="s">
        <v>2947</v>
      </c>
      <c r="U2" s="126" t="s">
        <v>2948</v>
      </c>
      <c r="V2" s="126" t="s">
        <v>2954</v>
      </c>
      <c r="W2" s="126" t="s">
        <v>2955</v>
      </c>
      <c r="X2" s="126" t="s">
        <v>2956</v>
      </c>
      <c r="Y2" s="2" t="s">
        <v>2957</v>
      </c>
      <c r="AA2" s="2" t="s">
        <v>47</v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 customFormat="false" ht="15" hidden="false" customHeight="false" outlineLevel="0" collapsed="false">
      <c r="H4" s="2" t="s">
        <v>2958</v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184179.102412658</v>
      </c>
      <c r="V4" s="2" t="n">
        <v>71710.45330075</v>
      </c>
      <c r="W4" s="2" t="n">
        <v>35133.080125</v>
      </c>
      <c r="Y4" s="2" t="n">
        <v>1699.8751241115</v>
      </c>
      <c r="AA4" s="2" t="n">
        <v>340999.310962519</v>
      </c>
      <c r="AX4" s="2" t="n">
        <v>340999.310962519</v>
      </c>
    </row>
    <row r="5" customFormat="false" ht="15" hidden="false" customHeight="false" outlineLevel="0" collapsed="false">
      <c r="H5" s="2" t="s">
        <v>2959</v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169660.465605468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</v>
      </c>
      <c r="AV5" s="2" t="n">
        <v>90397.7551722659</v>
      </c>
      <c r="AW5" s="2" t="n">
        <v>361591.020689064</v>
      </c>
    </row>
    <row r="6" customFormat="false" ht="15" hidden="false" customHeight="false" outlineLevel="0" collapsed="false">
      <c r="H6" s="2" t="s">
        <v>1204</v>
      </c>
      <c r="J6" s="2" t="n">
        <v>560.3472</v>
      </c>
      <c r="K6" s="2" t="n">
        <v>50.7</v>
      </c>
      <c r="L6" s="2" t="n">
        <v>317.899025</v>
      </c>
      <c r="O6" s="2" t="n">
        <v>4416</v>
      </c>
      <c r="P6" s="2" t="n">
        <v>560.3472</v>
      </c>
      <c r="S6" s="2" t="n">
        <v>29418.675</v>
      </c>
      <c r="T6" s="2" t="n">
        <v>45554.1355349375</v>
      </c>
      <c r="V6" s="2" t="n">
        <v>27082.302384</v>
      </c>
      <c r="W6" s="2" t="n">
        <v>13268.424</v>
      </c>
      <c r="Y6" s="2" t="n">
        <v>8186.342687586</v>
      </c>
      <c r="AA6" s="2" t="n">
        <v>123509.879606524</v>
      </c>
      <c r="AV6" s="2" t="n">
        <v>123509.879606524</v>
      </c>
    </row>
    <row r="7" customFormat="false" ht="15" hidden="false" customHeight="false" outlineLevel="0" collapsed="false">
      <c r="H7" s="2" t="s">
        <v>2960</v>
      </c>
      <c r="J7" s="2" t="n">
        <v>590.5763</v>
      </c>
      <c r="K7" s="2" t="n">
        <v>245.9</v>
      </c>
      <c r="L7" s="2" t="n">
        <v>1362.038475</v>
      </c>
      <c r="O7" s="2" t="n">
        <v>21909</v>
      </c>
      <c r="P7" s="2" t="n">
        <v>590.5763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8026.020503445</v>
      </c>
      <c r="AA7" s="2" t="n">
        <v>535364.821220945</v>
      </c>
      <c r="AU7" s="2" t="n">
        <v>374755.374854662</v>
      </c>
      <c r="AV7" s="2" t="n">
        <v>160609.446366284</v>
      </c>
    </row>
    <row r="8" customFormat="false" ht="15" hidden="false" customHeight="false" outlineLevel="0" collapsed="false">
      <c r="H8" s="2" t="s">
        <v>2961</v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9521.592048675</v>
      </c>
      <c r="AA8" s="2" t="n">
        <v>504600.067628675</v>
      </c>
      <c r="AT8" s="2" t="n">
        <v>504600.067628675</v>
      </c>
    </row>
    <row r="9" customFormat="false" ht="15" hidden="false" customHeight="false" outlineLevel="0" collapsed="false">
      <c r="H9" s="2" t="s">
        <v>2962</v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9521.592048675</v>
      </c>
      <c r="AA9" s="2" t="n">
        <v>504600.067628675</v>
      </c>
      <c r="AT9" s="2" t="n">
        <v>504600.067628675</v>
      </c>
    </row>
    <row r="10" customFormat="false" ht="15" hidden="false" customHeight="false" outlineLevel="0" collapsed="false">
      <c r="H10" s="2" t="s">
        <v>2963</v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9521.592048675</v>
      </c>
      <c r="AA10" s="2" t="n">
        <v>504600.067628675</v>
      </c>
      <c r="AS10" s="2" t="n">
        <v>252300.033814338</v>
      </c>
      <c r="AT10" s="2" t="n">
        <v>252300.033814338</v>
      </c>
    </row>
    <row r="11" customFormat="false" ht="15" hidden="false" customHeight="false" outlineLevel="0" collapsed="false">
      <c r="H11" s="2" t="s">
        <v>2964</v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9521.592048675</v>
      </c>
      <c r="AA11" s="2" t="n">
        <v>504625.891778675</v>
      </c>
      <c r="AS11" s="2" t="n">
        <v>504625.891778675</v>
      </c>
    </row>
    <row r="12" customFormat="false" ht="15" hidden="false" customHeight="false" outlineLevel="0" collapsed="false">
      <c r="H12" s="2" t="s">
        <v>2965</v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9521.592048675</v>
      </c>
      <c r="AA12" s="2" t="n">
        <v>504625.891778675</v>
      </c>
      <c r="AS12" s="2" t="n">
        <v>504625.891778675</v>
      </c>
    </row>
    <row r="13" customFormat="false" ht="15" hidden="false" customHeight="false" outlineLevel="0" collapsed="false">
      <c r="H13" s="2" t="s">
        <v>2966</v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9521.592048675</v>
      </c>
      <c r="AA13" s="2" t="n">
        <v>504600.067628675</v>
      </c>
      <c r="AR13" s="2" t="n">
        <v>504600.067628675</v>
      </c>
    </row>
    <row r="14" customFormat="false" ht="15" hidden="false" customHeight="false" outlineLevel="0" collapsed="false">
      <c r="H14" s="2" t="s">
        <v>2967</v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9521.592048675</v>
      </c>
      <c r="AA14" s="2" t="n">
        <v>504600.067628675</v>
      </c>
      <c r="AR14" s="2" t="n">
        <v>504600.067628675</v>
      </c>
    </row>
    <row r="15" customFormat="false" ht="15" hidden="false" customHeight="false" outlineLevel="0" collapsed="false">
      <c r="H15" s="2" t="s">
        <v>2968</v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9521.592048675</v>
      </c>
      <c r="AA15" s="2" t="n">
        <v>505400.616278675</v>
      </c>
      <c r="AQ15" s="2" t="n">
        <v>252700.308139338</v>
      </c>
      <c r="AR15" s="2" t="n">
        <v>252700.308139338</v>
      </c>
    </row>
    <row r="16" customFormat="false" ht="15" hidden="false" customHeight="false" outlineLevel="0" collapsed="false">
      <c r="H16" s="2" t="s">
        <v>2969</v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9521.592048675</v>
      </c>
      <c r="AA16" s="2" t="n">
        <v>505917.099278675</v>
      </c>
      <c r="AQ16" s="2" t="n">
        <v>505917.099278675</v>
      </c>
    </row>
    <row r="17" customFormat="false" ht="15" hidden="false" customHeight="false" outlineLevel="0" collapsed="false">
      <c r="H17" s="2" t="s">
        <v>2970</v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9521.592048675</v>
      </c>
      <c r="AA17" s="2" t="n">
        <v>507440.724128675</v>
      </c>
      <c r="AQ17" s="2" t="n">
        <v>507440.724128675</v>
      </c>
    </row>
    <row r="18" customFormat="false" ht="15" hidden="false" customHeight="false" outlineLevel="0" collapsed="false">
      <c r="H18" s="2" t="s">
        <v>2971</v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9521.592048675</v>
      </c>
      <c r="AA18" s="2" t="n">
        <v>509205.374378675</v>
      </c>
      <c r="AP18" s="2" t="n">
        <v>509205.374378675</v>
      </c>
    </row>
    <row r="19" customFormat="false" ht="15" hidden="false" customHeight="false" outlineLevel="0" collapsed="false">
      <c r="H19" s="2" t="s">
        <v>2972</v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9521.592048675</v>
      </c>
      <c r="AA19" s="2" t="n">
        <v>509971.490828675</v>
      </c>
      <c r="AP19" s="2" t="n">
        <v>509971.490828675</v>
      </c>
    </row>
    <row r="20" customFormat="false" ht="15" hidden="false" customHeight="false" outlineLevel="0" collapsed="false">
      <c r="H20" s="2" t="s">
        <v>2973</v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9521.592048675</v>
      </c>
      <c r="AA20" s="2" t="n">
        <v>510427.717478675</v>
      </c>
      <c r="AO20" s="2" t="n">
        <v>255213.858739338</v>
      </c>
      <c r="AP20" s="2" t="n">
        <v>255213.858739338</v>
      </c>
    </row>
    <row r="21" customFormat="false" ht="15" hidden="false" customHeight="false" outlineLevel="0" collapsed="false">
      <c r="H21" s="2" t="s">
        <v>2974</v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9521.592048675</v>
      </c>
      <c r="AA21" s="2" t="n">
        <v>512992.916378675</v>
      </c>
      <c r="AO21" s="2" t="n">
        <v>512992.916378675</v>
      </c>
    </row>
    <row r="22" customFormat="false" ht="15" hidden="false" customHeight="false" outlineLevel="0" collapsed="false">
      <c r="H22" s="2" t="s">
        <v>2975</v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9521.592048675</v>
      </c>
      <c r="AA22" s="2" t="n">
        <v>515403.170378675</v>
      </c>
      <c r="AO22" s="2" t="n">
        <v>515403.170378675</v>
      </c>
    </row>
    <row r="23" customFormat="false" ht="15" hidden="false" customHeight="false" outlineLevel="0" collapsed="false">
      <c r="H23" s="2" t="s">
        <v>2976</v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9521.592048675</v>
      </c>
      <c r="AA23" s="2" t="n">
        <v>520524.960128675</v>
      </c>
      <c r="AN23" s="2" t="n">
        <v>520524.960128675</v>
      </c>
    </row>
    <row r="24" customFormat="false" ht="15" hidden="false" customHeight="false" outlineLevel="0" collapsed="false">
      <c r="H24" s="2" t="s">
        <v>2977</v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9521.592048675</v>
      </c>
      <c r="AA24" s="2" t="n">
        <v>524828.985128675</v>
      </c>
      <c r="AN24" s="2" t="n">
        <v>524828.985128675</v>
      </c>
    </row>
    <row r="25" customFormat="false" ht="15" hidden="false" customHeight="false" outlineLevel="0" collapsed="false">
      <c r="H25" s="2" t="s">
        <v>2978</v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9521.592048675</v>
      </c>
      <c r="AA25" s="2" t="n">
        <v>549665.946568675</v>
      </c>
      <c r="AM25" s="2" t="n">
        <v>274832.973284338</v>
      </c>
      <c r="AN25" s="2" t="n">
        <v>274832.973284338</v>
      </c>
    </row>
    <row r="26" customFormat="false" ht="15" hidden="false" customHeight="false" outlineLevel="0" collapsed="false">
      <c r="H26" s="2" t="s">
        <v>2979</v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9521.592048675</v>
      </c>
      <c r="AA26" s="2" t="n">
        <v>550345.982518675</v>
      </c>
      <c r="AM26" s="2" t="n">
        <v>550345.982518675</v>
      </c>
    </row>
    <row r="27" customFormat="false" ht="15" hidden="false" customHeight="false" outlineLevel="0" collapsed="false">
      <c r="H27" s="2" t="s">
        <v>2980</v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9521.592048675</v>
      </c>
      <c r="AA27" s="2" t="n">
        <v>552196.713268675</v>
      </c>
      <c r="AM27" s="2" t="n">
        <v>552196.713268675</v>
      </c>
    </row>
    <row r="28" customFormat="false" ht="15" hidden="false" customHeight="false" outlineLevel="0" collapsed="false">
      <c r="H28" s="2" t="s">
        <v>2981</v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9521.592048675</v>
      </c>
      <c r="AA28" s="2" t="n">
        <v>557912.458468675</v>
      </c>
      <c r="AL28" s="2" t="n">
        <v>557912.458468675</v>
      </c>
    </row>
    <row r="29" customFormat="false" ht="15" hidden="false" customHeight="false" outlineLevel="0" collapsed="false">
      <c r="H29" s="2" t="s">
        <v>2982</v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9521.592048675</v>
      </c>
      <c r="AA29" s="2" t="n">
        <v>564635.345518675</v>
      </c>
      <c r="AL29" s="2" t="n">
        <v>564635.345518675</v>
      </c>
    </row>
    <row r="30" customFormat="false" ht="15" hidden="false" customHeight="false" outlineLevel="0" collapsed="false">
      <c r="H30" s="2" t="s">
        <v>2983</v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9521.592048675</v>
      </c>
      <c r="AA30" s="2" t="n">
        <v>591630.190318675</v>
      </c>
      <c r="AK30" s="2" t="n">
        <v>473304.15225494</v>
      </c>
      <c r="AL30" s="2" t="n">
        <v>118326.038063735</v>
      </c>
    </row>
    <row r="31" customFormat="false" ht="15" hidden="false" customHeight="false" outlineLevel="0" collapsed="false">
      <c r="H31" s="2" t="s">
        <v>2984</v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291782.382107181</v>
      </c>
      <c r="V31" s="2" t="n">
        <v>173602.3784625</v>
      </c>
      <c r="W31" s="2" t="n">
        <v>83470.57875</v>
      </c>
      <c r="Y31" s="2" t="n">
        <v>9521.592048675</v>
      </c>
      <c r="AA31" s="2" t="n">
        <v>764494.264768356</v>
      </c>
      <c r="AK31" s="2" t="n">
        <v>764494.264768356</v>
      </c>
    </row>
    <row r="32" customFormat="false" ht="15" hidden="false" customHeight="false" outlineLevel="0" collapsed="false">
      <c r="H32" s="2" t="s">
        <v>2985</v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452127.588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216454.111812941</v>
      </c>
      <c r="Y32" s="2" t="n">
        <v>9521.592048675</v>
      </c>
      <c r="AA32" s="2" t="n">
        <v>1789462.67755162</v>
      </c>
      <c r="AI32" s="2" t="n">
        <v>164630.566334749</v>
      </c>
      <c r="AJ32" s="2" t="n">
        <v>1317044.53067799</v>
      </c>
      <c r="AK32" s="2" t="n">
        <v>164630.566334749</v>
      </c>
      <c r="AP32" s="2" t="n">
        <v>143157.014204129</v>
      </c>
    </row>
    <row r="33" customFormat="false" ht="15" hidden="false" customHeight="false" outlineLevel="0" collapsed="false">
      <c r="H33" s="2" t="s">
        <v>2986</v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</v>
      </c>
      <c r="Y33" s="2" t="n">
        <v>29270.4373737</v>
      </c>
      <c r="AA33" s="2" t="n">
        <v>1552725.79221613</v>
      </c>
      <c r="AI33" s="2" t="n">
        <v>698685.150438841</v>
      </c>
      <c r="AJ33" s="2" t="n">
        <v>399867.2484</v>
      </c>
      <c r="AK33" s="2" t="n">
        <v>329955.33</v>
      </c>
      <c r="AP33" s="2" t="n">
        <v>124218.063377291</v>
      </c>
    </row>
    <row r="34" customFormat="false" ht="15" hidden="false" customHeight="false" outlineLevel="0" collapsed="false">
      <c r="H34" s="2" t="s">
        <v>2987</v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</v>
      </c>
      <c r="Y34" s="2" t="n">
        <v>29270.4373737</v>
      </c>
      <c r="AA34" s="2" t="n">
        <v>1554538.07511613</v>
      </c>
      <c r="AH34" s="2" t="n">
        <v>1100608.15410684</v>
      </c>
      <c r="AI34" s="2" t="n">
        <v>329566.875</v>
      </c>
      <c r="AO34" s="2" t="n">
        <v>124363.046009291</v>
      </c>
    </row>
    <row r="35" customFormat="false" ht="15" hidden="false" customHeight="false" outlineLevel="0" collapsed="false">
      <c r="H35" s="2" t="s">
        <v>2988</v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</v>
      </c>
      <c r="Y35" s="2" t="n">
        <v>29270.4373737</v>
      </c>
      <c r="AA35" s="2" t="n">
        <v>1564748.56511613</v>
      </c>
      <c r="AG35" s="2" t="n">
        <v>459834.33995342</v>
      </c>
      <c r="AH35" s="2" t="n">
        <v>259950</v>
      </c>
      <c r="AI35" s="2" t="n">
        <v>719784.33995342</v>
      </c>
      <c r="AO35" s="2" t="n">
        <v>125179.885209291</v>
      </c>
    </row>
    <row r="36" customFormat="false" ht="15" hidden="false" customHeight="false" outlineLevel="0" collapsed="false">
      <c r="H36" s="2" t="s">
        <v>2989</v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</v>
      </c>
      <c r="Y36" s="2" t="n">
        <v>29270.4373737</v>
      </c>
      <c r="AA36" s="2" t="n">
        <v>1778490.43883073</v>
      </c>
      <c r="AF36" s="2" t="n">
        <v>327242.240744855</v>
      </c>
      <c r="AG36" s="2" t="n">
        <v>1049018.96297942</v>
      </c>
      <c r="AH36" s="2" t="n">
        <v>259950</v>
      </c>
      <c r="AN36" s="2" t="n">
        <v>142279.235106459</v>
      </c>
    </row>
    <row r="37" customFormat="false" ht="15" hidden="false" customHeight="false" outlineLevel="0" collapsed="false">
      <c r="H37" s="2" t="s">
        <v>2990</v>
      </c>
      <c r="J37" s="2" t="n">
        <v>241.235</v>
      </c>
      <c r="K37" s="2" t="n">
        <v>123.1</v>
      </c>
      <c r="L37" s="2" t="n">
        <v>767.8517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95213.6108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345631.0523675</v>
      </c>
      <c r="AF37" s="2" t="n">
        <v>241941.73665725</v>
      </c>
      <c r="AG37" s="2" t="n">
        <v>103689.31571025</v>
      </c>
    </row>
    <row r="38" customFormat="false" ht="15" hidden="false" customHeight="false" outlineLevel="0" collapsed="false">
      <c r="H38" s="2" t="s">
        <v>2991</v>
      </c>
      <c r="J38" s="2" t="n">
        <v>1832.3226</v>
      </c>
      <c r="K38" s="2" t="n">
        <v>839.9</v>
      </c>
      <c r="L38" s="2" t="n">
        <v>2722.676121226</v>
      </c>
      <c r="M38" s="2" t="n">
        <v>2893.30786064</v>
      </c>
      <c r="O38" s="2" t="n">
        <v>113712</v>
      </c>
      <c r="Q38" s="2" t="n">
        <v>1832.3226</v>
      </c>
      <c r="S38" s="2" t="n">
        <v>561164.57074</v>
      </c>
      <c r="T38" s="2" t="n">
        <v>337611.839032024</v>
      </c>
      <c r="U38" s="2" t="n">
        <v>425316.25551408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</v>
      </c>
      <c r="AN38" s="2" t="n">
        <v>227556.74226598</v>
      </c>
    </row>
    <row r="39" customFormat="false" ht="15" hidden="false" customHeight="false" outlineLevel="0" collapsed="false">
      <c r="H39" s="2" t="s">
        <v>2992</v>
      </c>
      <c r="J39" s="2" t="n">
        <v>2837.0822</v>
      </c>
      <c r="AA39" s="2" t="n">
        <v>0</v>
      </c>
    </row>
    <row r="40" customFormat="false" ht="15" hidden="false" customHeight="false" outlineLevel="0" collapsed="false">
      <c r="H40" s="2" t="s">
        <v>825</v>
      </c>
      <c r="AA40" s="2" t="n">
        <v>0</v>
      </c>
    </row>
    <row r="42" customFormat="false" ht="15" hidden="false" customHeight="false" outlineLevel="0" collapsed="false">
      <c r="K42" s="2" t="s">
        <v>2993</v>
      </c>
    </row>
    <row r="43" customFormat="false" ht="15" hidden="false" customHeight="false" outlineLevel="0" collapsed="false">
      <c r="H43" s="2" t="s">
        <v>50</v>
      </c>
      <c r="K43" s="2" t="n">
        <v>25651081.5926883</v>
      </c>
      <c r="AA43" s="2" t="n">
        <v>25098272.8890272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909721.784717928</v>
      </c>
      <c r="AG43" s="2" t="n">
        <v>1612542.61864309</v>
      </c>
      <c r="AH43" s="2" t="n">
        <v>1620508.15410684</v>
      </c>
      <c r="AI43" s="2" t="n">
        <v>1912666.93172701</v>
      </c>
      <c r="AJ43" s="2" t="n">
        <v>1716911.77907799</v>
      </c>
      <c r="AK43" s="2" t="n">
        <v>1732384.31335804</v>
      </c>
      <c r="AL43" s="2" t="n">
        <v>1240873.84205109</v>
      </c>
      <c r="AM43" s="2" t="n">
        <v>1377375.66907169</v>
      </c>
      <c r="AN43" s="2" t="n">
        <v>1690022.89591413</v>
      </c>
      <c r="AO43" s="2" t="n">
        <v>1533152.87671527</v>
      </c>
      <c r="AP43" s="2" t="n">
        <v>1541765.80152811</v>
      </c>
      <c r="AQ43" s="2" t="n">
        <v>1266058.13154669</v>
      </c>
      <c r="AR43" s="2" t="n">
        <v>1261900.44339669</v>
      </c>
      <c r="AS43" s="2" t="n">
        <v>1261551.81737169</v>
      </c>
      <c r="AT43" s="2" t="n">
        <v>1261500.16907169</v>
      </c>
      <c r="AU43" s="2" t="n">
        <v>374755.374854662</v>
      </c>
      <c r="AV43" s="2" t="n">
        <v>374517.081145073</v>
      </c>
      <c r="AW43" s="2" t="n">
        <v>361591.020689064</v>
      </c>
      <c r="AX43" s="2" t="n">
        <v>340999.310962519</v>
      </c>
    </row>
    <row r="44" customFormat="false" ht="15" hidden="false" customHeight="false" outlineLevel="0" collapsed="false">
      <c r="H44" s="2" t="s">
        <v>2909</v>
      </c>
      <c r="K44" s="2" t="n">
        <v>21082.3991931398</v>
      </c>
      <c r="AA44" s="2" t="n">
        <v>20481.7315590749</v>
      </c>
      <c r="AC44" s="2" t="n">
        <v>278.758044326007</v>
      </c>
      <c r="AD44" s="2" t="n">
        <v>530.894471083681</v>
      </c>
      <c r="AE44" s="2" t="n">
        <v>583.750177493353</v>
      </c>
      <c r="AF44" s="2" t="n">
        <v>742.388827726117</v>
      </c>
      <c r="AG44" s="2" t="n">
        <v>1315.93377714268</v>
      </c>
      <c r="AH44" s="2" t="n">
        <v>1322.43414311664</v>
      </c>
      <c r="AI44" s="2" t="n">
        <v>1560.85364243047</v>
      </c>
      <c r="AJ44" s="2" t="n">
        <v>1401.10541969057</v>
      </c>
      <c r="AK44" s="2" t="n">
        <v>1413.7319575828</v>
      </c>
      <c r="AL44" s="2" t="n">
        <v>1012.62923723646</v>
      </c>
      <c r="AM44" s="2" t="n">
        <v>1124.02310846899</v>
      </c>
      <c r="AN44" s="2" t="n">
        <v>1379.16244021463</v>
      </c>
      <c r="AO44" s="2" t="n">
        <v>1251.14687368126</v>
      </c>
      <c r="AP44" s="2" t="n">
        <v>1258.17554910985</v>
      </c>
      <c r="AQ44" s="2" t="n">
        <v>1033.1811636274</v>
      </c>
      <c r="AR44" s="2" t="n">
        <v>1029.78823484018</v>
      </c>
      <c r="AS44" s="2" t="n">
        <v>1029.50373460026</v>
      </c>
      <c r="AT44" s="2" t="n">
        <v>1029.46158641657</v>
      </c>
      <c r="AU44" s="2" t="n">
        <v>305.82339358695</v>
      </c>
      <c r="AV44" s="2" t="n">
        <v>305.628931290138</v>
      </c>
      <c r="AW44" s="2" t="n">
        <v>295.080472376374</v>
      </c>
      <c r="AX44" s="2" t="n">
        <v>278.276373033512</v>
      </c>
    </row>
    <row r="45" customFormat="false" ht="15" hidden="false" customHeight="false" outlineLevel="0" collapsed="false">
      <c r="A45" s="2" t="s">
        <v>2994</v>
      </c>
      <c r="C45" s="2" t="n">
        <v>1.075</v>
      </c>
      <c r="D45" s="2" t="n">
        <v>1.075</v>
      </c>
      <c r="E45" s="2" t="n">
        <v>1.075</v>
      </c>
    </row>
    <row r="46" customFormat="false" ht="15" hidden="false" customHeight="false" outlineLevel="0" collapsed="false">
      <c r="B46" s="2" t="n">
        <v>2025</v>
      </c>
      <c r="C46" s="2" t="n">
        <v>2026</v>
      </c>
      <c r="D46" s="2" t="n">
        <v>2027</v>
      </c>
      <c r="E46" s="2" t="n">
        <v>2028</v>
      </c>
    </row>
    <row r="47" customFormat="false" ht="15" hidden="false" customHeight="false" outlineLevel="0" collapsed="false">
      <c r="A47" s="2" t="s">
        <v>2995</v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 customFormat="false" ht="15" hidden="false" customHeight="false" outlineLevel="0" collapsed="false">
      <c r="A48" s="2" t="s">
        <v>2996</v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s">
        <v>2997</v>
      </c>
      <c r="AG48" s="2" t="n">
        <v>0.1</v>
      </c>
    </row>
    <row r="49" customFormat="false" ht="15" hidden="false" customHeight="false" outlineLevel="0" collapsed="false">
      <c r="A49" s="2" t="s">
        <v>2998</v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 customFormat="false" ht="15" hidden="false" customHeight="false" outlineLevel="0" collapsed="false">
      <c r="A50" s="2" t="s">
        <v>2999</v>
      </c>
      <c r="B50" s="2" t="n">
        <v>9.2</v>
      </c>
      <c r="C50" s="2" t="n">
        <v>9.89</v>
      </c>
      <c r="D50" s="2" t="n">
        <v>10.63175</v>
      </c>
      <c r="E50" s="2" t="n">
        <v>11.42913125</v>
      </c>
    </row>
    <row r="51" customFormat="false" ht="15" hidden="false" customHeight="false" outlineLevel="0" collapsed="false">
      <c r="A51" s="2" t="s">
        <v>3000</v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 customFormat="false" ht="15" hidden="false" customHeight="false" outlineLevel="0" collapsed="false">
      <c r="A52" s="2" t="s">
        <v>3001</v>
      </c>
      <c r="B52" s="2" t="n">
        <v>2.56</v>
      </c>
      <c r="C52" s="2" t="n">
        <v>2.752</v>
      </c>
      <c r="D52" s="2" t="n">
        <v>2.9584</v>
      </c>
      <c r="E52" s="2" t="n">
        <v>3.18028</v>
      </c>
    </row>
    <row r="53" customFormat="false" ht="15" hidden="false" customHeight="false" outlineLevel="0" collapsed="false">
      <c r="A53" s="2" t="s">
        <v>2994</v>
      </c>
      <c r="C53" s="2" t="n">
        <v>1.055</v>
      </c>
      <c r="D53" s="2" t="n">
        <v>1.055</v>
      </c>
      <c r="E53" s="2" t="n">
        <v>1.055</v>
      </c>
    </row>
    <row r="54" customFormat="false" ht="15" hidden="false" customHeight="false" outlineLevel="0" collapsed="false">
      <c r="A54" s="2" t="s">
        <v>3002</v>
      </c>
      <c r="B54" s="2" t="n">
        <v>5.55</v>
      </c>
      <c r="C54" s="2" t="n">
        <v>5.51</v>
      </c>
      <c r="D54" s="2" t="n">
        <v>5.81305</v>
      </c>
      <c r="E54" s="2" t="n">
        <v>6.13276775</v>
      </c>
    </row>
    <row r="55" customFormat="false" ht="15" hidden="false" customHeight="false" outlineLevel="0" collapsed="false">
      <c r="A55" s="2" t="s">
        <v>3003</v>
      </c>
      <c r="B55" s="2" t="n">
        <v>475</v>
      </c>
      <c r="C55" s="2" t="n">
        <v>490</v>
      </c>
      <c r="D55" s="2" t="n">
        <v>516.95</v>
      </c>
      <c r="E55" s="2" t="n">
        <v>545.38225</v>
      </c>
    </row>
    <row r="56" customFormat="false" ht="15" hidden="false" customHeight="false" outlineLevel="0" collapsed="false">
      <c r="A56" s="2" t="s">
        <v>3004</v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 customFormat="false" ht="15" hidden="false" customHeight="false" outlineLevel="0" collapsed="false">
      <c r="A57" s="2" t="s">
        <v>3005</v>
      </c>
      <c r="B57" s="2" t="n">
        <v>50</v>
      </c>
      <c r="C57" s="2" t="n">
        <v>60</v>
      </c>
      <c r="D57" s="2" t="n">
        <v>63.3</v>
      </c>
      <c r="E57" s="2" t="n">
        <v>66.7815</v>
      </c>
    </row>
    <row r="58" customFormat="false" ht="15" hidden="false" customHeight="false" outlineLevel="0" collapsed="false">
      <c r="A58" s="2" t="s">
        <v>3006</v>
      </c>
      <c r="B58" s="2" t="n">
        <v>502.082688527333</v>
      </c>
      <c r="C58" s="2" t="n">
        <v>545.9</v>
      </c>
      <c r="D58" s="2" t="n">
        <v>575.9245</v>
      </c>
      <c r="E58" s="2" t="n">
        <v>607.6003475</v>
      </c>
    </row>
    <row r="59" customFormat="false" ht="15" hidden="false" customHeight="false" outlineLevel="0" collapsed="false">
      <c r="A59" s="2" t="s">
        <v>3007</v>
      </c>
      <c r="B59" s="2" t="n">
        <v>563.26240212031</v>
      </c>
      <c r="C59" s="2" t="n">
        <v>630.36</v>
      </c>
      <c r="D59" s="2" t="n">
        <v>665.0298</v>
      </c>
      <c r="E59" s="2" t="n">
        <v>701.606439</v>
      </c>
    </row>
    <row r="60" customFormat="false" ht="15" hidden="false" customHeight="false" outlineLevel="0" collapsed="false">
      <c r="A60" s="2" t="s">
        <v>2949</v>
      </c>
      <c r="C60" s="2" t="n">
        <v>24.5008089599087</v>
      </c>
      <c r="D60" s="2" t="n">
        <v>25.8483534527037</v>
      </c>
    </row>
    <row r="61" customFormat="false" ht="15" hidden="false" customHeight="false" outlineLevel="0" collapsed="false">
      <c r="A61" s="2" t="s">
        <v>3008</v>
      </c>
      <c r="C61" s="2" t="n">
        <v>664.35</v>
      </c>
    </row>
    <row r="63" customFormat="false" ht="15" hidden="false" customHeight="false" outlineLevel="0" collapsed="false">
      <c r="A63" s="2" t="s">
        <v>3009</v>
      </c>
    </row>
    <row r="64" customFormat="false" ht="15" hidden="false" customHeight="false" outlineLevel="0" collapsed="false">
      <c r="A64" s="2" t="s">
        <v>3010</v>
      </c>
      <c r="B64" s="2" t="n">
        <v>8</v>
      </c>
    </row>
    <row r="66" customFormat="false" ht="15" hidden="false" customHeight="false" outlineLevel="0" collapsed="false">
      <c r="A66" s="2" t="s">
        <v>3011</v>
      </c>
      <c r="B66" s="2" t="n">
        <v>95.4412552621508</v>
      </c>
    </row>
    <row r="68" customFormat="false" ht="15" hidden="false" customHeight="false" outlineLevel="0" collapsed="false">
      <c r="A68" s="2" t="s">
        <v>3012</v>
      </c>
      <c r="B68" s="2" t="n">
        <v>997552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PL'!F28</f>
        <v>5927475.67</v>
      </c>
      <c r="K5" s="56" t="n">
        <f aca="false">'VALOR POR PL'!G28</f>
        <v>4871.740311</v>
      </c>
      <c r="L5" s="56" t="n">
        <f aca="false">'DADOS HISTORICOS'!$BZ$22</f>
        <v>0</v>
      </c>
      <c r="M5" s="139" t="n">
        <f aca="false">'CP RESUMO'!D22</f>
        <v>0</v>
      </c>
      <c r="N5" s="140" t="n">
        <v>0</v>
      </c>
      <c r="O5" s="139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PL'!H28</f>
        <v>4871.740311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RESUMO'!E22</f>
        <v>0</v>
      </c>
      <c r="N6" s="140" t="n">
        <f aca="false">MAX(0,M6-M5)</f>
        <v>0</v>
      </c>
      <c r="O6" s="139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6315607.9667121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RESUMO'!F22</f>
        <v>0</v>
      </c>
      <c r="N7" s="140" t="n">
        <f aca="false">MAX(0,M7-M6)</f>
        <v>0</v>
      </c>
      <c r="O7" s="139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RESUMO'!G22</f>
        <v>0</v>
      </c>
      <c r="N8" s="140" t="n">
        <f aca="false">MAX(0,M8-M7)</f>
        <v>0</v>
      </c>
      <c r="O8" s="139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6315607.9667121</v>
      </c>
      <c r="K9" s="45" t="n">
        <f aca="false">E78</f>
        <v>4869.81381345057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RESUMO'!H22</f>
        <v>0</v>
      </c>
      <c r="N9" s="140" t="n">
        <f aca="false">MAX(0,M9-M8)</f>
        <v>0</v>
      </c>
      <c r="O9" s="139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4869.81381345057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RESUMO'!I22</f>
        <v>0</v>
      </c>
      <c r="N10" s="140" t="n">
        <f aca="false">MAX(0,M10-M9)</f>
        <v>0</v>
      </c>
      <c r="O10" s="139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6245482.95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RESUMO'!J22</f>
        <v>0</v>
      </c>
      <c r="N11" s="140" t="n">
        <f aca="false">MAX(0,M11-M10)</f>
        <v>0</v>
      </c>
      <c r="O11" s="139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RESUMO'!K22</f>
        <v>0</v>
      </c>
      <c r="N12" s="140" t="n">
        <f aca="false">MAX(0,M12-M11)</f>
        <v>0</v>
      </c>
      <c r="O12" s="139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RESUMO'!L22</f>
        <v>0</v>
      </c>
      <c r="N13" s="140" t="n">
        <f aca="false">MAX(0,M13-M12)</f>
        <v>0</v>
      </c>
      <c r="O13" s="139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RESUMO'!$D$64:$BW$64,MATCH('VALOR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RESUMO'!M22</f>
        <v>0</v>
      </c>
      <c r="N14" s="140" t="n">
        <f aca="false">MAX(0,M14-M13)</f>
        <v>0</v>
      </c>
      <c r="O14" s="139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RESUMO'!N22</f>
        <v>0</v>
      </c>
      <c r="N15" s="140" t="n">
        <f aca="false">MAX(0,M15-M14)</f>
        <v>0</v>
      </c>
      <c r="O15" s="139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RESUMO'!O22</f>
        <v>0</v>
      </c>
      <c r="N16" s="140" t="n">
        <f aca="false">MAX(0,M16-M15)</f>
        <v>0</v>
      </c>
      <c r="O16" s="139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RESUMO'!P22</f>
        <v>0</v>
      </c>
      <c r="N17" s="140" t="n">
        <f aca="false">MAX(0,M17-M16)</f>
        <v>0</v>
      </c>
      <c r="O17" s="139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6315607.9667121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RESUMO'!Q22</f>
        <v>0</v>
      </c>
      <c r="N18" s="140" t="n">
        <f aca="false">MAX(0,M18-M17)</f>
        <v>0</v>
      </c>
      <c r="O18" s="139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RESUMO'!R22</f>
        <v>0</v>
      </c>
      <c r="N19" s="140" t="n">
        <f aca="false">MAX(0,M19-M18)</f>
        <v>0</v>
      </c>
      <c r="O19" s="139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RESUMO'!S22</f>
        <v>0</v>
      </c>
      <c r="N20" s="140" t="n">
        <f aca="false">MAX(0,M20-M19)</f>
        <v>0</v>
      </c>
      <c r="O20" s="139" t="n">
        <f aca="false">IF(B20&lt;='VALOR POR PL'!$P$5,'CP RESUMO'!S64,"")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RESUMO'!T22</f>
        <v>0</v>
      </c>
      <c r="N21" s="140" t="n">
        <f aca="false">MAX(0,M21-M20)</f>
        <v>0</v>
      </c>
      <c r="O21" s="139" t="n">
        <f aca="false">IF(B21&lt;='VALOR POR PL'!$P$5,'CP RESUMO'!T64,"")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RESUMO'!U22</f>
        <v>0</v>
      </c>
      <c r="N22" s="140" t="n">
        <f aca="false">MAX(0,M22-M21)</f>
        <v>0</v>
      </c>
      <c r="O22" s="139" t="n">
        <f aca="false">IF(B22&lt;='VALOR POR PL'!$P$5,'CP RESUMO'!U64,"")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RESUMO'!V22</f>
        <v>0</v>
      </c>
      <c r="N23" s="140" t="n">
        <f aca="false">MAX(0,M23-M22)</f>
        <v>0</v>
      </c>
      <c r="O23" s="139" t="n">
        <f aca="false">IF(B23&lt;='VALOR POR PL'!$P$5,'CP RESUMO'!V64,"")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RESUMO'!W22</f>
        <v>0</v>
      </c>
      <c r="N24" s="140" t="n">
        <f aca="false">MAX(0,M24-M23)</f>
        <v>0</v>
      </c>
      <c r="O24" s="139" t="n">
        <f aca="false">IF(B24&lt;='VALOR POR PL'!$P$5,'CP RESUMO'!W64,"")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RESUMO'!X22</f>
        <v>0</v>
      </c>
      <c r="N25" s="140" t="n">
        <f aca="false">MAX(0,M25-M24)</f>
        <v>0</v>
      </c>
      <c r="O25" s="139" t="n">
        <f aca="false">IF(B25&lt;='VALOR POR PL'!$P$5,'CP RESUMO'!X64,"")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RESUMO'!Y22</f>
        <v>0</v>
      </c>
      <c r="N26" s="140" t="n">
        <f aca="false">MAX(0,M26-M25)</f>
        <v>0</v>
      </c>
      <c r="O26" s="139" t="str">
        <f aca="false">IF(B26&lt;='VALOR POR PL'!$P$5,'CP RESUMO'!Y64,"")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RESUMO'!Z22</f>
        <v>0</v>
      </c>
      <c r="N27" s="140" t="n">
        <f aca="false">MAX(0,M27-M26)</f>
        <v>0</v>
      </c>
      <c r="O27" s="139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RESUMO'!AA22</f>
        <v>0</v>
      </c>
      <c r="N28" s="140" t="n">
        <f aca="false">MAX(0,M28-M27)</f>
        <v>0</v>
      </c>
      <c r="O28" s="139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RESUMO'!AB22</f>
        <v>0</v>
      </c>
      <c r="N29" s="140" t="n">
        <f aca="false">MAX(0,M29-M28)</f>
        <v>0</v>
      </c>
      <c r="O29" s="139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RESUMO'!AC22</f>
        <v>0</v>
      </c>
      <c r="N30" s="140" t="n">
        <f aca="false">MAX(0,M30-M29)</f>
        <v>0</v>
      </c>
      <c r="O30" s="139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RESUMO'!AD22</f>
        <v>0</v>
      </c>
      <c r="N31" s="140" t="n">
        <f aca="false">MAX(0,M31-M30)</f>
        <v>0</v>
      </c>
      <c r="O31" s="139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HISTORICOS'!AE22)</f>
        <v>0</v>
      </c>
      <c r="D32" s="45" t="n">
        <f aca="false">IF(B32&lt;='VALOR POR PL'!$P$5,0,IF($K$17&gt;0,$K$18*P32/$K$17,0))</f>
        <v>70103.2484305043</v>
      </c>
      <c r="E32" s="45" t="n">
        <f aca="false">L32+D32/$K$2</f>
        <v>54.0549333293014</v>
      </c>
      <c r="F32" s="117" t="n">
        <f aca="false">IF($K$9=0,0,E32/$K$9)</f>
        <v>0.0111</v>
      </c>
      <c r="G32" s="117" t="n">
        <f aca="false">G31+F32</f>
        <v>0.0111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RESUMO'!AE22</f>
        <v>1.11</v>
      </c>
      <c r="N32" s="140" t="n">
        <f aca="false">MAX(0,M32-M31)</f>
        <v>1.11</v>
      </c>
      <c r="O32" s="139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1.11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186310.435018007</v>
      </c>
      <c r="E33" s="45" t="n">
        <f aca="false">L33+D33/$K$2</f>
        <v>143.659507496792</v>
      </c>
      <c r="F33" s="117" t="n">
        <f aca="false">IF($K$9=0,0,E33/$K$9)</f>
        <v>0.0295</v>
      </c>
      <c r="G33" s="117" t="n">
        <f aca="false">G32+F33</f>
        <v>0.0406</v>
      </c>
      <c r="H33" s="138" t="n">
        <v>70130.98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RESUMO'!AF22</f>
        <v>4.06</v>
      </c>
      <c r="N33" s="140" t="n">
        <f aca="false">MAX(0,M33-M32)</f>
        <v>2.95</v>
      </c>
      <c r="O33" s="139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2.95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300622.939215496</v>
      </c>
      <c r="E34" s="45" t="n">
        <f aca="false">L34+D34/$K$2</f>
        <v>231.803137520247</v>
      </c>
      <c r="F34" s="117" t="n">
        <f aca="false">IF($K$9=0,0,E34/$K$9)</f>
        <v>0.0476</v>
      </c>
      <c r="G34" s="117" t="n">
        <f aca="false">G33+F34</f>
        <v>0.0882</v>
      </c>
      <c r="H34" s="138" t="n">
        <v>134575.67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RESUMO'!AG22</f>
        <v>8.82</v>
      </c>
      <c r="N34" s="140" t="n">
        <f aca="false">MAX(0,M34-M33)</f>
        <v>4.76</v>
      </c>
      <c r="O34" s="139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4.76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348621.559762508</v>
      </c>
      <c r="E35" s="45" t="n">
        <f aca="false">L35+D35/$K$2</f>
        <v>268.813722502472</v>
      </c>
      <c r="F35" s="117" t="n">
        <f aca="false">IF($K$9=0,0,E35/$K$9)</f>
        <v>0.0552</v>
      </c>
      <c r="G35" s="117" t="n">
        <f aca="false">G34+F35</f>
        <v>0.1434</v>
      </c>
      <c r="H35" s="138" t="n">
        <v>221133.72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RESUMO'!AH22</f>
        <v>14.34</v>
      </c>
      <c r="N35" s="140" t="n">
        <f aca="false">MAX(0,M35-M34)</f>
        <v>5.52</v>
      </c>
      <c r="O35" s="139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5.52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390304.572342808</v>
      </c>
      <c r="E36" s="45" t="n">
        <f aca="false">L36+D36/$K$2</f>
        <v>300.954493671245</v>
      </c>
      <c r="F36" s="117" t="n">
        <f aca="false">IF($K$9=0,0,E36/$K$9)</f>
        <v>0.0618</v>
      </c>
      <c r="G36" s="117" t="n">
        <f aca="false">G35+F36</f>
        <v>0.2052</v>
      </c>
      <c r="H36" s="138" t="n">
        <v>416363.21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RESUMO'!AI22</f>
        <v>20.52</v>
      </c>
      <c r="N36" s="140" t="n">
        <f aca="false">MAX(0,M36-M35)</f>
        <v>6.18</v>
      </c>
      <c r="O36" s="139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6.18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542510.724340569</v>
      </c>
      <c r="E37" s="45" t="n">
        <f aca="false">L37+D37/$K$2</f>
        <v>418.317006575404</v>
      </c>
      <c r="F37" s="117" t="n">
        <f aca="false">IF($K$9=0,0,E37/$K$9)</f>
        <v>0.0859</v>
      </c>
      <c r="G37" s="117" t="n">
        <f aca="false">G36+F37</f>
        <v>0.2911</v>
      </c>
      <c r="H37" s="138" t="n">
        <v>387299.92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RESUMO'!AJ22</f>
        <v>29.11</v>
      </c>
      <c r="N37" s="140" t="n">
        <f aca="false">MAX(0,M37-M36)</f>
        <v>8.59</v>
      </c>
      <c r="O37" s="139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8.59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603140.560821005</v>
      </c>
      <c r="E38" s="45" t="n">
        <f aca="false">L38+D38/$K$2</f>
        <v>465.067219184529</v>
      </c>
      <c r="F38" s="117" t="n">
        <f aca="false">IF($K$9=0,0,E38/$K$9)</f>
        <v>0.0955</v>
      </c>
      <c r="G38" s="117" t="n">
        <f aca="false">G37+F38</f>
        <v>0.3866</v>
      </c>
      <c r="H38" s="138" t="n">
        <v>545884.39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RESUMO'!AK22</f>
        <v>38.66</v>
      </c>
      <c r="N38" s="140" t="n">
        <f aca="false">MAX(0,M38-M37)</f>
        <v>9.55</v>
      </c>
      <c r="O38" s="139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9.55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663770.397301442</v>
      </c>
      <c r="E39" s="45" t="n">
        <f aca="false">L39+D39/$K$2</f>
        <v>511.817431793655</v>
      </c>
      <c r="F39" s="117" t="n">
        <f aca="false">IF($K$9=0,0,E39/$K$9)</f>
        <v>0.1051</v>
      </c>
      <c r="G39" s="117" t="n">
        <f aca="false">G38+F39</f>
        <v>0.4917</v>
      </c>
      <c r="H39" s="138" t="n">
        <v>564206.9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RESUMO'!AL22</f>
        <v>49.17</v>
      </c>
      <c r="N39" s="140" t="n">
        <f aca="false">MAX(0,M39-M38)</f>
        <v>10.51</v>
      </c>
      <c r="O39" s="139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10.51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658717.910928072</v>
      </c>
      <c r="E40" s="45" t="n">
        <f aca="false">L40+D40/$K$2</f>
        <v>507.921580742895</v>
      </c>
      <c r="F40" s="117" t="n">
        <f aca="false">IF($K$9=0,0,E40/$K$9)</f>
        <v>0.1043</v>
      </c>
      <c r="G40" s="117" t="n">
        <f aca="false">G39+F40</f>
        <v>0.596</v>
      </c>
      <c r="H40" s="138" t="n">
        <v>634337.88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RESUMO'!AM22</f>
        <v>59.6</v>
      </c>
      <c r="N40" s="140" t="n">
        <f aca="false">MAX(0,M40-M39)</f>
        <v>10.43</v>
      </c>
      <c r="O40" s="139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10.43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HISTORICOS'!AN22)</f>
        <v>0</v>
      </c>
      <c r="D41" s="45" t="n">
        <f aca="false">IF(B41&lt;='VALOR POR PL'!$P$5,0,IF($K$17&gt;0,$K$18*P41/$K$17,0))</f>
        <v>457250.016789956</v>
      </c>
      <c r="E41" s="45" t="n">
        <f aca="false">L41+D41/$K$2</f>
        <v>352.574520093822</v>
      </c>
      <c r="F41" s="117" t="n">
        <f aca="false">IF($K$9=0,0,E41/$K$9)</f>
        <v>0.0724</v>
      </c>
      <c r="G41" s="117" t="n">
        <f aca="false">G40+F41</f>
        <v>0.6684</v>
      </c>
      <c r="H41" s="138" t="n">
        <v>680460.06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RESUMO'!AN22</f>
        <v>66.84</v>
      </c>
      <c r="N41" s="140" t="n">
        <f aca="false">MAX(0,M41-M40)</f>
        <v>7.24</v>
      </c>
      <c r="O41" s="139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7.24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488828.056623516</v>
      </c>
      <c r="E42" s="45" t="n">
        <f aca="false">L42+D42/$K$2</f>
        <v>376.923589161074</v>
      </c>
      <c r="F42" s="117" t="n">
        <f aca="false">IF($K$9=0,0,E42/$K$9)</f>
        <v>0.0774</v>
      </c>
      <c r="G42" s="117" t="n">
        <f aca="false">G41+F42</f>
        <v>0.7458</v>
      </c>
      <c r="H42" s="138" t="n">
        <v>484598.76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RESUMO'!AO22</f>
        <v>74.58</v>
      </c>
      <c r="N42" s="140" t="n">
        <f aca="false">MAX(0,M42-M41)</f>
        <v>7.74</v>
      </c>
      <c r="O42" s="139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7.74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500196.150963598</v>
      </c>
      <c r="E43" s="45" t="n">
        <f aca="false">L43+D43/$K$2</f>
        <v>385.689254025285</v>
      </c>
      <c r="F43" s="117" t="n">
        <f aca="false">IF($K$9=0,0,E43/$K$9)</f>
        <v>0.0792</v>
      </c>
      <c r="G43" s="117" t="n">
        <f aca="false">G42+F43</f>
        <v>0.825</v>
      </c>
      <c r="H43" s="138" t="n">
        <v>518716.54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RESUMO'!AP22</f>
        <v>82.5</v>
      </c>
      <c r="N43" s="140" t="n">
        <f aca="false">MAX(0,M43-M42)</f>
        <v>7.92</v>
      </c>
      <c r="O43" s="139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7.92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401672.666682889</v>
      </c>
      <c r="E44" s="45" t="n">
        <f aca="false">L44+D44/$K$2</f>
        <v>309.720158535456</v>
      </c>
      <c r="F44" s="117" t="n">
        <f aca="false">IF($K$9=0,0,E44/$K$9)</f>
        <v>0.0636</v>
      </c>
      <c r="G44" s="117" t="n">
        <f aca="false">G43+F44</f>
        <v>0.8886</v>
      </c>
      <c r="H44" s="138" t="n">
        <v>434685.72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RESUMO'!AQ22</f>
        <v>88.86</v>
      </c>
      <c r="N44" s="140" t="n">
        <f aca="false">MAX(0,M44-M43)</f>
        <v>6.36</v>
      </c>
      <c r="O44" s="139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6.36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272202.703365292</v>
      </c>
      <c r="E45" s="45" t="n">
        <f aca="false">L45+D45/$K$2</f>
        <v>209.88897535972</v>
      </c>
      <c r="F45" s="117" t="n">
        <f aca="false">IF($K$9=0,0,E45/$K$9)</f>
        <v>0.0431</v>
      </c>
      <c r="G45" s="117" t="n">
        <f aca="false">G44+F45</f>
        <v>0.9317</v>
      </c>
      <c r="H45" s="138" t="n">
        <v>521875.59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RESUMO'!AR22</f>
        <v>93.17</v>
      </c>
      <c r="N45" s="140" t="n">
        <f aca="false">MAX(0,M45-M44)</f>
        <v>4.31</v>
      </c>
      <c r="O45" s="139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4.31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237466.859548375</v>
      </c>
      <c r="E46" s="45" t="n">
        <f aca="false">L46+D46/$K$2</f>
        <v>183.104999385742</v>
      </c>
      <c r="F46" s="117" t="n">
        <f aca="false">IF($K$9=0,0,E46/$K$9)</f>
        <v>0.0376000000000001</v>
      </c>
      <c r="G46" s="117" t="n">
        <f aca="false">G45+F46</f>
        <v>0.9693</v>
      </c>
      <c r="H46" s="138" t="n">
        <v>272310.39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RESUMO'!AS22</f>
        <v>96.93</v>
      </c>
      <c r="N46" s="140" t="n">
        <f aca="false">MAX(0,M46-M45)</f>
        <v>3.76000000000001</v>
      </c>
      <c r="O46" s="139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3.76000000000001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HISTORICOS'!AT22)</f>
        <v>0</v>
      </c>
      <c r="D47" s="45" t="n">
        <f aca="false">IF(B47&lt;='VALOR POR PL'!$P$5,0,IF($K$17&gt;0,$K$18*P47/$K$17,0))</f>
        <v>69471.6876338327</v>
      </c>
      <c r="E47" s="45" t="n">
        <f aca="false">L47+D47/$K$2</f>
        <v>53.567951947956</v>
      </c>
      <c r="F47" s="117" t="n">
        <f aca="false">IF($K$9=0,0,E47/$K$9)</f>
        <v>0.0109999999999999</v>
      </c>
      <c r="G47" s="117" t="n">
        <f aca="false">G46+F47</f>
        <v>0.9803</v>
      </c>
      <c r="H47" s="138" t="n">
        <v>237560.8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RESUMO'!AT22</f>
        <v>98.03</v>
      </c>
      <c r="N47" s="140" t="n">
        <f aca="false">MAX(0,M47-M46)</f>
        <v>1.09999999999999</v>
      </c>
      <c r="O47" s="139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1.09999999999999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62524.5188704495</v>
      </c>
      <c r="E48" s="45" t="n">
        <f aca="false">L48+D48/$K$2</f>
        <v>48.2111567531604</v>
      </c>
      <c r="F48" s="117" t="n">
        <f aca="false">IF($K$9=0,0,E48/$K$9)</f>
        <v>0.00989999999999995</v>
      </c>
      <c r="G48" s="117" t="n">
        <f aca="false">G47+F48</f>
        <v>0.9902</v>
      </c>
      <c r="H48" s="138" t="n">
        <v>69499.17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RESUMO'!AU22</f>
        <v>99.02</v>
      </c>
      <c r="N48" s="140" t="n">
        <f aca="false">MAX(0,M48-M47)</f>
        <v>0.989999999999995</v>
      </c>
      <c r="O48" s="139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0.989999999999995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61892.9580737788</v>
      </c>
      <c r="E49" s="45" t="n">
        <f aca="false">L49+D49/$K$2</f>
        <v>47.7241753718158</v>
      </c>
      <c r="F49" s="117" t="n">
        <f aca="false">IF($K$9=0,0,E49/$K$9)</f>
        <v>0.00980000000000004</v>
      </c>
      <c r="G49" s="117" t="n">
        <f aca="false">G48+F49</f>
        <v>1</v>
      </c>
      <c r="H49" s="138" t="n">
        <v>51843.25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RESUMO'!AV22</f>
        <v>100</v>
      </c>
      <c r="N49" s="140" t="n">
        <f aca="false">MAX(0,M49-M48)</f>
        <v>0.980000000000004</v>
      </c>
      <c r="O49" s="139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0.980000000000004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RESUMO'!AW22</f>
        <v>100</v>
      </c>
      <c r="N50" s="140" t="n">
        <f aca="false">MAX(0,M50-M49)</f>
        <v>0</v>
      </c>
      <c r="O50" s="139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RESUMO'!AX22</f>
        <v>100</v>
      </c>
      <c r="N51" s="140" t="n">
        <f aca="false">MAX(0,M51-M50)</f>
        <v>0</v>
      </c>
      <c r="O51" s="139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RESUMO'!AY22</f>
        <v>100</v>
      </c>
      <c r="N52" s="140" t="n">
        <f aca="false">MAX(0,M52-M51)</f>
        <v>0</v>
      </c>
      <c r="O52" s="139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RESUMO'!AZ22</f>
        <v>100</v>
      </c>
      <c r="N53" s="140" t="n">
        <f aca="false">MAX(0,M53-M52)</f>
        <v>0</v>
      </c>
      <c r="O53" s="139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RESUMO'!BA22</f>
        <v>100</v>
      </c>
      <c r="N54" s="140" t="n">
        <f aca="false">MAX(0,M54-M53)</f>
        <v>0</v>
      </c>
      <c r="O54" s="139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RESUMO'!BB22</f>
        <v>100</v>
      </c>
      <c r="N55" s="140" t="n">
        <f aca="false">MAX(0,M55-M54)</f>
        <v>0</v>
      </c>
      <c r="O55" s="139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RESUMO'!BC22</f>
        <v>100</v>
      </c>
      <c r="N56" s="140" t="n">
        <f aca="false">MAX(0,M56-M55)</f>
        <v>0</v>
      </c>
      <c r="O56" s="139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RESUMO'!BD22</f>
        <v>100</v>
      </c>
      <c r="N57" s="140" t="n">
        <f aca="false">MAX(0,M57-M56)</f>
        <v>0</v>
      </c>
      <c r="O57" s="139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RESUMO'!BE22</f>
        <v>100</v>
      </c>
      <c r="N58" s="140" t="n">
        <f aca="false">MAX(0,M58-M57)</f>
        <v>0</v>
      </c>
      <c r="O58" s="139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RESUMO'!BF22</f>
        <v>100</v>
      </c>
      <c r="N59" s="140" t="n">
        <f aca="false">MAX(0,M59-M58)</f>
        <v>0</v>
      </c>
      <c r="O59" s="139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RESUMO'!BG22</f>
        <v>100</v>
      </c>
      <c r="N60" s="140" t="n">
        <f aca="false">MAX(0,M60-M59)</f>
        <v>0</v>
      </c>
      <c r="O60" s="139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RESUMO'!BH22</f>
        <v>100</v>
      </c>
      <c r="N61" s="140" t="n">
        <f aca="false">MAX(0,M61-M60)</f>
        <v>0</v>
      </c>
      <c r="O61" s="139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RESUMO'!BI22</f>
        <v>100</v>
      </c>
      <c r="N62" s="140" t="n">
        <f aca="false">MAX(0,M62-M61)</f>
        <v>0</v>
      </c>
      <c r="O62" s="139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RESUMO'!BJ22</f>
        <v>100</v>
      </c>
      <c r="N63" s="140" t="n">
        <f aca="false">MAX(0,M63-M62)</f>
        <v>0</v>
      </c>
      <c r="O63" s="139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RESUMO'!BK22</f>
        <v>100</v>
      </c>
      <c r="N64" s="140" t="n">
        <f aca="false">MAX(0,M64-M63)</f>
        <v>0</v>
      </c>
      <c r="O64" s="139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RESUMO'!BL22</f>
        <v>100</v>
      </c>
      <c r="N65" s="140" t="n">
        <f aca="false">MAX(0,M65-M64)</f>
        <v>0</v>
      </c>
      <c r="O65" s="139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RESUMO'!BM22</f>
        <v>100</v>
      </c>
      <c r="N66" s="140" t="n">
        <f aca="false">MAX(0,M66-M65)</f>
        <v>0</v>
      </c>
      <c r="O66" s="139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RESUMO'!BN22</f>
        <v>100</v>
      </c>
      <c r="N67" s="140" t="n">
        <f aca="false">MAX(0,M67-M66)</f>
        <v>0</v>
      </c>
      <c r="O67" s="139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RESUMO'!BO22</f>
        <v>100</v>
      </c>
      <c r="N68" s="140" t="n">
        <f aca="false">MAX(0,M68-M67)</f>
        <v>0</v>
      </c>
      <c r="O68" s="139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RESUMO'!BP22</f>
        <v>100</v>
      </c>
      <c r="N69" s="140" t="n">
        <f aca="false">MAX(0,M69-M68)</f>
        <v>0</v>
      </c>
      <c r="O69" s="139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RESUMO'!BQ22</f>
        <v>100</v>
      </c>
      <c r="N70" s="140" t="n">
        <f aca="false">MAX(0,M70-M69)</f>
        <v>0</v>
      </c>
      <c r="O70" s="139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RESUMO'!BR22</f>
        <v>100</v>
      </c>
      <c r="N71" s="140" t="n">
        <f aca="false">MAX(0,M71-M70)</f>
        <v>0</v>
      </c>
      <c r="O71" s="139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RESUMO'!BS22</f>
        <v>100</v>
      </c>
      <c r="N72" s="140" t="n">
        <f aca="false">MAX(0,M72-M71)</f>
        <v>0</v>
      </c>
      <c r="O72" s="139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RESUMO'!BT22</f>
        <v>100</v>
      </c>
      <c r="N73" s="140" t="n">
        <f aca="false">MAX(0,M73-M72)</f>
        <v>0</v>
      </c>
      <c r="O73" s="139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RESUMO'!BU22</f>
        <v>100</v>
      </c>
      <c r="N74" s="140" t="n">
        <f aca="false">MAX(0,M74-M73)</f>
        <v>0</v>
      </c>
      <c r="O74" s="139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RESUMO'!BV22</f>
        <v>100</v>
      </c>
      <c r="N75" s="140" t="n">
        <f aca="false">MAX(0,M75-M74)</f>
        <v>0</v>
      </c>
      <c r="O75" s="139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RESUMO'!BW22</f>
        <v>100</v>
      </c>
      <c r="N76" s="140" t="n">
        <f aca="false">MAX(0,M76-M75)</f>
        <v>0</v>
      </c>
      <c r="O76" s="139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6315607.9667121</v>
      </c>
      <c r="E78" s="61" t="n">
        <f aca="false">SUM(E5:E76)</f>
        <v>4869.81381345057</v>
      </c>
      <c r="F78" s="145" t="n">
        <f aca="false">SUM(F5:F76)</f>
        <v>1</v>
      </c>
      <c r="H78" s="61" t="n">
        <f aca="false">SUM(H5:H76)</f>
        <v>6245482.95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PL'!F29</f>
        <v>3928343.29</v>
      </c>
      <c r="K5" s="56" t="n">
        <f aca="false">'VALOR POR PL'!G29</f>
        <v>3228.670926</v>
      </c>
      <c r="L5" s="56" t="n">
        <f aca="false">'DADOS HISTORICOS'!$BZ$23</f>
        <v>0</v>
      </c>
      <c r="M5" s="139" t="n">
        <f aca="false">'CP RESUMO'!D23</f>
        <v>0</v>
      </c>
      <c r="N5" s="140" t="n">
        <v>0</v>
      </c>
      <c r="O5" s="139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PL'!H29</f>
        <v>3228.670926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RESUMO'!E23</f>
        <v>0</v>
      </c>
      <c r="N6" s="140" t="n">
        <f aca="false">MAX(0,M6-M5)</f>
        <v>0</v>
      </c>
      <c r="O6" s="139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4185571.99695067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RESUMO'!F23</f>
        <v>0</v>
      </c>
      <c r="N7" s="140" t="n">
        <f aca="false">MAX(0,M7-M6)</f>
        <v>0</v>
      </c>
      <c r="O7" s="139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RESUMO'!G23</f>
        <v>0</v>
      </c>
      <c r="N8" s="140" t="n">
        <f aca="false">MAX(0,M8-M7)</f>
        <v>0</v>
      </c>
      <c r="O8" s="139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4185571.99695067</v>
      </c>
      <c r="K9" s="45" t="n">
        <f aca="false">E78</f>
        <v>3227.39416939358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RESUMO'!H23</f>
        <v>0</v>
      </c>
      <c r="N9" s="140" t="n">
        <f aca="false">MAX(0,M9-M8)</f>
        <v>0</v>
      </c>
      <c r="O9" s="139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3227.39416939358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RESUMO'!I23</f>
        <v>0</v>
      </c>
      <c r="N10" s="140" t="n">
        <f aca="false">MAX(0,M10-M9)</f>
        <v>0</v>
      </c>
      <c r="O10" s="139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4139097.73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RESUMO'!J23</f>
        <v>0</v>
      </c>
      <c r="N11" s="140" t="n">
        <f aca="false">MAX(0,M11-M10)</f>
        <v>0</v>
      </c>
      <c r="O11" s="139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RESUMO'!K23</f>
        <v>0</v>
      </c>
      <c r="N12" s="140" t="n">
        <f aca="false">MAX(0,M12-M11)</f>
        <v>0</v>
      </c>
      <c r="O12" s="139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RESUMO'!L23</f>
        <v>0</v>
      </c>
      <c r="N13" s="140" t="n">
        <f aca="false">MAX(0,M13-M12)</f>
        <v>0</v>
      </c>
      <c r="O13" s="139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RESUMO'!M23</f>
        <v>0</v>
      </c>
      <c r="N14" s="140" t="n">
        <f aca="false">MAX(0,M14-M13)</f>
        <v>0</v>
      </c>
      <c r="O14" s="139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RESUMO'!N23</f>
        <v>0</v>
      </c>
      <c r="N15" s="140" t="n">
        <f aca="false">MAX(0,M15-M14)</f>
        <v>0</v>
      </c>
      <c r="O15" s="139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RESUMO'!O23</f>
        <v>0</v>
      </c>
      <c r="N16" s="140" t="n">
        <f aca="false">MAX(0,M16-M15)</f>
        <v>0</v>
      </c>
      <c r="O16" s="139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RESUMO'!P23</f>
        <v>0</v>
      </c>
      <c r="N17" s="140" t="n">
        <f aca="false">MAX(0,M17-M16)</f>
        <v>0</v>
      </c>
      <c r="O17" s="139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4185571.99695067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RESUMO'!Q23</f>
        <v>0</v>
      </c>
      <c r="N18" s="140" t="n">
        <f aca="false">MAX(0,M18-M17)</f>
        <v>0</v>
      </c>
      <c r="O18" s="139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RESUMO'!R23</f>
        <v>0</v>
      </c>
      <c r="N19" s="140" t="n">
        <f aca="false">MAX(0,M19-M18)</f>
        <v>0</v>
      </c>
      <c r="O19" s="139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RESUMO'!S23</f>
        <v>0</v>
      </c>
      <c r="N20" s="140" t="n">
        <f aca="false">MAX(0,M20-M19)</f>
        <v>0</v>
      </c>
      <c r="O20" s="139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RESUMO'!T23</f>
        <v>0</v>
      </c>
      <c r="N21" s="140" t="n">
        <f aca="false">MAX(0,M21-M20)</f>
        <v>0</v>
      </c>
      <c r="O21" s="139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RESUMO'!U23</f>
        <v>0</v>
      </c>
      <c r="N22" s="140" t="n">
        <f aca="false">MAX(0,M22-M21)</f>
        <v>0</v>
      </c>
      <c r="O22" s="139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RESUMO'!V23</f>
        <v>0</v>
      </c>
      <c r="N23" s="140" t="n">
        <f aca="false">MAX(0,M23-M22)</f>
        <v>0</v>
      </c>
      <c r="O23" s="139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RESUMO'!W23</f>
        <v>0</v>
      </c>
      <c r="N24" s="140" t="n">
        <f aca="false">MAX(0,M24-M23)</f>
        <v>0</v>
      </c>
      <c r="O24" s="139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RESUMO'!X23</f>
        <v>0</v>
      </c>
      <c r="N25" s="140" t="n">
        <f aca="false">MAX(0,M25-M24)</f>
        <v>0</v>
      </c>
      <c r="O25" s="139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RESUMO'!Y23</f>
        <v>0</v>
      </c>
      <c r="N26" s="140" t="n">
        <f aca="false">MAX(0,M26-M25)</f>
        <v>0</v>
      </c>
      <c r="O26" s="139" t="str">
        <f aca="false">IF(B26&lt;='VALOR POR PL'!$P$5,'CP RESUMO'!Y65,"")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RESUMO'!Z23</f>
        <v>0</v>
      </c>
      <c r="N27" s="140" t="n">
        <f aca="false">MAX(0,M27-M26)</f>
        <v>0</v>
      </c>
      <c r="O27" s="139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RESUMO'!AA23</f>
        <v>0</v>
      </c>
      <c r="N28" s="140" t="n">
        <f aca="false">MAX(0,M28-M27)</f>
        <v>0</v>
      </c>
      <c r="O28" s="139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RESUMO'!AB23</f>
        <v>0</v>
      </c>
      <c r="N29" s="140" t="n">
        <f aca="false">MAX(0,M29-M28)</f>
        <v>0</v>
      </c>
      <c r="O29" s="139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RESUMO'!AC23</f>
        <v>0</v>
      </c>
      <c r="N30" s="140" t="n">
        <f aca="false">MAX(0,M30-M29)</f>
        <v>0</v>
      </c>
      <c r="O30" s="139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RESUMO'!AD23</f>
        <v>0</v>
      </c>
      <c r="N31" s="140" t="n">
        <f aca="false">MAX(0,M31-M30)</f>
        <v>0</v>
      </c>
      <c r="O31" s="139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HISTORICOS'!AE23)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RESUMO'!AE23</f>
        <v>0</v>
      </c>
      <c r="N32" s="140" t="n">
        <f aca="false">MAX(0,M32-M31)</f>
        <v>0</v>
      </c>
      <c r="O32" s="139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RESUMO'!AF23</f>
        <v>0</v>
      </c>
      <c r="N33" s="140" t="n">
        <f aca="false">MAX(0,M33-M32)</f>
        <v>0</v>
      </c>
      <c r="O33" s="139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RESUMO'!AG23</f>
        <v>0</v>
      </c>
      <c r="N34" s="140" t="n">
        <f aca="false">MAX(0,M34-M33)</f>
        <v>0</v>
      </c>
      <c r="O34" s="139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RESUMO'!AH23</f>
        <v>0</v>
      </c>
      <c r="N35" s="140" t="n">
        <f aca="false">MAX(0,M35-M34)</f>
        <v>0</v>
      </c>
      <c r="O35" s="139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RESUMO'!AI23</f>
        <v>0</v>
      </c>
      <c r="N36" s="140" t="n">
        <f aca="false">MAX(0,M36-M35)</f>
        <v>0</v>
      </c>
      <c r="O36" s="139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166167.208278941</v>
      </c>
      <c r="E37" s="45" t="n">
        <f aca="false">L37+D37/$K$2</f>
        <v>128.127548524925</v>
      </c>
      <c r="F37" s="117" t="n">
        <f aca="false">IF($K$9=0,0,E37/$K$9)</f>
        <v>0.0397</v>
      </c>
      <c r="G37" s="117" t="n">
        <f aca="false">G36+F37</f>
        <v>0.0397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RESUMO'!AJ23</f>
        <v>3.97</v>
      </c>
      <c r="N37" s="140" t="n">
        <f aca="false">MAX(0,M37-M36)</f>
        <v>3.97</v>
      </c>
      <c r="O37" s="139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3.97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232299.245830762</v>
      </c>
      <c r="E38" s="45" t="n">
        <f aca="false">L38+D38/$K$2</f>
        <v>179.120376401343</v>
      </c>
      <c r="F38" s="117" t="n">
        <f aca="false">IF($K$9=0,0,E38/$K$9)</f>
        <v>0.0555</v>
      </c>
      <c r="G38" s="117" t="n">
        <f aca="false">G37+F38</f>
        <v>0.0952</v>
      </c>
      <c r="H38" s="138" t="n">
        <v>166232.94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RESUMO'!AK23</f>
        <v>9.52</v>
      </c>
      <c r="N38" s="140" t="n">
        <f aca="false">MAX(0,M38-M37)</f>
        <v>5.55</v>
      </c>
      <c r="O38" s="139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5.55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321451.929365811</v>
      </c>
      <c r="E39" s="45" t="n">
        <f aca="false">L39+D39/$K$2</f>
        <v>247.863872209427</v>
      </c>
      <c r="F39" s="117" t="n">
        <f aca="false">IF($K$9=0,0,E39/$K$9)</f>
        <v>0.0768</v>
      </c>
      <c r="G39" s="117" t="n">
        <f aca="false">G38+F39</f>
        <v>0.172</v>
      </c>
      <c r="H39" s="138" t="n">
        <v>232391.14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RESUMO'!AL23</f>
        <v>17.2</v>
      </c>
      <c r="N39" s="140" t="n">
        <f aca="false">MAX(0,M39-M38)</f>
        <v>7.68</v>
      </c>
      <c r="O39" s="139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7.68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321033.372166116</v>
      </c>
      <c r="E40" s="45" t="n">
        <f aca="false">L40+D40/$K$2</f>
        <v>247.541132792487</v>
      </c>
      <c r="F40" s="117" t="n">
        <f aca="false">IF($K$9=0,0,E40/$K$9)</f>
        <v>0.0767</v>
      </c>
      <c r="G40" s="117" t="n">
        <f aca="false">G39+F40</f>
        <v>0.2487</v>
      </c>
      <c r="H40" s="138" t="n">
        <v>221504.35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RESUMO'!AM23</f>
        <v>24.87</v>
      </c>
      <c r="N40" s="140" t="n">
        <f aca="false">MAX(0,M40-M39)</f>
        <v>7.67</v>
      </c>
      <c r="O40" s="139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7.67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236903.375027408</v>
      </c>
      <c r="E41" s="45" t="n">
        <f aca="false">L41+D41/$K$2</f>
        <v>182.670509987676</v>
      </c>
      <c r="F41" s="117" t="n">
        <f aca="false">IF($K$9=0,0,E41/$K$9)</f>
        <v>0.0566</v>
      </c>
      <c r="G41" s="117" t="n">
        <f aca="false">G40+F41</f>
        <v>0.3053</v>
      </c>
      <c r="H41" s="138" t="n">
        <v>421235.12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RESUMO'!AN23</f>
        <v>30.53</v>
      </c>
      <c r="N41" s="140" t="n">
        <f aca="false">MAX(0,M41-M40)</f>
        <v>5.66</v>
      </c>
      <c r="O41" s="139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5.66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272480.737001488</v>
      </c>
      <c r="E42" s="45" t="n">
        <f aca="false">L42+D42/$K$2</f>
        <v>210.103360427522</v>
      </c>
      <c r="F42" s="117" t="n">
        <f aca="false">IF($K$9=0,0,E42/$K$9)</f>
        <v>0.0651</v>
      </c>
      <c r="G42" s="117" t="n">
        <f aca="false">G41+F42</f>
        <v>0.3704</v>
      </c>
      <c r="H42" s="138" t="n">
        <v>177119.74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RESUMO'!AO23</f>
        <v>37.04</v>
      </c>
      <c r="N42" s="140" t="n">
        <f aca="false">MAX(0,M42-M41)</f>
        <v>6.51</v>
      </c>
      <c r="O42" s="139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6.51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272062.179801793</v>
      </c>
      <c r="E43" s="45" t="n">
        <f aca="false">L43+D43/$K$2</f>
        <v>209.780621010582</v>
      </c>
      <c r="F43" s="117" t="n">
        <f aca="false">IF($K$9=0,0,E43/$K$9)</f>
        <v>0.065</v>
      </c>
      <c r="G43" s="117" t="n">
        <f aca="false">G42+F43</f>
        <v>0.4354</v>
      </c>
      <c r="H43" s="138" t="n">
        <v>332465.89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RESUMO'!AP23</f>
        <v>43.54</v>
      </c>
      <c r="N43" s="140" t="n">
        <f aca="false">MAX(0,M43-M42)</f>
        <v>6.5</v>
      </c>
      <c r="O43" s="139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6.5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544961.474002977</v>
      </c>
      <c r="E44" s="45" t="n">
        <f aca="false">L44+D44/$K$2</f>
        <v>420.206720855044</v>
      </c>
      <c r="F44" s="117" t="n">
        <f aca="false">IF($K$9=0,0,E44/$K$9)</f>
        <v>0.1302</v>
      </c>
      <c r="G44" s="117" t="n">
        <f aca="false">G43+F44</f>
        <v>0.5656</v>
      </c>
      <c r="H44" s="138" t="n">
        <v>232391.14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RESUMO'!AQ23</f>
        <v>56.56</v>
      </c>
      <c r="N44" s="140" t="n">
        <f aca="false">MAX(0,M44-M43)</f>
        <v>13.02</v>
      </c>
      <c r="O44" s="139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13.02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369167.450131048</v>
      </c>
      <c r="E45" s="45" t="n">
        <f aca="false">L45+D45/$K$2</f>
        <v>284.656165740513</v>
      </c>
      <c r="F45" s="117" t="n">
        <f aca="false">IF($K$9=0,0,E45/$K$9)</f>
        <v>0.0881999999999999</v>
      </c>
      <c r="G45" s="117" t="n">
        <f aca="false">G44+F45</f>
        <v>0.6538</v>
      </c>
      <c r="H45" s="138" t="n">
        <v>574068.93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RESUMO'!AR23</f>
        <v>65.38</v>
      </c>
      <c r="N45" s="140" t="n">
        <f aca="false">MAX(0,M45-M44)</f>
        <v>8.81999999999999</v>
      </c>
      <c r="O45" s="139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8.81999999999999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668854.405112717</v>
      </c>
      <c r="E46" s="45" t="n">
        <f aca="false">L46+D46/$K$2</f>
        <v>515.737588269094</v>
      </c>
      <c r="F46" s="117" t="n">
        <f aca="false">IF($K$9=0,0,E46/$K$9)</f>
        <v>0.1598</v>
      </c>
      <c r="G46" s="117" t="n">
        <f aca="false">G45+F46</f>
        <v>0.8136</v>
      </c>
      <c r="H46" s="138" t="n">
        <v>359682.87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RESUMO'!AS23</f>
        <v>81.36</v>
      </c>
      <c r="N46" s="140" t="n">
        <f aca="false">MAX(0,M46-M45)</f>
        <v>15.98</v>
      </c>
      <c r="O46" s="139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15.98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560866.647591389</v>
      </c>
      <c r="E47" s="45" t="n">
        <f aca="false">L47+D47/$K$2</f>
        <v>432.470818698739</v>
      </c>
      <c r="F47" s="117" t="n">
        <f aca="false">IF($K$9=0,0,E47/$K$9)</f>
        <v>0.134</v>
      </c>
      <c r="G47" s="117" t="n">
        <f aca="false">G46+F47</f>
        <v>0.9476</v>
      </c>
      <c r="H47" s="138" t="n">
        <v>430865.74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RESUMO'!AT23</f>
        <v>94.76</v>
      </c>
      <c r="N47" s="140" t="n">
        <f aca="false">MAX(0,M47-M46)</f>
        <v>13.4</v>
      </c>
      <c r="O47" s="139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13.4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119707.359112789</v>
      </c>
      <c r="E48" s="45" t="n">
        <f aca="false">L48+D48/$K$2</f>
        <v>92.3034732446563</v>
      </c>
      <c r="F48" s="117" t="n">
        <f aca="false">IF($K$9=0,0,E48/$K$9)</f>
        <v>0.0286</v>
      </c>
      <c r="G48" s="117" t="n">
        <f aca="false">G47+F48</f>
        <v>0.9762</v>
      </c>
      <c r="H48" s="138" t="n">
        <v>621803.33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RESUMO'!AU23</f>
        <v>97.62</v>
      </c>
      <c r="N48" s="140" t="n">
        <f aca="false">MAX(0,M48-M47)</f>
        <v>2.86</v>
      </c>
      <c r="O48" s="139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2.86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88734.1263353537</v>
      </c>
      <c r="E49" s="45" t="n">
        <f aca="false">L49+D49/$K$2</f>
        <v>68.4207563911435</v>
      </c>
      <c r="F49" s="117" t="n">
        <f aca="false">IF($K$9=0,0,E49/$K$9)</f>
        <v>0.0211999999999999</v>
      </c>
      <c r="G49" s="117" t="n">
        <f aca="false">G48+F49</f>
        <v>0.9974</v>
      </c>
      <c r="H49" s="138" t="n">
        <v>317810.59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RESUMO'!AV23</f>
        <v>99.74</v>
      </c>
      <c r="N49" s="140" t="n">
        <f aca="false">MAX(0,M49-M48)</f>
        <v>2.11999999999999</v>
      </c>
      <c r="O49" s="139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2.11999999999999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10882.4871920719</v>
      </c>
      <c r="E50" s="45" t="n">
        <f aca="false">L50+D50/$K$2</f>
        <v>8.39122484042346</v>
      </c>
      <c r="F50" s="117" t="n">
        <f aca="false">IF($K$9=0,0,E50/$K$9)</f>
        <v>0.00260000000000005</v>
      </c>
      <c r="G50" s="117" t="n">
        <f aca="false">G49+F50</f>
        <v>1</v>
      </c>
      <c r="H50" s="138" t="n">
        <v>40639.16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RESUMO'!AW23</f>
        <v>100</v>
      </c>
      <c r="N50" s="140" t="n">
        <f aca="false">MAX(0,M50-M49)</f>
        <v>0.260000000000005</v>
      </c>
      <c r="O50" s="139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0.260000000000005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 t="n">
        <v>10886.79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RESUMO'!AX23</f>
        <v>100</v>
      </c>
      <c r="N51" s="140" t="n">
        <f aca="false">MAX(0,M51-M50)</f>
        <v>0</v>
      </c>
      <c r="O51" s="139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RESUMO'!AY23</f>
        <v>100</v>
      </c>
      <c r="N52" s="140" t="n">
        <f aca="false">MAX(0,M52-M51)</f>
        <v>0</v>
      </c>
      <c r="O52" s="139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RESUMO'!AZ23</f>
        <v>100</v>
      </c>
      <c r="N53" s="140" t="n">
        <f aca="false">MAX(0,M53-M52)</f>
        <v>0</v>
      </c>
      <c r="O53" s="139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RESUMO'!BA23</f>
        <v>100</v>
      </c>
      <c r="N54" s="140" t="n">
        <f aca="false">MAX(0,M54-M53)</f>
        <v>0</v>
      </c>
      <c r="O54" s="139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RESUMO'!BB23</f>
        <v>100</v>
      </c>
      <c r="N55" s="140" t="n">
        <f aca="false">MAX(0,M55-M54)</f>
        <v>0</v>
      </c>
      <c r="O55" s="139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RESUMO'!BC23</f>
        <v>100</v>
      </c>
      <c r="N56" s="140" t="n">
        <f aca="false">MAX(0,M56-M55)</f>
        <v>0</v>
      </c>
      <c r="O56" s="139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RESUMO'!BD23</f>
        <v>100</v>
      </c>
      <c r="N57" s="140" t="n">
        <f aca="false">MAX(0,M57-M56)</f>
        <v>0</v>
      </c>
      <c r="O57" s="139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RESUMO'!BE23</f>
        <v>100</v>
      </c>
      <c r="N58" s="140" t="n">
        <f aca="false">MAX(0,M58-M57)</f>
        <v>0</v>
      </c>
      <c r="O58" s="139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RESUMO'!BF23</f>
        <v>100</v>
      </c>
      <c r="N59" s="140" t="n">
        <f aca="false">MAX(0,M59-M58)</f>
        <v>0</v>
      </c>
      <c r="O59" s="139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RESUMO'!BG23</f>
        <v>100</v>
      </c>
      <c r="N60" s="140" t="n">
        <f aca="false">MAX(0,M60-M59)</f>
        <v>0</v>
      </c>
      <c r="O60" s="139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RESUMO'!BH23</f>
        <v>100</v>
      </c>
      <c r="N61" s="140" t="n">
        <f aca="false">MAX(0,M61-M60)</f>
        <v>0</v>
      </c>
      <c r="O61" s="139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RESUMO'!BI23</f>
        <v>100</v>
      </c>
      <c r="N62" s="140" t="n">
        <f aca="false">MAX(0,M62-M61)</f>
        <v>0</v>
      </c>
      <c r="O62" s="139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RESUMO'!BJ23</f>
        <v>100</v>
      </c>
      <c r="N63" s="140" t="n">
        <f aca="false">MAX(0,M63-M62)</f>
        <v>0</v>
      </c>
      <c r="O63" s="139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RESUMO'!BK23</f>
        <v>100</v>
      </c>
      <c r="N64" s="140" t="n">
        <f aca="false">MAX(0,M64-M63)</f>
        <v>0</v>
      </c>
      <c r="O64" s="139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RESUMO'!BL23</f>
        <v>100</v>
      </c>
      <c r="N65" s="140" t="n">
        <f aca="false">MAX(0,M65-M64)</f>
        <v>0</v>
      </c>
      <c r="O65" s="139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RESUMO'!BM23</f>
        <v>100</v>
      </c>
      <c r="N66" s="140" t="n">
        <f aca="false">MAX(0,M66-M65)</f>
        <v>0</v>
      </c>
      <c r="O66" s="139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RESUMO'!BN23</f>
        <v>100</v>
      </c>
      <c r="N67" s="140" t="n">
        <f aca="false">MAX(0,M67-M66)</f>
        <v>0</v>
      </c>
      <c r="O67" s="139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RESUMO'!BO23</f>
        <v>100</v>
      </c>
      <c r="N68" s="140" t="n">
        <f aca="false">MAX(0,M68-M67)</f>
        <v>0</v>
      </c>
      <c r="O68" s="139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RESUMO'!BP23</f>
        <v>100</v>
      </c>
      <c r="N69" s="140" t="n">
        <f aca="false">MAX(0,M69-M68)</f>
        <v>0</v>
      </c>
      <c r="O69" s="139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RESUMO'!BQ23</f>
        <v>100</v>
      </c>
      <c r="N70" s="140" t="n">
        <f aca="false">MAX(0,M70-M69)</f>
        <v>0</v>
      </c>
      <c r="O70" s="139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RESUMO'!BR23</f>
        <v>100</v>
      </c>
      <c r="N71" s="140" t="n">
        <f aca="false">MAX(0,M71-M70)</f>
        <v>0</v>
      </c>
      <c r="O71" s="139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RESUMO'!BS23</f>
        <v>100</v>
      </c>
      <c r="N72" s="140" t="n">
        <f aca="false">MAX(0,M72-M71)</f>
        <v>0</v>
      </c>
      <c r="O72" s="139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RESUMO'!BT23</f>
        <v>100</v>
      </c>
      <c r="N73" s="140" t="n">
        <f aca="false">MAX(0,M73-M72)</f>
        <v>0</v>
      </c>
      <c r="O73" s="139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RESUMO'!BU23</f>
        <v>100</v>
      </c>
      <c r="N74" s="140" t="n">
        <f aca="false">MAX(0,M74-M73)</f>
        <v>0</v>
      </c>
      <c r="O74" s="139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RESUMO'!BV23</f>
        <v>100</v>
      </c>
      <c r="N75" s="140" t="n">
        <f aca="false">MAX(0,M75-M74)</f>
        <v>0</v>
      </c>
      <c r="O75" s="139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RESUMO'!BW23</f>
        <v>100</v>
      </c>
      <c r="N76" s="140" t="n">
        <f aca="false">MAX(0,M76-M75)</f>
        <v>0</v>
      </c>
      <c r="O76" s="139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4185571.99695067</v>
      </c>
      <c r="E78" s="61" t="n">
        <f aca="false">SUM(E5:E76)</f>
        <v>3227.39416939358</v>
      </c>
      <c r="F78" s="145" t="n">
        <f aca="false">SUM(F5:F76)</f>
        <v>1</v>
      </c>
      <c r="H78" s="61" t="n">
        <f aca="false">SUM(H5:H76)</f>
        <v>4139097.73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PL'!F30</f>
        <v>11262626.67</v>
      </c>
      <c r="K5" s="56" t="n">
        <f aca="false">'VALOR POR PL'!G30</f>
        <v>9256.654171</v>
      </c>
      <c r="L5" s="56" t="n">
        <f aca="false">'DADOS HISTORICOS'!$BZ$24</f>
        <v>0</v>
      </c>
      <c r="M5" s="139" t="n">
        <f aca="false">'CP RESUMO'!D24</f>
        <v>0</v>
      </c>
      <c r="N5" s="140" t="n">
        <v>0</v>
      </c>
      <c r="O5" s="139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PL'!H30</f>
        <v>8992.49258772817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RESUMO'!E24</f>
        <v>0</v>
      </c>
      <c r="N6" s="140" t="n">
        <f aca="false">MAX(0,M6-M5)</f>
        <v>0</v>
      </c>
      <c r="O6" s="139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11650169.6711975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RESUMO'!F24</f>
        <v>0</v>
      </c>
      <c r="N7" s="140" t="n">
        <f aca="false">MAX(0,M7-M6)</f>
        <v>0</v>
      </c>
      <c r="O7" s="139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257.274705203914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RESUMO'!G24</f>
        <v>0</v>
      </c>
      <c r="N8" s="140" t="n">
        <f aca="false">MAX(0,M8-M7)</f>
        <v>0</v>
      </c>
      <c r="O8" s="139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11650169.6711975</v>
      </c>
      <c r="K9" s="45" t="n">
        <f aca="false">E78</f>
        <v>8989.03830347447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RESUMO'!H24</f>
        <v>0</v>
      </c>
      <c r="N9" s="140" t="n">
        <f aca="false">MAX(0,M9-M8)</f>
        <v>0</v>
      </c>
      <c r="O9" s="139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8731.76359827056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RESUMO'!I24</f>
        <v>0</v>
      </c>
      <c r="N10" s="140" t="n">
        <f aca="false">MAX(0,M10-M9)</f>
        <v>0</v>
      </c>
      <c r="O10" s="139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11269054.48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RESUMO'!J24</f>
        <v>0</v>
      </c>
      <c r="N11" s="140" t="n">
        <f aca="false">MAX(0,M11-M10)</f>
        <v>0</v>
      </c>
      <c r="O11" s="139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RESUMO'!K24</f>
        <v>0</v>
      </c>
      <c r="N12" s="140" t="n">
        <f aca="false">MAX(0,M12-M11)</f>
        <v>0</v>
      </c>
      <c r="O12" s="139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RESUMO'!L24</f>
        <v>0</v>
      </c>
      <c r="N13" s="140" t="n">
        <f aca="false">MAX(0,M13-M12)</f>
        <v>0</v>
      </c>
      <c r="O13" s="139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RESUMO'!$D$66:$BW$66,MATCH('VALOR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RESUMO'!M24</f>
        <v>0</v>
      </c>
      <c r="N14" s="140" t="n">
        <f aca="false">MAX(0,M14-M13)</f>
        <v>0</v>
      </c>
      <c r="O14" s="139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HISTORICOS'!N24)</f>
        <v>2235.2</v>
      </c>
      <c r="D15" s="45" t="n">
        <f aca="false">IF(B15&lt;='VALOR POR PL'!$P$5,0,IF($K$17&gt;0,$K$18*P15/$K$17,0))</f>
        <v>0</v>
      </c>
      <c r="E15" s="45" t="n">
        <f aca="false">L15+D15/$K$2</f>
        <v>1.82859985143444</v>
      </c>
      <c r="F15" s="117" t="n">
        <f aca="false">IF($K$9=0,0,E15/$K$9)</f>
        <v>0.000203425526702634</v>
      </c>
      <c r="G15" s="117" t="n">
        <f aca="false">G14+F15</f>
        <v>0.000203425526702634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1.82859985143444</v>
      </c>
      <c r="M15" s="139" t="n">
        <f aca="false">'CP RESUMO'!N24</f>
        <v>0</v>
      </c>
      <c r="N15" s="140" t="n">
        <f aca="false">MAX(0,M15-M14)</f>
        <v>0</v>
      </c>
      <c r="O15" s="139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0.000203425526702634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RESUMO'!O24</f>
        <v>0</v>
      </c>
      <c r="N16" s="140" t="n">
        <f aca="false">MAX(0,M16-M15)</f>
        <v>0</v>
      </c>
      <c r="O16" s="139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0.000203425526702634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RESUMO'!P24</f>
        <v>0</v>
      </c>
      <c r="N17" s="140" t="n">
        <f aca="false">MAX(0,M17-M16)</f>
        <v>0</v>
      </c>
      <c r="O17" s="139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0.000203425526702634</v>
      </c>
      <c r="H18" s="138"/>
      <c r="I18" s="42" t="s">
        <v>2934</v>
      </c>
      <c r="K18" s="45" t="n">
        <f aca="false">MAX(0,K10)*$K$2</f>
        <v>11324128.1611975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RESUMO'!Q24</f>
        <v>0</v>
      </c>
      <c r="N18" s="140" t="n">
        <f aca="false">MAX(0,M18-M17)</f>
        <v>0</v>
      </c>
      <c r="O18" s="139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0.000203425526702634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RESUMO'!R24</f>
        <v>0</v>
      </c>
      <c r="N19" s="140" t="n">
        <f aca="false">MAX(0,M19-M18)</f>
        <v>0</v>
      </c>
      <c r="O19" s="139" t="n">
        <f aca="false">IF(B19&lt;='VALOR POR PL'!$P$5,'CP RESUMO'!R66,"")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0.000203425526702634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RESUMO'!S24</f>
        <v>0</v>
      </c>
      <c r="N20" s="140" t="n">
        <f aca="false">MAX(0,M20-M19)</f>
        <v>0</v>
      </c>
      <c r="O20" s="139" t="n">
        <f aca="false">IF(B20&lt;='VALOR POR PL'!$P$5,'CP RESUMO'!S66,"")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HISTORICOS'!T24)</f>
        <v>209001.57</v>
      </c>
      <c r="D21" s="45" t="n">
        <f aca="false">IF(B21&lt;='VALOR POR PL'!$P$5,0,IF($K$17&gt;0,$K$18*P21/$K$17,0))</f>
        <v>0</v>
      </c>
      <c r="E21" s="45" t="n">
        <f aca="false">L21+D21/$K$2</f>
        <v>165.920087452725</v>
      </c>
      <c r="F21" s="117" t="n">
        <f aca="false">IF($K$9=0,0,E21/$K$9)</f>
        <v>0.0184580465508299</v>
      </c>
      <c r="G21" s="117" t="n">
        <f aca="false">G20+F21</f>
        <v>0.0186614720775326</v>
      </c>
      <c r="H21" s="138"/>
      <c r="K21" s="143"/>
      <c r="L21" s="45" t="n">
        <f aca="false">C21/IF(B21&lt;='VALOR POR PL'!$P$5,IFERROR(INDEX('"INCC-FGV"'!$B$2:$B$800,MATCH(B21,'"INCC-FGV"'!$A$2:$A$800,0)),$K$2),$K$2)</f>
        <v>165.920087452725</v>
      </c>
      <c r="M21" s="139" t="n">
        <f aca="false">'CP RESUMO'!T24</f>
        <v>0</v>
      </c>
      <c r="N21" s="140" t="n">
        <f aca="false">MAX(0,M21-M20)</f>
        <v>0</v>
      </c>
      <c r="O21" s="139" t="n">
        <f aca="false">IF(B21&lt;='VALOR POR PL'!$P$5,'CP RESUMO'!T66,"")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HISTORICOS'!U24)</f>
        <v>3214.66</v>
      </c>
      <c r="D22" s="45" t="n">
        <f aca="false">IF(B22&lt;='VALOR POR PL'!$P$5,0,IF($K$17&gt;0,$K$18*P22/$K$17,0))</f>
        <v>0</v>
      </c>
      <c r="E22" s="45" t="n">
        <f aca="false">L22+D22/$K$2</f>
        <v>2.52984390432008</v>
      </c>
      <c r="F22" s="117" t="n">
        <f aca="false">IF($K$9=0,0,E22/$K$9)</f>
        <v>0.000281436547371506</v>
      </c>
      <c r="G22" s="117" t="n">
        <f aca="false">G21+F22</f>
        <v>0.0189429086249041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2.52984390432008</v>
      </c>
      <c r="M22" s="139" t="n">
        <f aca="false">'CP RESUMO'!U24</f>
        <v>0</v>
      </c>
      <c r="N22" s="140" t="n">
        <f aca="false">MAX(0,M22-M21)</f>
        <v>0</v>
      </c>
      <c r="O22" s="139" t="n">
        <f aca="false">IF(B22&lt;='VALOR POR PL'!$P$5,'CP RESUMO'!U66,"")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HISTORICOS'!V24)</f>
        <v>94109.06</v>
      </c>
      <c r="D23" s="45" t="n">
        <f aca="false">IF(B23&lt;='VALOR POR PL'!$P$5,0,IF($K$17&gt;0,$K$18*P23/$K$17,0))</f>
        <v>0</v>
      </c>
      <c r="E23" s="45" t="n">
        <f aca="false">L23+D23/$K$2</f>
        <v>73.4859027627571</v>
      </c>
      <c r="F23" s="117" t="n">
        <f aca="false">IF($K$9=0,0,E23/$K$9)</f>
        <v>0.00817505725104688</v>
      </c>
      <c r="G23" s="117" t="n">
        <f aca="false">G22+F23</f>
        <v>0.0271179658759509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73.4859027627571</v>
      </c>
      <c r="M23" s="139" t="n">
        <f aca="false">'CP RESUMO'!V24</f>
        <v>0</v>
      </c>
      <c r="N23" s="140" t="n">
        <f aca="false">MAX(0,M23-M22)</f>
        <v>0</v>
      </c>
      <c r="O23" s="139" t="n">
        <f aca="false">IF(B23&lt;='VALOR POR PL'!$P$5,'CP RESUMO'!V66,"")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HISTORICOS'!W24)</f>
        <v>6139.34</v>
      </c>
      <c r="D24" s="45" t="n">
        <f aca="false">IF(B24&lt;='VALOR POR PL'!$P$5,0,IF($K$17&gt;0,$K$18*P24/$K$17,0))</f>
        <v>0</v>
      </c>
      <c r="E24" s="45" t="n">
        <f aca="false">L24+D24/$K$2</f>
        <v>4.76497383251412</v>
      </c>
      <c r="F24" s="117" t="n">
        <f aca="false">IF($K$9=0,0,E24/$K$9)</f>
        <v>0.000530087165239061</v>
      </c>
      <c r="G24" s="117" t="n">
        <f aca="false">G23+F24</f>
        <v>0.02764805304119</v>
      </c>
      <c r="H24" s="138"/>
      <c r="I24" s="144" t="s">
        <v>3013</v>
      </c>
      <c r="J24" s="144"/>
      <c r="K24" s="144"/>
      <c r="L24" s="45" t="n">
        <f aca="false">C24/IF(B24&lt;='VALOR POR PL'!$P$5,IFERROR(INDEX('"INCC-FGV"'!$B$2:$B$800,MATCH(B24,'"INCC-FGV"'!$A$2:$A$800,0)),$K$2),$K$2)</f>
        <v>4.76497383251412</v>
      </c>
      <c r="M24" s="139" t="n">
        <f aca="false">'CP RESUMO'!W24</f>
        <v>0</v>
      </c>
      <c r="N24" s="140" t="n">
        <f aca="false">MAX(0,M24-M23)</f>
        <v>0</v>
      </c>
      <c r="O24" s="139" t="n">
        <f aca="false">IF(B24&lt;='VALOR POR PL'!$P$5,'CP RESUMO'!W66,"")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HISTORICOS'!X24)</f>
        <v>6662.65</v>
      </c>
      <c r="D25" s="45" t="n">
        <f aca="false">IF(B25&lt;='VALOR POR PL'!$P$5,0,IF($K$17&gt;0,$K$18*P25/$K$17,0))</f>
        <v>0</v>
      </c>
      <c r="E25" s="45" t="n">
        <f aca="false">L25+D25/$K$2</f>
        <v>5.13740960097587</v>
      </c>
      <c r="F25" s="117" t="n">
        <f aca="false">IF($K$9=0,0,E25/$K$9)</f>
        <v>0.000571519380331281</v>
      </c>
      <c r="G25" s="117" t="n">
        <f aca="false">G24+F25</f>
        <v>0.0282195724215213</v>
      </c>
      <c r="H25" s="138"/>
      <c r="L25" s="45" t="n">
        <f aca="false">C25/IF(B25&lt;='VALOR POR PL'!$P$5,IFERROR(INDEX('"INCC-FGV"'!$B$2:$B$800,MATCH(B25,'"INCC-FGV"'!$A$2:$A$800,0)),$K$2),$K$2)</f>
        <v>5.13740960097587</v>
      </c>
      <c r="M25" s="139" t="n">
        <f aca="false">'CP RESUMO'!X24</f>
        <v>0</v>
      </c>
      <c r="N25" s="140" t="n">
        <f aca="false">MAX(0,M25-M24)</f>
        <v>0</v>
      </c>
      <c r="O25" s="139" t="n">
        <f aca="false">IF(B25&lt;='VALOR POR PL'!$P$5,'CP RESUMO'!X66,"")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HISTORICOS'!Y24)</f>
        <v>4679.03</v>
      </c>
      <c r="D26" s="45" t="n">
        <f aca="false">IF(B26&lt;='VALOR POR PL'!$P$5,0,IF($K$17&gt;0,$K$18*P26/$K$17,0))</f>
        <v>0</v>
      </c>
      <c r="E26" s="45" t="n">
        <f aca="false">L26+D26/$K$2</f>
        <v>3.60788779918713</v>
      </c>
      <c r="F26" s="117" t="n">
        <f aca="false">IF($K$9=0,0,E26/$K$9)</f>
        <v>0.000401365271498799</v>
      </c>
      <c r="G26" s="117" t="n">
        <f aca="false">G25+F26</f>
        <v>0.0286209376930201</v>
      </c>
      <c r="H26" s="138"/>
      <c r="L26" s="45" t="n">
        <f aca="false">C26/IF(B26&lt;='VALOR POR PL'!$P$5,IFERROR(INDEX('"INCC-FGV"'!$B$2:$B$800,MATCH(B26,'"INCC-FGV"'!$A$2:$A$800,0)),$K$2),$K$2)</f>
        <v>3.60788779918713</v>
      </c>
      <c r="M26" s="139" t="n">
        <f aca="false">'CP RESUMO'!Y24</f>
        <v>0</v>
      </c>
      <c r="N26" s="140" t="n">
        <f aca="false">MAX(0,M26-M25)</f>
        <v>0</v>
      </c>
      <c r="O26" s="139" t="str">
        <f aca="false">IF(B26&lt;='VALOR POR PL'!$P$5,'CP RESUMO'!Y66,"")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HISTORICOS'!Z24)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0.0286209376930201</v>
      </c>
      <c r="H27" s="138" t="n">
        <v>7000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RESUMO'!Z24</f>
        <v>0</v>
      </c>
      <c r="N27" s="140" t="n">
        <f aca="false">MAX(0,M27-M26)</f>
        <v>0</v>
      </c>
      <c r="O27" s="139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HISTORICOS'!AA24)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0.0286209376930201</v>
      </c>
      <c r="H28" s="138" t="n">
        <v>7000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RESUMO'!AA24</f>
        <v>0</v>
      </c>
      <c r="N28" s="140" t="n">
        <f aca="false">MAX(0,M28-M27)</f>
        <v>0</v>
      </c>
      <c r="O28" s="139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0.0286209376930201</v>
      </c>
      <c r="H29" s="138" t="n">
        <v>7000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RESUMO'!AB24</f>
        <v>0</v>
      </c>
      <c r="N29" s="140" t="n">
        <f aca="false">MAX(0,M29-M28)</f>
        <v>0</v>
      </c>
      <c r="O29" s="139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HISTORICOS'!AC24)</f>
        <v>0</v>
      </c>
      <c r="D30" s="45" t="n">
        <f aca="false">IF(B30&lt;='VALOR POR PL'!$P$5,0,IF($K$17&gt;0,$K$18*P30/$K$17,0))</f>
        <v>314810.762881291</v>
      </c>
      <c r="E30" s="45" t="n">
        <f aca="false">L30+D30/$K$2</f>
        <v>242.743028031921</v>
      </c>
      <c r="F30" s="117" t="n">
        <f aca="false">IF($K$9=0,0,E30/$K$9)</f>
        <v>0.027004337932134</v>
      </c>
      <c r="G30" s="117" t="n">
        <f aca="false">G29+F30</f>
        <v>0.0556252756251541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RESUMO'!AC24</f>
        <v>2.78</v>
      </c>
      <c r="N30" s="140" t="n">
        <f aca="false">MAX(0,M30-M29)</f>
        <v>2.78</v>
      </c>
      <c r="O30" s="139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2.78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157405.381440645</v>
      </c>
      <c r="E31" s="45" t="n">
        <f aca="false">L31+D31/$K$2</f>
        <v>121.371514015961</v>
      </c>
      <c r="F31" s="117" t="n">
        <f aca="false">IF($K$9=0,0,E31/$K$9)</f>
        <v>0.013502168966067</v>
      </c>
      <c r="G31" s="117" t="n">
        <f aca="false">G30+F31</f>
        <v>0.0691274445912211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RESUMO'!AD24</f>
        <v>4.17</v>
      </c>
      <c r="N31" s="140" t="n">
        <f aca="false">MAX(0,M31-M30)</f>
        <v>1.39</v>
      </c>
      <c r="O31" s="139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1.39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0.0691274445912211</v>
      </c>
      <c r="H32" s="138" t="n">
        <v>104809.94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RESUMO'!AE24</f>
        <v>4.17</v>
      </c>
      <c r="N32" s="140" t="n">
        <f aca="false">MAX(0,M32-M31)</f>
        <v>0</v>
      </c>
      <c r="O32" s="139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5662.06408059873</v>
      </c>
      <c r="E33" s="45" t="n">
        <f aca="false">L33+D33/$K$2</f>
        <v>4.36588179913526</v>
      </c>
      <c r="F33" s="117" t="n">
        <f aca="false">IF($K$9=0,0,E33/$K$9)</f>
        <v>0.000485689531153488</v>
      </c>
      <c r="G33" s="117" t="n">
        <f aca="false">G32+F33</f>
        <v>0.0696131341223746</v>
      </c>
      <c r="H33" s="138" t="n">
        <v>88705.57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RESUMO'!AF24</f>
        <v>4.22</v>
      </c>
      <c r="N33" s="140" t="n">
        <f aca="false">MAX(0,M33-M32)</f>
        <v>0.0499999999999998</v>
      </c>
      <c r="O33" s="139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0.0499999999999998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129095.061037652</v>
      </c>
      <c r="E34" s="45" t="n">
        <f aca="false">L34+D34/$K$2</f>
        <v>99.5421050202844</v>
      </c>
      <c r="F34" s="117" t="n">
        <f aca="false">IF($K$9=0,0,E34/$K$9)</f>
        <v>0.0110737213102996</v>
      </c>
      <c r="G34" s="117" t="n">
        <f aca="false">G33+F34</f>
        <v>0.0806868554326742</v>
      </c>
      <c r="H34" s="138" t="n">
        <v>55797.55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RESUMO'!AG24</f>
        <v>5.36</v>
      </c>
      <c r="N34" s="140" t="n">
        <f aca="false">MAX(0,M34-M33)</f>
        <v>1.14</v>
      </c>
      <c r="O34" s="139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1.14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172126.748050202</v>
      </c>
      <c r="E35" s="45" t="n">
        <f aca="false">L35+D35/$K$2</f>
        <v>132.722806693712</v>
      </c>
      <c r="F35" s="117" t="n">
        <f aca="false">IF($K$9=0,0,E35/$K$9)</f>
        <v>0.0147649617470661</v>
      </c>
      <c r="G35" s="117" t="n">
        <f aca="false">G34+F35</f>
        <v>0.0954518171797403</v>
      </c>
      <c r="H35" s="138" t="n">
        <v>82184.09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RESUMO'!AH24</f>
        <v>6.88</v>
      </c>
      <c r="N35" s="140" t="n">
        <f aca="false">MAX(0,M35-M34)</f>
        <v>1.52</v>
      </c>
      <c r="O35" s="139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1.52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391814.834377434</v>
      </c>
      <c r="E36" s="45" t="n">
        <f aca="false">L36+D36/$K$2</f>
        <v>302.119020500161</v>
      </c>
      <c r="F36" s="117" t="n">
        <f aca="false">IF($K$9=0,0,E36/$K$9)</f>
        <v>0.0336097155558215</v>
      </c>
      <c r="G36" s="117" t="n">
        <f aca="false">G35+F36</f>
        <v>0.129061532735562</v>
      </c>
      <c r="H36" s="138" t="n">
        <v>81171.83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RESUMO'!AI24</f>
        <v>10.34</v>
      </c>
      <c r="N36" s="140" t="n">
        <f aca="false">MAX(0,M36-M35)</f>
        <v>3.46</v>
      </c>
      <c r="O36" s="139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3.46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337459.019203686</v>
      </c>
      <c r="E37" s="45" t="n">
        <f aca="false">L37+D37/$K$2</f>
        <v>260.206555228463</v>
      </c>
      <c r="F37" s="117" t="n">
        <f aca="false">IF($K$9=0,0,E37/$K$9)</f>
        <v>0.028947096056748</v>
      </c>
      <c r="G37" s="117" t="n">
        <f aca="false">G36+F37</f>
        <v>0.15800862879231</v>
      </c>
      <c r="H37" s="138" t="n">
        <v>188717.89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RESUMO'!AJ24</f>
        <v>13.32</v>
      </c>
      <c r="N37" s="140" t="n">
        <f aca="false">MAX(0,M37-M36)</f>
        <v>2.98</v>
      </c>
      <c r="O37" s="139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2.98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285368.029662177</v>
      </c>
      <c r="E38" s="45" t="n">
        <f aca="false">L38+D38/$K$2</f>
        <v>220.040442676418</v>
      </c>
      <c r="F38" s="117" t="n">
        <f aca="false">IF($K$9=0,0,E38/$K$9)</f>
        <v>0.0244787523701359</v>
      </c>
      <c r="G38" s="117" t="n">
        <f aca="false">G37+F38</f>
        <v>0.182487381162446</v>
      </c>
      <c r="H38" s="138" t="n">
        <v>212785.42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RESUMO'!AK24</f>
        <v>15.84</v>
      </c>
      <c r="N38" s="140" t="n">
        <f aca="false">MAX(0,M38-M37)</f>
        <v>2.52</v>
      </c>
      <c r="O38" s="139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2.52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475613.382770295</v>
      </c>
      <c r="E39" s="45" t="n">
        <f aca="false">L39+D39/$K$2</f>
        <v>366.734071127363</v>
      </c>
      <c r="F39" s="117" t="n">
        <f aca="false">IF($K$9=0,0,E39/$K$9)</f>
        <v>0.0407979206168932</v>
      </c>
      <c r="G39" s="117" t="n">
        <f aca="false">G38+F39</f>
        <v>0.223285301779339</v>
      </c>
      <c r="H39" s="138" t="n">
        <v>257411.13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RESUMO'!AL24</f>
        <v>20.04</v>
      </c>
      <c r="N39" s="140" t="n">
        <f aca="false">MAX(0,M39-M38)</f>
        <v>4.2</v>
      </c>
      <c r="O39" s="139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4.2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HISTORICOS'!AM24)</f>
        <v>0</v>
      </c>
      <c r="D40" s="45" t="n">
        <f aca="false">IF(B40&lt;='VALOR POR PL'!$P$5,0,IF($K$17&gt;0,$K$18*P40/$K$17,0))</f>
        <v>690771.817833048</v>
      </c>
      <c r="E40" s="45" t="n">
        <f aca="false">L40+D40/$K$2</f>
        <v>532.637579494504</v>
      </c>
      <c r="F40" s="117" t="n">
        <f aca="false">IF($K$9=0,0,E40/$K$9)</f>
        <v>0.0592541228007258</v>
      </c>
      <c r="G40" s="117" t="n">
        <f aca="false">G39+F40</f>
        <v>0.282539424580065</v>
      </c>
      <c r="H40" s="138" t="n">
        <v>535693.44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RESUMO'!AM24</f>
        <v>26.14</v>
      </c>
      <c r="N40" s="140" t="n">
        <f aca="false">MAX(0,M40-M39)</f>
        <v>6.1</v>
      </c>
      <c r="O40" s="139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6.1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466554.080241337</v>
      </c>
      <c r="E41" s="45" t="n">
        <f aca="false">L41+D41/$K$2</f>
        <v>359.748660248747</v>
      </c>
      <c r="F41" s="117" t="n">
        <f aca="false">IF($K$9=0,0,E41/$K$9)</f>
        <v>0.0400208173670476</v>
      </c>
      <c r="G41" s="117" t="n">
        <f aca="false">G40+F41</f>
        <v>0.322560241947112</v>
      </c>
      <c r="H41" s="138" t="n">
        <v>467282.37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RESUMO'!AN24</f>
        <v>30.26</v>
      </c>
      <c r="N41" s="140" t="n">
        <f aca="false">MAX(0,M41-M40)</f>
        <v>4.12</v>
      </c>
      <c r="O41" s="139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4.12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1022568.77295613</v>
      </c>
      <c r="E42" s="45" t="n">
        <f aca="false">L42+D42/$K$2</f>
        <v>788.478252923831</v>
      </c>
      <c r="F42" s="117" t="n">
        <f aca="false">IF($K$9=0,0,E42/$K$9)</f>
        <v>0.0877155293263203</v>
      </c>
      <c r="G42" s="117" t="n">
        <f aca="false">G41+F42</f>
        <v>0.410275771273433</v>
      </c>
      <c r="H42" s="138" t="n">
        <v>626135.18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RESUMO'!AO24</f>
        <v>39.29</v>
      </c>
      <c r="N42" s="140" t="n">
        <f aca="false">MAX(0,M42-M41)</f>
        <v>9.03</v>
      </c>
      <c r="O42" s="139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9.03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1211681.71324813</v>
      </c>
      <c r="E43" s="45" t="n">
        <f aca="false">L43+D43/$K$2</f>
        <v>934.29870501495</v>
      </c>
      <c r="F43" s="117" t="n">
        <f aca="false">IF($K$9=0,0,E43/$K$9)</f>
        <v>0.103937559666847</v>
      </c>
      <c r="G43" s="117" t="n">
        <f aca="false">G42+F43</f>
        <v>0.514213330940279</v>
      </c>
      <c r="H43" s="138" t="n">
        <v>673675.08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RESUMO'!AP24</f>
        <v>49.99</v>
      </c>
      <c r="N43" s="140" t="n">
        <f aca="false">MAX(0,M43-M42)</f>
        <v>10.7</v>
      </c>
      <c r="O43" s="139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10.7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697566.294729766</v>
      </c>
      <c r="E44" s="45" t="n">
        <f aca="false">L44+D44/$K$2</f>
        <v>537.876637653466</v>
      </c>
      <c r="F44" s="117" t="n">
        <f aca="false">IF($K$9=0,0,E44/$K$9)</f>
        <v>0.0598369502381099</v>
      </c>
      <c r="G44" s="117" t="n">
        <f aca="false">G43+F44</f>
        <v>0.574050281178389</v>
      </c>
      <c r="H44" s="138" t="n">
        <v>1450546.51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RESUMO'!AQ24</f>
        <v>56.15</v>
      </c>
      <c r="N44" s="140" t="n">
        <f aca="false">MAX(0,M44-M43)</f>
        <v>6.16</v>
      </c>
      <c r="O44" s="139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6.16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433714.108573864</v>
      </c>
      <c r="E45" s="45" t="n">
        <f aca="false">L45+D45/$K$2</f>
        <v>334.426545813762</v>
      </c>
      <c r="F45" s="117" t="n">
        <f aca="false">IF($K$9=0,0,E45/$K$9)</f>
        <v>0.0372038180863573</v>
      </c>
      <c r="G45" s="117" t="n">
        <f aca="false">G44+F45</f>
        <v>0.611254099264747</v>
      </c>
      <c r="H45" s="138" t="n">
        <v>812816.23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RESUMO'!AR24</f>
        <v>59.98</v>
      </c>
      <c r="N45" s="140" t="n">
        <f aca="false">MAX(0,M45-M44)</f>
        <v>3.83</v>
      </c>
      <c r="O45" s="139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3.83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1047481.85491077</v>
      </c>
      <c r="E46" s="45" t="n">
        <f aca="false">L46+D46/$K$2</f>
        <v>807.688132840027</v>
      </c>
      <c r="F46" s="117" t="n">
        <f aca="false">IF($K$9=0,0,E46/$K$9)</f>
        <v>0.0898525632633957</v>
      </c>
      <c r="G46" s="117" t="n">
        <f aca="false">G45+F46</f>
        <v>0.701106662528143</v>
      </c>
      <c r="H46" s="138" t="n">
        <v>539171.96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RESUMO'!AS24</f>
        <v>69.23</v>
      </c>
      <c r="N46" s="140" t="n">
        <f aca="false">MAX(0,M46-M45)</f>
        <v>9.25000000000001</v>
      </c>
      <c r="O46" s="139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9.25000000000001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600178.792543467</v>
      </c>
      <c r="E47" s="45" t="n">
        <f aca="false">L47+D47/$K$2</f>
        <v>462.783470708339</v>
      </c>
      <c r="F47" s="117" t="n">
        <f aca="false">IF($K$9=0,0,E47/$K$9)</f>
        <v>0.0514830903022699</v>
      </c>
      <c r="G47" s="117" t="n">
        <f aca="false">G46+F47</f>
        <v>0.752589752830412</v>
      </c>
      <c r="H47" s="138" t="n">
        <v>863834.65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RESUMO'!AT24</f>
        <v>74.53</v>
      </c>
      <c r="N47" s="140" t="n">
        <f aca="false">MAX(0,M47-M46)</f>
        <v>5.3</v>
      </c>
      <c r="O47" s="139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5.3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497129.22627657</v>
      </c>
      <c r="E48" s="45" t="n">
        <f aca="false">L48+D48/$K$2</f>
        <v>383.324421964077</v>
      </c>
      <c r="F48" s="117" t="n">
        <f aca="false">IF($K$9=0,0,E48/$K$9)</f>
        <v>0.0426435408352764</v>
      </c>
      <c r="G48" s="117" t="n">
        <f aca="false">G47+F48</f>
        <v>0.795233293665689</v>
      </c>
      <c r="H48" s="138" t="n">
        <v>813975.74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RESUMO'!AU24</f>
        <v>78.92</v>
      </c>
      <c r="N48" s="140" t="n">
        <f aca="false">MAX(0,M48-M47)</f>
        <v>4.39</v>
      </c>
      <c r="O48" s="139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4.39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669255.974326772</v>
      </c>
      <c r="E49" s="45" t="n">
        <f aca="false">L49+D49/$K$2</f>
        <v>516.04722865779</v>
      </c>
      <c r="F49" s="117" t="n">
        <f aca="false">IF($K$9=0,0,E49/$K$9)</f>
        <v>0.0574085025823425</v>
      </c>
      <c r="G49" s="117" t="n">
        <f aca="false">G48+F49</f>
        <v>0.852641796248031</v>
      </c>
      <c r="H49" s="138" t="n">
        <v>542650.49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RESUMO'!AV24</f>
        <v>84.83</v>
      </c>
      <c r="N49" s="140" t="n">
        <f aca="false">MAX(0,M49-M48)</f>
        <v>5.91</v>
      </c>
      <c r="O49" s="139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5.91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279705.965581578</v>
      </c>
      <c r="E50" s="45" t="n">
        <f aca="false">L50+D50/$K$2</f>
        <v>215.674560877283</v>
      </c>
      <c r="F50" s="117" t="n">
        <f aca="false">IF($K$9=0,0,E50/$K$9)</f>
        <v>0.0239930628389824</v>
      </c>
      <c r="G50" s="117" t="n">
        <f aca="false">G49+F50</f>
        <v>0.876634859087014</v>
      </c>
      <c r="H50" s="138" t="n">
        <v>743245.65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RESUMO'!AW24</f>
        <v>87.3</v>
      </c>
      <c r="N50" s="140" t="n">
        <f aca="false">MAX(0,M50-M49)</f>
        <v>2.47</v>
      </c>
      <c r="O50" s="139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2.47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454097.53926402</v>
      </c>
      <c r="E51" s="45" t="n">
        <f aca="false">L51+D51/$K$2</f>
        <v>350.14372029065</v>
      </c>
      <c r="F51" s="117" t="n">
        <f aca="false">IF($K$9=0,0,E51/$K$9)</f>
        <v>0.0389523003985099</v>
      </c>
      <c r="G51" s="117" t="n">
        <f aca="false">G50+F51</f>
        <v>0.915587159485524</v>
      </c>
      <c r="H51" s="138" t="n">
        <v>164650.36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RESUMO'!AX24</f>
        <v>91.31</v>
      </c>
      <c r="N51" s="140" t="n">
        <f aca="false">MAX(0,M51-M50)</f>
        <v>4.01000000000001</v>
      </c>
      <c r="O51" s="139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4.01000000000001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202701.894085434</v>
      </c>
      <c r="E52" s="45" t="n">
        <f aca="false">L52+D52/$K$2</f>
        <v>156.298568409042</v>
      </c>
      <c r="F52" s="117" t="n">
        <f aca="false">IF($K$9=0,0,E52/$K$9)</f>
        <v>0.0173876852152949</v>
      </c>
      <c r="G52" s="117" t="n">
        <f aca="false">G51+F52</f>
        <v>0.932974844700819</v>
      </c>
      <c r="H52" s="138" t="n">
        <v>441773.16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RESUMO'!AY24</f>
        <v>93.1</v>
      </c>
      <c r="N52" s="140" t="n">
        <f aca="false">MAX(0,M52-M51)</f>
        <v>1.78999999999999</v>
      </c>
      <c r="O52" s="139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1.78999999999999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178921.224946922</v>
      </c>
      <c r="E53" s="45" t="n">
        <f aca="false">L53+D53/$K$2</f>
        <v>137.961864852676</v>
      </c>
      <c r="F53" s="117" t="n">
        <f aca="false">IF($K$9=0,0,E53/$K$9)</f>
        <v>0.0153477891844504</v>
      </c>
      <c r="G53" s="117" t="n">
        <f aca="false">G52+F53</f>
        <v>0.948322633885269</v>
      </c>
      <c r="H53" s="138" t="n">
        <v>288717.89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RESUMO'!AZ24</f>
        <v>94.68</v>
      </c>
      <c r="N53" s="140" t="n">
        <f aca="false">MAX(0,M53-M52)</f>
        <v>1.58000000000001</v>
      </c>
      <c r="O53" s="139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1.58000000000001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330664.542306966</v>
      </c>
      <c r="E54" s="45" t="n">
        <f aca="false">L54+D54/$K$2</f>
        <v>254.967497069499</v>
      </c>
      <c r="F54" s="117" t="n">
        <f aca="false">IF($K$9=0,0,E54/$K$9)</f>
        <v>0.0283642686193637</v>
      </c>
      <c r="G54" s="117" t="n">
        <f aca="false">G53+F54</f>
        <v>0.976686902504633</v>
      </c>
      <c r="H54" s="138" t="n">
        <v>154214.78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RESUMO'!BA24</f>
        <v>97.6</v>
      </c>
      <c r="N54" s="140" t="n">
        <f aca="false">MAX(0,M54-M53)</f>
        <v>2.91999999999999</v>
      </c>
      <c r="O54" s="139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2.91999999999999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261587.360523663</v>
      </c>
      <c r="E55" s="45" t="n">
        <f aca="false">L55+D55/$K$2</f>
        <v>201.70373912005</v>
      </c>
      <c r="F55" s="117" t="n">
        <f aca="false">IF($K$9=0,0,E55/$K$9)</f>
        <v>0.0224388563392913</v>
      </c>
      <c r="G55" s="117" t="n">
        <f aca="false">G54+F55</f>
        <v>0.999125758843924</v>
      </c>
      <c r="H55" s="138" t="n">
        <v>336257.78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RESUMO'!BB24</f>
        <v>99.91</v>
      </c>
      <c r="N55" s="140" t="n">
        <f aca="false">MAX(0,M55-M54)</f>
        <v>2.31</v>
      </c>
      <c r="O55" s="139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2.31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10191.7153450781</v>
      </c>
      <c r="E56" s="45" t="n">
        <f aca="false">L56+D56/$K$2</f>
        <v>7.8585872384438</v>
      </c>
      <c r="F56" s="117" t="n">
        <f aca="false">IF($K$9=0,0,E56/$K$9)</f>
        <v>0.000874241156076315</v>
      </c>
      <c r="G56" s="117" t="n">
        <f aca="false">G55+F56</f>
        <v>1</v>
      </c>
      <c r="H56" s="138" t="n">
        <v>721829.79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RESUMO'!BC24</f>
        <v>100</v>
      </c>
      <c r="N56" s="140" t="n">
        <f aca="false">MAX(0,M56-M55)</f>
        <v>0.0900000000000034</v>
      </c>
      <c r="O56" s="139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0.0900000000000034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RESUMO'!BD24</f>
        <v>100</v>
      </c>
      <c r="N57" s="140" t="n">
        <f aca="false">MAX(0,M57-M56)</f>
        <v>0</v>
      </c>
      <c r="O57" s="139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RESUMO'!BE24</f>
        <v>100</v>
      </c>
      <c r="N58" s="140" t="n">
        <f aca="false">MAX(0,M58-M57)</f>
        <v>0</v>
      </c>
      <c r="O58" s="139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RESUMO'!BF24</f>
        <v>100</v>
      </c>
      <c r="N59" s="140" t="n">
        <f aca="false">MAX(0,M59-M58)</f>
        <v>0</v>
      </c>
      <c r="O59" s="139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RESUMO'!BG24</f>
        <v>100</v>
      </c>
      <c r="N60" s="140" t="n">
        <f aca="false">MAX(0,M60-M59)</f>
        <v>0</v>
      </c>
      <c r="O60" s="139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RESUMO'!BH24</f>
        <v>100</v>
      </c>
      <c r="N61" s="140" t="n">
        <f aca="false">MAX(0,M61-M60)</f>
        <v>0</v>
      </c>
      <c r="O61" s="139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RESUMO'!BI24</f>
        <v>100</v>
      </c>
      <c r="N62" s="140" t="n">
        <f aca="false">MAX(0,M62-M61)</f>
        <v>0</v>
      </c>
      <c r="O62" s="139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RESUMO'!BJ24</f>
        <v>100</v>
      </c>
      <c r="N63" s="140" t="n">
        <f aca="false">MAX(0,M63-M62)</f>
        <v>0</v>
      </c>
      <c r="O63" s="139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RESUMO'!BK24</f>
        <v>100</v>
      </c>
      <c r="N64" s="140" t="n">
        <f aca="false">MAX(0,M64-M63)</f>
        <v>0</v>
      </c>
      <c r="O64" s="139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RESUMO'!BL24</f>
        <v>100</v>
      </c>
      <c r="N65" s="140" t="n">
        <f aca="false">MAX(0,M65-M64)</f>
        <v>0</v>
      </c>
      <c r="O65" s="139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RESUMO'!BM24</f>
        <v>100</v>
      </c>
      <c r="N66" s="140" t="n">
        <f aca="false">MAX(0,M66-M65)</f>
        <v>0</v>
      </c>
      <c r="O66" s="139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RESUMO'!BN24</f>
        <v>100</v>
      </c>
      <c r="N67" s="140" t="n">
        <f aca="false">MAX(0,M67-M66)</f>
        <v>0</v>
      </c>
      <c r="O67" s="139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RESUMO'!BO24</f>
        <v>100</v>
      </c>
      <c r="N68" s="140" t="n">
        <f aca="false">MAX(0,M68-M67)</f>
        <v>0</v>
      </c>
      <c r="O68" s="139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RESUMO'!BP24</f>
        <v>100</v>
      </c>
      <c r="N69" s="140" t="n">
        <f aca="false">MAX(0,M69-M68)</f>
        <v>0</v>
      </c>
      <c r="O69" s="139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RESUMO'!BQ24</f>
        <v>100</v>
      </c>
      <c r="N70" s="140" t="n">
        <f aca="false">MAX(0,M70-M69)</f>
        <v>0</v>
      </c>
      <c r="O70" s="139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RESUMO'!BR24</f>
        <v>100</v>
      </c>
      <c r="N71" s="140" t="n">
        <f aca="false">MAX(0,M71-M70)</f>
        <v>0</v>
      </c>
      <c r="O71" s="139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RESUMO'!BS24</f>
        <v>100</v>
      </c>
      <c r="N72" s="140" t="n">
        <f aca="false">MAX(0,M72-M71)</f>
        <v>0</v>
      </c>
      <c r="O72" s="139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RESUMO'!BT24</f>
        <v>100</v>
      </c>
      <c r="N73" s="140" t="n">
        <f aca="false">MAX(0,M73-M72)</f>
        <v>0</v>
      </c>
      <c r="O73" s="139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RESUMO'!BU24</f>
        <v>100</v>
      </c>
      <c r="N74" s="140" t="n">
        <f aca="false">MAX(0,M74-M73)</f>
        <v>0</v>
      </c>
      <c r="O74" s="139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RESUMO'!BV24</f>
        <v>100</v>
      </c>
      <c r="N75" s="140" t="n">
        <f aca="false">MAX(0,M75-M74)</f>
        <v>0</v>
      </c>
      <c r="O75" s="139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RESUMO'!BW24</f>
        <v>100</v>
      </c>
      <c r="N76" s="140" t="n">
        <f aca="false">MAX(0,M76-M75)</f>
        <v>0</v>
      </c>
      <c r="O76" s="139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326041.51</v>
      </c>
      <c r="D78" s="61" t="n">
        <f aca="false">SUM(D5:D76)</f>
        <v>11324128.1611975</v>
      </c>
      <c r="E78" s="61" t="n">
        <f aca="false">SUM(E5:E76)</f>
        <v>8989.03830347447</v>
      </c>
      <c r="F78" s="145" t="n">
        <f aca="false">SUM(F5:F76)</f>
        <v>1</v>
      </c>
      <c r="H78" s="61" t="n">
        <f aca="false">SUM(H5:H76)</f>
        <v>11269054.48</v>
      </c>
      <c r="L78" s="61" t="n">
        <f aca="false">SUM(L5:L76)</f>
        <v>257.274705203914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PL'!F31</f>
        <v>7374040</v>
      </c>
      <c r="K5" s="56" t="n">
        <f aca="false">'VALOR POR PL'!G31</f>
        <v>6060.658861</v>
      </c>
      <c r="L5" s="56" t="n">
        <f aca="false">'DADOS HISTORICOS'!$BZ$25</f>
        <v>0</v>
      </c>
      <c r="M5" s="139" t="n">
        <f aca="false">'CP RESUMO'!D25</f>
        <v>0</v>
      </c>
      <c r="N5" s="140" t="n">
        <v>0</v>
      </c>
      <c r="O5" s="139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PL'!H31</f>
        <v>6060.658861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RESUMO'!E25</f>
        <v>0</v>
      </c>
      <c r="N6" s="140" t="n">
        <f aca="false">MAX(0,M6-M5)</f>
        <v>0</v>
      </c>
      <c r="O6" s="139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7856893.62374879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RESUMO'!F25</f>
        <v>0</v>
      </c>
      <c r="N7" s="140" t="n">
        <f aca="false">MAX(0,M7-M6)</f>
        <v>0</v>
      </c>
      <c r="O7" s="139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RESUMO'!G25</f>
        <v>0</v>
      </c>
      <c r="N8" s="140" t="n">
        <f aca="false">MAX(0,M8-M7)</f>
        <v>0</v>
      </c>
      <c r="O8" s="139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7856893.62374879</v>
      </c>
      <c r="K9" s="45" t="n">
        <f aca="false">E78</f>
        <v>6058.26221345759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RESUMO'!H25</f>
        <v>0</v>
      </c>
      <c r="N9" s="140" t="n">
        <f aca="false">MAX(0,M9-M8)</f>
        <v>0</v>
      </c>
      <c r="O9" s="139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6058.26221345759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RESUMO'!I25</f>
        <v>0</v>
      </c>
      <c r="N10" s="140" t="n">
        <f aca="false">MAX(0,M10-M9)</f>
        <v>0</v>
      </c>
      <c r="O10" s="139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7741725.07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RESUMO'!J25</f>
        <v>0</v>
      </c>
      <c r="N11" s="140" t="n">
        <f aca="false">MAX(0,M11-M10)</f>
        <v>0</v>
      </c>
      <c r="O11" s="139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RESUMO'!K25</f>
        <v>0</v>
      </c>
      <c r="N12" s="140" t="n">
        <f aca="false">MAX(0,M12-M11)</f>
        <v>0</v>
      </c>
      <c r="O12" s="139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RESUMO'!L25</f>
        <v>0</v>
      </c>
      <c r="N13" s="140" t="n">
        <f aca="false">MAX(0,M13-M12)</f>
        <v>0</v>
      </c>
      <c r="O13" s="139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RESUMO'!M25</f>
        <v>0</v>
      </c>
      <c r="N14" s="140" t="n">
        <f aca="false">MAX(0,M14-M13)</f>
        <v>0</v>
      </c>
      <c r="O14" s="139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RESUMO'!N25</f>
        <v>0</v>
      </c>
      <c r="N15" s="140" t="n">
        <f aca="false">MAX(0,M15-M14)</f>
        <v>0</v>
      </c>
      <c r="O15" s="139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RESUMO'!O25</f>
        <v>0</v>
      </c>
      <c r="N16" s="140" t="n">
        <f aca="false">MAX(0,M16-M15)</f>
        <v>0</v>
      </c>
      <c r="O16" s="139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RESUMO'!P25</f>
        <v>0</v>
      </c>
      <c r="N17" s="140" t="n">
        <f aca="false">MAX(0,M17-M16)</f>
        <v>0</v>
      </c>
      <c r="O17" s="139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7856893.62374879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RESUMO'!Q25</f>
        <v>0</v>
      </c>
      <c r="N18" s="140" t="n">
        <f aca="false">MAX(0,M18-M17)</f>
        <v>0</v>
      </c>
      <c r="O18" s="139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RESUMO'!R25</f>
        <v>0</v>
      </c>
      <c r="N19" s="140" t="n">
        <f aca="false">MAX(0,M19-M18)</f>
        <v>0</v>
      </c>
      <c r="O19" s="139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RESUMO'!S25</f>
        <v>0</v>
      </c>
      <c r="N20" s="140" t="n">
        <f aca="false">MAX(0,M20-M19)</f>
        <v>0</v>
      </c>
      <c r="O20" s="139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RESUMO'!T25</f>
        <v>0</v>
      </c>
      <c r="N21" s="140" t="n">
        <f aca="false">MAX(0,M21-M20)</f>
        <v>0</v>
      </c>
      <c r="O21" s="139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RESUMO'!U25</f>
        <v>0</v>
      </c>
      <c r="N22" s="140" t="n">
        <f aca="false">MAX(0,M22-M21)</f>
        <v>0</v>
      </c>
      <c r="O22" s="139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RESUMO'!V25</f>
        <v>0</v>
      </c>
      <c r="N23" s="140" t="n">
        <f aca="false">MAX(0,M23-M22)</f>
        <v>0</v>
      </c>
      <c r="O23" s="139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RESUMO'!W25</f>
        <v>0</v>
      </c>
      <c r="N24" s="140" t="n">
        <f aca="false">MAX(0,M24-M23)</f>
        <v>0</v>
      </c>
      <c r="O24" s="139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RESUMO'!X25</f>
        <v>0</v>
      </c>
      <c r="N25" s="140" t="n">
        <f aca="false">MAX(0,M25-M24)</f>
        <v>0</v>
      </c>
      <c r="O25" s="139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RESUMO'!Y25</f>
        <v>0</v>
      </c>
      <c r="N26" s="140" t="n">
        <f aca="false">MAX(0,M26-M25)</f>
        <v>0</v>
      </c>
      <c r="O26" s="139" t="str">
        <f aca="false">IF(B26&lt;='VALOR POR PL'!$P$5,'CP RESUMO'!Y67,"")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RESUMO'!Z25</f>
        <v>0</v>
      </c>
      <c r="N27" s="140" t="n">
        <f aca="false">MAX(0,M27-M26)</f>
        <v>0</v>
      </c>
      <c r="O27" s="139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 t="n">
        <v>150000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RESUMO'!AA25</f>
        <v>0</v>
      </c>
      <c r="N28" s="140" t="n">
        <f aca="false">MAX(0,M28-M27)</f>
        <v>0</v>
      </c>
      <c r="O28" s="139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 t="n">
        <v>50000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RESUMO'!AB25</f>
        <v>0</v>
      </c>
      <c r="N29" s="140" t="n">
        <f aca="false">MAX(0,M29-M28)</f>
        <v>0</v>
      </c>
      <c r="O29" s="139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HISTORICOS'!AC25)</f>
        <v>0</v>
      </c>
      <c r="D30" s="45" t="n">
        <f aca="false">IF(B30&lt;='VALOR POR PL'!$P$5,0,IF($K$17&gt;0,$K$18*P30/$K$17,0))</f>
        <v>831259.345392623</v>
      </c>
      <c r="E30" s="45" t="n">
        <f aca="false">L30+D30/$K$2</f>
        <v>640.964142183813</v>
      </c>
      <c r="F30" s="117" t="n">
        <f aca="false">IF($K$9=0,0,E30/$K$9)</f>
        <v>0.1058</v>
      </c>
      <c r="G30" s="117" t="n">
        <f aca="false">G29+F30</f>
        <v>0.1058</v>
      </c>
      <c r="H30" s="138" t="n">
        <v>50000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RESUMO'!AC25</f>
        <v>10.58</v>
      </c>
      <c r="N30" s="140" t="n">
        <f aca="false">MAX(0,M30-M29)</f>
        <v>10.58</v>
      </c>
      <c r="O30" s="139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10.58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277348.344918332</v>
      </c>
      <c r="E31" s="45" t="n">
        <f aca="false">L31+D31/$K$2</f>
        <v>213.856656135053</v>
      </c>
      <c r="F31" s="117" t="n">
        <f aca="false">IF($K$9=0,0,E31/$K$9)</f>
        <v>0.0353</v>
      </c>
      <c r="G31" s="117" t="n">
        <f aca="false">G30+F31</f>
        <v>0.1411</v>
      </c>
      <c r="H31" s="138" t="n">
        <v>70000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RESUMO'!AD25</f>
        <v>14.11</v>
      </c>
      <c r="N31" s="140" t="n">
        <f aca="false">MAX(0,M31-M30)</f>
        <v>3.53</v>
      </c>
      <c r="O31" s="139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3.53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0.1411</v>
      </c>
      <c r="H32" s="138" t="n">
        <v>120258.03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RESUMO'!AE25</f>
        <v>14.11</v>
      </c>
      <c r="N32" s="140" t="n">
        <f aca="false">MAX(0,M32-M31)</f>
        <v>0</v>
      </c>
      <c r="O32" s="139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69140.6638889895</v>
      </c>
      <c r="E33" s="45" t="n">
        <f aca="false">L33+D33/$K$2</f>
        <v>53.3127074784268</v>
      </c>
      <c r="F33" s="117" t="n">
        <f aca="false">IF($K$9=0,0,E33/$K$9)</f>
        <v>0.00880000000000001</v>
      </c>
      <c r="G33" s="117" t="n">
        <f aca="false">G32+F33</f>
        <v>0.1499</v>
      </c>
      <c r="H33" s="138" t="n">
        <v>120258.03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RESUMO'!AF25</f>
        <v>14.99</v>
      </c>
      <c r="N33" s="140" t="n">
        <f aca="false">MAX(0,M33-M32)</f>
        <v>0.880000000000001</v>
      </c>
      <c r="O33" s="139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0.880000000000001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HISTORICOS'!AG25)</f>
        <v>0</v>
      </c>
      <c r="D34" s="45" t="n">
        <f aca="false">IF(B34&lt;='VALOR POR PL'!$P$5,0,IF($K$17&gt;0,$K$18*P34/$K$17,0))</f>
        <v>400701.574811189</v>
      </c>
      <c r="E34" s="45" t="n">
        <f aca="false">L34+D34/$K$2</f>
        <v>308.971372886337</v>
      </c>
      <c r="F34" s="117" t="n">
        <f aca="false">IF($K$9=0,0,E34/$K$9)</f>
        <v>0.051</v>
      </c>
      <c r="G34" s="117" t="n">
        <f aca="false">G33+F34</f>
        <v>0.2009</v>
      </c>
      <c r="H34" s="138" t="n">
        <v>87246.02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RESUMO'!AG25</f>
        <v>20.09</v>
      </c>
      <c r="N34" s="140" t="n">
        <f aca="false">MAX(0,M34-M33)</f>
        <v>5.1</v>
      </c>
      <c r="O34" s="139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5.1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441557.421654682</v>
      </c>
      <c r="E35" s="45" t="n">
        <f aca="false">L35+D35/$K$2</f>
        <v>340.474336396316</v>
      </c>
      <c r="F35" s="117" t="n">
        <f aca="false">IF($K$9=0,0,E35/$K$9)</f>
        <v>0.0562</v>
      </c>
      <c r="G35" s="117" t="n">
        <f aca="false">G34+F35</f>
        <v>0.2571</v>
      </c>
      <c r="H35" s="138" t="n">
        <v>3930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RESUMO'!AH25</f>
        <v>25.71</v>
      </c>
      <c r="N35" s="140" t="n">
        <f aca="false">MAX(0,M35-M34)</f>
        <v>5.62</v>
      </c>
      <c r="O35" s="139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5.62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456485.519539805</v>
      </c>
      <c r="E36" s="45" t="n">
        <f aca="false">L36+D36/$K$2</f>
        <v>351.985034601886</v>
      </c>
      <c r="F36" s="117" t="n">
        <f aca="false">IF($K$9=0,0,E36/$K$9)</f>
        <v>0.0581</v>
      </c>
      <c r="G36" s="117" t="n">
        <f aca="false">G35+F36</f>
        <v>0.3152</v>
      </c>
      <c r="H36" s="138" t="n">
        <v>89604.02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RESUMO'!AI25</f>
        <v>31.52</v>
      </c>
      <c r="N36" s="140" t="n">
        <f aca="false">MAX(0,M36-M35)</f>
        <v>5.81</v>
      </c>
      <c r="O36" s="139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5.81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467485.170613053</v>
      </c>
      <c r="E37" s="45" t="n">
        <f aca="false">L37+D37/$K$2</f>
        <v>360.466601700726</v>
      </c>
      <c r="F37" s="117" t="n">
        <f aca="false">IF($K$9=0,0,E37/$K$9)</f>
        <v>0.0595</v>
      </c>
      <c r="G37" s="117" t="n">
        <f aca="false">G36+F37</f>
        <v>0.3747</v>
      </c>
      <c r="H37" s="138" t="n">
        <v>109254.03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RESUMO'!AJ25</f>
        <v>37.47</v>
      </c>
      <c r="N37" s="140" t="n">
        <f aca="false">MAX(0,M37-M36)</f>
        <v>5.95</v>
      </c>
      <c r="O37" s="139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5.95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457271.20890218</v>
      </c>
      <c r="E38" s="45" t="n">
        <f aca="false">L38+D38/$K$2</f>
        <v>352.590860823232</v>
      </c>
      <c r="F38" s="117" t="n">
        <f aca="false">IF($K$9=0,0,E38/$K$9)</f>
        <v>0.0582</v>
      </c>
      <c r="G38" s="117" t="n">
        <f aca="false">G37+F38</f>
        <v>0.4329</v>
      </c>
      <c r="H38" s="138" t="n">
        <v>195714.05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RESUMO'!AK25</f>
        <v>43.29</v>
      </c>
      <c r="N38" s="140" t="n">
        <f aca="false">MAX(0,M38-M37)</f>
        <v>5.82</v>
      </c>
      <c r="O38" s="139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5.82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682764.05590377</v>
      </c>
      <c r="E39" s="45" t="n">
        <f aca="false">L39+D39/$K$2</f>
        <v>526.462986349464</v>
      </c>
      <c r="F39" s="117" t="n">
        <f aca="false">IF($K$9=0,0,E39/$K$9)</f>
        <v>0.0869</v>
      </c>
      <c r="G39" s="117" t="n">
        <f aca="false">G38+F39</f>
        <v>0.5198</v>
      </c>
      <c r="H39" s="138" t="n">
        <v>279816.06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RESUMO'!AL25</f>
        <v>51.98</v>
      </c>
      <c r="N39" s="140" t="n">
        <f aca="false">MAX(0,M39-M38)</f>
        <v>8.69</v>
      </c>
      <c r="O39" s="139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8.69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642693.898422651</v>
      </c>
      <c r="E40" s="45" t="n">
        <f aca="false">L40+D40/$K$2</f>
        <v>495.565849060831</v>
      </c>
      <c r="F40" s="117" t="n">
        <f aca="false">IF($K$9=0,0,E40/$K$9)</f>
        <v>0.0818</v>
      </c>
      <c r="G40" s="117" t="n">
        <f aca="false">G39+F40</f>
        <v>0.6016</v>
      </c>
      <c r="H40" s="138" t="n">
        <v>174492.04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RESUMO'!AM25</f>
        <v>60.16</v>
      </c>
      <c r="N40" s="140" t="n">
        <f aca="false">MAX(0,M40-M39)</f>
        <v>8.18</v>
      </c>
      <c r="O40" s="139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8.18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HISTORICOS'!AN25)</f>
        <v>0</v>
      </c>
      <c r="D41" s="45" t="n">
        <f aca="false">IF(B41&lt;='VALOR POR PL'!$P$5,0,IF($K$17&gt;0,$K$18*P41/$K$17,0))</f>
        <v>385773.476926066</v>
      </c>
      <c r="E41" s="45" t="n">
        <f aca="false">L41+D41/$K$2</f>
        <v>297.460674680767</v>
      </c>
      <c r="F41" s="117" t="n">
        <f aca="false">IF($K$9=0,0,E41/$K$9)</f>
        <v>0.0491</v>
      </c>
      <c r="G41" s="117" t="n">
        <f aca="false">G40+F41</f>
        <v>0.6507</v>
      </c>
      <c r="H41" s="138" t="n">
        <v>363132.08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RESUMO'!AN25</f>
        <v>65.07</v>
      </c>
      <c r="N41" s="140" t="n">
        <f aca="false">MAX(0,M41-M40)</f>
        <v>4.91</v>
      </c>
      <c r="O41" s="139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4.91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480841.889773427</v>
      </c>
      <c r="E42" s="45" t="n">
        <f aca="false">L42+D42/$K$2</f>
        <v>370.765647463605</v>
      </c>
      <c r="F42" s="117" t="n">
        <f aca="false">IF($K$9=0,0,E42/$K$9)</f>
        <v>0.0612</v>
      </c>
      <c r="G42" s="117" t="n">
        <f aca="false">G41+F42</f>
        <v>0.7119</v>
      </c>
      <c r="H42" s="138" t="n">
        <v>316758.07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RESUMO'!AO25</f>
        <v>71.19</v>
      </c>
      <c r="N42" s="140" t="n">
        <f aca="false">MAX(0,M42-M41)</f>
        <v>6.12</v>
      </c>
      <c r="O42" s="139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6.12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439986.042929933</v>
      </c>
      <c r="E43" s="45" t="n">
        <f aca="false">L43+D43/$K$2</f>
        <v>339.262683953625</v>
      </c>
      <c r="F43" s="117" t="n">
        <f aca="false">IF($K$9=0,0,E43/$K$9)</f>
        <v>0.0560000000000001</v>
      </c>
      <c r="G43" s="117" t="n">
        <f aca="false">G42+F43</f>
        <v>0.7679</v>
      </c>
      <c r="H43" s="138" t="n">
        <v>424440.1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RESUMO'!AP25</f>
        <v>76.79</v>
      </c>
      <c r="N43" s="140" t="n">
        <f aca="false">MAX(0,M43-M42)</f>
        <v>5.60000000000001</v>
      </c>
      <c r="O43" s="139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5.60000000000001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282062.481092581</v>
      </c>
      <c r="E44" s="45" t="n">
        <f aca="false">L44+D44/$K$2</f>
        <v>217.491613463127</v>
      </c>
      <c r="F44" s="117" t="n">
        <f aca="false">IF($K$9=0,0,E44/$K$9)</f>
        <v>0.0358999999999999</v>
      </c>
      <c r="G44" s="117" t="n">
        <f aca="false">G43+F44</f>
        <v>0.8038</v>
      </c>
      <c r="H44" s="138" t="n">
        <v>456666.11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RESUMO'!AQ25</f>
        <v>80.38</v>
      </c>
      <c r="N44" s="140" t="n">
        <f aca="false">MAX(0,M44-M43)</f>
        <v>3.58999999999999</v>
      </c>
      <c r="O44" s="139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3.58999999999999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317418.502399452</v>
      </c>
      <c r="E45" s="45" t="n">
        <f aca="false">L45+D45/$K$2</f>
        <v>244.753793423687</v>
      </c>
      <c r="F45" s="117" t="n">
        <f aca="false">IF($K$9=0,0,E45/$K$9)</f>
        <v>0.0404000000000001</v>
      </c>
      <c r="G45" s="117" t="n">
        <f aca="false">G44+F45</f>
        <v>0.8442</v>
      </c>
      <c r="H45" s="138" t="n">
        <v>983286.23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RESUMO'!AR25</f>
        <v>84.42</v>
      </c>
      <c r="N45" s="140" t="n">
        <f aca="false">MAX(0,M45-M44)</f>
        <v>4.04000000000001</v>
      </c>
      <c r="O45" s="139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4.04000000000001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637194.072886027</v>
      </c>
      <c r="E46" s="45" t="n">
        <f aca="false">L46+D46/$K$2</f>
        <v>491.32506551141</v>
      </c>
      <c r="F46" s="117" t="n">
        <f aca="false">IF($K$9=0,0,E46/$K$9)</f>
        <v>0.0811</v>
      </c>
      <c r="G46" s="117" t="n">
        <f aca="false">G45+F46</f>
        <v>0.9253</v>
      </c>
      <c r="H46" s="138" t="n">
        <v>550986.13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RESUMO'!AS25</f>
        <v>92.53</v>
      </c>
      <c r="N46" s="140" t="n">
        <f aca="false">MAX(0,M46-M45)</f>
        <v>8.11</v>
      </c>
      <c r="O46" s="139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8.11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247492.149148087</v>
      </c>
      <c r="E47" s="45" t="n">
        <f aca="false">L47+D47/$K$2</f>
        <v>190.835259723914</v>
      </c>
      <c r="F47" s="117" t="n">
        <f aca="false">IF($K$9=0,0,E47/$K$9)</f>
        <v>0.0315000000000001</v>
      </c>
      <c r="G47" s="117" t="n">
        <f aca="false">G46+F47</f>
        <v>0.9568</v>
      </c>
      <c r="H47" s="138" t="n">
        <v>365490.08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RESUMO'!AT25</f>
        <v>95.68</v>
      </c>
      <c r="N47" s="140" t="n">
        <f aca="false">MAX(0,M47-M46)</f>
        <v>3.15000000000001</v>
      </c>
      <c r="O47" s="139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3.15000000000001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214493.195928341</v>
      </c>
      <c r="E48" s="45" t="n">
        <f aca="false">L48+D48/$K$2</f>
        <v>165.390558427391</v>
      </c>
      <c r="F48" s="117" t="n">
        <f aca="false">IF($K$9=0,0,E48/$K$9)</f>
        <v>0.0272999999999999</v>
      </c>
      <c r="G48" s="117" t="n">
        <f aca="false">G47+F48</f>
        <v>0.9841</v>
      </c>
      <c r="H48" s="138" t="n">
        <v>585570.13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RESUMO'!AU25</f>
        <v>98.41</v>
      </c>
      <c r="N48" s="140" t="n">
        <f aca="false">MAX(0,M48-M47)</f>
        <v>2.72999999999999</v>
      </c>
      <c r="O48" s="139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2.72999999999999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HISTORICOS'!AV25)</f>
        <v>0</v>
      </c>
      <c r="D49" s="45" t="n">
        <f aca="false">IF(B49&lt;='VALOR POR PL'!$P$5,0,IF($K$17&gt;0,$K$18*P49/$K$17,0))</f>
        <v>124924.608617606</v>
      </c>
      <c r="E49" s="45" t="n">
        <f aca="false">L49+D49/$K$2</f>
        <v>96.3263691939758</v>
      </c>
      <c r="F49" s="117" t="n">
        <f aca="false">IF($K$9=0,0,E49/$K$9)</f>
        <v>0.0159</v>
      </c>
      <c r="G49" s="117" t="n">
        <f aca="false">G48+F49</f>
        <v>1</v>
      </c>
      <c r="H49" s="138" t="n">
        <v>551772.13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RESUMO'!AV25</f>
        <v>100</v>
      </c>
      <c r="N49" s="140" t="n">
        <f aca="false">MAX(0,M49-M48)</f>
        <v>1.59</v>
      </c>
      <c r="O49" s="139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1.59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 t="n">
        <v>367848.08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RESUMO'!AW25</f>
        <v>100</v>
      </c>
      <c r="N50" s="140" t="n">
        <f aca="false">MAX(0,M50-M49)</f>
        <v>0</v>
      </c>
      <c r="O50" s="139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 t="n">
        <v>503826.12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RESUMO'!AX25</f>
        <v>100</v>
      </c>
      <c r="N51" s="140" t="n">
        <f aca="false">MAX(0,M51-M50)</f>
        <v>0</v>
      </c>
      <c r="O51" s="139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 t="n">
        <v>111612.03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RESUMO'!AY25</f>
        <v>100</v>
      </c>
      <c r="N52" s="140" t="n">
        <f aca="false">MAX(0,M52-M51)</f>
        <v>0</v>
      </c>
      <c r="O52" s="139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299466.07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RESUMO'!AZ25</f>
        <v>100</v>
      </c>
      <c r="N53" s="140" t="n">
        <f aca="false">MAX(0,M53-M52)</f>
        <v>0</v>
      </c>
      <c r="O53" s="139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195714.05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RESUMO'!BA25</f>
        <v>100</v>
      </c>
      <c r="N54" s="140" t="n">
        <f aca="false">MAX(0,M54-M53)</f>
        <v>0</v>
      </c>
      <c r="O54" s="139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104538.02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RESUMO'!BB25</f>
        <v>100</v>
      </c>
      <c r="N55" s="140" t="n">
        <f aca="false">MAX(0,M55-M54)</f>
        <v>0</v>
      </c>
      <c r="O55" s="139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60047.36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RESUMO'!BC25</f>
        <v>100</v>
      </c>
      <c r="N56" s="140" t="n">
        <f aca="false">MAX(0,M56-M55)</f>
        <v>0</v>
      </c>
      <c r="O56" s="139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RESUMO'!BD25</f>
        <v>100</v>
      </c>
      <c r="N57" s="140" t="n">
        <f aca="false">MAX(0,M57-M56)</f>
        <v>0</v>
      </c>
      <c r="O57" s="139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RESUMO'!BE25</f>
        <v>100</v>
      </c>
      <c r="N58" s="140" t="n">
        <f aca="false">MAX(0,M58-M57)</f>
        <v>0</v>
      </c>
      <c r="O58" s="139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RESUMO'!BF25</f>
        <v>100</v>
      </c>
      <c r="N59" s="140" t="n">
        <f aca="false">MAX(0,M59-M58)</f>
        <v>0</v>
      </c>
      <c r="O59" s="139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RESUMO'!BG25</f>
        <v>100</v>
      </c>
      <c r="N60" s="140" t="n">
        <f aca="false">MAX(0,M60-M59)</f>
        <v>0</v>
      </c>
      <c r="O60" s="139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RESUMO'!BH25</f>
        <v>100</v>
      </c>
      <c r="N61" s="140" t="n">
        <f aca="false">MAX(0,M61-M60)</f>
        <v>0</v>
      </c>
      <c r="O61" s="139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RESUMO'!BI25</f>
        <v>100</v>
      </c>
      <c r="N62" s="140" t="n">
        <f aca="false">MAX(0,M62-M61)</f>
        <v>0</v>
      </c>
      <c r="O62" s="139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RESUMO'!BJ25</f>
        <v>100</v>
      </c>
      <c r="N63" s="140" t="n">
        <f aca="false">MAX(0,M63-M62)</f>
        <v>0</v>
      </c>
      <c r="O63" s="139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RESUMO'!BK25</f>
        <v>100</v>
      </c>
      <c r="N64" s="140" t="n">
        <f aca="false">MAX(0,M64-M63)</f>
        <v>0</v>
      </c>
      <c r="O64" s="139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RESUMO'!BL25</f>
        <v>100</v>
      </c>
      <c r="N65" s="140" t="n">
        <f aca="false">MAX(0,M65-M64)</f>
        <v>0</v>
      </c>
      <c r="O65" s="139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RESUMO'!BM25</f>
        <v>100</v>
      </c>
      <c r="N66" s="140" t="n">
        <f aca="false">MAX(0,M66-M65)</f>
        <v>0</v>
      </c>
      <c r="O66" s="139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RESUMO'!BN25</f>
        <v>100</v>
      </c>
      <c r="N67" s="140" t="n">
        <f aca="false">MAX(0,M67-M66)</f>
        <v>0</v>
      </c>
      <c r="O67" s="139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RESUMO'!BO25</f>
        <v>100</v>
      </c>
      <c r="N68" s="140" t="n">
        <f aca="false">MAX(0,M68-M67)</f>
        <v>0</v>
      </c>
      <c r="O68" s="139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RESUMO'!BP25</f>
        <v>100</v>
      </c>
      <c r="N69" s="140" t="n">
        <f aca="false">MAX(0,M69-M68)</f>
        <v>0</v>
      </c>
      <c r="O69" s="139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RESUMO'!BQ25</f>
        <v>100</v>
      </c>
      <c r="N70" s="140" t="n">
        <f aca="false">MAX(0,M70-M69)</f>
        <v>0</v>
      </c>
      <c r="O70" s="139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RESUMO'!BR25</f>
        <v>100</v>
      </c>
      <c r="N71" s="140" t="n">
        <f aca="false">MAX(0,M71-M70)</f>
        <v>0</v>
      </c>
      <c r="O71" s="139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RESUMO'!BS25</f>
        <v>100</v>
      </c>
      <c r="N72" s="140" t="n">
        <f aca="false">MAX(0,M72-M71)</f>
        <v>0</v>
      </c>
      <c r="O72" s="139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RESUMO'!BT25</f>
        <v>100</v>
      </c>
      <c r="N73" s="140" t="n">
        <f aca="false">MAX(0,M73-M72)</f>
        <v>0</v>
      </c>
      <c r="O73" s="139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RESUMO'!BU25</f>
        <v>100</v>
      </c>
      <c r="N74" s="140" t="n">
        <f aca="false">MAX(0,M74-M73)</f>
        <v>0</v>
      </c>
      <c r="O74" s="139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RESUMO'!BV25</f>
        <v>100</v>
      </c>
      <c r="N75" s="140" t="n">
        <f aca="false">MAX(0,M75-M74)</f>
        <v>0</v>
      </c>
      <c r="O75" s="139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RESUMO'!BW25</f>
        <v>100</v>
      </c>
      <c r="N76" s="140" t="n">
        <f aca="false">MAX(0,M76-M75)</f>
        <v>0</v>
      </c>
      <c r="O76" s="139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7856893.62374879</v>
      </c>
      <c r="E78" s="61" t="n">
        <f aca="false">SUM(E5:E76)</f>
        <v>6058.26221345759</v>
      </c>
      <c r="F78" s="145" t="n">
        <f aca="false">SUM(F5:F76)</f>
        <v>1</v>
      </c>
      <c r="H78" s="61" t="n">
        <f aca="false">SUM(H5:H76)</f>
        <v>7741725.07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PL'!F32</f>
        <v>781560</v>
      </c>
      <c r="K5" s="56" t="n">
        <f aca="false">'VALOR POR PL'!G32</f>
        <v>642.357316</v>
      </c>
      <c r="L5" s="56" t="n">
        <f aca="false">'DADOS HISTORICOS'!$BZ$26</f>
        <v>0</v>
      </c>
      <c r="M5" s="139" t="n">
        <f aca="false">'CP RESUMO'!D26</f>
        <v>0</v>
      </c>
      <c r="N5" s="140" t="n">
        <v>0</v>
      </c>
      <c r="O5" s="139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PL'!H32</f>
        <v>642.357316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RESUMO'!E26</f>
        <v>0</v>
      </c>
      <c r="N6" s="140" t="n">
        <f aca="false">MAX(0,M6-M5)</f>
        <v>0</v>
      </c>
      <c r="O6" s="139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832736.706684734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RESUMO'!F26</f>
        <v>0</v>
      </c>
      <c r="N7" s="140" t="n">
        <f aca="false">MAX(0,M7-M6)</f>
        <v>0</v>
      </c>
      <c r="O7" s="139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RESUMO'!G26</f>
        <v>0</v>
      </c>
      <c r="N8" s="140" t="n">
        <f aca="false">MAX(0,M8-M7)</f>
        <v>0</v>
      </c>
      <c r="O8" s="139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832736.706684734</v>
      </c>
      <c r="K9" s="45" t="n">
        <f aca="false">E78</f>
        <v>642.103300039351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RESUMO'!H26</f>
        <v>0</v>
      </c>
      <c r="N9" s="140" t="n">
        <f aca="false">MAX(0,M9-M8)</f>
        <v>0</v>
      </c>
      <c r="O9" s="139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642.103300039351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RESUMO'!I26</f>
        <v>0</v>
      </c>
      <c r="N10" s="140" t="n">
        <f aca="false">MAX(0,M10-M9)</f>
        <v>0</v>
      </c>
      <c r="O10" s="139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823490.46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RESUMO'!J26</f>
        <v>0</v>
      </c>
      <c r="N11" s="140" t="n">
        <f aca="false">MAX(0,M11-M10)</f>
        <v>0</v>
      </c>
      <c r="O11" s="139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RESUMO'!K26</f>
        <v>0</v>
      </c>
      <c r="N12" s="140" t="n">
        <f aca="false">MAX(0,M12-M11)</f>
        <v>0</v>
      </c>
      <c r="O12" s="139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RESUMO'!L26</f>
        <v>0</v>
      </c>
      <c r="N13" s="140" t="n">
        <f aca="false">MAX(0,M13-M12)</f>
        <v>0</v>
      </c>
      <c r="O13" s="139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RESUMO'!M26</f>
        <v>0</v>
      </c>
      <c r="N14" s="140" t="n">
        <f aca="false">MAX(0,M14-M13)</f>
        <v>0</v>
      </c>
      <c r="O14" s="139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RESUMO'!N26</f>
        <v>0</v>
      </c>
      <c r="N15" s="140" t="n">
        <f aca="false">MAX(0,M15-M14)</f>
        <v>0</v>
      </c>
      <c r="O15" s="139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RESUMO'!O26</f>
        <v>0</v>
      </c>
      <c r="N16" s="140" t="n">
        <f aca="false">MAX(0,M16-M15)</f>
        <v>0</v>
      </c>
      <c r="O16" s="139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RESUMO'!P26</f>
        <v>0</v>
      </c>
      <c r="N17" s="140" t="n">
        <f aca="false">MAX(0,M17-M16)</f>
        <v>0</v>
      </c>
      <c r="O17" s="139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832736.706684734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RESUMO'!Q26</f>
        <v>0</v>
      </c>
      <c r="N18" s="140" t="n">
        <f aca="false">MAX(0,M18-M17)</f>
        <v>0</v>
      </c>
      <c r="O18" s="139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RESUMO'!R26</f>
        <v>0</v>
      </c>
      <c r="N19" s="140" t="n">
        <f aca="false">MAX(0,M19-M18)</f>
        <v>0</v>
      </c>
      <c r="O19" s="139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RESUMO'!S26</f>
        <v>0</v>
      </c>
      <c r="N20" s="140" t="n">
        <f aca="false">MAX(0,M20-M19)</f>
        <v>0</v>
      </c>
      <c r="O20" s="139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RESUMO'!T26</f>
        <v>0</v>
      </c>
      <c r="N21" s="140" t="n">
        <f aca="false">MAX(0,M21-M20)</f>
        <v>0</v>
      </c>
      <c r="O21" s="139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RESUMO'!U26</f>
        <v>0</v>
      </c>
      <c r="N22" s="140" t="n">
        <f aca="false">MAX(0,M22-M21)</f>
        <v>0</v>
      </c>
      <c r="O22" s="139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RESUMO'!V26</f>
        <v>0</v>
      </c>
      <c r="N23" s="140" t="n">
        <f aca="false">MAX(0,M23-M22)</f>
        <v>0</v>
      </c>
      <c r="O23" s="139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RESUMO'!W26</f>
        <v>0</v>
      </c>
      <c r="N24" s="140" t="n">
        <f aca="false">MAX(0,M24-M23)</f>
        <v>0</v>
      </c>
      <c r="O24" s="139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RESUMO'!X26</f>
        <v>0</v>
      </c>
      <c r="N25" s="140" t="n">
        <f aca="false">MAX(0,M25-M24)</f>
        <v>0</v>
      </c>
      <c r="O25" s="139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RESUMO'!Y26</f>
        <v>0</v>
      </c>
      <c r="N26" s="140" t="n">
        <f aca="false">MAX(0,M26-M25)</f>
        <v>0</v>
      </c>
      <c r="O26" s="139" t="str">
        <f aca="false">IF(B26&lt;='VALOR POR PL'!$P$5,'CP RESUMO'!Y68,"")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RESUMO'!Z26</f>
        <v>0</v>
      </c>
      <c r="N27" s="140" t="n">
        <f aca="false">MAX(0,M27-M26)</f>
        <v>0</v>
      </c>
      <c r="O27" s="139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RESUMO'!AA26</f>
        <v>0</v>
      </c>
      <c r="N28" s="140" t="n">
        <f aca="false">MAX(0,M28-M27)</f>
        <v>0</v>
      </c>
      <c r="O28" s="139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RESUMO'!AB26</f>
        <v>0</v>
      </c>
      <c r="N29" s="140" t="n">
        <f aca="false">MAX(0,M29-M28)</f>
        <v>0</v>
      </c>
      <c r="O29" s="139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RESUMO'!AC26</f>
        <v>0</v>
      </c>
      <c r="N30" s="140" t="n">
        <f aca="false">MAX(0,M30-M29)</f>
        <v>0</v>
      </c>
      <c r="O30" s="139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RESUMO'!AD26</f>
        <v>0</v>
      </c>
      <c r="N31" s="140" t="n">
        <f aca="false">MAX(0,M31-M30)</f>
        <v>0</v>
      </c>
      <c r="O31" s="139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4913.14656943993</v>
      </c>
      <c r="E32" s="45" t="n">
        <f aca="false">L32+D32/$K$2</f>
        <v>3.78840947023217</v>
      </c>
      <c r="F32" s="117" t="n">
        <f aca="false">IF($K$9=0,0,E32/$K$9)</f>
        <v>0.0059</v>
      </c>
      <c r="G32" s="117" t="n">
        <f aca="false">G31+F32</f>
        <v>0.0059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RESUMO'!AE26</f>
        <v>0.59</v>
      </c>
      <c r="N32" s="140" t="n">
        <f aca="false">MAX(0,M32-M31)</f>
        <v>0.59</v>
      </c>
      <c r="O32" s="139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0.59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51879.4968264589</v>
      </c>
      <c r="E33" s="45" t="n">
        <f aca="false">L33+D33/$K$2</f>
        <v>40.0030355924516</v>
      </c>
      <c r="F33" s="117" t="n">
        <f aca="false">IF($K$9=0,0,E33/$K$9)</f>
        <v>0.0623</v>
      </c>
      <c r="G33" s="117" t="n">
        <f aca="false">G32+F33</f>
        <v>0.0682</v>
      </c>
      <c r="H33" s="138" t="n">
        <v>4858.59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RESUMO'!AF26</f>
        <v>6.82</v>
      </c>
      <c r="N33" s="140" t="n">
        <f aca="false">MAX(0,M33-M32)</f>
        <v>6.23</v>
      </c>
      <c r="O33" s="139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6.23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49464.5603770732</v>
      </c>
      <c r="E34" s="45" t="n">
        <f aca="false">L34+D34/$K$2</f>
        <v>38.1409360223374</v>
      </c>
      <c r="F34" s="117" t="n">
        <f aca="false">IF($K$9=0,0,E34/$K$9)</f>
        <v>0.0594</v>
      </c>
      <c r="G34" s="117" t="n">
        <f aca="false">G33+F34</f>
        <v>0.1276</v>
      </c>
      <c r="H34" s="138" t="n">
        <v>51303.46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RESUMO'!AG26</f>
        <v>12.76</v>
      </c>
      <c r="N34" s="140" t="n">
        <f aca="false">MAX(0,M34-M33)</f>
        <v>5.94</v>
      </c>
      <c r="O34" s="139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5.94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54294.4332758447</v>
      </c>
      <c r="E35" s="45" t="n">
        <f aca="false">L35+D35/$K$2</f>
        <v>41.8651351625657</v>
      </c>
      <c r="F35" s="117" t="n">
        <f aca="false">IF($K$9=0,0,E35/$K$9)</f>
        <v>0.0652</v>
      </c>
      <c r="G35" s="117" t="n">
        <f aca="false">G34+F35</f>
        <v>0.1928</v>
      </c>
      <c r="H35" s="138" t="n">
        <v>48915.33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RESUMO'!AH26</f>
        <v>19.28</v>
      </c>
      <c r="N35" s="140" t="n">
        <f aca="false">MAX(0,M35-M34)</f>
        <v>6.52</v>
      </c>
      <c r="O35" s="139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6.52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60789.7795879855</v>
      </c>
      <c r="E36" s="45" t="n">
        <f aca="false">L36+D36/$K$2</f>
        <v>46.8735409028726</v>
      </c>
      <c r="F36" s="117" t="n">
        <f aca="false">IF($K$9=0,0,E36/$K$9)</f>
        <v>0.073</v>
      </c>
      <c r="G36" s="117" t="n">
        <f aca="false">G35+F36</f>
        <v>0.2658</v>
      </c>
      <c r="H36" s="138" t="n">
        <v>53691.58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RESUMO'!AI26</f>
        <v>26.58</v>
      </c>
      <c r="N36" s="140" t="n">
        <f aca="false">MAX(0,M36-M35)</f>
        <v>7.3</v>
      </c>
      <c r="O36" s="139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7.3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63954.1790733876</v>
      </c>
      <c r="E37" s="45" t="n">
        <f aca="false">L37+D37/$K$2</f>
        <v>49.3135334430222</v>
      </c>
      <c r="F37" s="117" t="n">
        <f aca="false">IF($K$9=0,0,E37/$K$9)</f>
        <v>0.0768</v>
      </c>
      <c r="G37" s="117" t="n">
        <f aca="false">G36+F37</f>
        <v>0.3426</v>
      </c>
      <c r="H37" s="138" t="n">
        <v>57973.73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RESUMO'!AJ26</f>
        <v>34.26</v>
      </c>
      <c r="N37" s="140" t="n">
        <f aca="false">MAX(0,M37-M36)</f>
        <v>7.68</v>
      </c>
      <c r="O37" s="139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7.68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58208.2957972629</v>
      </c>
      <c r="E38" s="45" t="n">
        <f aca="false">L38+D38/$K$2</f>
        <v>44.8830206727506</v>
      </c>
      <c r="F38" s="117" t="n">
        <f aca="false">IF($K$9=0,0,E38/$K$9)</f>
        <v>0.0699</v>
      </c>
      <c r="G38" s="117" t="n">
        <f aca="false">G37+F38</f>
        <v>0.4125</v>
      </c>
      <c r="H38" s="138" t="n">
        <v>62667.62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RESUMO'!AK26</f>
        <v>41.25</v>
      </c>
      <c r="N38" s="140" t="n">
        <f aca="false">MAX(0,M38-M37)</f>
        <v>6.99</v>
      </c>
      <c r="O38" s="139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6.99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83773.3126924842</v>
      </c>
      <c r="E39" s="45" t="n">
        <f aca="false">L39+D39/$K$2</f>
        <v>64.5955919839587</v>
      </c>
      <c r="F39" s="117" t="n">
        <f aca="false">IF($K$9=0,0,E39/$K$9)</f>
        <v>0.1006</v>
      </c>
      <c r="G39" s="117" t="n">
        <f aca="false">G38+F39</f>
        <v>0.5131</v>
      </c>
      <c r="H39" s="138" t="n">
        <v>58632.52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RESUMO'!AL26</f>
        <v>51.31</v>
      </c>
      <c r="N39" s="140" t="n">
        <f aca="false">MAX(0,M39-M38)</f>
        <v>10.06</v>
      </c>
      <c r="O39" s="139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10.06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66618.9365347787</v>
      </c>
      <c r="E40" s="45" t="n">
        <f aca="false">L40+D40/$K$2</f>
        <v>51.3682640031481</v>
      </c>
      <c r="F40" s="117" t="n">
        <f aca="false">IF($K$9=0,0,E40/$K$9)</f>
        <v>0.08</v>
      </c>
      <c r="G40" s="117" t="n">
        <f aca="false">G39+F40</f>
        <v>0.5931</v>
      </c>
      <c r="H40" s="138" t="n">
        <v>70490.78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RESUMO'!AM26</f>
        <v>59.31</v>
      </c>
      <c r="N40" s="140" t="n">
        <f aca="false">MAX(0,M40-M39)</f>
        <v>8</v>
      </c>
      <c r="O40" s="139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54460.9806171815</v>
      </c>
      <c r="E41" s="45" t="n">
        <f aca="false">L41+D41/$K$2</f>
        <v>41.9935558225735</v>
      </c>
      <c r="F41" s="117" t="n">
        <f aca="false">IF($K$9=0,0,E41/$K$9)</f>
        <v>0.0653999999999999</v>
      </c>
      <c r="G41" s="117" t="n">
        <f aca="false">G40+F41</f>
        <v>0.6585</v>
      </c>
      <c r="H41" s="138" t="n">
        <v>67773.27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RESUMO'!AN26</f>
        <v>65.85</v>
      </c>
      <c r="N41" s="140" t="n">
        <f aca="false">MAX(0,M41-M40)</f>
        <v>6.53999999999999</v>
      </c>
      <c r="O41" s="139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6.53999999999999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72531.3671522404</v>
      </c>
      <c r="E42" s="45" t="n">
        <f aca="false">L42+D42/$K$2</f>
        <v>55.9271974334275</v>
      </c>
      <c r="F42" s="117" t="n">
        <f aca="false">IF($K$9=0,0,E42/$K$9)</f>
        <v>0.0871000000000001</v>
      </c>
      <c r="G42" s="117" t="n">
        <f aca="false">G41+F42</f>
        <v>0.7456</v>
      </c>
      <c r="H42" s="138" t="n">
        <v>60444.2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RESUMO'!AO26</f>
        <v>74.56</v>
      </c>
      <c r="N42" s="140" t="n">
        <f aca="false">MAX(0,M42-M41)</f>
        <v>8.71000000000001</v>
      </c>
      <c r="O42" s="139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8.71000000000001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130906.21029084</v>
      </c>
      <c r="E43" s="45" t="n">
        <f aca="false">L43+D43/$K$2</f>
        <v>100.938638766186</v>
      </c>
      <c r="F43" s="117" t="n">
        <f aca="false">IF($K$9=0,0,E43/$K$9)</f>
        <v>0.1572</v>
      </c>
      <c r="G43" s="117" t="n">
        <f aca="false">G42+F43</f>
        <v>0.9028</v>
      </c>
      <c r="H43" s="138" t="n">
        <v>60526.55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RESUMO'!AP26</f>
        <v>90.28</v>
      </c>
      <c r="N43" s="140" t="n">
        <f aca="false">MAX(0,M43-M42)</f>
        <v>15.72</v>
      </c>
      <c r="O43" s="139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15.72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17487.4708403794</v>
      </c>
      <c r="E44" s="45" t="n">
        <f aca="false">L44+D44/$K$2</f>
        <v>13.4841693008263</v>
      </c>
      <c r="F44" s="117" t="n">
        <f aca="false">IF($K$9=0,0,E44/$K$9)</f>
        <v>0.0209999999999999</v>
      </c>
      <c r="G44" s="117" t="n">
        <f aca="false">G43+F44</f>
        <v>0.9238</v>
      </c>
      <c r="H44" s="138" t="n">
        <v>68349.71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RESUMO'!AQ26</f>
        <v>92.38</v>
      </c>
      <c r="N44" s="140" t="n">
        <f aca="false">MAX(0,M44-M43)</f>
        <v>2.09999999999999</v>
      </c>
      <c r="O44" s="139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2.09999999999999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25148.648541879</v>
      </c>
      <c r="E45" s="45" t="n">
        <f aca="false">L45+D45/$K$2</f>
        <v>19.3915196611885</v>
      </c>
      <c r="F45" s="117" t="n">
        <f aca="false">IF($K$9=0,0,E45/$K$9)</f>
        <v>0.0302000000000001</v>
      </c>
      <c r="G45" s="117" t="n">
        <f aca="false">G44+F45</f>
        <v>0.954</v>
      </c>
      <c r="H45" s="138" t="n">
        <v>85807.71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RESUMO'!AR26</f>
        <v>95.4</v>
      </c>
      <c r="N45" s="140" t="n">
        <f aca="false">MAX(0,M45-M44)</f>
        <v>3.02000000000001</v>
      </c>
      <c r="O45" s="139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3.02000000000001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20152.2283017705</v>
      </c>
      <c r="E46" s="45" t="n">
        <f aca="false">L46+D46/$K$2</f>
        <v>15.5388998609522</v>
      </c>
      <c r="F46" s="117" t="n">
        <f aca="false">IF($K$9=0,0,E46/$K$9)</f>
        <v>0.0241999999999999</v>
      </c>
      <c r="G46" s="117" t="n">
        <f aca="false">G45+F46</f>
        <v>0.9782</v>
      </c>
      <c r="H46" s="138" t="n">
        <v>33186.67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RESUMO'!AS26</f>
        <v>97.82</v>
      </c>
      <c r="N46" s="140" t="n">
        <f aca="false">MAX(0,M46-M45)</f>
        <v>2.41999999999999</v>
      </c>
      <c r="O46" s="139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2.41999999999999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2248.38910804887</v>
      </c>
      <c r="E47" s="45" t="n">
        <f aca="false">L47+D47/$K$2</f>
        <v>1.73367891010631</v>
      </c>
      <c r="F47" s="117" t="n">
        <f aca="false">IF($K$9=0,0,E47/$K$9)</f>
        <v>0.0027000000000001</v>
      </c>
      <c r="G47" s="117" t="n">
        <f aca="false">G46+F47</f>
        <v>0.9809</v>
      </c>
      <c r="H47" s="138" t="n">
        <v>7905.51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RESUMO'!AT26</f>
        <v>98.09</v>
      </c>
      <c r="N47" s="140" t="n">
        <f aca="false">MAX(0,M47-M46)</f>
        <v>0.27000000000001</v>
      </c>
      <c r="O47" s="139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0.27000000000001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2331.66277871726</v>
      </c>
      <c r="E48" s="45" t="n">
        <f aca="false">L48+D48/$K$2</f>
        <v>1.79788924011019</v>
      </c>
      <c r="F48" s="117" t="n">
        <f aca="false">IF($K$9=0,0,E48/$K$9)</f>
        <v>0.00280000000000001</v>
      </c>
      <c r="G48" s="117" t="n">
        <f aca="false">G47+F48</f>
        <v>0.9837</v>
      </c>
      <c r="H48" s="138" t="n">
        <v>15234.57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RESUMO'!AU26</f>
        <v>98.37</v>
      </c>
      <c r="N48" s="140" t="n">
        <f aca="false">MAX(0,M48-M47)</f>
        <v>0.280000000000001</v>
      </c>
      <c r="O48" s="139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0.280000000000001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2414.93644938566</v>
      </c>
      <c r="E49" s="45" t="n">
        <f aca="false">L49+D49/$K$2</f>
        <v>1.86209957011407</v>
      </c>
      <c r="F49" s="117" t="n">
        <f aca="false">IF($K$9=0,0,E49/$K$9)</f>
        <v>0.00289999999999992</v>
      </c>
      <c r="G49" s="117" t="n">
        <f aca="false">G48+F49</f>
        <v>0.9866</v>
      </c>
      <c r="H49" s="138" t="n">
        <v>2305.77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RESUMO'!AV26</f>
        <v>98.66</v>
      </c>
      <c r="N49" s="140" t="n">
        <f aca="false">MAX(0,M49-M48)</f>
        <v>0.289999999999992</v>
      </c>
      <c r="O49" s="139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0.289999999999992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2248.38910804887</v>
      </c>
      <c r="E50" s="45" t="n">
        <f aca="false">L50+D50/$K$2</f>
        <v>1.73367891010631</v>
      </c>
      <c r="F50" s="117" t="n">
        <f aca="false">IF($K$9=0,0,E50/$K$9)</f>
        <v>0.0027000000000001</v>
      </c>
      <c r="G50" s="117" t="n">
        <f aca="false">G49+F50</f>
        <v>0.9893</v>
      </c>
      <c r="H50" s="138" t="n">
        <v>2305.77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RESUMO'!AW26</f>
        <v>98.93</v>
      </c>
      <c r="N50" s="140" t="n">
        <f aca="false">MAX(0,M50-M49)</f>
        <v>0.27000000000001</v>
      </c>
      <c r="O50" s="139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0.27000000000001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2414.93644938566</v>
      </c>
      <c r="E51" s="45" t="n">
        <f aca="false">L51+D51/$K$2</f>
        <v>1.86209957011407</v>
      </c>
      <c r="F51" s="117" t="n">
        <f aca="false">IF($K$9=0,0,E51/$K$9)</f>
        <v>0.00289999999999992</v>
      </c>
      <c r="G51" s="117" t="n">
        <f aca="false">G50+F51</f>
        <v>0.9922</v>
      </c>
      <c r="H51" s="138" t="n">
        <v>2223.42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RESUMO'!AX26</f>
        <v>99.22</v>
      </c>
      <c r="N51" s="140" t="n">
        <f aca="false">MAX(0,M51-M50)</f>
        <v>0.289999999999992</v>
      </c>
      <c r="O51" s="139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0.289999999999992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2414.93644938578</v>
      </c>
      <c r="E52" s="45" t="n">
        <f aca="false">L52+D52/$K$2</f>
        <v>1.86209957011416</v>
      </c>
      <c r="F52" s="117" t="n">
        <f aca="false">IF($K$9=0,0,E52/$K$9)</f>
        <v>0.00290000000000006</v>
      </c>
      <c r="G52" s="117" t="n">
        <f aca="false">G51+F52</f>
        <v>0.9951</v>
      </c>
      <c r="H52" s="138" t="n">
        <v>2305.77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RESUMO'!AY26</f>
        <v>99.51</v>
      </c>
      <c r="N52" s="140" t="n">
        <f aca="false">MAX(0,M52-M51)</f>
        <v>0.290000000000006</v>
      </c>
      <c r="O52" s="139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0.290000000000006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1582.19974270098</v>
      </c>
      <c r="E53" s="45" t="n">
        <f aca="false">L53+D53/$K$2</f>
        <v>1.21999627007475</v>
      </c>
      <c r="F53" s="117" t="n">
        <f aca="false">IF($K$9=0,0,E53/$K$9)</f>
        <v>0.00189999999999998</v>
      </c>
      <c r="G53" s="117" t="n">
        <f aca="false">G52+F53</f>
        <v>0.997</v>
      </c>
      <c r="H53" s="138" t="n">
        <v>2223.42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RESUMO'!AZ26</f>
        <v>99.7</v>
      </c>
      <c r="N53" s="140" t="n">
        <f aca="false">MAX(0,M53-M52)</f>
        <v>0.189999999999998</v>
      </c>
      <c r="O53" s="139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0.189999999999998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2165.11543738023</v>
      </c>
      <c r="E54" s="45" t="n">
        <f aca="false">L54+D54/$K$2</f>
        <v>1.66946858010225</v>
      </c>
      <c r="F54" s="117" t="n">
        <f aca="false">IF($K$9=0,0,E54/$K$9)</f>
        <v>0.00259999999999991</v>
      </c>
      <c r="G54" s="117" t="n">
        <f aca="false">G53+F54</f>
        <v>0.9996</v>
      </c>
      <c r="H54" s="138" t="n">
        <v>1894.03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RESUMO'!BA26</f>
        <v>99.96</v>
      </c>
      <c r="N54" s="140" t="n">
        <f aca="false">MAX(0,M54-M53)</f>
        <v>0.259999999999991</v>
      </c>
      <c r="O54" s="139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0.259999999999991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333.094682673946</v>
      </c>
      <c r="E55" s="45" t="n">
        <f aca="false">L55+D55/$K$2</f>
        <v>0.256841320015781</v>
      </c>
      <c r="F55" s="117" t="n">
        <f aca="false">IF($K$9=0,0,E55/$K$9)</f>
        <v>0.000400000000000063</v>
      </c>
      <c r="G55" s="117" t="n">
        <f aca="false">G54+F55</f>
        <v>1</v>
      </c>
      <c r="H55" s="138" t="n">
        <v>2141.08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RESUMO'!BB26</f>
        <v>100</v>
      </c>
      <c r="N55" s="140" t="n">
        <f aca="false">MAX(0,M55-M54)</f>
        <v>0.0400000000000063</v>
      </c>
      <c r="O55" s="139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0.0400000000000063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329.4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RESUMO'!BC26</f>
        <v>100</v>
      </c>
      <c r="N56" s="140" t="n">
        <f aca="false">MAX(0,M56-M55)</f>
        <v>0</v>
      </c>
      <c r="O56" s="139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RESUMO'!BD26</f>
        <v>100</v>
      </c>
      <c r="N57" s="140" t="n">
        <f aca="false">MAX(0,M57-M56)</f>
        <v>0</v>
      </c>
      <c r="O57" s="139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RESUMO'!BE26</f>
        <v>100</v>
      </c>
      <c r="N58" s="140" t="n">
        <f aca="false">MAX(0,M58-M57)</f>
        <v>0</v>
      </c>
      <c r="O58" s="139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RESUMO'!BF26</f>
        <v>100</v>
      </c>
      <c r="N59" s="140" t="n">
        <f aca="false">MAX(0,M59-M58)</f>
        <v>0</v>
      </c>
      <c r="O59" s="139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RESUMO'!BG26</f>
        <v>100</v>
      </c>
      <c r="N60" s="140" t="n">
        <f aca="false">MAX(0,M60-M59)</f>
        <v>0</v>
      </c>
      <c r="O60" s="139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RESUMO'!BH26</f>
        <v>100</v>
      </c>
      <c r="N61" s="140" t="n">
        <f aca="false">MAX(0,M61-M60)</f>
        <v>0</v>
      </c>
      <c r="O61" s="139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RESUMO'!BI26</f>
        <v>100</v>
      </c>
      <c r="N62" s="140" t="n">
        <f aca="false">MAX(0,M62-M61)</f>
        <v>0</v>
      </c>
      <c r="O62" s="139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RESUMO'!BJ26</f>
        <v>100</v>
      </c>
      <c r="N63" s="140" t="n">
        <f aca="false">MAX(0,M63-M62)</f>
        <v>0</v>
      </c>
      <c r="O63" s="139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RESUMO'!BK26</f>
        <v>100</v>
      </c>
      <c r="N64" s="140" t="n">
        <f aca="false">MAX(0,M64-M63)</f>
        <v>0</v>
      </c>
      <c r="O64" s="139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RESUMO'!BL26</f>
        <v>100</v>
      </c>
      <c r="N65" s="140" t="n">
        <f aca="false">MAX(0,M65-M64)</f>
        <v>0</v>
      </c>
      <c r="O65" s="139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RESUMO'!BM26</f>
        <v>100</v>
      </c>
      <c r="N66" s="140" t="n">
        <f aca="false">MAX(0,M66-M65)</f>
        <v>0</v>
      </c>
      <c r="O66" s="139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RESUMO'!BN26</f>
        <v>100</v>
      </c>
      <c r="N67" s="140" t="n">
        <f aca="false">MAX(0,M67-M66)</f>
        <v>0</v>
      </c>
      <c r="O67" s="139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RESUMO'!BO26</f>
        <v>100</v>
      </c>
      <c r="N68" s="140" t="n">
        <f aca="false">MAX(0,M68-M67)</f>
        <v>0</v>
      </c>
      <c r="O68" s="139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RESUMO'!BP26</f>
        <v>100</v>
      </c>
      <c r="N69" s="140" t="n">
        <f aca="false">MAX(0,M69-M68)</f>
        <v>0</v>
      </c>
      <c r="O69" s="139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RESUMO'!BQ26</f>
        <v>100</v>
      </c>
      <c r="N70" s="140" t="n">
        <f aca="false">MAX(0,M70-M69)</f>
        <v>0</v>
      </c>
      <c r="O70" s="139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RESUMO'!BR26</f>
        <v>100</v>
      </c>
      <c r="N71" s="140" t="n">
        <f aca="false">MAX(0,M71-M70)</f>
        <v>0</v>
      </c>
      <c r="O71" s="139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RESUMO'!BS26</f>
        <v>100</v>
      </c>
      <c r="N72" s="140" t="n">
        <f aca="false">MAX(0,M72-M71)</f>
        <v>0</v>
      </c>
      <c r="O72" s="139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RESUMO'!BT26</f>
        <v>100</v>
      </c>
      <c r="N73" s="140" t="n">
        <f aca="false">MAX(0,M73-M72)</f>
        <v>0</v>
      </c>
      <c r="O73" s="139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RESUMO'!BU26</f>
        <v>100</v>
      </c>
      <c r="N74" s="140" t="n">
        <f aca="false">MAX(0,M74-M73)</f>
        <v>0</v>
      </c>
      <c r="O74" s="139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RESUMO'!BV26</f>
        <v>100</v>
      </c>
      <c r="N75" s="140" t="n">
        <f aca="false">MAX(0,M75-M74)</f>
        <v>0</v>
      </c>
      <c r="O75" s="139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RESUMO'!BW26</f>
        <v>100</v>
      </c>
      <c r="N76" s="140" t="n">
        <f aca="false">MAX(0,M76-M75)</f>
        <v>0</v>
      </c>
      <c r="O76" s="139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832736.706684734</v>
      </c>
      <c r="E78" s="61" t="n">
        <f aca="false">SUM(E5:E76)</f>
        <v>642.103300039351</v>
      </c>
      <c r="F78" s="145" t="n">
        <f aca="false">SUM(F5:F76)</f>
        <v>1</v>
      </c>
      <c r="H78" s="61" t="n">
        <f aca="false">SUM(H5:H76)</f>
        <v>823490.46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PL'!F33</f>
        <v>2684762.92</v>
      </c>
      <c r="K5" s="56" t="n">
        <f aca="false">'VALOR POR PL'!G33</f>
        <v>2206.583122</v>
      </c>
      <c r="L5" s="56" t="n">
        <f aca="false">'DADOS HISTORICOS'!$BZ$27</f>
        <v>0</v>
      </c>
      <c r="M5" s="139" t="n">
        <f aca="false">'CP RESUMO'!D27</f>
        <v>0</v>
      </c>
      <c r="N5" s="140" t="n">
        <v>0</v>
      </c>
      <c r="O5" s="139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PL'!H33</f>
        <v>2206.583122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RESUMO'!E27</f>
        <v>0</v>
      </c>
      <c r="N6" s="140" t="n">
        <f aca="false">MAX(0,M6-M5)</f>
        <v>0</v>
      </c>
      <c r="O6" s="139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2860561.74074991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RESUMO'!F27</f>
        <v>0</v>
      </c>
      <c r="N7" s="140" t="n">
        <f aca="false">MAX(0,M7-M6)</f>
        <v>0</v>
      </c>
      <c r="O7" s="139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RESUMO'!G27</f>
        <v>0</v>
      </c>
      <c r="N8" s="140" t="n">
        <f aca="false">MAX(0,M8-M7)</f>
        <v>0</v>
      </c>
      <c r="O8" s="139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2860561.74074991</v>
      </c>
      <c r="K9" s="45" t="n">
        <f aca="false">E78</f>
        <v>2205.71054326924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RESUMO'!H27</f>
        <v>0</v>
      </c>
      <c r="N9" s="140" t="n">
        <f aca="false">MAX(0,M9-M8)</f>
        <v>0</v>
      </c>
      <c r="O9" s="139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2205.71054326924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RESUMO'!I27</f>
        <v>0</v>
      </c>
      <c r="N10" s="140" t="n">
        <f aca="false">MAX(0,M10-M9)</f>
        <v>0</v>
      </c>
      <c r="O10" s="139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2828799.65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RESUMO'!J27</f>
        <v>0</v>
      </c>
      <c r="N11" s="140" t="n">
        <f aca="false">MAX(0,M11-M10)</f>
        <v>0</v>
      </c>
      <c r="O11" s="139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RESUMO'!K27</f>
        <v>0</v>
      </c>
      <c r="N12" s="140" t="n">
        <f aca="false">MAX(0,M12-M11)</f>
        <v>0</v>
      </c>
      <c r="O12" s="139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RESUMO'!L27</f>
        <v>0</v>
      </c>
      <c r="N13" s="140" t="n">
        <f aca="false">MAX(0,M13-M12)</f>
        <v>0</v>
      </c>
      <c r="O13" s="139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RESUMO'!M27</f>
        <v>0</v>
      </c>
      <c r="N14" s="140" t="n">
        <f aca="false">MAX(0,M14-M13)</f>
        <v>0</v>
      </c>
      <c r="O14" s="139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RESUMO'!N27</f>
        <v>0</v>
      </c>
      <c r="N15" s="140" t="n">
        <f aca="false">MAX(0,M15-M14)</f>
        <v>0</v>
      </c>
      <c r="O15" s="139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RESUMO'!O27</f>
        <v>0</v>
      </c>
      <c r="N16" s="140" t="n">
        <f aca="false">MAX(0,M16-M15)</f>
        <v>0</v>
      </c>
      <c r="O16" s="139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RESUMO'!P27</f>
        <v>0</v>
      </c>
      <c r="N17" s="140" t="n">
        <f aca="false">MAX(0,M17-M16)</f>
        <v>0</v>
      </c>
      <c r="O17" s="139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2860561.74074991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RESUMO'!Q27</f>
        <v>0</v>
      </c>
      <c r="N18" s="140" t="n">
        <f aca="false">MAX(0,M18-M17)</f>
        <v>0</v>
      </c>
      <c r="O18" s="139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RESUMO'!R27</f>
        <v>0</v>
      </c>
      <c r="N19" s="140" t="n">
        <f aca="false">MAX(0,M19-M18)</f>
        <v>0</v>
      </c>
      <c r="O19" s="139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RESUMO'!S27</f>
        <v>0</v>
      </c>
      <c r="N20" s="140" t="n">
        <f aca="false">MAX(0,M20-M19)</f>
        <v>0</v>
      </c>
      <c r="O20" s="139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RESUMO'!T27</f>
        <v>0</v>
      </c>
      <c r="N21" s="140" t="n">
        <f aca="false">MAX(0,M21-M20)</f>
        <v>0</v>
      </c>
      <c r="O21" s="139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RESUMO'!U27</f>
        <v>0</v>
      </c>
      <c r="N22" s="140" t="n">
        <f aca="false">MAX(0,M22-M21)</f>
        <v>0</v>
      </c>
      <c r="O22" s="139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RESUMO'!V27</f>
        <v>0</v>
      </c>
      <c r="N23" s="140" t="n">
        <f aca="false">MAX(0,M23-M22)</f>
        <v>0</v>
      </c>
      <c r="O23" s="139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RESUMO'!W27</f>
        <v>0</v>
      </c>
      <c r="N24" s="140" t="n">
        <f aca="false">MAX(0,M24-M23)</f>
        <v>0</v>
      </c>
      <c r="O24" s="139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RESUMO'!X27</f>
        <v>0</v>
      </c>
      <c r="N25" s="140" t="n">
        <f aca="false">MAX(0,M25-M24)</f>
        <v>0</v>
      </c>
      <c r="O25" s="139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RESUMO'!Y27</f>
        <v>0</v>
      </c>
      <c r="N26" s="140" t="n">
        <f aca="false">MAX(0,M26-M25)</f>
        <v>0</v>
      </c>
      <c r="O26" s="139" t="str">
        <f aca="false">IF(B26&lt;='VALOR POR PL'!$P$5,'CP RESUMO'!Y69,"")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RESUMO'!Z27</f>
        <v>0</v>
      </c>
      <c r="N27" s="140" t="n">
        <f aca="false">MAX(0,M27-M26)</f>
        <v>0</v>
      </c>
      <c r="O27" s="139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RESUMO'!AA27</f>
        <v>0</v>
      </c>
      <c r="N28" s="140" t="n">
        <f aca="false">MAX(0,M28-M27)</f>
        <v>0</v>
      </c>
      <c r="O28" s="139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RESUMO'!AB27</f>
        <v>0</v>
      </c>
      <c r="N29" s="140" t="n">
        <f aca="false">MAX(0,M29-M28)</f>
        <v>0</v>
      </c>
      <c r="O29" s="139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RESUMO'!AC27</f>
        <v>0</v>
      </c>
      <c r="N30" s="140" t="n">
        <f aca="false">MAX(0,M30-M29)</f>
        <v>0</v>
      </c>
      <c r="O30" s="139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RESUMO'!AD27</f>
        <v>0</v>
      </c>
      <c r="N31" s="140" t="n">
        <f aca="false">MAX(0,M31-M30)</f>
        <v>0</v>
      </c>
      <c r="O31" s="139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RESUMO'!AE27</f>
        <v>0</v>
      </c>
      <c r="N32" s="140" t="n">
        <f aca="false">MAX(0,M32-M31)</f>
        <v>0</v>
      </c>
      <c r="O32" s="139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RESUMO'!AF27</f>
        <v>0</v>
      </c>
      <c r="N33" s="140" t="n">
        <f aca="false">MAX(0,M33-M32)</f>
        <v>0</v>
      </c>
      <c r="O33" s="139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RESUMO'!AG27</f>
        <v>0</v>
      </c>
      <c r="N34" s="140" t="n">
        <f aca="false">MAX(0,M34-M33)</f>
        <v>0</v>
      </c>
      <c r="O34" s="139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15447.0334000495</v>
      </c>
      <c r="E35" s="45" t="n">
        <f aca="false">L35+D35/$K$2</f>
        <v>11.9108369336539</v>
      </c>
      <c r="F35" s="117" t="n">
        <f aca="false">IF($K$9=0,0,E35/$K$9)</f>
        <v>0.0054</v>
      </c>
      <c r="G35" s="117" t="n">
        <f aca="false">G34+F35</f>
        <v>0.0054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RESUMO'!AH27</f>
        <v>0.54</v>
      </c>
      <c r="N35" s="140" t="n">
        <f aca="false">MAX(0,M35-M34)</f>
        <v>0.54</v>
      </c>
      <c r="O35" s="139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0.54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97545.1553595718</v>
      </c>
      <c r="E36" s="45" t="n">
        <f aca="false">L36+D36/$K$2</f>
        <v>75.2147295254813</v>
      </c>
      <c r="F36" s="117" t="n">
        <f aca="false">IF($K$9=0,0,E36/$K$9)</f>
        <v>0.0341</v>
      </c>
      <c r="G36" s="117" t="n">
        <f aca="false">G35+F36</f>
        <v>0.0395</v>
      </c>
      <c r="H36" s="138" t="n">
        <v>15275.52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RESUMO'!AI27</f>
        <v>3.95</v>
      </c>
      <c r="N36" s="140" t="n">
        <f aca="false">MAX(0,M36-M35)</f>
        <v>3.41</v>
      </c>
      <c r="O36" s="139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3.41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146746.81730047</v>
      </c>
      <c r="E37" s="45" t="n">
        <f aca="false">L37+D37/$K$2</f>
        <v>113.152950869712</v>
      </c>
      <c r="F37" s="117" t="n">
        <f aca="false">IF($K$9=0,0,E37/$K$9)</f>
        <v>0.0513</v>
      </c>
      <c r="G37" s="117" t="n">
        <f aca="false">G36+F37</f>
        <v>0.0908</v>
      </c>
      <c r="H37" s="138" t="n">
        <v>96462.07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RESUMO'!AJ27</f>
        <v>9.08</v>
      </c>
      <c r="N37" s="140" t="n">
        <f aca="false">MAX(0,M37-M36)</f>
        <v>5.13</v>
      </c>
      <c r="O37" s="139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5.13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140453.58147082</v>
      </c>
      <c r="E38" s="45" t="n">
        <f aca="false">L38+D38/$K$2</f>
        <v>108.30038767452</v>
      </c>
      <c r="F38" s="117" t="n">
        <f aca="false">IF($K$9=0,0,E38/$K$9)</f>
        <v>0.0491</v>
      </c>
      <c r="G38" s="117" t="n">
        <f aca="false">G37+F38</f>
        <v>0.1399</v>
      </c>
      <c r="H38" s="138" t="n">
        <v>145117.42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RESUMO'!AK27</f>
        <v>13.99</v>
      </c>
      <c r="N38" s="140" t="n">
        <f aca="false">MAX(0,M38-M37)</f>
        <v>4.91</v>
      </c>
      <c r="O38" s="139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4.91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184220.176104294</v>
      </c>
      <c r="E39" s="45" t="n">
        <f aca="false">L39+D39/$K$2</f>
        <v>142.047758986539</v>
      </c>
      <c r="F39" s="117" t="n">
        <f aca="false">IF($K$9=0,0,E39/$K$9)</f>
        <v>0.0644</v>
      </c>
      <c r="G39" s="117" t="n">
        <f aca="false">G38+F39</f>
        <v>0.2043</v>
      </c>
      <c r="H39" s="138" t="n">
        <v>138894.06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RESUMO'!AL27</f>
        <v>20.43</v>
      </c>
      <c r="N39" s="140" t="n">
        <f aca="false">MAX(0,M39-M38)</f>
        <v>6.44</v>
      </c>
      <c r="O39" s="139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6.44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245722.253530417</v>
      </c>
      <c r="E40" s="45" t="n">
        <f aca="false">L40+D40/$K$2</f>
        <v>189.470535666828</v>
      </c>
      <c r="F40" s="117" t="n">
        <f aca="false">IF($K$9=0,0,E40/$K$9)</f>
        <v>0.0859</v>
      </c>
      <c r="G40" s="117" t="n">
        <f aca="false">G39+F40</f>
        <v>0.2902</v>
      </c>
      <c r="H40" s="138" t="n">
        <v>143703.02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RESUMO'!AM27</f>
        <v>29.02</v>
      </c>
      <c r="N40" s="140" t="n">
        <f aca="false">MAX(0,M40-M39)</f>
        <v>8.59</v>
      </c>
      <c r="O40" s="139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8.59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130155.559204121</v>
      </c>
      <c r="E41" s="45" t="n">
        <f aca="false">L41+D41/$K$2</f>
        <v>100.359829718751</v>
      </c>
      <c r="F41" s="117" t="n">
        <f aca="false">IF($K$9=0,0,E41/$K$9)</f>
        <v>0.0455</v>
      </c>
      <c r="G41" s="117" t="n">
        <f aca="false">G40+F41</f>
        <v>0.3357</v>
      </c>
      <c r="H41" s="138" t="n">
        <v>242711.01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RESUMO'!AN27</f>
        <v>33.57</v>
      </c>
      <c r="N41" s="140" t="n">
        <f aca="false">MAX(0,M41-M40)</f>
        <v>4.55</v>
      </c>
      <c r="O41" s="139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4.55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142169.91851527</v>
      </c>
      <c r="E42" s="45" t="n">
        <f aca="false">L42+D42/$K$2</f>
        <v>109.623814000481</v>
      </c>
      <c r="F42" s="117" t="n">
        <f aca="false">IF($K$9=0,0,E42/$K$9)</f>
        <v>0.0497</v>
      </c>
      <c r="G42" s="117" t="n">
        <f aca="false">G41+F42</f>
        <v>0.3854</v>
      </c>
      <c r="H42" s="138" t="n">
        <v>167182.06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RESUMO'!AO27</f>
        <v>38.54</v>
      </c>
      <c r="N42" s="140" t="n">
        <f aca="false">MAX(0,M42-M41)</f>
        <v>4.97</v>
      </c>
      <c r="O42" s="139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4.97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141311.749993045</v>
      </c>
      <c r="E43" s="45" t="n">
        <f aca="false">L43+D43/$K$2</f>
        <v>108.962100837501</v>
      </c>
      <c r="F43" s="117" t="n">
        <f aca="false">IF($K$9=0,0,E43/$K$9)</f>
        <v>0.0494</v>
      </c>
      <c r="G43" s="117" t="n">
        <f aca="false">G42+F43</f>
        <v>0.4348</v>
      </c>
      <c r="H43" s="138" t="n">
        <v>140591.34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RESUMO'!AP27</f>
        <v>43.48</v>
      </c>
      <c r="N43" s="140" t="n">
        <f aca="false">MAX(0,M43-M42)</f>
        <v>4.94</v>
      </c>
      <c r="O43" s="139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4.94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218832.973167368</v>
      </c>
      <c r="E44" s="45" t="n">
        <f aca="false">L44+D44/$K$2</f>
        <v>168.736856560097</v>
      </c>
      <c r="F44" s="117" t="n">
        <f aca="false">IF($K$9=0,0,E44/$K$9)</f>
        <v>0.0765000000000001</v>
      </c>
      <c r="G44" s="117" t="n">
        <f aca="false">G43+F44</f>
        <v>0.5113</v>
      </c>
      <c r="H44" s="138" t="n">
        <v>140025.58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RESUMO'!AQ27</f>
        <v>51.13</v>
      </c>
      <c r="N44" s="140" t="n">
        <f aca="false">MAX(0,M44-M43)</f>
        <v>7.65000000000001</v>
      </c>
      <c r="O44" s="139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7.65000000000001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157616.95191532</v>
      </c>
      <c r="E45" s="45" t="n">
        <f aca="false">L45+D45/$K$2</f>
        <v>121.534650934135</v>
      </c>
      <c r="F45" s="117" t="n">
        <f aca="false">IF($K$9=0,0,E45/$K$9)</f>
        <v>0.0551</v>
      </c>
      <c r="G45" s="117" t="n">
        <f aca="false">G44+F45</f>
        <v>0.5664</v>
      </c>
      <c r="H45" s="138" t="n">
        <v>216403.17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RESUMO'!AR27</f>
        <v>56.64</v>
      </c>
      <c r="N45" s="140" t="n">
        <f aca="false">MAX(0,M45-M44)</f>
        <v>5.51</v>
      </c>
      <c r="O45" s="139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5.51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196806.647763594</v>
      </c>
      <c r="E46" s="45" t="n">
        <f aca="false">L46+D46/$K$2</f>
        <v>151.752885376924</v>
      </c>
      <c r="F46" s="117" t="n">
        <f aca="false">IF($K$9=0,0,E46/$K$9)</f>
        <v>0.0688</v>
      </c>
      <c r="G46" s="117" t="n">
        <f aca="false">G45+F46</f>
        <v>0.6352</v>
      </c>
      <c r="H46" s="138" t="n">
        <v>153320.94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RESUMO'!AS27</f>
        <v>63.52</v>
      </c>
      <c r="N46" s="140" t="n">
        <f aca="false">MAX(0,M46-M45)</f>
        <v>6.88</v>
      </c>
      <c r="O46" s="139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6.88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115566.694326296</v>
      </c>
      <c r="E47" s="45" t="n">
        <f aca="false">L47+D47/$K$2</f>
        <v>89.1107059480775</v>
      </c>
      <c r="F47" s="117" t="n">
        <f aca="false">IF($K$9=0,0,E47/$K$9)</f>
        <v>0.0404</v>
      </c>
      <c r="G47" s="117" t="n">
        <f aca="false">G46+F47</f>
        <v>0.6756</v>
      </c>
      <c r="H47" s="138" t="n">
        <v>121072.63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RESUMO'!AT27</f>
        <v>67.56</v>
      </c>
      <c r="N47" s="140" t="n">
        <f aca="false">MAX(0,M47-M46)</f>
        <v>4.04</v>
      </c>
      <c r="O47" s="139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4.04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150179.49138937</v>
      </c>
      <c r="E48" s="45" t="n">
        <f aca="false">L48+D48/$K$2</f>
        <v>115.799803521635</v>
      </c>
      <c r="F48" s="117" t="n">
        <f aca="false">IF($K$9=0,0,E48/$K$9)</f>
        <v>0.0525</v>
      </c>
      <c r="G48" s="117" t="n">
        <f aca="false">G47+F48</f>
        <v>0.7281</v>
      </c>
      <c r="H48" s="138" t="n">
        <v>186135.02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RESUMO'!AU27</f>
        <v>72.81</v>
      </c>
      <c r="N48" s="140" t="n">
        <f aca="false">MAX(0,M48-M47)</f>
        <v>5.25</v>
      </c>
      <c r="O48" s="139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5.25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295209.97164539</v>
      </c>
      <c r="E49" s="45" t="n">
        <f aca="false">L49+D49/$K$2</f>
        <v>227.629328065386</v>
      </c>
      <c r="F49" s="117" t="n">
        <f aca="false">IF($K$9=0,0,E49/$K$9)</f>
        <v>0.1032</v>
      </c>
      <c r="G49" s="117" t="n">
        <f aca="false">G48+F49</f>
        <v>0.8313</v>
      </c>
      <c r="H49" s="138" t="n">
        <v>138328.3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RESUMO'!AV27</f>
        <v>83.13</v>
      </c>
      <c r="N49" s="140" t="n">
        <f aca="false">MAX(0,M49-M48)</f>
        <v>10.32</v>
      </c>
      <c r="O49" s="139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10.32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156186.671044945</v>
      </c>
      <c r="E50" s="45" t="n">
        <f aca="false">L50+D50/$K$2</f>
        <v>120.431795662501</v>
      </c>
      <c r="F50" s="117" t="n">
        <f aca="false">IF($K$9=0,0,E50/$K$9)</f>
        <v>0.0546000000000001</v>
      </c>
      <c r="G50" s="117" t="n">
        <f aca="false">G49+F50</f>
        <v>0.8859</v>
      </c>
      <c r="H50" s="138" t="n">
        <v>273262.05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RESUMO'!AW27</f>
        <v>88.59</v>
      </c>
      <c r="N50" s="140" t="n">
        <f aca="false">MAX(0,M50-M49)</f>
        <v>5.46000000000001</v>
      </c>
      <c r="O50" s="139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5.46000000000001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86102.908396572</v>
      </c>
      <c r="E51" s="45" t="n">
        <f aca="false">L51+D51/$K$2</f>
        <v>66.3918873524041</v>
      </c>
      <c r="F51" s="117" t="n">
        <f aca="false">IF($K$9=0,0,E51/$K$9)</f>
        <v>0.0300999999999999</v>
      </c>
      <c r="G51" s="117" t="n">
        <f aca="false">G50+F51</f>
        <v>0.916</v>
      </c>
      <c r="H51" s="138" t="n">
        <v>155018.22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RESUMO'!AX27</f>
        <v>91.6</v>
      </c>
      <c r="N51" s="140" t="n">
        <f aca="false">MAX(0,M51-M50)</f>
        <v>3.00999999999999</v>
      </c>
      <c r="O51" s="139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3.00999999999999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62932.358296498</v>
      </c>
      <c r="E52" s="45" t="n">
        <f aca="false">L52+D52/$K$2</f>
        <v>48.5256319519235</v>
      </c>
      <c r="F52" s="117" t="n">
        <f aca="false">IF($K$9=0,0,E52/$K$9)</f>
        <v>0.022</v>
      </c>
      <c r="G52" s="117" t="n">
        <f aca="false">G51+F52</f>
        <v>0.938</v>
      </c>
      <c r="H52" s="138" t="n">
        <v>40451.84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RESUMO'!AY27</f>
        <v>93.8</v>
      </c>
      <c r="N52" s="140" t="n">
        <f aca="false">MAX(0,M52-M51)</f>
        <v>2.2</v>
      </c>
      <c r="O52" s="139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2.2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46627.1563742238</v>
      </c>
      <c r="E53" s="45" t="n">
        <f aca="false">L53+D53/$K$2</f>
        <v>35.9530818552889</v>
      </c>
      <c r="F53" s="117" t="n">
        <f aca="false">IF($K$9=0,0,E53/$K$9)</f>
        <v>0.0163000000000001</v>
      </c>
      <c r="G53" s="117" t="n">
        <f aca="false">G52+F53</f>
        <v>0.9543</v>
      </c>
      <c r="H53" s="138" t="n">
        <v>79489.27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RESUMO'!AZ27</f>
        <v>95.43</v>
      </c>
      <c r="N53" s="140" t="n">
        <f aca="false">MAX(0,M53-M52)</f>
        <v>1.63000000000001</v>
      </c>
      <c r="O53" s="139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1.63000000000001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82670.2343076719</v>
      </c>
      <c r="E54" s="45" t="n">
        <f aca="false">L54+D54/$K$2</f>
        <v>63.7450347004809</v>
      </c>
      <c r="F54" s="117" t="n">
        <f aca="false">IF($K$9=0,0,E54/$K$9)</f>
        <v>0.0288999999999999</v>
      </c>
      <c r="G54" s="117" t="n">
        <f aca="false">G53+F54</f>
        <v>0.9832</v>
      </c>
      <c r="H54" s="138" t="n">
        <v>44129.27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RESUMO'!BA27</f>
        <v>98.32</v>
      </c>
      <c r="N54" s="140" t="n">
        <f aca="false">MAX(0,M54-M53)</f>
        <v>2.88999999999999</v>
      </c>
      <c r="O54" s="139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2.88999999999999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48057.4372445986</v>
      </c>
      <c r="E55" s="45" t="n">
        <f aca="false">L55+D55/$K$2</f>
        <v>37.0559371269235</v>
      </c>
      <c r="F55" s="117" t="n">
        <f aca="false">IF($K$9=0,0,E55/$K$9)</f>
        <v>0.0168000000000001</v>
      </c>
      <c r="G55" s="117" t="n">
        <f aca="false">G54+F55</f>
        <v>1</v>
      </c>
      <c r="H55" s="138" t="n">
        <v>95896.31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RESUMO'!BB27</f>
        <v>100</v>
      </c>
      <c r="N55" s="140" t="n">
        <f aca="false">MAX(0,M55-M54)</f>
        <v>1.68000000000001</v>
      </c>
      <c r="O55" s="139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1.68000000000001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68174.07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RESUMO'!BC27</f>
        <v>100</v>
      </c>
      <c r="N56" s="140" t="n">
        <f aca="false">MAX(0,M56-M55)</f>
        <v>0</v>
      </c>
      <c r="O56" s="139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 t="n">
        <v>27156.48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RESUMO'!BD27</f>
        <v>100</v>
      </c>
      <c r="N57" s="140" t="n">
        <f aca="false">MAX(0,M57-M56)</f>
        <v>0</v>
      </c>
      <c r="O57" s="139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RESUMO'!BE27</f>
        <v>100</v>
      </c>
      <c r="N58" s="140" t="n">
        <f aca="false">MAX(0,M58-M57)</f>
        <v>0</v>
      </c>
      <c r="O58" s="139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RESUMO'!BF27</f>
        <v>100</v>
      </c>
      <c r="N59" s="140" t="n">
        <f aca="false">MAX(0,M59-M58)</f>
        <v>0</v>
      </c>
      <c r="O59" s="139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RESUMO'!BG27</f>
        <v>100</v>
      </c>
      <c r="N60" s="140" t="n">
        <f aca="false">MAX(0,M60-M59)</f>
        <v>0</v>
      </c>
      <c r="O60" s="139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RESUMO'!BH27</f>
        <v>100</v>
      </c>
      <c r="N61" s="140" t="n">
        <f aca="false">MAX(0,M61-M60)</f>
        <v>0</v>
      </c>
      <c r="O61" s="139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RESUMO'!BI27</f>
        <v>100</v>
      </c>
      <c r="N62" s="140" t="n">
        <f aca="false">MAX(0,M62-M61)</f>
        <v>0</v>
      </c>
      <c r="O62" s="139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RESUMO'!BJ27</f>
        <v>100</v>
      </c>
      <c r="N63" s="140" t="n">
        <f aca="false">MAX(0,M63-M62)</f>
        <v>0</v>
      </c>
      <c r="O63" s="139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RESUMO'!BK27</f>
        <v>100</v>
      </c>
      <c r="N64" s="140" t="n">
        <f aca="false">MAX(0,M64-M63)</f>
        <v>0</v>
      </c>
      <c r="O64" s="139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RESUMO'!BL27</f>
        <v>100</v>
      </c>
      <c r="N65" s="140" t="n">
        <f aca="false">MAX(0,M65-M64)</f>
        <v>0</v>
      </c>
      <c r="O65" s="139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RESUMO'!BM27</f>
        <v>100</v>
      </c>
      <c r="N66" s="140" t="n">
        <f aca="false">MAX(0,M66-M65)</f>
        <v>0</v>
      </c>
      <c r="O66" s="139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RESUMO'!BN27</f>
        <v>100</v>
      </c>
      <c r="N67" s="140" t="n">
        <f aca="false">MAX(0,M67-M66)</f>
        <v>0</v>
      </c>
      <c r="O67" s="139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RESUMO'!BO27</f>
        <v>100</v>
      </c>
      <c r="N68" s="140" t="n">
        <f aca="false">MAX(0,M68-M67)</f>
        <v>0</v>
      </c>
      <c r="O68" s="139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RESUMO'!BP27</f>
        <v>100</v>
      </c>
      <c r="N69" s="140" t="n">
        <f aca="false">MAX(0,M69-M68)</f>
        <v>0</v>
      </c>
      <c r="O69" s="139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RESUMO'!BQ27</f>
        <v>100</v>
      </c>
      <c r="N70" s="140" t="n">
        <f aca="false">MAX(0,M70-M69)</f>
        <v>0</v>
      </c>
      <c r="O70" s="139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RESUMO'!BR27</f>
        <v>100</v>
      </c>
      <c r="N71" s="140" t="n">
        <f aca="false">MAX(0,M71-M70)</f>
        <v>0</v>
      </c>
      <c r="O71" s="139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RESUMO'!BS27</f>
        <v>100</v>
      </c>
      <c r="N72" s="140" t="n">
        <f aca="false">MAX(0,M72-M71)</f>
        <v>0</v>
      </c>
      <c r="O72" s="139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RESUMO'!BT27</f>
        <v>100</v>
      </c>
      <c r="N73" s="140" t="n">
        <f aca="false">MAX(0,M73-M72)</f>
        <v>0</v>
      </c>
      <c r="O73" s="139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RESUMO'!BU27</f>
        <v>100</v>
      </c>
      <c r="N74" s="140" t="n">
        <f aca="false">MAX(0,M74-M73)</f>
        <v>0</v>
      </c>
      <c r="O74" s="139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RESUMO'!BV27</f>
        <v>100</v>
      </c>
      <c r="N75" s="140" t="n">
        <f aca="false">MAX(0,M75-M74)</f>
        <v>0</v>
      </c>
      <c r="O75" s="139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RESUMO'!BW27</f>
        <v>100</v>
      </c>
      <c r="N76" s="140" t="n">
        <f aca="false">MAX(0,M76-M75)</f>
        <v>0</v>
      </c>
      <c r="O76" s="139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2860561.74074991</v>
      </c>
      <c r="E78" s="61" t="n">
        <f aca="false">SUM(E5:E76)</f>
        <v>2205.71054326924</v>
      </c>
      <c r="F78" s="145" t="n">
        <f aca="false">SUM(F5:F76)</f>
        <v>1</v>
      </c>
      <c r="H78" s="61" t="n">
        <f aca="false">SUM(H5:H76)</f>
        <v>2828799.65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PL'!F34</f>
        <v>3236182.09</v>
      </c>
      <c r="K5" s="56" t="n">
        <f aca="false">'VALOR POR PL'!G34</f>
        <v>2659.789702</v>
      </c>
      <c r="L5" s="56" t="n">
        <f aca="false">'DADOS HISTORICOS'!$BZ$28</f>
        <v>0</v>
      </c>
      <c r="M5" s="139" t="n">
        <f aca="false">'CP RESUMO'!D28</f>
        <v>0</v>
      </c>
      <c r="N5" s="140" t="n">
        <v>0</v>
      </c>
      <c r="O5" s="139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PL'!H34</f>
        <v>2659.789702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RESUMO'!E28</f>
        <v>0</v>
      </c>
      <c r="N6" s="140" t="n">
        <f aca="false">MAX(0,M6-M5)</f>
        <v>0</v>
      </c>
      <c r="O6" s="139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3448087.94380953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RESUMO'!F28</f>
        <v>0</v>
      </c>
      <c r="N7" s="140" t="n">
        <f aca="false">MAX(0,M7-M6)</f>
        <v>0</v>
      </c>
      <c r="O7" s="139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RESUMO'!G28</f>
        <v>0</v>
      </c>
      <c r="N8" s="140" t="n">
        <f aca="false">MAX(0,M8-M7)</f>
        <v>0</v>
      </c>
      <c r="O8" s="139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3448087.94380953</v>
      </c>
      <c r="K9" s="45" t="n">
        <f aca="false">E78</f>
        <v>2658.73790571863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RESUMO'!H28</f>
        <v>0</v>
      </c>
      <c r="N9" s="140" t="n">
        <f aca="false">MAX(0,M9-M8)</f>
        <v>0</v>
      </c>
      <c r="O9" s="139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2658.73790571863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RESUMO'!I28</f>
        <v>0</v>
      </c>
      <c r="N10" s="140" t="n">
        <f aca="false">MAX(0,M10-M9)</f>
        <v>0</v>
      </c>
      <c r="O10" s="139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3409802.34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RESUMO'!J28</f>
        <v>0</v>
      </c>
      <c r="N11" s="140" t="n">
        <f aca="false">MAX(0,M11-M10)</f>
        <v>0</v>
      </c>
      <c r="O11" s="139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RESUMO'!K28</f>
        <v>0</v>
      </c>
      <c r="N12" s="140" t="n">
        <f aca="false">MAX(0,M12-M11)</f>
        <v>0</v>
      </c>
      <c r="O12" s="139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RESUMO'!L28</f>
        <v>0</v>
      </c>
      <c r="N13" s="140" t="n">
        <f aca="false">MAX(0,M13-M12)</f>
        <v>0</v>
      </c>
      <c r="O13" s="139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RESUMO'!M28</f>
        <v>0</v>
      </c>
      <c r="N14" s="140" t="n">
        <f aca="false">MAX(0,M14-M13)</f>
        <v>0</v>
      </c>
      <c r="O14" s="139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RESUMO'!N28</f>
        <v>0</v>
      </c>
      <c r="N15" s="140" t="n">
        <f aca="false">MAX(0,M15-M14)</f>
        <v>0</v>
      </c>
      <c r="O15" s="139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RESUMO'!O28</f>
        <v>0</v>
      </c>
      <c r="N16" s="140" t="n">
        <f aca="false">MAX(0,M16-M15)</f>
        <v>0</v>
      </c>
      <c r="O16" s="139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3409802.34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RESUMO'!P28</f>
        <v>0</v>
      </c>
      <c r="N17" s="140" t="n">
        <f aca="false">MAX(0,M17-M16)</f>
        <v>0</v>
      </c>
      <c r="O17" s="139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3448087.94380953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RESUMO'!Q28</f>
        <v>0</v>
      </c>
      <c r="N18" s="140" t="n">
        <f aca="false">MAX(0,M18-M17)</f>
        <v>0</v>
      </c>
      <c r="O18" s="139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0.0112281006322295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RESUMO'!R28</f>
        <v>0</v>
      </c>
      <c r="N19" s="140" t="n">
        <f aca="false">MAX(0,M19-M18)</f>
        <v>0</v>
      </c>
      <c r="O19" s="139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RESUMO'!S28</f>
        <v>0</v>
      </c>
      <c r="N20" s="140" t="n">
        <f aca="false">MAX(0,M20-M19)</f>
        <v>0</v>
      </c>
      <c r="O20" s="139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RESUMO'!T28</f>
        <v>0</v>
      </c>
      <c r="N21" s="140" t="n">
        <f aca="false">MAX(0,M21-M20)</f>
        <v>0</v>
      </c>
      <c r="O21" s="139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RESUMO'!U28</f>
        <v>0</v>
      </c>
      <c r="N22" s="140" t="n">
        <f aca="false">MAX(0,M22-M21)</f>
        <v>0</v>
      </c>
      <c r="O22" s="139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HISTORICOS'!V28)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RESUMO'!V28</f>
        <v>0</v>
      </c>
      <c r="N23" s="140" t="n">
        <f aca="false">MAX(0,M23-M22)</f>
        <v>0</v>
      </c>
      <c r="O23" s="139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3014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RESUMO'!W28</f>
        <v>0</v>
      </c>
      <c r="N24" s="140" t="n">
        <f aca="false">MAX(0,M24-M23)</f>
        <v>0</v>
      </c>
      <c r="O24" s="139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RESUMO'!X28</f>
        <v>0</v>
      </c>
      <c r="N25" s="140" t="n">
        <f aca="false">MAX(0,M25-M24)</f>
        <v>0</v>
      </c>
      <c r="O25" s="139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RESUMO'!Y28</f>
        <v>0</v>
      </c>
      <c r="N26" s="140" t="n">
        <f aca="false">MAX(0,M26-M25)</f>
        <v>0</v>
      </c>
      <c r="O26" s="139" t="str">
        <f aca="false">IF(B26&lt;='VALOR POR PL'!$P$5,'CP RESUMO'!Y70,"")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HISTORICOS'!Z28)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RESUMO'!Z28</f>
        <v>0</v>
      </c>
      <c r="N27" s="140" t="n">
        <f aca="false">MAX(0,M27-M26)</f>
        <v>0</v>
      </c>
      <c r="O27" s="139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RESUMO'!AA28</f>
        <v>0</v>
      </c>
      <c r="N28" s="140" t="n">
        <f aca="false">MAX(0,M28-M27)</f>
        <v>0</v>
      </c>
      <c r="O28" s="139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RESUMO'!AB28</f>
        <v>0</v>
      </c>
      <c r="N29" s="140" t="n">
        <f aca="false">MAX(0,M29-M28)</f>
        <v>0</v>
      </c>
      <c r="O29" s="139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RESUMO'!AC28</f>
        <v>0</v>
      </c>
      <c r="N30" s="140" t="n">
        <f aca="false">MAX(0,M30-M29)</f>
        <v>0</v>
      </c>
      <c r="O30" s="139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RESUMO'!AD28</f>
        <v>0</v>
      </c>
      <c r="N31" s="140" t="n">
        <f aca="false">MAX(0,M31-M30)</f>
        <v>0</v>
      </c>
      <c r="O31" s="139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RESUMO'!AE28</f>
        <v>0</v>
      </c>
      <c r="N32" s="140" t="n">
        <f aca="false">MAX(0,M32-M31)</f>
        <v>0</v>
      </c>
      <c r="O32" s="139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RESUMO'!AF28</f>
        <v>0</v>
      </c>
      <c r="N33" s="140" t="n">
        <f aca="false">MAX(0,M33-M32)</f>
        <v>0</v>
      </c>
      <c r="O33" s="139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RESUMO'!AG28</f>
        <v>0</v>
      </c>
      <c r="N34" s="140" t="n">
        <f aca="false">MAX(0,M34-M33)</f>
        <v>0</v>
      </c>
      <c r="O34" s="139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RESUMO'!AH28</f>
        <v>0</v>
      </c>
      <c r="N35" s="140" t="n">
        <f aca="false">MAX(0,M35-M34)</f>
        <v>0</v>
      </c>
      <c r="O35" s="139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RESUMO'!AI28</f>
        <v>0</v>
      </c>
      <c r="N36" s="140" t="n">
        <f aca="false">MAX(0,M36-M35)</f>
        <v>0</v>
      </c>
      <c r="O36" s="139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308884.224425972</v>
      </c>
      <c r="E37" s="45" t="n">
        <f aca="false">L37+D37/$K$2</f>
        <v>238.173216386269</v>
      </c>
      <c r="F37" s="117" t="n">
        <f aca="false">IF($K$9=0,0,E37/$K$9)</f>
        <v>0.0895813069328822</v>
      </c>
      <c r="G37" s="117" t="n">
        <f aca="false">G36+F37</f>
        <v>0.0895813069328822</v>
      </c>
      <c r="H37" s="138" t="n">
        <v>305454.55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RESUMO'!AJ28</f>
        <v>0</v>
      </c>
      <c r="N37" s="140" t="n">
        <f aca="false">MAX(0,M37-M36)</f>
        <v>0</v>
      </c>
      <c r="O37" s="139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305454.55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308884.224425972</v>
      </c>
      <c r="E38" s="45" t="n">
        <f aca="false">L38+D38/$K$2</f>
        <v>238.173216386269</v>
      </c>
      <c r="F38" s="117" t="n">
        <f aca="false">IF($K$9=0,0,E38/$K$9)</f>
        <v>0.0895813069328822</v>
      </c>
      <c r="G38" s="117" t="n">
        <f aca="false">G37+F38</f>
        <v>0.179162613865764</v>
      </c>
      <c r="H38" s="138" t="n">
        <v>305454.55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RESUMO'!AK28</f>
        <v>0</v>
      </c>
      <c r="N38" s="140" t="n">
        <f aca="false">MAX(0,M38-M37)</f>
        <v>0</v>
      </c>
      <c r="O38" s="139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305454.55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308884.224425972</v>
      </c>
      <c r="E39" s="45" t="n">
        <f aca="false">L39+D39/$K$2</f>
        <v>238.173216386269</v>
      </c>
      <c r="F39" s="117" t="n">
        <f aca="false">IF($K$9=0,0,E39/$K$9)</f>
        <v>0.0895813069328822</v>
      </c>
      <c r="G39" s="117" t="n">
        <f aca="false">G38+F39</f>
        <v>0.268743920798647</v>
      </c>
      <c r="H39" s="138" t="n">
        <v>305454.55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RESUMO'!AL28</f>
        <v>0</v>
      </c>
      <c r="N39" s="140" t="n">
        <f aca="false">MAX(0,M39-M38)</f>
        <v>0</v>
      </c>
      <c r="O39" s="139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305454.55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308884.224425972</v>
      </c>
      <c r="E40" s="45" t="n">
        <f aca="false">L40+D40/$K$2</f>
        <v>238.173216386269</v>
      </c>
      <c r="F40" s="117" t="n">
        <f aca="false">IF($K$9=0,0,E40/$K$9)</f>
        <v>0.0895813069328822</v>
      </c>
      <c r="G40" s="117" t="n">
        <f aca="false">G39+F40</f>
        <v>0.358325227731529</v>
      </c>
      <c r="H40" s="138" t="n">
        <v>305454.55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RESUMO'!AM28</f>
        <v>0</v>
      </c>
      <c r="N40" s="140" t="n">
        <f aca="false">MAX(0,M40-M39)</f>
        <v>0</v>
      </c>
      <c r="O40" s="139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305454.55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308884.224425972</v>
      </c>
      <c r="E41" s="45" t="n">
        <f aca="false">L41+D41/$K$2</f>
        <v>238.173216386269</v>
      </c>
      <c r="F41" s="117" t="n">
        <f aca="false">IF($K$9=0,0,E41/$K$9)</f>
        <v>0.0895813069328822</v>
      </c>
      <c r="G41" s="117" t="n">
        <f aca="false">G40+F41</f>
        <v>0.447906534664411</v>
      </c>
      <c r="H41" s="138" t="n">
        <v>305454.55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RESUMO'!AN28</f>
        <v>0</v>
      </c>
      <c r="N41" s="140" t="n">
        <f aca="false">MAX(0,M41-M40)</f>
        <v>0</v>
      </c>
      <c r="O41" s="139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305454.55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308884.224425972</v>
      </c>
      <c r="E42" s="45" t="n">
        <f aca="false">L42+D42/$K$2</f>
        <v>238.173216386269</v>
      </c>
      <c r="F42" s="117" t="n">
        <f aca="false">IF($K$9=0,0,E42/$K$9)</f>
        <v>0.0895813069328822</v>
      </c>
      <c r="G42" s="117" t="n">
        <f aca="false">G41+F42</f>
        <v>0.537487841597293</v>
      </c>
      <c r="H42" s="138" t="n">
        <v>305454.55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RESUMO'!AO28</f>
        <v>0</v>
      </c>
      <c r="N42" s="140" t="n">
        <f aca="false">MAX(0,M42-M41)</f>
        <v>0</v>
      </c>
      <c r="O42" s="139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305454.55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308884.224425972</v>
      </c>
      <c r="E43" s="45" t="n">
        <f aca="false">L43+D43/$K$2</f>
        <v>238.173216386269</v>
      </c>
      <c r="F43" s="117" t="n">
        <f aca="false">IF($K$9=0,0,E43/$K$9)</f>
        <v>0.0895813069328822</v>
      </c>
      <c r="G43" s="117" t="n">
        <f aca="false">G42+F43</f>
        <v>0.627069148530176</v>
      </c>
      <c r="H43" s="138" t="n">
        <v>305454.55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RESUMO'!AP28</f>
        <v>0</v>
      </c>
      <c r="N43" s="140" t="n">
        <f aca="false">MAX(0,M43-M42)</f>
        <v>0</v>
      </c>
      <c r="O43" s="139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305454.55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315555.741146207</v>
      </c>
      <c r="E44" s="45" t="n">
        <f aca="false">L44+D44/$K$2</f>
        <v>243.317462902536</v>
      </c>
      <c r="F44" s="117" t="n">
        <f aca="false">IF($K$9=0,0,E44/$K$9)</f>
        <v>0.0915161522236506</v>
      </c>
      <c r="G44" s="117" t="n">
        <f aca="false">G43+F44</f>
        <v>0.718585300753826</v>
      </c>
      <c r="H44" s="138" t="n">
        <v>312051.99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RESUMO'!AQ28</f>
        <v>0</v>
      </c>
      <c r="N44" s="140" t="n">
        <f aca="false">MAX(0,M44-M43)</f>
        <v>0</v>
      </c>
      <c r="O44" s="139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312051.99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315555.741146207</v>
      </c>
      <c r="E45" s="45" t="n">
        <f aca="false">L45+D45/$K$2</f>
        <v>243.317462902536</v>
      </c>
      <c r="F45" s="117" t="n">
        <f aca="false">IF($K$9=0,0,E45/$K$9)</f>
        <v>0.0915161522236506</v>
      </c>
      <c r="G45" s="117" t="n">
        <f aca="false">G44+F45</f>
        <v>0.810101452977477</v>
      </c>
      <c r="H45" s="138" t="n">
        <v>312051.99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RESUMO'!AR28</f>
        <v>0</v>
      </c>
      <c r="N45" s="140" t="n">
        <f aca="false">MAX(0,M45-M44)</f>
        <v>0</v>
      </c>
      <c r="O45" s="139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312051.99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315555.741146207</v>
      </c>
      <c r="E46" s="45" t="n">
        <f aca="false">L46+D46/$K$2</f>
        <v>243.317462902536</v>
      </c>
      <c r="F46" s="117" t="n">
        <f aca="false">IF($K$9=0,0,E46/$K$9)</f>
        <v>0.0915161522236506</v>
      </c>
      <c r="G46" s="117" t="n">
        <f aca="false">G45+F46</f>
        <v>0.901617605201127</v>
      </c>
      <c r="H46" s="138" t="n">
        <v>312051.99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RESUMO'!AS28</f>
        <v>9.09</v>
      </c>
      <c r="N46" s="140" t="n">
        <f aca="false">MAX(0,M46-M45)</f>
        <v>9.09</v>
      </c>
      <c r="O46" s="139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312051.99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308884.224425972</v>
      </c>
      <c r="E47" s="45" t="n">
        <f aca="false">L47+D47/$K$2</f>
        <v>238.173216386269</v>
      </c>
      <c r="F47" s="117" t="n">
        <f aca="false">IF($K$9=0,0,E47/$K$9)</f>
        <v>0.0895813069328822</v>
      </c>
      <c r="G47" s="117" t="n">
        <f aca="false">G46+F47</f>
        <v>0.99119891213401</v>
      </c>
      <c r="H47" s="138" t="n">
        <v>305454.55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RESUMO'!AT28</f>
        <v>30.3</v>
      </c>
      <c r="N47" s="140" t="n">
        <f aca="false">MAX(0,M47-M46)</f>
        <v>21.21</v>
      </c>
      <c r="O47" s="139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305454.55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0.99119891213401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RESUMO'!AU28</f>
        <v>51.52</v>
      </c>
      <c r="N48" s="140" t="n">
        <f aca="false">MAX(0,M48-M47)</f>
        <v>21.22</v>
      </c>
      <c r="O48" s="139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0.99119891213401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RESUMO'!AV28</f>
        <v>73.74</v>
      </c>
      <c r="N49" s="140" t="n">
        <f aca="false">MAX(0,M49-M48)</f>
        <v>22.22</v>
      </c>
      <c r="O49" s="139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30346.9249631302</v>
      </c>
      <c r="E50" s="45" t="n">
        <f aca="false">L50+D50/$K$2</f>
        <v>23.3997859208692</v>
      </c>
      <c r="F50" s="117" t="n">
        <f aca="false">IF($K$9=0,0,E50/$K$9)</f>
        <v>0.0088010878659905</v>
      </c>
      <c r="G50" s="117" t="n">
        <f aca="false">G49+F50</f>
        <v>1</v>
      </c>
      <c r="H50" s="138" t="n">
        <v>30009.97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RESUMO'!AW28</f>
        <v>93.94</v>
      </c>
      <c r="N50" s="140" t="n">
        <f aca="false">MAX(0,M50-M49)</f>
        <v>20.2</v>
      </c>
      <c r="O50" s="139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30009.97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RESUMO'!AX28</f>
        <v>100</v>
      </c>
      <c r="N51" s="140" t="n">
        <f aca="false">MAX(0,M51-M50)</f>
        <v>6.06</v>
      </c>
      <c r="O51" s="139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RESUMO'!AY28</f>
        <v>100</v>
      </c>
      <c r="N52" s="140" t="n">
        <f aca="false">MAX(0,M52-M51)</f>
        <v>0</v>
      </c>
      <c r="O52" s="139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RESUMO'!AZ28</f>
        <v>100</v>
      </c>
      <c r="N53" s="140" t="n">
        <f aca="false">MAX(0,M53-M52)</f>
        <v>0</v>
      </c>
      <c r="O53" s="139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RESUMO'!BA28</f>
        <v>100</v>
      </c>
      <c r="N54" s="140" t="n">
        <f aca="false">MAX(0,M54-M53)</f>
        <v>0</v>
      </c>
      <c r="O54" s="139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RESUMO'!BB28</f>
        <v>100</v>
      </c>
      <c r="N55" s="140" t="n">
        <f aca="false">MAX(0,M55-M54)</f>
        <v>0</v>
      </c>
      <c r="O55" s="139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RESUMO'!BC28</f>
        <v>100</v>
      </c>
      <c r="N56" s="140" t="n">
        <f aca="false">MAX(0,M56-M55)</f>
        <v>0</v>
      </c>
      <c r="O56" s="139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RESUMO'!BD28</f>
        <v>100</v>
      </c>
      <c r="N57" s="140" t="n">
        <f aca="false">MAX(0,M57-M56)</f>
        <v>0</v>
      </c>
      <c r="O57" s="139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RESUMO'!BE28</f>
        <v>100</v>
      </c>
      <c r="N58" s="140" t="n">
        <f aca="false">MAX(0,M58-M57)</f>
        <v>0</v>
      </c>
      <c r="O58" s="139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RESUMO'!BF28</f>
        <v>100</v>
      </c>
      <c r="N59" s="140" t="n">
        <f aca="false">MAX(0,M59-M58)</f>
        <v>0</v>
      </c>
      <c r="O59" s="139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RESUMO'!BG28</f>
        <v>100</v>
      </c>
      <c r="N60" s="140" t="n">
        <f aca="false">MAX(0,M60-M59)</f>
        <v>0</v>
      </c>
      <c r="O60" s="139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RESUMO'!BH28</f>
        <v>100</v>
      </c>
      <c r="N61" s="140" t="n">
        <f aca="false">MAX(0,M61-M60)</f>
        <v>0</v>
      </c>
      <c r="O61" s="139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RESUMO'!BI28</f>
        <v>100</v>
      </c>
      <c r="N62" s="140" t="n">
        <f aca="false">MAX(0,M62-M61)</f>
        <v>0</v>
      </c>
      <c r="O62" s="139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RESUMO'!BJ28</f>
        <v>100</v>
      </c>
      <c r="N63" s="140" t="n">
        <f aca="false">MAX(0,M63-M62)</f>
        <v>0</v>
      </c>
      <c r="O63" s="139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RESUMO'!BK28</f>
        <v>100</v>
      </c>
      <c r="N64" s="140" t="n">
        <f aca="false">MAX(0,M64-M63)</f>
        <v>0</v>
      </c>
      <c r="O64" s="139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RESUMO'!BL28</f>
        <v>100</v>
      </c>
      <c r="N65" s="140" t="n">
        <f aca="false">MAX(0,M65-M64)</f>
        <v>0</v>
      </c>
      <c r="O65" s="139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RESUMO'!BM28</f>
        <v>100</v>
      </c>
      <c r="N66" s="140" t="n">
        <f aca="false">MAX(0,M66-M65)</f>
        <v>0</v>
      </c>
      <c r="O66" s="139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RESUMO'!BN28</f>
        <v>100</v>
      </c>
      <c r="N67" s="140" t="n">
        <f aca="false">MAX(0,M67-M66)</f>
        <v>0</v>
      </c>
      <c r="O67" s="139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RESUMO'!BO28</f>
        <v>100</v>
      </c>
      <c r="N68" s="140" t="n">
        <f aca="false">MAX(0,M68-M67)</f>
        <v>0</v>
      </c>
      <c r="O68" s="139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RESUMO'!BP28</f>
        <v>100</v>
      </c>
      <c r="N69" s="140" t="n">
        <f aca="false">MAX(0,M69-M68)</f>
        <v>0</v>
      </c>
      <c r="O69" s="139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RESUMO'!BQ28</f>
        <v>100</v>
      </c>
      <c r="N70" s="140" t="n">
        <f aca="false">MAX(0,M70-M69)</f>
        <v>0</v>
      </c>
      <c r="O70" s="139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RESUMO'!BR28</f>
        <v>100</v>
      </c>
      <c r="N71" s="140" t="n">
        <f aca="false">MAX(0,M71-M70)</f>
        <v>0</v>
      </c>
      <c r="O71" s="139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RESUMO'!BS28</f>
        <v>100</v>
      </c>
      <c r="N72" s="140" t="n">
        <f aca="false">MAX(0,M72-M71)</f>
        <v>0</v>
      </c>
      <c r="O72" s="139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RESUMO'!BT28</f>
        <v>100</v>
      </c>
      <c r="N73" s="140" t="n">
        <f aca="false">MAX(0,M73-M72)</f>
        <v>0</v>
      </c>
      <c r="O73" s="139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RESUMO'!BU28</f>
        <v>100</v>
      </c>
      <c r="N74" s="140" t="n">
        <f aca="false">MAX(0,M74-M73)</f>
        <v>0</v>
      </c>
      <c r="O74" s="139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RESUMO'!BV28</f>
        <v>100</v>
      </c>
      <c r="N75" s="140" t="n">
        <f aca="false">MAX(0,M75-M74)</f>
        <v>0</v>
      </c>
      <c r="O75" s="139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RESUMO'!BW28</f>
        <v>100</v>
      </c>
      <c r="N76" s="140" t="n">
        <f aca="false">MAX(0,M76-M75)</f>
        <v>0</v>
      </c>
      <c r="O76" s="139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3448087.94380953</v>
      </c>
      <c r="E78" s="61" t="n">
        <f aca="false">SUM(E5:E76)</f>
        <v>2658.73790571863</v>
      </c>
      <c r="F78" s="145" t="n">
        <f aca="false">SUM(F5:F76)</f>
        <v>1</v>
      </c>
      <c r="H78" s="61" t="n">
        <f aca="false">SUM(H5:H76)</f>
        <v>3409802.34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PL'!F35</f>
        <v>11181479.74</v>
      </c>
      <c r="K5" s="56" t="n">
        <f aca="false">'VALOR POR PL'!G35</f>
        <v>9189.960224</v>
      </c>
      <c r="L5" s="56" t="n">
        <f aca="false">'DADOS HISTORICOS'!$BZ$29</f>
        <v>0</v>
      </c>
      <c r="M5" s="139" t="n">
        <f aca="false">'CP RESUMO'!D29</f>
        <v>0</v>
      </c>
      <c r="N5" s="140" t="n">
        <v>0</v>
      </c>
      <c r="O5" s="139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PL'!H35</f>
        <v>9189.960224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RESUMO'!E29</f>
        <v>0</v>
      </c>
      <c r="N6" s="140" t="n">
        <f aca="false">MAX(0,M6-M5)</f>
        <v>0</v>
      </c>
      <c r="O6" s="139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11913645.2888122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RESUMO'!F29</f>
        <v>0</v>
      </c>
      <c r="N7" s="140" t="n">
        <f aca="false">MAX(0,M7-M6)</f>
        <v>0</v>
      </c>
      <c r="O7" s="139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RESUMO'!G29</f>
        <v>0</v>
      </c>
      <c r="N8" s="140" t="n">
        <f aca="false">MAX(0,M8-M7)</f>
        <v>0</v>
      </c>
      <c r="O8" s="139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11913645.2888122</v>
      </c>
      <c r="K9" s="45" t="n">
        <f aca="false">E78</f>
        <v>9186.32611488895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RESUMO'!H29</f>
        <v>0</v>
      </c>
      <c r="N9" s="140" t="n">
        <f aca="false">MAX(0,M9-M8)</f>
        <v>0</v>
      </c>
      <c r="O9" s="139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9186.32611488895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RESUMO'!I29</f>
        <v>0</v>
      </c>
      <c r="N10" s="140" t="n">
        <f aca="false">MAX(0,M10-M9)</f>
        <v>0</v>
      </c>
      <c r="O10" s="139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11781362.78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RESUMO'!J29</f>
        <v>0</v>
      </c>
      <c r="N11" s="140" t="n">
        <f aca="false">MAX(0,M11-M10)</f>
        <v>0</v>
      </c>
      <c r="O11" s="139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RESUMO'!K29</f>
        <v>0</v>
      </c>
      <c r="N12" s="140" t="n">
        <f aca="false">MAX(0,M12-M11)</f>
        <v>0</v>
      </c>
      <c r="O12" s="139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RESUMO'!L29</f>
        <v>0</v>
      </c>
      <c r="N13" s="140" t="n">
        <f aca="false">MAX(0,M13-M12)</f>
        <v>0</v>
      </c>
      <c r="O13" s="139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RESUMO'!M29</f>
        <v>0</v>
      </c>
      <c r="N14" s="140" t="n">
        <f aca="false">MAX(0,M14-M13)</f>
        <v>0</v>
      </c>
      <c r="O14" s="139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2941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RESUMO'!N29</f>
        <v>0</v>
      </c>
      <c r="N15" s="140" t="n">
        <f aca="false">MAX(0,M15-M14)</f>
        <v>0</v>
      </c>
      <c r="O15" s="139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RESUMO'!O29</f>
        <v>0</v>
      </c>
      <c r="N16" s="140" t="n">
        <f aca="false">MAX(0,M16-M15)</f>
        <v>0</v>
      </c>
      <c r="O16" s="139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11781362.78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RESUMO'!P29</f>
        <v>0</v>
      </c>
      <c r="N17" s="140" t="n">
        <f aca="false">MAX(0,M17-M16)</f>
        <v>0</v>
      </c>
      <c r="O17" s="139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11913645.2888122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RESUMO'!Q29</f>
        <v>0</v>
      </c>
      <c r="N18" s="140" t="n">
        <f aca="false">MAX(0,M18-M17)</f>
        <v>0</v>
      </c>
      <c r="O18" s="139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n">
        <f aca="false">IF(AND(K16="PREVISÃO INFORMADA",K11&gt;0),K18/K11-1,"")</f>
        <v>0.011228116074719</v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RESUMO'!R29</f>
        <v>0</v>
      </c>
      <c r="N19" s="140" t="n">
        <f aca="false">MAX(0,M19-M18)</f>
        <v>0</v>
      </c>
      <c r="O19" s="139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RESUMO'!S29</f>
        <v>0</v>
      </c>
      <c r="N20" s="140" t="n">
        <f aca="false">MAX(0,M20-M19)</f>
        <v>0</v>
      </c>
      <c r="O20" s="139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RESUMO'!T29</f>
        <v>0</v>
      </c>
      <c r="N21" s="140" t="n">
        <f aca="false">MAX(0,M21-M20)</f>
        <v>0</v>
      </c>
      <c r="O21" s="139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RESUMO'!U29</f>
        <v>0</v>
      </c>
      <c r="N22" s="140" t="n">
        <f aca="false">MAX(0,M22-M21)</f>
        <v>0</v>
      </c>
      <c r="O22" s="139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RESUMO'!V29</f>
        <v>0</v>
      </c>
      <c r="N23" s="140" t="n">
        <f aca="false">MAX(0,M23-M22)</f>
        <v>0</v>
      </c>
      <c r="O23" s="139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HISTORICOS'!W29)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3015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RESUMO'!W29</f>
        <v>0</v>
      </c>
      <c r="N24" s="140" t="n">
        <f aca="false">MAX(0,M24-M23)</f>
        <v>0</v>
      </c>
      <c r="O24" s="139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RESUMO'!X29</f>
        <v>0</v>
      </c>
      <c r="N25" s="140" t="n">
        <f aca="false">MAX(0,M25-M24)</f>
        <v>0</v>
      </c>
      <c r="O25" s="139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RESUMO'!Y29</f>
        <v>0</v>
      </c>
      <c r="N26" s="140" t="n">
        <f aca="false">MAX(0,M26-M25)</f>
        <v>0</v>
      </c>
      <c r="O26" s="139" t="str">
        <f aca="false">IF(B26&lt;='VALOR POR PL'!$P$5,'CP RESUMO'!Y71,"")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RESUMO'!Z29</f>
        <v>0</v>
      </c>
      <c r="N27" s="140" t="n">
        <f aca="false">MAX(0,M27-M26)</f>
        <v>0</v>
      </c>
      <c r="O27" s="139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RESUMO'!AA29</f>
        <v>0</v>
      </c>
      <c r="N28" s="140" t="n">
        <f aca="false">MAX(0,M28-M27)</f>
        <v>0</v>
      </c>
      <c r="O28" s="139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RESUMO'!AB29</f>
        <v>0</v>
      </c>
      <c r="N29" s="140" t="n">
        <f aca="false">MAX(0,M29-M28)</f>
        <v>0</v>
      </c>
      <c r="O29" s="139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RESUMO'!AC29</f>
        <v>0</v>
      </c>
      <c r="N30" s="140" t="n">
        <f aca="false">MAX(0,M30-M29)</f>
        <v>0</v>
      </c>
      <c r="O30" s="139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RESUMO'!AD29</f>
        <v>0</v>
      </c>
      <c r="N31" s="140" t="n">
        <f aca="false">MAX(0,M31-M30)</f>
        <v>0</v>
      </c>
      <c r="O31" s="139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RESUMO'!AE29</f>
        <v>0</v>
      </c>
      <c r="N32" s="140" t="n">
        <f aca="false">MAX(0,M32-M31)</f>
        <v>0</v>
      </c>
      <c r="O32" s="139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RESUMO'!AF29</f>
        <v>0</v>
      </c>
      <c r="N33" s="140" t="n">
        <f aca="false">MAX(0,M33-M32)</f>
        <v>0</v>
      </c>
      <c r="O33" s="139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RESUMO'!AG29</f>
        <v>0</v>
      </c>
      <c r="N34" s="140" t="n">
        <f aca="false">MAX(0,M34-M33)</f>
        <v>0</v>
      </c>
      <c r="O34" s="139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792026.219809434</v>
      </c>
      <c r="E35" s="45" t="n">
        <f aca="false">L35+D35/$K$2</f>
        <v>610.712420114161</v>
      </c>
      <c r="F35" s="117" t="n">
        <f aca="false">IF($K$9=0,0,E35/$K$9)</f>
        <v>0.0664805943612578</v>
      </c>
      <c r="G35" s="117" t="n">
        <f aca="false">G34+F35</f>
        <v>0.0664805943612578</v>
      </c>
      <c r="H35" s="138" t="n">
        <v>783232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RESUMO'!AH29</f>
        <v>0</v>
      </c>
      <c r="N35" s="140" t="n">
        <f aca="false">MAX(0,M35-M34)</f>
        <v>0</v>
      </c>
      <c r="O35" s="139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783232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950431.463771321</v>
      </c>
      <c r="E36" s="45" t="n">
        <f aca="false">L36+D36/$K$2</f>
        <v>732.854904136994</v>
      </c>
      <c r="F36" s="117" t="n">
        <f aca="false">IF($K$9=0,0,E36/$K$9)</f>
        <v>0.0797767132335093</v>
      </c>
      <c r="G36" s="117" t="n">
        <f aca="false">G35+F36</f>
        <v>0.146257307594767</v>
      </c>
      <c r="H36" s="138" t="n">
        <v>939878.4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RESUMO'!AI29</f>
        <v>0</v>
      </c>
      <c r="N36" s="140" t="n">
        <f aca="false">MAX(0,M36-M35)</f>
        <v>0</v>
      </c>
      <c r="O36" s="139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939878.4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950431.463771321</v>
      </c>
      <c r="E37" s="45" t="n">
        <f aca="false">L37+D37/$K$2</f>
        <v>732.854904136994</v>
      </c>
      <c r="F37" s="117" t="n">
        <f aca="false">IF($K$9=0,0,E37/$K$9)</f>
        <v>0.0797767132335093</v>
      </c>
      <c r="G37" s="117" t="n">
        <f aca="false">G36+F37</f>
        <v>0.226034020828276</v>
      </c>
      <c r="H37" s="138" t="n">
        <v>939878.4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RESUMO'!AJ29</f>
        <v>0</v>
      </c>
      <c r="N37" s="140" t="n">
        <f aca="false">MAX(0,M37-M36)</f>
        <v>0</v>
      </c>
      <c r="O37" s="139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939878.4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158405.243961887</v>
      </c>
      <c r="E38" s="45" t="n">
        <f aca="false">L38+D38/$K$2</f>
        <v>122.142484022832</v>
      </c>
      <c r="F38" s="117" t="n">
        <f aca="false">IF($K$9=0,0,E38/$K$9)</f>
        <v>0.0132961188722516</v>
      </c>
      <c r="G38" s="117" t="n">
        <f aca="false">G37+F38</f>
        <v>0.239330139700528</v>
      </c>
      <c r="H38" s="138" t="n">
        <v>156646.4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RESUMO'!AK29</f>
        <v>0</v>
      </c>
      <c r="N38" s="140" t="n">
        <f aca="false">MAX(0,M38-M37)</f>
        <v>0</v>
      </c>
      <c r="O38" s="139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156646.4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0.239330139700528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RESUMO'!AL29</f>
        <v>0</v>
      </c>
      <c r="N39" s="140" t="n">
        <f aca="false">MAX(0,M39-M38)</f>
        <v>0</v>
      </c>
      <c r="O39" s="139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0.239330139700528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RESUMO'!AM29</f>
        <v>0</v>
      </c>
      <c r="N40" s="140" t="n">
        <f aca="false">MAX(0,M40-M39)</f>
        <v>0</v>
      </c>
      <c r="O40" s="139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0.239330139700528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RESUMO'!AN29</f>
        <v>4.72</v>
      </c>
      <c r="N41" s="140" t="n">
        <f aca="false">MAX(0,M41-M40)</f>
        <v>4.72</v>
      </c>
      <c r="O41" s="139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1425129.24461593</v>
      </c>
      <c r="E42" s="45" t="n">
        <f aca="false">L42+D42/$K$2</f>
        <v>1098.8829765816</v>
      </c>
      <c r="F42" s="117" t="n">
        <f aca="false">IF($K$9=0,0,E42/$K$9)</f>
        <v>0.119621594404378</v>
      </c>
      <c r="G42" s="117" t="n">
        <f aca="false">G41+F42</f>
        <v>0.358951734104906</v>
      </c>
      <c r="H42" s="138" t="n">
        <v>1409305.4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RESUMO'!AO29</f>
        <v>12.97</v>
      </c>
      <c r="N42" s="140" t="n">
        <f aca="false">MAX(0,M42-M41)</f>
        <v>8.25</v>
      </c>
      <c r="O42" s="139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1409305.4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1643624.88905266</v>
      </c>
      <c r="E43" s="45" t="n">
        <f aca="false">L43+D43/$K$2</f>
        <v>1267.35972704886</v>
      </c>
      <c r="F43" s="117" t="n">
        <f aca="false">IF($K$9=0,0,E43/$K$9)</f>
        <v>0.137961543189149</v>
      </c>
      <c r="G43" s="117" t="n">
        <f aca="false">G42+F43</f>
        <v>0.496913277294055</v>
      </c>
      <c r="H43" s="138" t="n">
        <v>1625374.99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RESUMO'!AP29</f>
        <v>22.75</v>
      </c>
      <c r="N43" s="140" t="n">
        <f aca="false">MAX(0,M43-M42)</f>
        <v>9.78</v>
      </c>
      <c r="O43" s="139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1625374.99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1643624.88905266</v>
      </c>
      <c r="E44" s="45" t="n">
        <f aca="false">L44+D44/$K$2</f>
        <v>1267.35972704886</v>
      </c>
      <c r="F44" s="117" t="n">
        <f aca="false">IF($K$9=0,0,E44/$K$9)</f>
        <v>0.137961543189149</v>
      </c>
      <c r="G44" s="117" t="n">
        <f aca="false">G43+F44</f>
        <v>0.634874820483204</v>
      </c>
      <c r="H44" s="138" t="n">
        <v>1625374.99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RESUMO'!AQ29</f>
        <v>33.92</v>
      </c>
      <c r="N44" s="140" t="n">
        <f aca="false">MAX(0,M44-M43)</f>
        <v>11.17</v>
      </c>
      <c r="O44" s="139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1625374.99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551146.656756699</v>
      </c>
      <c r="E45" s="45" t="n">
        <f aca="false">L45+D45/$K$2</f>
        <v>424.97596691521</v>
      </c>
      <c r="F45" s="117" t="n">
        <f aca="false">IF($K$9=0,0,E45/$K$9)</f>
        <v>0.0462617984164987</v>
      </c>
      <c r="G45" s="117" t="n">
        <f aca="false">G44+F45</f>
        <v>0.681136618899703</v>
      </c>
      <c r="H45" s="138" t="n">
        <v>545027.03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RESUMO'!AR29</f>
        <v>41.06</v>
      </c>
      <c r="N45" s="140" t="n">
        <f aca="false">MAX(0,M45-M44)</f>
        <v>7.14</v>
      </c>
      <c r="O45" s="139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545027.03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95043.1463771321</v>
      </c>
      <c r="E46" s="45" t="n">
        <f aca="false">L46+D46/$K$2</f>
        <v>73.2854904136993</v>
      </c>
      <c r="F46" s="117" t="n">
        <f aca="false">IF($K$9=0,0,E46/$K$9)</f>
        <v>0.00797767132335093</v>
      </c>
      <c r="G46" s="117" t="n">
        <f aca="false">G45+F46</f>
        <v>0.689114290223054</v>
      </c>
      <c r="H46" s="138" t="n">
        <v>93987.84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RESUMO'!AS29</f>
        <v>49.88</v>
      </c>
      <c r="N46" s="140" t="n">
        <f aca="false">MAX(0,M46-M45)</f>
        <v>8.82</v>
      </c>
      <c r="O46" s="139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93987.84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422786.618088378</v>
      </c>
      <c r="E47" s="45" t="n">
        <f aca="false">L47+D47/$K$2</f>
        <v>326.000620013261</v>
      </c>
      <c r="F47" s="117" t="n">
        <f aca="false">IF($K$9=0,0,E47/$K$9)</f>
        <v>0.0354875949249056</v>
      </c>
      <c r="G47" s="117" t="n">
        <f aca="false">G46+F47</f>
        <v>0.724601885147959</v>
      </c>
      <c r="H47" s="138" t="n">
        <v>418092.23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RESUMO'!AT29</f>
        <v>59.45</v>
      </c>
      <c r="N47" s="140" t="n">
        <f aca="false">MAX(0,M47-M46)</f>
        <v>9.57</v>
      </c>
      <c r="O47" s="139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418092.23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553884.000705508</v>
      </c>
      <c r="E48" s="45" t="n">
        <f aca="false">L48+D48/$K$2</f>
        <v>427.086667174683</v>
      </c>
      <c r="F48" s="117" t="n">
        <f aca="false">IF($K$9=0,0,E48/$K$9)</f>
        <v>0.0464915638562486</v>
      </c>
      <c r="G48" s="117" t="n">
        <f aca="false">G47+F48</f>
        <v>0.771093449004208</v>
      </c>
      <c r="H48" s="138" t="n">
        <v>547733.98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RESUMO'!AU29</f>
        <v>68.87</v>
      </c>
      <c r="N48" s="140" t="n">
        <f aca="false">MAX(0,M48-M47)</f>
        <v>9.42</v>
      </c>
      <c r="O48" s="139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547733.98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553884.000705508</v>
      </c>
      <c r="E49" s="45" t="n">
        <f aca="false">L49+D49/$K$2</f>
        <v>427.086667174683</v>
      </c>
      <c r="F49" s="117" t="n">
        <f aca="false">IF($K$9=0,0,E49/$K$9)</f>
        <v>0.0464915638562486</v>
      </c>
      <c r="G49" s="117" t="n">
        <f aca="false">G48+F49</f>
        <v>0.817585012860456</v>
      </c>
      <c r="H49" s="138" t="n">
        <v>547733.98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RESUMO'!AV29</f>
        <v>79.82</v>
      </c>
      <c r="N49" s="140" t="n">
        <f aca="false">MAX(0,M49-M48)</f>
        <v>10.95</v>
      </c>
      <c r="O49" s="139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547733.98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553884.000705508</v>
      </c>
      <c r="E50" s="45" t="n">
        <f aca="false">L50+D50/$K$2</f>
        <v>427.086667174683</v>
      </c>
      <c r="F50" s="117" t="n">
        <f aca="false">IF($K$9=0,0,E50/$K$9)</f>
        <v>0.0464915638562486</v>
      </c>
      <c r="G50" s="117" t="n">
        <f aca="false">G49+F50</f>
        <v>0.864076576716705</v>
      </c>
      <c r="H50" s="138" t="n">
        <v>547733.98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RESUMO'!AW29</f>
        <v>90.05</v>
      </c>
      <c r="N50" s="140" t="n">
        <f aca="false">MAX(0,M50-M49)</f>
        <v>10.23</v>
      </c>
      <c r="O50" s="139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547733.98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226140.528994262</v>
      </c>
      <c r="E51" s="45" t="n">
        <f aca="false">L51+D51/$K$2</f>
        <v>174.371537575122</v>
      </c>
      <c r="F51" s="117" t="n">
        <f aca="false">IF($K$9=0,0,E51/$K$9)</f>
        <v>0.0189816402546939</v>
      </c>
      <c r="G51" s="117" t="n">
        <f aca="false">G50+F51</f>
        <v>0.883058216971399</v>
      </c>
      <c r="H51" s="138" t="n">
        <v>223629.59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RESUMO'!AX29</f>
        <v>96.21</v>
      </c>
      <c r="N51" s="140" t="n">
        <f aca="false">MAX(0,M51-M50)</f>
        <v>6.16</v>
      </c>
      <c r="O51" s="139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223629.59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131097.38261713</v>
      </c>
      <c r="E52" s="45" t="n">
        <f aca="false">L52+D52/$K$2</f>
        <v>101.086047161422</v>
      </c>
      <c r="F52" s="117" t="n">
        <f aca="false">IF($K$9=0,0,E52/$K$9)</f>
        <v>0.0110039689313429</v>
      </c>
      <c r="G52" s="117" t="n">
        <f aca="false">G51+F52</f>
        <v>0.894062185902742</v>
      </c>
      <c r="H52" s="138" t="n">
        <v>129641.75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RESUMO'!AY29</f>
        <v>100</v>
      </c>
      <c r="N52" s="140" t="n">
        <f aca="false">MAX(0,M52-M51)</f>
        <v>3.79000000000001</v>
      </c>
      <c r="O52" s="139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129641.75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131097.38261713</v>
      </c>
      <c r="E53" s="45" t="n">
        <f aca="false">L53+D53/$K$2</f>
        <v>101.086047161422</v>
      </c>
      <c r="F53" s="117" t="n">
        <f aca="false">IF($K$9=0,0,E53/$K$9)</f>
        <v>0.0110039689313429</v>
      </c>
      <c r="G53" s="117" t="n">
        <f aca="false">G52+F53</f>
        <v>0.905066154834085</v>
      </c>
      <c r="H53" s="138" t="n">
        <v>129641.75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RESUMO'!AZ29</f>
        <v>100</v>
      </c>
      <c r="N53" s="140" t="n">
        <f aca="false">MAX(0,M53-M52)</f>
        <v>0</v>
      </c>
      <c r="O53" s="139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129641.75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131097.38261713</v>
      </c>
      <c r="E54" s="45" t="n">
        <f aca="false">L54+D54/$K$2</f>
        <v>101.086047161422</v>
      </c>
      <c r="F54" s="117" t="n">
        <f aca="false">IF($K$9=0,0,E54/$K$9)</f>
        <v>0.0110039689313429</v>
      </c>
      <c r="G54" s="117" t="n">
        <f aca="false">G53+F54</f>
        <v>0.916070123765427</v>
      </c>
      <c r="H54" s="138" t="n">
        <v>129641.75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RESUMO'!BA29</f>
        <v>100</v>
      </c>
      <c r="N54" s="140" t="n">
        <f aca="false">MAX(0,M54-M53)</f>
        <v>0</v>
      </c>
      <c r="O54" s="139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129641.75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131097.38261713</v>
      </c>
      <c r="E55" s="45" t="n">
        <f aca="false">L55+D55/$K$2</f>
        <v>101.086047161422</v>
      </c>
      <c r="F55" s="117" t="n">
        <f aca="false">IF($K$9=0,0,E55/$K$9)</f>
        <v>0.0110039689313429</v>
      </c>
      <c r="G55" s="117" t="n">
        <f aca="false">G54+F55</f>
        <v>0.92707409269677</v>
      </c>
      <c r="H55" s="138" t="n">
        <v>129641.75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RESUMO'!BB29</f>
        <v>100</v>
      </c>
      <c r="N55" s="140" t="n">
        <f aca="false">MAX(0,M55-M54)</f>
        <v>0</v>
      </c>
      <c r="O55" s="139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129641.75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131097.38261713</v>
      </c>
      <c r="E56" s="45" t="n">
        <f aca="false">L56+D56/$K$2</f>
        <v>101.086047161422</v>
      </c>
      <c r="F56" s="117" t="n">
        <f aca="false">IF($K$9=0,0,E56/$K$9)</f>
        <v>0.0110039689313429</v>
      </c>
      <c r="G56" s="117" t="n">
        <f aca="false">G55+F56</f>
        <v>0.938078061628113</v>
      </c>
      <c r="H56" s="138" t="n">
        <v>129641.75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RESUMO'!BC29</f>
        <v>100</v>
      </c>
      <c r="N56" s="140" t="n">
        <f aca="false">MAX(0,M56-M55)</f>
        <v>0</v>
      </c>
      <c r="O56" s="139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129641.75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131097.38261713</v>
      </c>
      <c r="E57" s="45" t="n">
        <f aca="false">L57+D57/$K$2</f>
        <v>101.086047161422</v>
      </c>
      <c r="F57" s="117" t="n">
        <f aca="false">IF($K$9=0,0,E57/$K$9)</f>
        <v>0.0110039689313429</v>
      </c>
      <c r="G57" s="117" t="n">
        <f aca="false">G56+F57</f>
        <v>0.949082030559456</v>
      </c>
      <c r="H57" s="138" t="n">
        <v>129641.75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RESUMO'!BD29</f>
        <v>100</v>
      </c>
      <c r="N57" s="140" t="n">
        <f aca="false">MAX(0,M57-M56)</f>
        <v>0</v>
      </c>
      <c r="O57" s="139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129641.75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0.949082030559456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RESUMO'!BE29</f>
        <v>100</v>
      </c>
      <c r="N58" s="140" t="n">
        <f aca="false">MAX(0,M58-M57)</f>
        <v>0</v>
      </c>
      <c r="O58" s="139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606618.626741219</v>
      </c>
      <c r="E59" s="45" t="n">
        <f aca="false">L59+D59/$K$2</f>
        <v>467.749072388785</v>
      </c>
      <c r="F59" s="117" t="n">
        <f aca="false">IF($K$9=0,0,E59/$K$9)</f>
        <v>0.0509179694405438</v>
      </c>
      <c r="G59" s="117" t="n">
        <f aca="false">G58+F59</f>
        <v>1</v>
      </c>
      <c r="H59" s="138" t="n">
        <v>599883.07</v>
      </c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RESUMO'!BF29</f>
        <v>100</v>
      </c>
      <c r="N59" s="140" t="n">
        <f aca="false">MAX(0,M59-M58)</f>
        <v>0</v>
      </c>
      <c r="O59" s="139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599883.07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RESUMO'!BG29</f>
        <v>100</v>
      </c>
      <c r="N60" s="140" t="n">
        <f aca="false">MAX(0,M60-M59)</f>
        <v>0</v>
      </c>
      <c r="O60" s="139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RESUMO'!BH29</f>
        <v>100</v>
      </c>
      <c r="N61" s="140" t="n">
        <f aca="false">MAX(0,M61-M60)</f>
        <v>0</v>
      </c>
      <c r="O61" s="139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RESUMO'!BI29</f>
        <v>100</v>
      </c>
      <c r="N62" s="140" t="n">
        <f aca="false">MAX(0,M62-M61)</f>
        <v>0</v>
      </c>
      <c r="O62" s="139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RESUMO'!BJ29</f>
        <v>100</v>
      </c>
      <c r="N63" s="140" t="n">
        <f aca="false">MAX(0,M63-M62)</f>
        <v>0</v>
      </c>
      <c r="O63" s="139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RESUMO'!BK29</f>
        <v>100</v>
      </c>
      <c r="N64" s="140" t="n">
        <f aca="false">MAX(0,M64-M63)</f>
        <v>0</v>
      </c>
      <c r="O64" s="139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RESUMO'!BL29</f>
        <v>100</v>
      </c>
      <c r="N65" s="140" t="n">
        <f aca="false">MAX(0,M65-M64)</f>
        <v>0</v>
      </c>
      <c r="O65" s="139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RESUMO'!BM29</f>
        <v>100</v>
      </c>
      <c r="N66" s="140" t="n">
        <f aca="false">MAX(0,M66-M65)</f>
        <v>0</v>
      </c>
      <c r="O66" s="139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RESUMO'!BN29</f>
        <v>100</v>
      </c>
      <c r="N67" s="140" t="n">
        <f aca="false">MAX(0,M67-M66)</f>
        <v>0</v>
      </c>
      <c r="O67" s="139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RESUMO'!BO29</f>
        <v>100</v>
      </c>
      <c r="N68" s="140" t="n">
        <f aca="false">MAX(0,M68-M67)</f>
        <v>0</v>
      </c>
      <c r="O68" s="139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RESUMO'!BP29</f>
        <v>100</v>
      </c>
      <c r="N69" s="140" t="n">
        <f aca="false">MAX(0,M69-M68)</f>
        <v>0</v>
      </c>
      <c r="O69" s="139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RESUMO'!BQ29</f>
        <v>100</v>
      </c>
      <c r="N70" s="140" t="n">
        <f aca="false">MAX(0,M70-M69)</f>
        <v>0</v>
      </c>
      <c r="O70" s="139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RESUMO'!BR29</f>
        <v>100</v>
      </c>
      <c r="N71" s="140" t="n">
        <f aca="false">MAX(0,M71-M70)</f>
        <v>0</v>
      </c>
      <c r="O71" s="139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RESUMO'!BS29</f>
        <v>100</v>
      </c>
      <c r="N72" s="140" t="n">
        <f aca="false">MAX(0,M72-M71)</f>
        <v>0</v>
      </c>
      <c r="O72" s="139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RESUMO'!BT29</f>
        <v>100</v>
      </c>
      <c r="N73" s="140" t="n">
        <f aca="false">MAX(0,M73-M72)</f>
        <v>0</v>
      </c>
      <c r="O73" s="139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RESUMO'!BU29</f>
        <v>100</v>
      </c>
      <c r="N74" s="140" t="n">
        <f aca="false">MAX(0,M74-M73)</f>
        <v>0</v>
      </c>
      <c r="O74" s="139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RESUMO'!BV29</f>
        <v>100</v>
      </c>
      <c r="N75" s="140" t="n">
        <f aca="false">MAX(0,M75-M74)</f>
        <v>0</v>
      </c>
      <c r="O75" s="139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RESUMO'!BW29</f>
        <v>100</v>
      </c>
      <c r="N76" s="140" t="n">
        <f aca="false">MAX(0,M76-M75)</f>
        <v>0</v>
      </c>
      <c r="O76" s="139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11913645.2888122</v>
      </c>
      <c r="E78" s="61" t="n">
        <f aca="false">SUM(E5:E76)</f>
        <v>9186.32611488895</v>
      </c>
      <c r="F78" s="145" t="n">
        <f aca="false">SUM(F5:F76)</f>
        <v>1</v>
      </c>
      <c r="H78" s="61" t="n">
        <f aca="false">SUM(H5:H76)</f>
        <v>11781362.78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PL'!F36</f>
        <v>482766.76</v>
      </c>
      <c r="K5" s="56" t="n">
        <f aca="false">'VALOR POR PL'!G36</f>
        <v>396.781767</v>
      </c>
      <c r="L5" s="56" t="n">
        <f aca="false">'DADOS HISTORICOS'!$BZ$30</f>
        <v>0</v>
      </c>
      <c r="M5" s="139" t="n">
        <f aca="false">'CP RESUMO'!D30</f>
        <v>0</v>
      </c>
      <c r="N5" s="140" t="n">
        <v>0</v>
      </c>
      <c r="O5" s="139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PL'!H36</f>
        <v>396.781767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RESUMO'!E30</f>
        <v>0</v>
      </c>
      <c r="N6" s="140" t="n">
        <f aca="false">MAX(0,M6-M5)</f>
        <v>0</v>
      </c>
      <c r="O6" s="139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514378.421003505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RESUMO'!F30</f>
        <v>0</v>
      </c>
      <c r="N7" s="140" t="n">
        <f aca="false">MAX(0,M7-M6)</f>
        <v>0</v>
      </c>
      <c r="O7" s="139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RESUMO'!G30</f>
        <v>0</v>
      </c>
      <c r="N8" s="140" t="n">
        <f aca="false">MAX(0,M8-M7)</f>
        <v>0</v>
      </c>
      <c r="O8" s="139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514378.421003505</v>
      </c>
      <c r="K9" s="45" t="n">
        <f aca="false">E78</f>
        <v>396.62486226925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RESUMO'!H30</f>
        <v>0</v>
      </c>
      <c r="N9" s="140" t="n">
        <f aca="false">MAX(0,M9-M8)</f>
        <v>0</v>
      </c>
      <c r="O9" s="139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396.62486226925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RESUMO'!I30</f>
        <v>0</v>
      </c>
      <c r="N10" s="140" t="n">
        <f aca="false">MAX(0,M10-M9)</f>
        <v>0</v>
      </c>
      <c r="O10" s="139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508667.04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RESUMO'!J30</f>
        <v>0</v>
      </c>
      <c r="N11" s="140" t="n">
        <f aca="false">MAX(0,M11-M10)</f>
        <v>0</v>
      </c>
      <c r="O11" s="139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RESUMO'!K30</f>
        <v>0</v>
      </c>
      <c r="N12" s="140" t="n">
        <f aca="false">MAX(0,M12-M11)</f>
        <v>0</v>
      </c>
      <c r="O12" s="139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RESUMO'!L30</f>
        <v>0</v>
      </c>
      <c r="N13" s="140" t="n">
        <f aca="false">MAX(0,M13-M12)</f>
        <v>0</v>
      </c>
      <c r="O13" s="139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RESUMO'!M30</f>
        <v>0</v>
      </c>
      <c r="N14" s="140" t="n">
        <f aca="false">MAX(0,M14-M13)</f>
        <v>0</v>
      </c>
      <c r="O14" s="139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RESUMO'!N30</f>
        <v>0</v>
      </c>
      <c r="N15" s="140" t="n">
        <f aca="false">MAX(0,M15-M14)</f>
        <v>0</v>
      </c>
      <c r="O15" s="139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RESUMO'!O30</f>
        <v>0</v>
      </c>
      <c r="N16" s="140" t="n">
        <f aca="false">MAX(0,M16-M15)</f>
        <v>0</v>
      </c>
      <c r="O16" s="139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RESUMO'!P30</f>
        <v>0</v>
      </c>
      <c r="N17" s="140" t="n">
        <f aca="false">MAX(0,M17-M16)</f>
        <v>0</v>
      </c>
      <c r="O17" s="139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514378.421003505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RESUMO'!Q30</f>
        <v>0</v>
      </c>
      <c r="N18" s="140" t="n">
        <f aca="false">MAX(0,M18-M17)</f>
        <v>0</v>
      </c>
      <c r="O18" s="139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RESUMO'!R30</f>
        <v>0</v>
      </c>
      <c r="N19" s="140" t="n">
        <f aca="false">MAX(0,M19-M18)</f>
        <v>0</v>
      </c>
      <c r="O19" s="139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RESUMO'!S30</f>
        <v>0</v>
      </c>
      <c r="N20" s="140" t="n">
        <f aca="false">MAX(0,M20-M19)</f>
        <v>0</v>
      </c>
      <c r="O20" s="139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RESUMO'!T30</f>
        <v>0</v>
      </c>
      <c r="N21" s="140" t="n">
        <f aca="false">MAX(0,M21-M20)</f>
        <v>0</v>
      </c>
      <c r="O21" s="139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RESUMO'!U30</f>
        <v>0</v>
      </c>
      <c r="N22" s="140" t="n">
        <f aca="false">MAX(0,M22-M21)</f>
        <v>0</v>
      </c>
      <c r="O22" s="139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RESUMO'!V30</f>
        <v>0</v>
      </c>
      <c r="N23" s="140" t="n">
        <f aca="false">MAX(0,M23-M22)</f>
        <v>0</v>
      </c>
      <c r="O23" s="139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RESUMO'!W30</f>
        <v>0</v>
      </c>
      <c r="N24" s="140" t="n">
        <f aca="false">MAX(0,M24-M23)</f>
        <v>0</v>
      </c>
      <c r="O24" s="139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RESUMO'!X30</f>
        <v>0</v>
      </c>
      <c r="N25" s="140" t="n">
        <f aca="false">MAX(0,M25-M24)</f>
        <v>0</v>
      </c>
      <c r="O25" s="139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RESUMO'!Y30</f>
        <v>0</v>
      </c>
      <c r="N26" s="140" t="n">
        <f aca="false">MAX(0,M26-M25)</f>
        <v>0</v>
      </c>
      <c r="O26" s="139" t="str">
        <f aca="false">IF(B26&lt;='VALOR POR PL'!$P$5,'CP RESUMO'!Y72,"")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RESUMO'!Z30</f>
        <v>0</v>
      </c>
      <c r="N27" s="140" t="n">
        <f aca="false">MAX(0,M27-M26)</f>
        <v>0</v>
      </c>
      <c r="O27" s="139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RESUMO'!AA30</f>
        <v>0</v>
      </c>
      <c r="N28" s="140" t="n">
        <f aca="false">MAX(0,M28-M27)</f>
        <v>0</v>
      </c>
      <c r="O28" s="139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RESUMO'!AB30</f>
        <v>0</v>
      </c>
      <c r="N29" s="140" t="n">
        <f aca="false">MAX(0,M29-M28)</f>
        <v>0</v>
      </c>
      <c r="O29" s="139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RESUMO'!AC30</f>
        <v>0</v>
      </c>
      <c r="N30" s="140" t="n">
        <f aca="false">MAX(0,M30-M29)</f>
        <v>0</v>
      </c>
      <c r="O30" s="139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RESUMO'!AD30</f>
        <v>0</v>
      </c>
      <c r="N31" s="140" t="n">
        <f aca="false">MAX(0,M31-M30)</f>
        <v>0</v>
      </c>
      <c r="O31" s="139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RESUMO'!AE30</f>
        <v>0</v>
      </c>
      <c r="N32" s="140" t="n">
        <f aca="false">MAX(0,M32-M31)</f>
        <v>0</v>
      </c>
      <c r="O32" s="139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RESUMO'!AF30</f>
        <v>0</v>
      </c>
      <c r="N33" s="140" t="n">
        <f aca="false">MAX(0,M33-M32)</f>
        <v>0</v>
      </c>
      <c r="O33" s="139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RESUMO'!AG30</f>
        <v>0</v>
      </c>
      <c r="N34" s="140" t="n">
        <f aca="false">MAX(0,M34-M33)</f>
        <v>0</v>
      </c>
      <c r="O34" s="139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RESUMO'!AH30</f>
        <v>0</v>
      </c>
      <c r="N35" s="140" t="n">
        <f aca="false">MAX(0,M35-M34)</f>
        <v>0</v>
      </c>
      <c r="O35" s="139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RESUMO'!AI30</f>
        <v>0</v>
      </c>
      <c r="N36" s="140" t="n">
        <f aca="false">MAX(0,M36-M35)</f>
        <v>0</v>
      </c>
      <c r="O36" s="139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54575.5504684719</v>
      </c>
      <c r="E37" s="45" t="n">
        <f aca="false">L37+D37/$K$2</f>
        <v>42.0818978867674</v>
      </c>
      <c r="F37" s="117" t="n">
        <f aca="false">IF($K$9=0,0,E37/$K$9)</f>
        <v>0.1061</v>
      </c>
      <c r="G37" s="117" t="n">
        <f aca="false">G36+F37</f>
        <v>0.1061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RESUMO'!AJ30</f>
        <v>10.61</v>
      </c>
      <c r="N37" s="140" t="n">
        <f aca="false">MAX(0,M37-M36)</f>
        <v>10.61</v>
      </c>
      <c r="O37" s="139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10.61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0.1061</v>
      </c>
      <c r="H38" s="138" t="n">
        <v>27010.22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RESUMO'!AK30</f>
        <v>10.61</v>
      </c>
      <c r="N38" s="140" t="n">
        <f aca="false">MAX(0,M38-M37)</f>
        <v>0</v>
      </c>
      <c r="O38" s="139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27313.4941552861</v>
      </c>
      <c r="E39" s="45" t="n">
        <f aca="false">L39+D39/$K$2</f>
        <v>21.0607801864972</v>
      </c>
      <c r="F39" s="117" t="n">
        <f aca="false">IF($K$9=0,0,E39/$K$9)</f>
        <v>0.0531</v>
      </c>
      <c r="G39" s="117" t="n">
        <f aca="false">G38+F39</f>
        <v>0.1592</v>
      </c>
      <c r="H39" s="138" t="n">
        <v>26959.35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RESUMO'!AL30</f>
        <v>15.92</v>
      </c>
      <c r="N39" s="140" t="n">
        <f aca="false">MAX(0,M39-M38)</f>
        <v>5.31</v>
      </c>
      <c r="O39" s="139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5.31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0.1592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RESUMO'!AM30</f>
        <v>15.92</v>
      </c>
      <c r="N40" s="140" t="n">
        <f aca="false">MAX(0,M40-M39)</f>
        <v>0</v>
      </c>
      <c r="O40" s="139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16357.2337879115</v>
      </c>
      <c r="E41" s="45" t="n">
        <f aca="false">L41+D41/$K$2</f>
        <v>12.6126706201621</v>
      </c>
      <c r="F41" s="117" t="n">
        <f aca="false">IF($K$9=0,0,E41/$K$9)</f>
        <v>0.0318</v>
      </c>
      <c r="G41" s="117" t="n">
        <f aca="false">G40+F41</f>
        <v>0.191</v>
      </c>
      <c r="H41" s="138" t="n">
        <v>27010.22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RESUMO'!AN30</f>
        <v>19.1</v>
      </c>
      <c r="N41" s="140" t="n">
        <f aca="false">MAX(0,M41-M40)</f>
        <v>3.18</v>
      </c>
      <c r="O41" s="139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3.18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10904.8225252743</v>
      </c>
      <c r="E42" s="45" t="n">
        <f aca="false">L42+D42/$K$2</f>
        <v>8.40844708010808</v>
      </c>
      <c r="F42" s="117" t="n">
        <f aca="false">IF($K$9=0,0,E42/$K$9)</f>
        <v>0.0212</v>
      </c>
      <c r="G42" s="117" t="n">
        <f aca="false">G41+F42</f>
        <v>0.2122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RESUMO'!AO30</f>
        <v>21.22</v>
      </c>
      <c r="N42" s="140" t="n">
        <f aca="false">MAX(0,M42-M41)</f>
        <v>2.12</v>
      </c>
      <c r="O42" s="139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2.12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33228.8459968264</v>
      </c>
      <c r="E43" s="45" t="n">
        <f aca="false">L43+D43/$K$2</f>
        <v>25.6219661025935</v>
      </c>
      <c r="F43" s="117" t="n">
        <f aca="false">IF($K$9=0,0,E43/$K$9)</f>
        <v>0.0646</v>
      </c>
      <c r="G43" s="117" t="n">
        <f aca="false">G42+F43</f>
        <v>0.2768</v>
      </c>
      <c r="H43" s="138" t="n">
        <v>26959.35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RESUMO'!AP30</f>
        <v>27.68</v>
      </c>
      <c r="N43" s="140" t="n">
        <f aca="false">MAX(0,M43-M42)</f>
        <v>6.46</v>
      </c>
      <c r="O43" s="139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6.46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92896.742833233</v>
      </c>
      <c r="E44" s="45" t="n">
        <f aca="false">L44+D44/$K$2</f>
        <v>71.6304501258265</v>
      </c>
      <c r="F44" s="117" t="n">
        <f aca="false">IF($K$9=0,0,E44/$K$9)</f>
        <v>0.1806</v>
      </c>
      <c r="G44" s="117" t="n">
        <f aca="false">G43+F44</f>
        <v>0.4574</v>
      </c>
      <c r="H44" s="138" t="n">
        <v>22076.15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RESUMO'!AQ30</f>
        <v>45.74</v>
      </c>
      <c r="N44" s="140" t="n">
        <f aca="false">MAX(0,M44-M43)</f>
        <v>18.06</v>
      </c>
      <c r="O44" s="139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18.06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59925.0860469083</v>
      </c>
      <c r="E45" s="45" t="n">
        <f aca="false">L45+D45/$K$2</f>
        <v>46.2067964543676</v>
      </c>
      <c r="F45" s="117" t="n">
        <f aca="false">IF($K$9=0,0,E45/$K$9)</f>
        <v>0.1165</v>
      </c>
      <c r="G45" s="117" t="n">
        <f aca="false">G44+F45</f>
        <v>0.5739</v>
      </c>
      <c r="H45" s="138" t="n">
        <v>102649.01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RESUMO'!AR30</f>
        <v>57.39</v>
      </c>
      <c r="N45" s="140" t="n">
        <f aca="false">MAX(0,M45-M44)</f>
        <v>11.65</v>
      </c>
      <c r="O45" s="139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11.65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24638.7263660679</v>
      </c>
      <c r="E46" s="45" t="n">
        <f aca="false">L46+D46/$K$2</f>
        <v>18.9983309026971</v>
      </c>
      <c r="F46" s="117" t="n">
        <f aca="false">IF($K$9=0,0,E46/$K$9)</f>
        <v>0.0479</v>
      </c>
      <c r="G46" s="117" t="n">
        <f aca="false">G45+F46</f>
        <v>0.6218</v>
      </c>
      <c r="H46" s="138" t="n">
        <v>59259.71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RESUMO'!AS30</f>
        <v>62.18</v>
      </c>
      <c r="N46" s="140" t="n">
        <f aca="false">MAX(0,M46-M45)</f>
        <v>4.79</v>
      </c>
      <c r="O46" s="139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4.79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55501.4316262782</v>
      </c>
      <c r="E47" s="45" t="n">
        <f aca="false">L47+D47/$K$2</f>
        <v>42.795822638852</v>
      </c>
      <c r="F47" s="117" t="n">
        <f aca="false">IF($K$9=0,0,E47/$K$9)</f>
        <v>0.1079</v>
      </c>
      <c r="G47" s="117" t="n">
        <f aca="false">G46+F47</f>
        <v>0.7297</v>
      </c>
      <c r="H47" s="138" t="n">
        <v>24365.15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RESUMO'!AT30</f>
        <v>72.97</v>
      </c>
      <c r="N47" s="140" t="n">
        <f aca="false">MAX(0,M47-M46)</f>
        <v>10.79</v>
      </c>
      <c r="O47" s="139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10.79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8281.49257815643</v>
      </c>
      <c r="E48" s="45" t="n">
        <f aca="false">L48+D48/$K$2</f>
        <v>6.38566028253492</v>
      </c>
      <c r="F48" s="117" t="n">
        <f aca="false">IF($K$9=0,0,E48/$K$9)</f>
        <v>0.0161</v>
      </c>
      <c r="G48" s="117" t="n">
        <f aca="false">G47+F48</f>
        <v>0.7458</v>
      </c>
      <c r="H48" s="138" t="n">
        <v>38709.56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RESUMO'!AU30</f>
        <v>74.58</v>
      </c>
      <c r="N48" s="140" t="n">
        <f aca="false">MAX(0,M48-M47)</f>
        <v>1.61</v>
      </c>
      <c r="O48" s="139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1.61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9053.06020966171</v>
      </c>
      <c r="E49" s="45" t="n">
        <f aca="false">L49+D49/$K$2</f>
        <v>6.98059757593881</v>
      </c>
      <c r="F49" s="117" t="n">
        <f aca="false">IF($K$9=0,0,E49/$K$9)</f>
        <v>0.0176000000000001</v>
      </c>
      <c r="G49" s="117" t="n">
        <f aca="false">G48+F49</f>
        <v>0.7634</v>
      </c>
      <c r="H49" s="138" t="n">
        <v>24263.42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RESUMO'!AV30</f>
        <v>76.34</v>
      </c>
      <c r="N49" s="140" t="n">
        <f aca="false">MAX(0,M49-M48)</f>
        <v>1.76000000000001</v>
      </c>
      <c r="O49" s="139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1.76000000000001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8075.74120975499</v>
      </c>
      <c r="E50" s="45" t="n">
        <f aca="false">L50+D50/$K$2</f>
        <v>6.22701033762719</v>
      </c>
      <c r="F50" s="117" t="n">
        <f aca="false">IF($K$9=0,0,E50/$K$9)</f>
        <v>0.0156999999999999</v>
      </c>
      <c r="G50" s="117" t="n">
        <f aca="false">G49+F50</f>
        <v>0.7791</v>
      </c>
      <c r="H50" s="138" t="n">
        <v>8647.34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RESUMO'!AW30</f>
        <v>77.91</v>
      </c>
      <c r="N50" s="140" t="n">
        <f aca="false">MAX(0,M50-M49)</f>
        <v>1.56999999999999</v>
      </c>
      <c r="O50" s="139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1.56999999999999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8230.05473605612</v>
      </c>
      <c r="E51" s="45" t="n">
        <f aca="false">L51+D51/$K$2</f>
        <v>6.34599779630803</v>
      </c>
      <c r="F51" s="117" t="n">
        <f aca="false">IF($K$9=0,0,E51/$K$9)</f>
        <v>0.0160000000000001</v>
      </c>
      <c r="G51" s="117" t="n">
        <f aca="false">G50+F51</f>
        <v>0.7951</v>
      </c>
      <c r="H51" s="138" t="n">
        <v>8189.54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RESUMO'!AX30</f>
        <v>79.51</v>
      </c>
      <c r="N51" s="140" t="n">
        <f aca="false">MAX(0,M51-M50)</f>
        <v>1.60000000000001</v>
      </c>
      <c r="O51" s="139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1.60000000000001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95057.1322014476</v>
      </c>
      <c r="E52" s="45" t="n">
        <f aca="false">L52+D52/$K$2</f>
        <v>73.2962745473573</v>
      </c>
      <c r="F52" s="117" t="n">
        <f aca="false">IF($K$9=0,0,E52/$K$9)</f>
        <v>0.1848</v>
      </c>
      <c r="G52" s="117" t="n">
        <f aca="false">G51+F52</f>
        <v>0.9799</v>
      </c>
      <c r="H52" s="138" t="n">
        <v>8342.14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RESUMO'!AY30</f>
        <v>97.99</v>
      </c>
      <c r="N52" s="140" t="n">
        <f aca="false">MAX(0,M52-M51)</f>
        <v>18.48</v>
      </c>
      <c r="O52" s="139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18.48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5863.91399943996</v>
      </c>
      <c r="E53" s="45" t="n">
        <f aca="false">L53+D53/$K$2</f>
        <v>4.52152342986945</v>
      </c>
      <c r="F53" s="117" t="n">
        <f aca="false">IF($K$9=0,0,E53/$K$9)</f>
        <v>0.0114</v>
      </c>
      <c r="G53" s="117" t="n">
        <f aca="false">G52+F53</f>
        <v>0.9913</v>
      </c>
      <c r="H53" s="138" t="n">
        <v>24619.49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RESUMO'!AZ30</f>
        <v>99.13</v>
      </c>
      <c r="N53" s="140" t="n">
        <f aca="false">MAX(0,M53-M52)</f>
        <v>1.14</v>
      </c>
      <c r="O53" s="139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1.14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4475.09226273052</v>
      </c>
      <c r="E54" s="45" t="n">
        <f aca="false">L54+D54/$K$2</f>
        <v>3.45063630174249</v>
      </c>
      <c r="F54" s="117" t="n">
        <f aca="false">IF($K$9=0,0,E54/$K$9)</f>
        <v>0.00870000000000005</v>
      </c>
      <c r="G54" s="117" t="n">
        <f aca="false">G53+F54</f>
        <v>1</v>
      </c>
      <c r="H54" s="138" t="n">
        <v>75130.12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RESUMO'!BA30</f>
        <v>100</v>
      </c>
      <c r="N54" s="140" t="n">
        <f aca="false">MAX(0,M54-M53)</f>
        <v>0.870000000000005</v>
      </c>
      <c r="O54" s="139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0.870000000000005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4323.67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RESUMO'!BB30</f>
        <v>100</v>
      </c>
      <c r="N55" s="140" t="n">
        <f aca="false">MAX(0,M55-M54)</f>
        <v>0</v>
      </c>
      <c r="O55" s="139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152.6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RESUMO'!BC30</f>
        <v>100</v>
      </c>
      <c r="N56" s="140" t="n">
        <f aca="false">MAX(0,M56-M55)</f>
        <v>0</v>
      </c>
      <c r="O56" s="139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RESUMO'!BD30</f>
        <v>100</v>
      </c>
      <c r="N57" s="140" t="n">
        <f aca="false">MAX(0,M57-M56)</f>
        <v>0</v>
      </c>
      <c r="O57" s="139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RESUMO'!BE30</f>
        <v>100</v>
      </c>
      <c r="N58" s="140" t="n">
        <f aca="false">MAX(0,M58-M57)</f>
        <v>0</v>
      </c>
      <c r="O58" s="139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RESUMO'!BF30</f>
        <v>100</v>
      </c>
      <c r="N59" s="140" t="n">
        <f aca="false">MAX(0,M59-M58)</f>
        <v>0</v>
      </c>
      <c r="O59" s="139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RESUMO'!BG30</f>
        <v>100</v>
      </c>
      <c r="N60" s="140" t="n">
        <f aca="false">MAX(0,M60-M59)</f>
        <v>0</v>
      </c>
      <c r="O60" s="139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RESUMO'!BH30</f>
        <v>100</v>
      </c>
      <c r="N61" s="140" t="n">
        <f aca="false">MAX(0,M61-M60)</f>
        <v>0</v>
      </c>
      <c r="O61" s="139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RESUMO'!BI30</f>
        <v>100</v>
      </c>
      <c r="N62" s="140" t="n">
        <f aca="false">MAX(0,M62-M61)</f>
        <v>0</v>
      </c>
      <c r="O62" s="139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RESUMO'!BJ30</f>
        <v>100</v>
      </c>
      <c r="N63" s="140" t="n">
        <f aca="false">MAX(0,M63-M62)</f>
        <v>0</v>
      </c>
      <c r="O63" s="139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RESUMO'!BK30</f>
        <v>100</v>
      </c>
      <c r="N64" s="140" t="n">
        <f aca="false">MAX(0,M64-M63)</f>
        <v>0</v>
      </c>
      <c r="O64" s="139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RESUMO'!BL30</f>
        <v>100</v>
      </c>
      <c r="N65" s="140" t="n">
        <f aca="false">MAX(0,M65-M64)</f>
        <v>0</v>
      </c>
      <c r="O65" s="139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RESUMO'!BM30</f>
        <v>100</v>
      </c>
      <c r="N66" s="140" t="n">
        <f aca="false">MAX(0,M66-M65)</f>
        <v>0</v>
      </c>
      <c r="O66" s="139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RESUMO'!BN30</f>
        <v>100</v>
      </c>
      <c r="N67" s="140" t="n">
        <f aca="false">MAX(0,M67-M66)</f>
        <v>0</v>
      </c>
      <c r="O67" s="139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RESUMO'!BO30</f>
        <v>100</v>
      </c>
      <c r="N68" s="140" t="n">
        <f aca="false">MAX(0,M68-M67)</f>
        <v>0</v>
      </c>
      <c r="O68" s="139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RESUMO'!BP30</f>
        <v>100</v>
      </c>
      <c r="N69" s="140" t="n">
        <f aca="false">MAX(0,M69-M68)</f>
        <v>0</v>
      </c>
      <c r="O69" s="139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RESUMO'!BQ30</f>
        <v>100</v>
      </c>
      <c r="N70" s="140" t="n">
        <f aca="false">MAX(0,M70-M69)</f>
        <v>0</v>
      </c>
      <c r="O70" s="139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RESUMO'!BR30</f>
        <v>100</v>
      </c>
      <c r="N71" s="140" t="n">
        <f aca="false">MAX(0,M71-M70)</f>
        <v>0</v>
      </c>
      <c r="O71" s="139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RESUMO'!BS30</f>
        <v>100</v>
      </c>
      <c r="N72" s="140" t="n">
        <f aca="false">MAX(0,M72-M71)</f>
        <v>0</v>
      </c>
      <c r="O72" s="139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RESUMO'!BT30</f>
        <v>100</v>
      </c>
      <c r="N73" s="140" t="n">
        <f aca="false">MAX(0,M73-M72)</f>
        <v>0</v>
      </c>
      <c r="O73" s="139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RESUMO'!BU30</f>
        <v>100</v>
      </c>
      <c r="N74" s="140" t="n">
        <f aca="false">MAX(0,M74-M73)</f>
        <v>0</v>
      </c>
      <c r="O74" s="139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RESUMO'!BV30</f>
        <v>100</v>
      </c>
      <c r="N75" s="140" t="n">
        <f aca="false">MAX(0,M75-M74)</f>
        <v>0</v>
      </c>
      <c r="O75" s="139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RESUMO'!BW30</f>
        <v>100</v>
      </c>
      <c r="N76" s="140" t="n">
        <f aca="false">MAX(0,M76-M75)</f>
        <v>0</v>
      </c>
      <c r="O76" s="139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514378.421003505</v>
      </c>
      <c r="E78" s="61" t="n">
        <f aca="false">SUM(E5:E76)</f>
        <v>396.62486226925</v>
      </c>
      <c r="F78" s="145" t="n">
        <f aca="false">SUM(F5:F76)</f>
        <v>1</v>
      </c>
      <c r="H78" s="61" t="n">
        <f aca="false">SUM(H5:H76)</f>
        <v>508667.04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PL'!F37</f>
        <v>2977368.36</v>
      </c>
      <c r="K5" s="56" t="n">
        <f aca="false">'VALOR POR PL'!G37</f>
        <v>2447.072966</v>
      </c>
      <c r="L5" s="56" t="n">
        <f aca="false">'DADOS HISTORICOS'!$BZ$31</f>
        <v>0</v>
      </c>
      <c r="M5" s="139" t="n">
        <f aca="false">'CP RESUMO'!D31</f>
        <v>0</v>
      </c>
      <c r="N5" s="140" t="n">
        <v>0</v>
      </c>
      <c r="O5" s="139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PL'!H37</f>
        <v>2447.072966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RESUMO'!E31</f>
        <v>0</v>
      </c>
      <c r="N6" s="140" t="n">
        <f aca="false">MAX(0,M6-M5)</f>
        <v>0</v>
      </c>
      <c r="O6" s="139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3172327.03974385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RESUMO'!F31</f>
        <v>0</v>
      </c>
      <c r="N7" s="140" t="n">
        <f aca="false">MAX(0,M7-M6)</f>
        <v>0</v>
      </c>
      <c r="O7" s="139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RESUMO'!G31</f>
        <v>0</v>
      </c>
      <c r="N8" s="140" t="n">
        <f aca="false">MAX(0,M8-M7)</f>
        <v>0</v>
      </c>
      <c r="O8" s="139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3172327.03974385</v>
      </c>
      <c r="K9" s="45" t="n">
        <f aca="false">E78</f>
        <v>2446.10528714782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RESUMO'!H31</f>
        <v>0</v>
      </c>
      <c r="N9" s="140" t="n">
        <f aca="false">MAX(0,M9-M8)</f>
        <v>0</v>
      </c>
      <c r="O9" s="139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2446.10528714782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RESUMO'!I31</f>
        <v>0</v>
      </c>
      <c r="N10" s="140" t="n">
        <f aca="false">MAX(0,M10-M9)</f>
        <v>0</v>
      </c>
      <c r="O10" s="139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3137103.29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RESUMO'!J31</f>
        <v>0</v>
      </c>
      <c r="N11" s="140" t="n">
        <f aca="false">MAX(0,M11-M10)</f>
        <v>0</v>
      </c>
      <c r="O11" s="139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RESUMO'!K31</f>
        <v>0</v>
      </c>
      <c r="N12" s="140" t="n">
        <f aca="false">MAX(0,M12-M11)</f>
        <v>0</v>
      </c>
      <c r="O12" s="139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RESUMO'!L31</f>
        <v>0</v>
      </c>
      <c r="N13" s="140" t="n">
        <f aca="false">MAX(0,M13-M12)</f>
        <v>0</v>
      </c>
      <c r="O13" s="139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RESUMO'!M31</f>
        <v>0</v>
      </c>
      <c r="N14" s="140" t="n">
        <f aca="false">MAX(0,M14-M13)</f>
        <v>0</v>
      </c>
      <c r="O14" s="139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RESUMO'!N31</f>
        <v>0</v>
      </c>
      <c r="N15" s="140" t="n">
        <f aca="false">MAX(0,M15-M14)</f>
        <v>0</v>
      </c>
      <c r="O15" s="139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RESUMO'!O31</f>
        <v>0</v>
      </c>
      <c r="N16" s="140" t="n">
        <f aca="false">MAX(0,M16-M15)</f>
        <v>0</v>
      </c>
      <c r="O16" s="139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RESUMO'!P31</f>
        <v>0</v>
      </c>
      <c r="N17" s="140" t="n">
        <f aca="false">MAX(0,M17-M16)</f>
        <v>0</v>
      </c>
      <c r="O17" s="139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3172327.03974385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RESUMO'!Q31</f>
        <v>0</v>
      </c>
      <c r="N18" s="140" t="n">
        <f aca="false">MAX(0,M18-M17)</f>
        <v>0</v>
      </c>
      <c r="O18" s="139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RESUMO'!R31</f>
        <v>0</v>
      </c>
      <c r="N19" s="140" t="n">
        <f aca="false">MAX(0,M19-M18)</f>
        <v>0</v>
      </c>
      <c r="O19" s="139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RESUMO'!S31</f>
        <v>0</v>
      </c>
      <c r="N20" s="140" t="n">
        <f aca="false">MAX(0,M20-M19)</f>
        <v>0</v>
      </c>
      <c r="O20" s="139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RESUMO'!T31</f>
        <v>0</v>
      </c>
      <c r="N21" s="140" t="n">
        <f aca="false">MAX(0,M21-M20)</f>
        <v>0</v>
      </c>
      <c r="O21" s="139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RESUMO'!U31</f>
        <v>0</v>
      </c>
      <c r="N22" s="140" t="n">
        <f aca="false">MAX(0,M22-M21)</f>
        <v>0</v>
      </c>
      <c r="O22" s="139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RESUMO'!V31</f>
        <v>0</v>
      </c>
      <c r="N23" s="140" t="n">
        <f aca="false">MAX(0,M23-M22)</f>
        <v>0</v>
      </c>
      <c r="O23" s="139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RESUMO'!W31</f>
        <v>0</v>
      </c>
      <c r="N24" s="140" t="n">
        <f aca="false">MAX(0,M24-M23)</f>
        <v>0</v>
      </c>
      <c r="O24" s="139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RESUMO'!X31</f>
        <v>0</v>
      </c>
      <c r="N25" s="140" t="n">
        <f aca="false">MAX(0,M25-M24)</f>
        <v>0</v>
      </c>
      <c r="O25" s="139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RESUMO'!Y31</f>
        <v>0</v>
      </c>
      <c r="N26" s="140" t="n">
        <f aca="false">MAX(0,M26-M25)</f>
        <v>0</v>
      </c>
      <c r="O26" s="139" t="str">
        <f aca="false">IF(B26&lt;='VALOR POR PL'!$P$5,'CP RESUMO'!Y73,"")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RESUMO'!Z31</f>
        <v>0</v>
      </c>
      <c r="N27" s="140" t="n">
        <f aca="false">MAX(0,M27-M26)</f>
        <v>0</v>
      </c>
      <c r="O27" s="139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RESUMO'!AA31</f>
        <v>0</v>
      </c>
      <c r="N28" s="140" t="n">
        <f aca="false">MAX(0,M28-M27)</f>
        <v>0</v>
      </c>
      <c r="O28" s="139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RESUMO'!AB31</f>
        <v>0</v>
      </c>
      <c r="N29" s="140" t="n">
        <f aca="false">MAX(0,M29-M28)</f>
        <v>0</v>
      </c>
      <c r="O29" s="139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RESUMO'!AC31</f>
        <v>0</v>
      </c>
      <c r="N30" s="140" t="n">
        <f aca="false">MAX(0,M30-M29)</f>
        <v>0</v>
      </c>
      <c r="O30" s="139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RESUMO'!AD31</f>
        <v>0</v>
      </c>
      <c r="N31" s="140" t="n">
        <f aca="false">MAX(0,M31-M30)</f>
        <v>0</v>
      </c>
      <c r="O31" s="139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RESUMO'!AE31</f>
        <v>0</v>
      </c>
      <c r="N32" s="140" t="n">
        <f aca="false">MAX(0,M32-M31)</f>
        <v>0</v>
      </c>
      <c r="O32" s="139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RESUMO'!AF31</f>
        <v>0</v>
      </c>
      <c r="N33" s="140" t="n">
        <f aca="false">MAX(0,M33-M32)</f>
        <v>0</v>
      </c>
      <c r="O33" s="139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RESUMO'!AG31</f>
        <v>0</v>
      </c>
      <c r="N34" s="140" t="n">
        <f aca="false">MAX(0,M34-M33)</f>
        <v>0</v>
      </c>
      <c r="O34" s="139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RESUMO'!AH31</f>
        <v>0</v>
      </c>
      <c r="N35" s="140" t="n">
        <f aca="false">MAX(0,M35-M34)</f>
        <v>0</v>
      </c>
      <c r="O35" s="139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RESUMO'!AI31</f>
        <v>0</v>
      </c>
      <c r="N36" s="140" t="n">
        <f aca="false">MAX(0,M36-M35)</f>
        <v>0</v>
      </c>
      <c r="O36" s="139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RESUMO'!AJ31</f>
        <v>0</v>
      </c>
      <c r="N37" s="140" t="n">
        <f aca="false">MAX(0,M37-M36)</f>
        <v>0</v>
      </c>
      <c r="O37" s="139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RESUMO'!AK31</f>
        <v>0</v>
      </c>
      <c r="N38" s="140" t="n">
        <f aca="false">MAX(0,M38-M37)</f>
        <v>0</v>
      </c>
      <c r="O38" s="139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RESUMO'!AL31</f>
        <v>0</v>
      </c>
      <c r="N39" s="140" t="n">
        <f aca="false">MAX(0,M39-M38)</f>
        <v>0</v>
      </c>
      <c r="O39" s="139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RESUMO'!AM31</f>
        <v>0</v>
      </c>
      <c r="N40" s="140" t="n">
        <f aca="false">MAX(0,M40-M39)</f>
        <v>0</v>
      </c>
      <c r="O40" s="139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RESUMO'!AN31</f>
        <v>0</v>
      </c>
      <c r="N41" s="140" t="n">
        <f aca="false">MAX(0,M41-M40)</f>
        <v>0</v>
      </c>
      <c r="O41" s="139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RESUMO'!AO31</f>
        <v>0</v>
      </c>
      <c r="N42" s="140" t="n">
        <f aca="false">MAX(0,M42-M41)</f>
        <v>0</v>
      </c>
      <c r="O42" s="139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209690.817327068</v>
      </c>
      <c r="E43" s="45" t="n">
        <f aca="false">L43+D43/$K$2</f>
        <v>161.687559480471</v>
      </c>
      <c r="F43" s="117" t="n">
        <f aca="false">IF($K$9=0,0,E43/$K$9)</f>
        <v>0.0661</v>
      </c>
      <c r="G43" s="117" t="n">
        <f aca="false">G42+F43</f>
        <v>0.0661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RESUMO'!AP31</f>
        <v>6.61</v>
      </c>
      <c r="N43" s="140" t="n">
        <f aca="false">MAX(0,M43-M42)</f>
        <v>6.61</v>
      </c>
      <c r="O43" s="139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6.61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281068.175721305</v>
      </c>
      <c r="E44" s="45" t="n">
        <f aca="false">L44+D44/$K$2</f>
        <v>216.724928441297</v>
      </c>
      <c r="F44" s="117" t="n">
        <f aca="false">IF($K$9=0,0,E44/$K$9)</f>
        <v>0.0886</v>
      </c>
      <c r="G44" s="117" t="n">
        <f aca="false">G43+F44</f>
        <v>0.1547</v>
      </c>
      <c r="H44" s="138" t="n">
        <v>207362.53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RESUMO'!AQ31</f>
        <v>15.47</v>
      </c>
      <c r="N44" s="140" t="n">
        <f aca="false">MAX(0,M44-M43)</f>
        <v>8.86</v>
      </c>
      <c r="O44" s="139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8.86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239193.458796686</v>
      </c>
      <c r="E45" s="45" t="n">
        <f aca="false">L45+D45/$K$2</f>
        <v>184.436338650946</v>
      </c>
      <c r="F45" s="117" t="n">
        <f aca="false">IF($K$9=0,0,E45/$K$9)</f>
        <v>0.0754</v>
      </c>
      <c r="G45" s="117" t="n">
        <f aca="false">G44+F45</f>
        <v>0.2301</v>
      </c>
      <c r="H45" s="138" t="n">
        <v>274182.83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RESUMO'!AR31</f>
        <v>23.01</v>
      </c>
      <c r="N45" s="140" t="n">
        <f aca="false">MAX(0,M45-M44)</f>
        <v>7.54</v>
      </c>
      <c r="O45" s="139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7.54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307715.722855153</v>
      </c>
      <c r="E46" s="45" t="n">
        <f aca="false">L46+D46/$K$2</f>
        <v>237.272212853339</v>
      </c>
      <c r="F46" s="117" t="n">
        <f aca="false">IF($K$9=0,0,E46/$K$9)</f>
        <v>0.097</v>
      </c>
      <c r="G46" s="117" t="n">
        <f aca="false">G45+F46</f>
        <v>0.3271</v>
      </c>
      <c r="H46" s="138" t="n">
        <v>231518.22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RESUMO'!AS31</f>
        <v>32.71</v>
      </c>
      <c r="N46" s="140" t="n">
        <f aca="false">MAX(0,M46-M45)</f>
        <v>9.7</v>
      </c>
      <c r="O46" s="139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9.7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282337.106537202</v>
      </c>
      <c r="E47" s="45" t="n">
        <f aca="false">L47+D47/$K$2</f>
        <v>217.703370556156</v>
      </c>
      <c r="F47" s="117" t="n">
        <f aca="false">IF($K$9=0,0,E47/$K$9)</f>
        <v>0.089</v>
      </c>
      <c r="G47" s="117" t="n">
        <f aca="false">G46+F47</f>
        <v>0.4161</v>
      </c>
      <c r="H47" s="138" t="n">
        <v>300534.5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RESUMO'!AT31</f>
        <v>41.61</v>
      </c>
      <c r="N47" s="140" t="n">
        <f aca="false">MAX(0,M47-M46)</f>
        <v>8.9</v>
      </c>
      <c r="O47" s="139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8.9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283606.0373531</v>
      </c>
      <c r="E48" s="45" t="n">
        <f aca="false">L48+D48/$K$2</f>
        <v>218.681812671015</v>
      </c>
      <c r="F48" s="117" t="n">
        <f aca="false">IF($K$9=0,0,E48/$K$9)</f>
        <v>0.0894</v>
      </c>
      <c r="G48" s="117" t="n">
        <f aca="false">G47+F48</f>
        <v>0.5055</v>
      </c>
      <c r="H48" s="138" t="n">
        <v>282966.72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RESUMO'!AU31</f>
        <v>50.55</v>
      </c>
      <c r="N48" s="140" t="n">
        <f aca="false">MAX(0,M48-M47)</f>
        <v>8.94</v>
      </c>
      <c r="O48" s="139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8.94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288364.527912716</v>
      </c>
      <c r="E49" s="45" t="n">
        <f aca="false">L49+D49/$K$2</f>
        <v>222.350970601737</v>
      </c>
      <c r="F49" s="117" t="n">
        <f aca="false">IF($K$9=0,0,E49/$K$9)</f>
        <v>0.0909</v>
      </c>
      <c r="G49" s="117" t="n">
        <f aca="false">G48+F49</f>
        <v>0.5964</v>
      </c>
      <c r="H49" s="138" t="n">
        <v>275123.96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RESUMO'!AV31</f>
        <v>59.64</v>
      </c>
      <c r="N49" s="140" t="n">
        <f aca="false">MAX(0,M49-M48)</f>
        <v>9.09</v>
      </c>
      <c r="O49" s="139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9.09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241096.855020532</v>
      </c>
      <c r="E50" s="45" t="n">
        <f aca="false">L50+D50/$K$2</f>
        <v>185.904001823234</v>
      </c>
      <c r="F50" s="117" t="n">
        <f aca="false">IF($K$9=0,0,E50/$K$9)</f>
        <v>0.0759999999999999</v>
      </c>
      <c r="G50" s="117" t="n">
        <f aca="false">G49+F50</f>
        <v>0.6724</v>
      </c>
      <c r="H50" s="138" t="n">
        <v>299279.65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RESUMO'!AW31</f>
        <v>67.24</v>
      </c>
      <c r="N50" s="140" t="n">
        <f aca="false">MAX(0,M50-M49)</f>
        <v>7.59999999999999</v>
      </c>
      <c r="O50" s="139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7.59999999999999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274723.521641818</v>
      </c>
      <c r="E51" s="45" t="n">
        <f aca="false">L51+D51/$K$2</f>
        <v>211.832717867001</v>
      </c>
      <c r="F51" s="117" t="n">
        <f aca="false">IF($K$9=0,0,E51/$K$9)</f>
        <v>0.0866000000000001</v>
      </c>
      <c r="G51" s="117" t="n">
        <f aca="false">G50+F51</f>
        <v>0.759</v>
      </c>
      <c r="H51" s="138" t="n">
        <v>238419.85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RESUMO'!AX31</f>
        <v>75.9</v>
      </c>
      <c r="N51" s="140" t="n">
        <f aca="false">MAX(0,M51-M50)</f>
        <v>8.66000000000001</v>
      </c>
      <c r="O51" s="139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8.66000000000001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516454.842070299</v>
      </c>
      <c r="E52" s="45" t="n">
        <f aca="false">L52+D52/$K$2</f>
        <v>398.225940747665</v>
      </c>
      <c r="F52" s="117" t="n">
        <f aca="false">IF($K$9=0,0,E52/$K$9)</f>
        <v>0.1628</v>
      </c>
      <c r="G52" s="117" t="n">
        <f aca="false">G51+F52</f>
        <v>0.9218</v>
      </c>
      <c r="H52" s="138" t="n">
        <v>250027.13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RESUMO'!AY31</f>
        <v>92.18</v>
      </c>
      <c r="N52" s="140" t="n">
        <f aca="false">MAX(0,M52-M51)</f>
        <v>16.28</v>
      </c>
      <c r="O52" s="139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16.28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125624.150773856</v>
      </c>
      <c r="E53" s="45" t="n">
        <f aca="false">L53+D53/$K$2</f>
        <v>96.8657693710535</v>
      </c>
      <c r="F53" s="117" t="n">
        <f aca="false">IF($K$9=0,0,E53/$K$9)</f>
        <v>0.0395999999999999</v>
      </c>
      <c r="G53" s="117" t="n">
        <f aca="false">G52+F53</f>
        <v>0.9614</v>
      </c>
      <c r="H53" s="138" t="n">
        <v>300220.78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RESUMO'!AZ31</f>
        <v>96.14</v>
      </c>
      <c r="N53" s="140" t="n">
        <f aca="false">MAX(0,M53-M52)</f>
        <v>3.95999999999999</v>
      </c>
      <c r="O53" s="139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3.95999999999999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122451.823734113</v>
      </c>
      <c r="E54" s="45" t="n">
        <f aca="false">L54+D54/$K$2</f>
        <v>94.4196640839058</v>
      </c>
      <c r="F54" s="117" t="n">
        <f aca="false">IF($K$9=0,0,E54/$K$9)</f>
        <v>0.0386</v>
      </c>
      <c r="G54" s="117" t="n">
        <f aca="false">G53+F54</f>
        <v>1</v>
      </c>
      <c r="H54" s="138" t="n">
        <v>356374.93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RESUMO'!BA31</f>
        <v>100</v>
      </c>
      <c r="N54" s="140" t="n">
        <f aca="false">MAX(0,M54-M53)</f>
        <v>3.86</v>
      </c>
      <c r="O54" s="139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3.86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 t="n">
        <v>121092.19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RESUMO'!BB31</f>
        <v>100</v>
      </c>
      <c r="N55" s="140" t="n">
        <f aca="false">MAX(0,M55-M54)</f>
        <v>0</v>
      </c>
      <c r="O55" s="139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RESUMO'!BC31</f>
        <v>100</v>
      </c>
      <c r="N56" s="140" t="n">
        <f aca="false">MAX(0,M56-M55)</f>
        <v>0</v>
      </c>
      <c r="O56" s="139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RESUMO'!BD31</f>
        <v>100</v>
      </c>
      <c r="N57" s="140" t="n">
        <f aca="false">MAX(0,M57-M56)</f>
        <v>0</v>
      </c>
      <c r="O57" s="139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RESUMO'!BE31</f>
        <v>100</v>
      </c>
      <c r="N58" s="140" t="n">
        <f aca="false">MAX(0,M58-M57)</f>
        <v>0</v>
      </c>
      <c r="O58" s="139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RESUMO'!BF31</f>
        <v>100</v>
      </c>
      <c r="N59" s="140" t="n">
        <f aca="false">MAX(0,M59-M58)</f>
        <v>0</v>
      </c>
      <c r="O59" s="139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RESUMO'!BG31</f>
        <v>100</v>
      </c>
      <c r="N60" s="140" t="n">
        <f aca="false">MAX(0,M60-M59)</f>
        <v>0</v>
      </c>
      <c r="O60" s="139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RESUMO'!BH31</f>
        <v>100</v>
      </c>
      <c r="N61" s="140" t="n">
        <f aca="false">MAX(0,M61-M60)</f>
        <v>0</v>
      </c>
      <c r="O61" s="139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RESUMO'!BI31</f>
        <v>100</v>
      </c>
      <c r="N62" s="140" t="n">
        <f aca="false">MAX(0,M62-M61)</f>
        <v>0</v>
      </c>
      <c r="O62" s="139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RESUMO'!BJ31</f>
        <v>100</v>
      </c>
      <c r="N63" s="140" t="n">
        <f aca="false">MAX(0,M63-M62)</f>
        <v>0</v>
      </c>
      <c r="O63" s="139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RESUMO'!BK31</f>
        <v>100</v>
      </c>
      <c r="N64" s="140" t="n">
        <f aca="false">MAX(0,M64-M63)</f>
        <v>0</v>
      </c>
      <c r="O64" s="139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RESUMO'!BL31</f>
        <v>100</v>
      </c>
      <c r="N65" s="140" t="n">
        <f aca="false">MAX(0,M65-M64)</f>
        <v>0</v>
      </c>
      <c r="O65" s="139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RESUMO'!BM31</f>
        <v>100</v>
      </c>
      <c r="N66" s="140" t="n">
        <f aca="false">MAX(0,M66-M65)</f>
        <v>0</v>
      </c>
      <c r="O66" s="139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RESUMO'!BN31</f>
        <v>100</v>
      </c>
      <c r="N67" s="140" t="n">
        <f aca="false">MAX(0,M67-M66)</f>
        <v>0</v>
      </c>
      <c r="O67" s="139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RESUMO'!BO31</f>
        <v>100</v>
      </c>
      <c r="N68" s="140" t="n">
        <f aca="false">MAX(0,M68-M67)</f>
        <v>0</v>
      </c>
      <c r="O68" s="139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RESUMO'!BP31</f>
        <v>100</v>
      </c>
      <c r="N69" s="140" t="n">
        <f aca="false">MAX(0,M69-M68)</f>
        <v>0</v>
      </c>
      <c r="O69" s="139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RESUMO'!BQ31</f>
        <v>100</v>
      </c>
      <c r="N70" s="140" t="n">
        <f aca="false">MAX(0,M70-M69)</f>
        <v>0</v>
      </c>
      <c r="O70" s="139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RESUMO'!BR31</f>
        <v>100</v>
      </c>
      <c r="N71" s="140" t="n">
        <f aca="false">MAX(0,M71-M70)</f>
        <v>0</v>
      </c>
      <c r="O71" s="139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RESUMO'!BS31</f>
        <v>100</v>
      </c>
      <c r="N72" s="140" t="n">
        <f aca="false">MAX(0,M72-M71)</f>
        <v>0</v>
      </c>
      <c r="O72" s="139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RESUMO'!BT31</f>
        <v>100</v>
      </c>
      <c r="N73" s="140" t="n">
        <f aca="false">MAX(0,M73-M72)</f>
        <v>0</v>
      </c>
      <c r="O73" s="139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RESUMO'!BU31</f>
        <v>100</v>
      </c>
      <c r="N74" s="140" t="n">
        <f aca="false">MAX(0,M74-M73)</f>
        <v>0</v>
      </c>
      <c r="O74" s="139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RESUMO'!BV31</f>
        <v>100</v>
      </c>
      <c r="N75" s="140" t="n">
        <f aca="false">MAX(0,M75-M74)</f>
        <v>0</v>
      </c>
      <c r="O75" s="139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RESUMO'!BW31</f>
        <v>100</v>
      </c>
      <c r="N76" s="140" t="n">
        <f aca="false">MAX(0,M76-M75)</f>
        <v>0</v>
      </c>
      <c r="O76" s="139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3172327.03974385</v>
      </c>
      <c r="E78" s="61" t="n">
        <f aca="false">SUM(E5:E76)</f>
        <v>2446.10528714782</v>
      </c>
      <c r="F78" s="145" t="n">
        <f aca="false">SUM(F5:F76)</f>
        <v>1</v>
      </c>
      <c r="H78" s="61" t="n">
        <f aca="false">SUM(H5:H76)</f>
        <v>3137103.29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PL'!F38</f>
        <v>1096073.33</v>
      </c>
      <c r="K5" s="56" t="n">
        <f aca="false">'VALOR POR PL'!G38</f>
        <v>900.853067</v>
      </c>
      <c r="L5" s="56" t="n">
        <f aca="false">'DADOS HISTORICOS'!$BZ$32</f>
        <v>0</v>
      </c>
      <c r="M5" s="139" t="n">
        <f aca="false">'CP RESUMO'!D32</f>
        <v>0</v>
      </c>
      <c r="N5" s="140" t="n">
        <v>0</v>
      </c>
      <c r="O5" s="139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PL'!H38</f>
        <v>900.853067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RESUMO'!E32</f>
        <v>0</v>
      </c>
      <c r="N6" s="140" t="n">
        <f aca="false">MAX(0,M6-M5)</f>
        <v>0</v>
      </c>
      <c r="O6" s="139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1167844.43414111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RESUMO'!F32</f>
        <v>0</v>
      </c>
      <c r="N7" s="140" t="n">
        <f aca="false">MAX(0,M7-M6)</f>
        <v>0</v>
      </c>
      <c r="O7" s="139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RESUMO'!G32</f>
        <v>0</v>
      </c>
      <c r="N8" s="140" t="n">
        <f aca="false">MAX(0,M8-M7)</f>
        <v>0</v>
      </c>
      <c r="O8" s="139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1167844.43414111</v>
      </c>
      <c r="K9" s="45" t="n">
        <f aca="false">E78</f>
        <v>900.496830600853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RESUMO'!H32</f>
        <v>0</v>
      </c>
      <c r="N9" s="140" t="n">
        <f aca="false">MAX(0,M9-M8)</f>
        <v>0</v>
      </c>
      <c r="O9" s="139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900.496830600853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RESUMO'!I32</f>
        <v>0</v>
      </c>
      <c r="N10" s="140" t="n">
        <f aca="false">MAX(0,M10-M9)</f>
        <v>0</v>
      </c>
      <c r="O10" s="139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1154877.35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RESUMO'!J32</f>
        <v>0</v>
      </c>
      <c r="N11" s="140" t="n">
        <f aca="false">MAX(0,M11-M10)</f>
        <v>0</v>
      </c>
      <c r="O11" s="139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RESUMO'!K32</f>
        <v>0</v>
      </c>
      <c r="N12" s="140" t="n">
        <f aca="false">MAX(0,M12-M11)</f>
        <v>0</v>
      </c>
      <c r="O12" s="139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RESUMO'!L32</f>
        <v>0</v>
      </c>
      <c r="N13" s="140" t="n">
        <f aca="false">MAX(0,M13-M12)</f>
        <v>0</v>
      </c>
      <c r="O13" s="139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RESUMO'!$D$74:$BW$74,MATCH('VALOR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RESUMO'!M32</f>
        <v>0</v>
      </c>
      <c r="N14" s="140" t="n">
        <f aca="false">MAX(0,M14-M13)</f>
        <v>0</v>
      </c>
      <c r="O14" s="139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RESUMO'!N32</f>
        <v>0</v>
      </c>
      <c r="N15" s="140" t="n">
        <f aca="false">MAX(0,M15-M14)</f>
        <v>0</v>
      </c>
      <c r="O15" s="139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RESUMO'!O32</f>
        <v>0</v>
      </c>
      <c r="N16" s="140" t="n">
        <f aca="false">MAX(0,M16-M15)</f>
        <v>0</v>
      </c>
      <c r="O16" s="139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RESUMO'!P32</f>
        <v>0</v>
      </c>
      <c r="N17" s="140" t="n">
        <f aca="false">MAX(0,M17-M16)</f>
        <v>0</v>
      </c>
      <c r="O17" s="139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1167844.43414111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RESUMO'!Q32</f>
        <v>0</v>
      </c>
      <c r="N18" s="140" t="n">
        <f aca="false">MAX(0,M18-M17)</f>
        <v>0</v>
      </c>
      <c r="O18" s="139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RESUMO'!R32</f>
        <v>0</v>
      </c>
      <c r="N19" s="140" t="n">
        <f aca="false">MAX(0,M19-M18)</f>
        <v>0</v>
      </c>
      <c r="O19" s="139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RESUMO'!S32</f>
        <v>0</v>
      </c>
      <c r="N20" s="140" t="n">
        <f aca="false">MAX(0,M20-M19)</f>
        <v>0</v>
      </c>
      <c r="O20" s="139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RESUMO'!T32</f>
        <v>0</v>
      </c>
      <c r="N21" s="140" t="n">
        <f aca="false">MAX(0,M21-M20)</f>
        <v>0</v>
      </c>
      <c r="O21" s="139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RESUMO'!U32</f>
        <v>0</v>
      </c>
      <c r="N22" s="140" t="n">
        <f aca="false">MAX(0,M22-M21)</f>
        <v>0</v>
      </c>
      <c r="O22" s="139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RESUMO'!V32</f>
        <v>0</v>
      </c>
      <c r="N23" s="140" t="n">
        <f aca="false">MAX(0,M23-M22)</f>
        <v>0</v>
      </c>
      <c r="O23" s="139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RESUMO'!W32</f>
        <v>0</v>
      </c>
      <c r="N24" s="140" t="n">
        <f aca="false">MAX(0,M24-M23)</f>
        <v>0</v>
      </c>
      <c r="O24" s="139" t="n">
        <f aca="false">IF(B24&lt;='VALOR POR PL'!$P$5,'CP RESUMO'!W74,"")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RESUMO'!X32</f>
        <v>0</v>
      </c>
      <c r="N25" s="140" t="n">
        <f aca="false">MAX(0,M25-M24)</f>
        <v>0</v>
      </c>
      <c r="O25" s="139" t="n">
        <f aca="false">IF(B25&lt;='VALOR POR PL'!$P$5,'CP RESUMO'!X74,"")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RESUMO'!Y32</f>
        <v>0</v>
      </c>
      <c r="N26" s="140" t="n">
        <f aca="false">MAX(0,M26-M25)</f>
        <v>0</v>
      </c>
      <c r="O26" s="139" t="str">
        <f aca="false">IF(B26&lt;='VALOR POR PL'!$P$5,'CP RESUMO'!Y74,"")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RESUMO'!Z32</f>
        <v>0</v>
      </c>
      <c r="N27" s="140" t="n">
        <f aca="false">MAX(0,M27-M26)</f>
        <v>0</v>
      </c>
      <c r="O27" s="139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RESUMO'!AA32</f>
        <v>0</v>
      </c>
      <c r="N28" s="140" t="n">
        <f aca="false">MAX(0,M28-M27)</f>
        <v>0</v>
      </c>
      <c r="O28" s="139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RESUMO'!AB32</f>
        <v>0</v>
      </c>
      <c r="N29" s="140" t="n">
        <f aca="false">MAX(0,M29-M28)</f>
        <v>0</v>
      </c>
      <c r="O29" s="139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RESUMO'!AC32</f>
        <v>0</v>
      </c>
      <c r="N30" s="140" t="n">
        <f aca="false">MAX(0,M30-M29)</f>
        <v>0</v>
      </c>
      <c r="O30" s="139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RESUMO'!AD32</f>
        <v>0</v>
      </c>
      <c r="N31" s="140" t="n">
        <f aca="false">MAX(0,M31-M30)</f>
        <v>0</v>
      </c>
      <c r="O31" s="139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RESUMO'!AE32</f>
        <v>0</v>
      </c>
      <c r="N32" s="140" t="n">
        <f aca="false">MAX(0,M32-M31)</f>
        <v>0</v>
      </c>
      <c r="O32" s="139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1868.55109462578</v>
      </c>
      <c r="E33" s="45" t="n">
        <f aca="false">L33+D33/$K$2</f>
        <v>1.44079492896136</v>
      </c>
      <c r="F33" s="117" t="n">
        <f aca="false">IF($K$9=0,0,E33/$K$9)</f>
        <v>0.0016</v>
      </c>
      <c r="G33" s="117" t="n">
        <f aca="false">G32+F33</f>
        <v>0.0016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RESUMO'!AF32</f>
        <v>0.16</v>
      </c>
      <c r="N33" s="140" t="n">
        <f aca="false">MAX(0,M33-M32)</f>
        <v>0.16</v>
      </c>
      <c r="O33" s="139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0.16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3853.88663266566</v>
      </c>
      <c r="E34" s="45" t="n">
        <f aca="false">L34+D34/$K$2</f>
        <v>2.97163954098281</v>
      </c>
      <c r="F34" s="117" t="n">
        <f aca="false">IF($K$9=0,0,E34/$K$9)</f>
        <v>0.0033</v>
      </c>
      <c r="G34" s="117" t="n">
        <f aca="false">G33+F34</f>
        <v>0.0049</v>
      </c>
      <c r="H34" s="138" t="n">
        <v>1847.8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RESUMO'!AG32</f>
        <v>0.49</v>
      </c>
      <c r="N34" s="140" t="n">
        <f aca="false">MAX(0,M34-M33)</f>
        <v>0.33</v>
      </c>
      <c r="O34" s="139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0.33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42275.9685159082</v>
      </c>
      <c r="E35" s="45" t="n">
        <f aca="false">L35+D35/$K$2</f>
        <v>32.5979852677509</v>
      </c>
      <c r="F35" s="117" t="n">
        <f aca="false">IF($K$9=0,0,E35/$K$9)</f>
        <v>0.0362</v>
      </c>
      <c r="G35" s="117" t="n">
        <f aca="false">G34+F35</f>
        <v>0.0411</v>
      </c>
      <c r="H35" s="138" t="n">
        <v>3811.1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RESUMO'!AH32</f>
        <v>4.11</v>
      </c>
      <c r="N35" s="140" t="n">
        <f aca="false">MAX(0,M35-M34)</f>
        <v>3.62</v>
      </c>
      <c r="O35" s="139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3.62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88522.6081078961</v>
      </c>
      <c r="E36" s="45" t="n">
        <f aca="false">L36+D36/$K$2</f>
        <v>68.2576597595447</v>
      </c>
      <c r="F36" s="117" t="n">
        <f aca="false">IF($K$9=0,0,E36/$K$9)</f>
        <v>0.0758</v>
      </c>
      <c r="G36" s="117" t="n">
        <f aca="false">G35+F36</f>
        <v>0.1169</v>
      </c>
      <c r="H36" s="138" t="n">
        <v>32567.54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RESUMO'!AI32</f>
        <v>11.69</v>
      </c>
      <c r="N36" s="140" t="n">
        <f aca="false">MAX(0,M36-M35)</f>
        <v>7.58</v>
      </c>
      <c r="O36" s="139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7.58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95179.3213825004</v>
      </c>
      <c r="E37" s="45" t="n">
        <f aca="false">L37+D37/$K$2</f>
        <v>73.3904916939695</v>
      </c>
      <c r="F37" s="117" t="n">
        <f aca="false">IF($K$9=0,0,E37/$K$9)</f>
        <v>0.0815</v>
      </c>
      <c r="G37" s="117" t="n">
        <f aca="false">G36+F37</f>
        <v>0.1984</v>
      </c>
      <c r="H37" s="138" t="n">
        <v>96547.75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RESUMO'!AJ32</f>
        <v>19.84</v>
      </c>
      <c r="N37" s="140" t="n">
        <f aca="false">MAX(0,M37-M36)</f>
        <v>8.15</v>
      </c>
      <c r="O37" s="139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8.15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95062.5369390863</v>
      </c>
      <c r="E38" s="45" t="n">
        <f aca="false">L38+D38/$K$2</f>
        <v>73.3004420109094</v>
      </c>
      <c r="F38" s="117" t="n">
        <f aca="false">IF($K$9=0,0,E38/$K$9)</f>
        <v>0.0814</v>
      </c>
      <c r="G38" s="117" t="n">
        <f aca="false">G37+F38</f>
        <v>0.2798</v>
      </c>
      <c r="H38" s="138" t="n">
        <v>87886.17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RESUMO'!AK32</f>
        <v>27.98</v>
      </c>
      <c r="N38" s="140" t="n">
        <f aca="false">MAX(0,M38-M37)</f>
        <v>8.14</v>
      </c>
      <c r="O38" s="139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8.14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98215.7169112673</v>
      </c>
      <c r="E39" s="45" t="n">
        <f aca="false">L39+D39/$K$2</f>
        <v>75.7317834535317</v>
      </c>
      <c r="F39" s="117" t="n">
        <f aca="false">IF($K$9=0,0,E39/$K$9)</f>
        <v>0.0841</v>
      </c>
      <c r="G39" s="117" t="n">
        <f aca="false">G38+F39</f>
        <v>0.3639</v>
      </c>
      <c r="H39" s="138" t="n">
        <v>95970.31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RESUMO'!AL32</f>
        <v>36.39</v>
      </c>
      <c r="N39" s="140" t="n">
        <f aca="false">MAX(0,M39-M38)</f>
        <v>8.41</v>
      </c>
      <c r="O39" s="139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8.41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212430.902570268</v>
      </c>
      <c r="E40" s="45" t="n">
        <f aca="false">L40+D40/$K$2</f>
        <v>163.800373486295</v>
      </c>
      <c r="F40" s="117" t="n">
        <f aca="false">IF($K$9=0,0,E40/$K$9)</f>
        <v>0.1819</v>
      </c>
      <c r="G40" s="117" t="n">
        <f aca="false">G39+F40</f>
        <v>0.5458</v>
      </c>
      <c r="H40" s="138" t="n">
        <v>93083.11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RESUMO'!AM32</f>
        <v>54.58</v>
      </c>
      <c r="N40" s="140" t="n">
        <f aca="false">MAX(0,M40-M39)</f>
        <v>18.19</v>
      </c>
      <c r="O40" s="139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18.19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80931.6192859789</v>
      </c>
      <c r="E41" s="45" t="n">
        <f aca="false">L41+D41/$K$2</f>
        <v>62.4044303606391</v>
      </c>
      <c r="F41" s="117" t="n">
        <f aca="false">IF($K$9=0,0,E41/$K$9)</f>
        <v>0.0693</v>
      </c>
      <c r="G41" s="117" t="n">
        <f aca="false">G40+F41</f>
        <v>0.6151</v>
      </c>
      <c r="H41" s="138" t="n">
        <v>121493.1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RESUMO'!AN32</f>
        <v>61.51</v>
      </c>
      <c r="N41" s="140" t="n">
        <f aca="false">MAX(0,M41-M40)</f>
        <v>6.93</v>
      </c>
      <c r="O41" s="139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6.93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92493.279183976</v>
      </c>
      <c r="E42" s="45" t="n">
        <f aca="false">L42+D42/$K$2</f>
        <v>71.3193489835876</v>
      </c>
      <c r="F42" s="117" t="n">
        <f aca="false">IF($K$9=0,0,E42/$K$9)</f>
        <v>0.0792000000000001</v>
      </c>
      <c r="G42" s="117" t="n">
        <f aca="false">G41+F42</f>
        <v>0.6943</v>
      </c>
      <c r="H42" s="138" t="n">
        <v>175887.82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RESUMO'!AO32</f>
        <v>69.43</v>
      </c>
      <c r="N42" s="140" t="n">
        <f aca="false">MAX(0,M42-M41)</f>
        <v>7.92000000000001</v>
      </c>
      <c r="O42" s="139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7.92000000000001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97047.8724771261</v>
      </c>
      <c r="E43" s="45" t="n">
        <f aca="false">L43+D43/$K$2</f>
        <v>74.8312866229308</v>
      </c>
      <c r="F43" s="117" t="n">
        <f aca="false">IF($K$9=0,0,E43/$K$9)</f>
        <v>0.0830999999999999</v>
      </c>
      <c r="G43" s="117" t="n">
        <f aca="false">G42+F43</f>
        <v>0.7774</v>
      </c>
      <c r="H43" s="138" t="n">
        <v>88579.09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RESUMO'!AP32</f>
        <v>77.74</v>
      </c>
      <c r="N43" s="140" t="n">
        <f aca="false">MAX(0,M43-M42)</f>
        <v>8.30999999999999</v>
      </c>
      <c r="O43" s="139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8.30999999999999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88639.3925513102</v>
      </c>
      <c r="E44" s="45" t="n">
        <f aca="false">L44+D44/$K$2</f>
        <v>68.3477094426048</v>
      </c>
      <c r="F44" s="117" t="n">
        <f aca="false">IF($K$9=0,0,E44/$K$9)</f>
        <v>0.0759</v>
      </c>
      <c r="G44" s="117" t="n">
        <f aca="false">G43+F44</f>
        <v>0.8533</v>
      </c>
      <c r="H44" s="138" t="n">
        <v>99896.89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RESUMO'!AQ32</f>
        <v>85.33</v>
      </c>
      <c r="N44" s="140" t="n">
        <f aca="false">MAX(0,M44-M43)</f>
        <v>7.59</v>
      </c>
      <c r="O44" s="139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7.59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70070.6660484666</v>
      </c>
      <c r="E45" s="45" t="n">
        <f aca="false">L45+D45/$K$2</f>
        <v>54.0298098360512</v>
      </c>
      <c r="F45" s="117" t="n">
        <f aca="false">IF($K$9=0,0,E45/$K$9)</f>
        <v>0.06</v>
      </c>
      <c r="G45" s="117" t="n">
        <f aca="false">G44+F45</f>
        <v>0.9133</v>
      </c>
      <c r="H45" s="138" t="n">
        <v>87539.7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RESUMO'!AR32</f>
        <v>91.33</v>
      </c>
      <c r="N45" s="140" t="n">
        <f aca="false">MAX(0,M45-M44)</f>
        <v>6</v>
      </c>
      <c r="O45" s="139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34568.1952505769</v>
      </c>
      <c r="E46" s="45" t="n">
        <f aca="false">L46+D46/$K$2</f>
        <v>26.6547061857853</v>
      </c>
      <c r="F46" s="117" t="n">
        <f aca="false">IF($K$9=0,0,E46/$K$9)</f>
        <v>0.0296000000000001</v>
      </c>
      <c r="G46" s="117" t="n">
        <f aca="false">G45+F46</f>
        <v>0.9429</v>
      </c>
      <c r="H46" s="138" t="n">
        <v>65712.52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RESUMO'!AS32</f>
        <v>94.29</v>
      </c>
      <c r="N46" s="140" t="n">
        <f aca="false">MAX(0,M46-M45)</f>
        <v>2.96000000000001</v>
      </c>
      <c r="O46" s="139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2.96000000000001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18802.2953896719</v>
      </c>
      <c r="E47" s="45" t="n">
        <f aca="false">L47+D47/$K$2</f>
        <v>14.4979989726737</v>
      </c>
      <c r="F47" s="117" t="n">
        <f aca="false">IF($K$9=0,0,E47/$K$9)</f>
        <v>0.0161</v>
      </c>
      <c r="G47" s="117" t="n">
        <f aca="false">G46+F47</f>
        <v>0.959</v>
      </c>
      <c r="H47" s="138" t="n">
        <v>36840.59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RESUMO'!AT32</f>
        <v>95.9</v>
      </c>
      <c r="N47" s="140" t="n">
        <f aca="false">MAX(0,M47-M46)</f>
        <v>1.61</v>
      </c>
      <c r="O47" s="139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1.61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46947.3462524726</v>
      </c>
      <c r="E48" s="45" t="n">
        <f aca="false">L48+D48/$K$2</f>
        <v>36.1999725901542</v>
      </c>
      <c r="F48" s="117" t="n">
        <f aca="false">IF($K$9=0,0,E48/$K$9)</f>
        <v>0.0402</v>
      </c>
      <c r="G48" s="117" t="n">
        <f aca="false">G47+F48</f>
        <v>0.9992</v>
      </c>
      <c r="H48" s="138" t="n">
        <v>9123.53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RESUMO'!AU32</f>
        <v>99.92</v>
      </c>
      <c r="N48" s="140" t="n">
        <f aca="false">MAX(0,M48-M47)</f>
        <v>4.02</v>
      </c>
      <c r="O48" s="139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4.02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934.275547312868</v>
      </c>
      <c r="E49" s="45" t="n">
        <f aca="false">L49+D49/$K$2</f>
        <v>0.720397464480667</v>
      </c>
      <c r="F49" s="117" t="n">
        <f aca="false">IF($K$9=0,0,E49/$K$9)</f>
        <v>0.000799999999999983</v>
      </c>
      <c r="G49" s="117" t="n">
        <f aca="false">G48+F49</f>
        <v>1</v>
      </c>
      <c r="H49" s="138" t="n">
        <v>49775.21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RESUMO'!AV32</f>
        <v>100</v>
      </c>
      <c r="N49" s="140" t="n">
        <f aca="false">MAX(0,M49-M48)</f>
        <v>0.0799999999999983</v>
      </c>
      <c r="O49" s="139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0.0799999999999983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 t="n">
        <v>8315.12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RESUMO'!AW32</f>
        <v>100</v>
      </c>
      <c r="N50" s="140" t="n">
        <f aca="false">MAX(0,M50-M49)</f>
        <v>0</v>
      </c>
      <c r="O50" s="139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RESUMO'!AX32</f>
        <v>100</v>
      </c>
      <c r="N51" s="140" t="n">
        <f aca="false">MAX(0,M51-M50)</f>
        <v>0</v>
      </c>
      <c r="O51" s="139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RESUMO'!AY32</f>
        <v>100</v>
      </c>
      <c r="N52" s="140" t="n">
        <f aca="false">MAX(0,M52-M51)</f>
        <v>0</v>
      </c>
      <c r="O52" s="139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RESUMO'!AZ32</f>
        <v>100</v>
      </c>
      <c r="N53" s="140" t="n">
        <f aca="false">MAX(0,M53-M52)</f>
        <v>0</v>
      </c>
      <c r="O53" s="139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RESUMO'!BA32</f>
        <v>100</v>
      </c>
      <c r="N54" s="140" t="n">
        <f aca="false">MAX(0,M54-M53)</f>
        <v>0</v>
      </c>
      <c r="O54" s="139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RESUMO'!BB32</f>
        <v>100</v>
      </c>
      <c r="N55" s="140" t="n">
        <f aca="false">MAX(0,M55-M54)</f>
        <v>0</v>
      </c>
      <c r="O55" s="139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RESUMO'!BC32</f>
        <v>100</v>
      </c>
      <c r="N56" s="140" t="n">
        <f aca="false">MAX(0,M56-M55)</f>
        <v>0</v>
      </c>
      <c r="O56" s="139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RESUMO'!BD32</f>
        <v>100</v>
      </c>
      <c r="N57" s="140" t="n">
        <f aca="false">MAX(0,M57-M56)</f>
        <v>0</v>
      </c>
      <c r="O57" s="139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RESUMO'!BE32</f>
        <v>100</v>
      </c>
      <c r="N58" s="140" t="n">
        <f aca="false">MAX(0,M58-M57)</f>
        <v>0</v>
      </c>
      <c r="O58" s="139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RESUMO'!BF32</f>
        <v>100</v>
      </c>
      <c r="N59" s="140" t="n">
        <f aca="false">MAX(0,M59-M58)</f>
        <v>0</v>
      </c>
      <c r="O59" s="139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RESUMO'!BG32</f>
        <v>100</v>
      </c>
      <c r="N60" s="140" t="n">
        <f aca="false">MAX(0,M60-M59)</f>
        <v>0</v>
      </c>
      <c r="O60" s="139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RESUMO'!BH32</f>
        <v>100</v>
      </c>
      <c r="N61" s="140" t="n">
        <f aca="false">MAX(0,M61-M60)</f>
        <v>0</v>
      </c>
      <c r="O61" s="139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RESUMO'!BI32</f>
        <v>100</v>
      </c>
      <c r="N62" s="140" t="n">
        <f aca="false">MAX(0,M62-M61)</f>
        <v>0</v>
      </c>
      <c r="O62" s="139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RESUMO'!BJ32</f>
        <v>100</v>
      </c>
      <c r="N63" s="140" t="n">
        <f aca="false">MAX(0,M63-M62)</f>
        <v>0</v>
      </c>
      <c r="O63" s="139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RESUMO'!BK32</f>
        <v>100</v>
      </c>
      <c r="N64" s="140" t="n">
        <f aca="false">MAX(0,M64-M63)</f>
        <v>0</v>
      </c>
      <c r="O64" s="139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RESUMO'!BL32</f>
        <v>100</v>
      </c>
      <c r="N65" s="140" t="n">
        <f aca="false">MAX(0,M65-M64)</f>
        <v>0</v>
      </c>
      <c r="O65" s="139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RESUMO'!BM32</f>
        <v>100</v>
      </c>
      <c r="N66" s="140" t="n">
        <f aca="false">MAX(0,M66-M65)</f>
        <v>0</v>
      </c>
      <c r="O66" s="139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RESUMO'!BN32</f>
        <v>100</v>
      </c>
      <c r="N67" s="140" t="n">
        <f aca="false">MAX(0,M67-M66)</f>
        <v>0</v>
      </c>
      <c r="O67" s="139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RESUMO'!BO32</f>
        <v>100</v>
      </c>
      <c r="N68" s="140" t="n">
        <f aca="false">MAX(0,M68-M67)</f>
        <v>0</v>
      </c>
      <c r="O68" s="139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RESUMO'!BP32</f>
        <v>100</v>
      </c>
      <c r="N69" s="140" t="n">
        <f aca="false">MAX(0,M69-M68)</f>
        <v>0</v>
      </c>
      <c r="O69" s="139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RESUMO'!BQ32</f>
        <v>100</v>
      </c>
      <c r="N70" s="140" t="n">
        <f aca="false">MAX(0,M70-M69)</f>
        <v>0</v>
      </c>
      <c r="O70" s="139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RESUMO'!BR32</f>
        <v>100</v>
      </c>
      <c r="N71" s="140" t="n">
        <f aca="false">MAX(0,M71-M70)</f>
        <v>0</v>
      </c>
      <c r="O71" s="139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RESUMO'!BS32</f>
        <v>100</v>
      </c>
      <c r="N72" s="140" t="n">
        <f aca="false">MAX(0,M72-M71)</f>
        <v>0</v>
      </c>
      <c r="O72" s="139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RESUMO'!BT32</f>
        <v>100</v>
      </c>
      <c r="N73" s="140" t="n">
        <f aca="false">MAX(0,M73-M72)</f>
        <v>0</v>
      </c>
      <c r="O73" s="139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RESUMO'!BU32</f>
        <v>100</v>
      </c>
      <c r="N74" s="140" t="n">
        <f aca="false">MAX(0,M74-M73)</f>
        <v>0</v>
      </c>
      <c r="O74" s="139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RESUMO'!BV32</f>
        <v>100</v>
      </c>
      <c r="N75" s="140" t="n">
        <f aca="false">MAX(0,M75-M74)</f>
        <v>0</v>
      </c>
      <c r="O75" s="139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RESUMO'!BW32</f>
        <v>100</v>
      </c>
      <c r="N76" s="140" t="n">
        <f aca="false">MAX(0,M76-M75)</f>
        <v>0</v>
      </c>
      <c r="O76" s="139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1167844.43414111</v>
      </c>
      <c r="E78" s="61" t="n">
        <f aca="false">SUM(E5:E76)</f>
        <v>900.496830600853</v>
      </c>
      <c r="F78" s="145" t="n">
        <f aca="false">SUM(F5:F76)</f>
        <v>1</v>
      </c>
      <c r="H78" s="61" t="n">
        <f aca="false">SUM(H5:H76)</f>
        <v>1154877.35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PL'!F39</f>
        <v>2518191.19</v>
      </c>
      <c r="K5" s="56" t="n">
        <f aca="false">'VALOR POR PL'!G39</f>
        <v>2069.679275</v>
      </c>
      <c r="L5" s="56" t="n">
        <f aca="false">'DADOS HISTORICOS'!$BZ$33</f>
        <v>0</v>
      </c>
      <c r="M5" s="139" t="n">
        <f aca="false">'CP RESUMO'!D33</f>
        <v>0</v>
      </c>
      <c r="N5" s="140" t="n">
        <v>0</v>
      </c>
      <c r="O5" s="139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PL'!H39</f>
        <v>2069.679275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RESUMO'!E33</f>
        <v>0</v>
      </c>
      <c r="N6" s="140" t="n">
        <f aca="false">MAX(0,M6-M5)</f>
        <v>0</v>
      </c>
      <c r="O6" s="139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2683082.85813491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RESUMO'!F33</f>
        <v>0</v>
      </c>
      <c r="N7" s="140" t="n">
        <f aca="false">MAX(0,M7-M6)</f>
        <v>0</v>
      </c>
      <c r="O7" s="139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RESUMO'!G33</f>
        <v>0</v>
      </c>
      <c r="N8" s="140" t="n">
        <f aca="false">MAX(0,M8-M7)</f>
        <v>0</v>
      </c>
      <c r="O8" s="139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2683082.85813491</v>
      </c>
      <c r="K9" s="45" t="n">
        <f aca="false">E78</f>
        <v>2068.86083399189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RESUMO'!H33</f>
        <v>0</v>
      </c>
      <c r="N9" s="140" t="n">
        <f aca="false">MAX(0,M9-M8)</f>
        <v>0</v>
      </c>
      <c r="O9" s="139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2068.86083399189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RESUMO'!I33</f>
        <v>0</v>
      </c>
      <c r="N10" s="140" t="n">
        <f aca="false">MAX(0,M10-M9)</f>
        <v>0</v>
      </c>
      <c r="O10" s="139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2653291.42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RESUMO'!J33</f>
        <v>0</v>
      </c>
      <c r="N11" s="140" t="n">
        <f aca="false">MAX(0,M11-M10)</f>
        <v>0</v>
      </c>
      <c r="O11" s="139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RESUMO'!K33</f>
        <v>0</v>
      </c>
      <c r="N12" s="140" t="n">
        <f aca="false">MAX(0,M12-M11)</f>
        <v>0</v>
      </c>
      <c r="O12" s="139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RESUMO'!L33</f>
        <v>0</v>
      </c>
      <c r="N13" s="140" t="n">
        <f aca="false">MAX(0,M13-M12)</f>
        <v>0</v>
      </c>
      <c r="O13" s="139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RESUMO'!$D$75:$BW$75,MATCH('VALOR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RESUMO'!M33</f>
        <v>0</v>
      </c>
      <c r="N14" s="140" t="n">
        <f aca="false">MAX(0,M14-M13)</f>
        <v>0</v>
      </c>
      <c r="O14" s="139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RESUMO'!N33</f>
        <v>0</v>
      </c>
      <c r="N15" s="140" t="n">
        <f aca="false">MAX(0,M15-M14)</f>
        <v>0</v>
      </c>
      <c r="O15" s="139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RESUMO'!O33</f>
        <v>0</v>
      </c>
      <c r="N16" s="140" t="n">
        <f aca="false">MAX(0,M16-M15)</f>
        <v>0</v>
      </c>
      <c r="O16" s="139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RESUMO'!P33</f>
        <v>0</v>
      </c>
      <c r="N17" s="140" t="n">
        <f aca="false">MAX(0,M17-M16)</f>
        <v>0</v>
      </c>
      <c r="O17" s="139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2683082.85813491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RESUMO'!Q33</f>
        <v>0</v>
      </c>
      <c r="N18" s="140" t="n">
        <f aca="false">MAX(0,M18-M17)</f>
        <v>0</v>
      </c>
      <c r="O18" s="139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RESUMO'!R33</f>
        <v>0</v>
      </c>
      <c r="N19" s="140" t="n">
        <f aca="false">MAX(0,M19-M18)</f>
        <v>0</v>
      </c>
      <c r="O19" s="139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RESUMO'!S33</f>
        <v>0</v>
      </c>
      <c r="N20" s="140" t="n">
        <f aca="false">MAX(0,M20-M19)</f>
        <v>0</v>
      </c>
      <c r="O20" s="139" t="n">
        <f aca="false">IF(B20&lt;='VALOR POR PL'!$P$5,'CP RESUMO'!S75,"")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RESUMO'!T33</f>
        <v>0</v>
      </c>
      <c r="N21" s="140" t="n">
        <f aca="false">MAX(0,M21-M20)</f>
        <v>0</v>
      </c>
      <c r="O21" s="139" t="n">
        <f aca="false">IF(B21&lt;='VALOR POR PL'!$P$5,'CP RESUMO'!T75,"")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RESUMO'!U33</f>
        <v>0</v>
      </c>
      <c r="N22" s="140" t="n">
        <f aca="false">MAX(0,M22-M21)</f>
        <v>0</v>
      </c>
      <c r="O22" s="139" t="n">
        <f aca="false">IF(B22&lt;='VALOR POR PL'!$P$5,'CP RESUMO'!U75,"")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RESUMO'!V33</f>
        <v>0</v>
      </c>
      <c r="N23" s="140" t="n">
        <f aca="false">MAX(0,M23-M22)</f>
        <v>0</v>
      </c>
      <c r="O23" s="139" t="n">
        <f aca="false">IF(B23&lt;='VALOR POR PL'!$P$5,'CP RESUMO'!V75,"")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RESUMO'!W33</f>
        <v>0</v>
      </c>
      <c r="N24" s="140" t="n">
        <f aca="false">MAX(0,M24-M23)</f>
        <v>0</v>
      </c>
      <c r="O24" s="139" t="n">
        <f aca="false">IF(B24&lt;='VALOR POR PL'!$P$5,'CP RESUMO'!W75,"")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HISTORICOS'!X33)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RESUMO'!X33</f>
        <v>0</v>
      </c>
      <c r="N25" s="140" t="n">
        <f aca="false">MAX(0,M25-M24)</f>
        <v>0</v>
      </c>
      <c r="O25" s="139" t="n">
        <f aca="false">IF(B25&lt;='VALOR POR PL'!$P$5,'CP RESUMO'!X75,"")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HISTORICOS'!Y33)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RESUMO'!Y33</f>
        <v>0</v>
      </c>
      <c r="N26" s="140" t="n">
        <f aca="false">MAX(0,M26-M25)</f>
        <v>0</v>
      </c>
      <c r="O26" s="139" t="str">
        <f aca="false">IF(B26&lt;='VALOR POR PL'!$P$5,'CP RESUMO'!Y75,"")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HISTORICOS'!Z33)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RESUMO'!Z33</f>
        <v>0</v>
      </c>
      <c r="N27" s="140" t="n">
        <f aca="false">MAX(0,M27-M26)</f>
        <v>0</v>
      </c>
      <c r="O27" s="139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HISTORICOS'!AA33)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RESUMO'!AA33</f>
        <v>0</v>
      </c>
      <c r="N28" s="140" t="n">
        <f aca="false">MAX(0,M28-M27)</f>
        <v>0</v>
      </c>
      <c r="O28" s="139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RESUMO'!AB33</f>
        <v>0</v>
      </c>
      <c r="N29" s="140" t="n">
        <f aca="false">MAX(0,M29-M28)</f>
        <v>0</v>
      </c>
      <c r="O29" s="139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RESUMO'!AC33</f>
        <v>0</v>
      </c>
      <c r="N30" s="140" t="n">
        <f aca="false">MAX(0,M30-M29)</f>
        <v>0</v>
      </c>
      <c r="O30" s="139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RESUMO'!AD33</f>
        <v>0</v>
      </c>
      <c r="N31" s="140" t="n">
        <f aca="false">MAX(0,M31-M30)</f>
        <v>0</v>
      </c>
      <c r="O31" s="139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HISTORICOS'!AE33)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RESUMO'!AE33</f>
        <v>0</v>
      </c>
      <c r="N32" s="140" t="n">
        <f aca="false">MAX(0,M32-M31)</f>
        <v>0</v>
      </c>
      <c r="O32" s="139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6171.09057371029</v>
      </c>
      <c r="E33" s="45" t="n">
        <f aca="false">L33+D33/$K$2</f>
        <v>4.75837991818134</v>
      </c>
      <c r="F33" s="117" t="n">
        <f aca="false">IF($K$9=0,0,E33/$K$9)</f>
        <v>0.0023</v>
      </c>
      <c r="G33" s="117" t="n">
        <f aca="false">G32+F33</f>
        <v>0.0023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RESUMO'!AF33</f>
        <v>0.23</v>
      </c>
      <c r="N33" s="140" t="n">
        <f aca="false">MAX(0,M33-M32)</f>
        <v>0.23</v>
      </c>
      <c r="O33" s="139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0.23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31928.6860118054</v>
      </c>
      <c r="E34" s="45" t="n">
        <f aca="false">L34+D34/$K$2</f>
        <v>24.6194439245035</v>
      </c>
      <c r="F34" s="117" t="n">
        <f aca="false">IF($K$9=0,0,E34/$K$9)</f>
        <v>0.0119</v>
      </c>
      <c r="G34" s="117" t="n">
        <f aca="false">G33+F34</f>
        <v>0.0142</v>
      </c>
      <c r="H34" s="138" t="n">
        <v>6102.57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RESUMO'!AG33</f>
        <v>1.42</v>
      </c>
      <c r="N34" s="140" t="n">
        <f aca="false">MAX(0,M34-M33)</f>
        <v>1.19</v>
      </c>
      <c r="O34" s="139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1.19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193181.965785713</v>
      </c>
      <c r="E35" s="45" t="n">
        <f aca="false">L35+D35/$K$2</f>
        <v>148.957980047416</v>
      </c>
      <c r="F35" s="117" t="n">
        <f aca="false">IF($K$9=0,0,E35/$K$9)</f>
        <v>0.072</v>
      </c>
      <c r="G35" s="117" t="n">
        <f aca="false">G34+F35</f>
        <v>0.0862</v>
      </c>
      <c r="H35" s="138" t="n">
        <v>31574.17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RESUMO'!AH33</f>
        <v>8.62</v>
      </c>
      <c r="N35" s="140" t="n">
        <f aca="false">MAX(0,M35-M34)</f>
        <v>7.2</v>
      </c>
      <c r="O35" s="139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7.2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157496.963772519</v>
      </c>
      <c r="E36" s="45" t="n">
        <f aca="false">L36+D36/$K$2</f>
        <v>121.442130955324</v>
      </c>
      <c r="F36" s="117" t="n">
        <f aca="false">IF($K$9=0,0,E36/$K$9)</f>
        <v>0.0587</v>
      </c>
      <c r="G36" s="117" t="n">
        <f aca="false">G35+F36</f>
        <v>0.1449</v>
      </c>
      <c r="H36" s="138" t="n">
        <v>161320.12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RESUMO'!AI33</f>
        <v>14.49</v>
      </c>
      <c r="N36" s="140" t="n">
        <f aca="false">MAX(0,M36-M35)</f>
        <v>5.87</v>
      </c>
      <c r="O36" s="139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5.87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242818.998661209</v>
      </c>
      <c r="E37" s="45" t="n">
        <f aca="false">L37+D37/$K$2</f>
        <v>187.231905476266</v>
      </c>
      <c r="F37" s="117" t="n">
        <f aca="false">IF($K$9=0,0,E37/$K$9)</f>
        <v>0.0905</v>
      </c>
      <c r="G37" s="117" t="n">
        <f aca="false">G36+F37</f>
        <v>0.2354</v>
      </c>
      <c r="H37" s="138" t="n">
        <v>184934.41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RESUMO'!AJ33</f>
        <v>23.54</v>
      </c>
      <c r="N37" s="140" t="n">
        <f aca="false">MAX(0,M37-M36)</f>
        <v>9.05</v>
      </c>
      <c r="O37" s="139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9.05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467661.342172914</v>
      </c>
      <c r="E38" s="45" t="n">
        <f aca="false">L38+D38/$K$2</f>
        <v>360.602443364786</v>
      </c>
      <c r="F38" s="117" t="n">
        <f aca="false">IF($K$9=0,0,E38/$K$9)</f>
        <v>0.1743</v>
      </c>
      <c r="G38" s="117" t="n">
        <f aca="false">G37+F38</f>
        <v>0.4097</v>
      </c>
      <c r="H38" s="138" t="n">
        <v>161850.78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RESUMO'!AK33</f>
        <v>40.97</v>
      </c>
      <c r="N38" s="140" t="n">
        <f aca="false">MAX(0,M38-M37)</f>
        <v>17.43</v>
      </c>
      <c r="O38" s="139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17.43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257307.646095138</v>
      </c>
      <c r="E39" s="45" t="n">
        <f aca="false">L39+D39/$K$2</f>
        <v>198.403753979822</v>
      </c>
      <c r="F39" s="117" t="n">
        <f aca="false">IF($K$9=0,0,E39/$K$9)</f>
        <v>0.0959</v>
      </c>
      <c r="G39" s="117" t="n">
        <f aca="false">G38+F39</f>
        <v>0.5056</v>
      </c>
      <c r="H39" s="138" t="n">
        <v>268513.09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RESUMO'!AL33</f>
        <v>50.56</v>
      </c>
      <c r="N39" s="140" t="n">
        <f aca="false">MAX(0,M39-M38)</f>
        <v>9.59</v>
      </c>
      <c r="O39" s="139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9.59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222427.568939384</v>
      </c>
      <c r="E40" s="45" t="n">
        <f aca="false">L40+D40/$K$2</f>
        <v>171.508563137928</v>
      </c>
      <c r="F40" s="117" t="n">
        <f aca="false">IF($K$9=0,0,E40/$K$9)</f>
        <v>0.0829</v>
      </c>
      <c r="G40" s="117" t="n">
        <f aca="false">G39+F40</f>
        <v>0.5885</v>
      </c>
      <c r="H40" s="138" t="n">
        <v>315741.68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RESUMO'!AM33</f>
        <v>58.85</v>
      </c>
      <c r="N40" s="140" t="n">
        <f aca="false">MAX(0,M40-M39)</f>
        <v>8.29</v>
      </c>
      <c r="O40" s="139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8.29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HISTORICOS'!AN33)</f>
        <v>0</v>
      </c>
      <c r="D41" s="45" t="n">
        <f aca="false">IF(B41&lt;='VALOR POR PL'!$P$5,0,IF($K$17&gt;0,$K$18*P41/$K$17,0))</f>
        <v>177083.468636904</v>
      </c>
      <c r="E41" s="45" t="n">
        <f aca="false">L41+D41/$K$2</f>
        <v>136.544815043465</v>
      </c>
      <c r="F41" s="117" t="n">
        <f aca="false">IF($K$9=0,0,E41/$K$9)</f>
        <v>0.066</v>
      </c>
      <c r="G41" s="117" t="n">
        <f aca="false">G40+F41</f>
        <v>0.6545</v>
      </c>
      <c r="H41" s="138" t="n">
        <v>238796.23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RESUMO'!AN33</f>
        <v>65.45</v>
      </c>
      <c r="N41" s="140" t="n">
        <f aca="false">MAX(0,M41-M40)</f>
        <v>6.6</v>
      </c>
      <c r="O41" s="139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6.6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257039.337809324</v>
      </c>
      <c r="E42" s="45" t="n">
        <f aca="false">L42+D42/$K$2</f>
        <v>198.196867896423</v>
      </c>
      <c r="F42" s="117" t="n">
        <f aca="false">IF($K$9=0,0,E42/$K$9)</f>
        <v>0.0958</v>
      </c>
      <c r="G42" s="117" t="n">
        <f aca="false">G41+F42</f>
        <v>0.7503</v>
      </c>
      <c r="H42" s="138" t="n">
        <v>170871.97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RESUMO'!AO33</f>
        <v>75.03</v>
      </c>
      <c r="N42" s="140" t="n">
        <f aca="false">MAX(0,M42-M41)</f>
        <v>9.58</v>
      </c>
      <c r="O42" s="139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9.58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226183.884940772</v>
      </c>
      <c r="E43" s="45" t="n">
        <f aca="false">L43+D43/$K$2</f>
        <v>174.404968305516</v>
      </c>
      <c r="F43" s="117" t="n">
        <f aca="false">IF($K$9=0,0,E43/$K$9)</f>
        <v>0.0842999999999999</v>
      </c>
      <c r="G43" s="117" t="n">
        <f aca="false">G42+F43</f>
        <v>0.8346</v>
      </c>
      <c r="H43" s="138" t="n">
        <v>244898.8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RESUMO'!AP33</f>
        <v>83.46</v>
      </c>
      <c r="N43" s="140" t="n">
        <f aca="false">MAX(0,M43-M42)</f>
        <v>8.42999999999999</v>
      </c>
      <c r="O43" s="139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8.42999999999999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233964.825229364</v>
      </c>
      <c r="E44" s="45" t="n">
        <f aca="false">L44+D44/$K$2</f>
        <v>180.404664724093</v>
      </c>
      <c r="F44" s="117" t="n">
        <f aca="false">IF($K$9=0,0,E44/$K$9)</f>
        <v>0.0872000000000001</v>
      </c>
      <c r="G44" s="117" t="n">
        <f aca="false">G43+F44</f>
        <v>0.9218</v>
      </c>
      <c r="H44" s="138" t="n">
        <v>238000.24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RESUMO'!AQ33</f>
        <v>92.18</v>
      </c>
      <c r="N44" s="140" t="n">
        <f aca="false">MAX(0,M44-M43)</f>
        <v>8.72000000000001</v>
      </c>
      <c r="O44" s="139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8.72000000000001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106518.389467956</v>
      </c>
      <c r="E45" s="45" t="n">
        <f aca="false">L45+D45/$K$2</f>
        <v>82.133775109478</v>
      </c>
      <c r="F45" s="117" t="n">
        <f aca="false">IF($K$9=0,0,E45/$K$9)</f>
        <v>0.0397</v>
      </c>
      <c r="G45" s="117" t="n">
        <f aca="false">G44+F45</f>
        <v>0.9615</v>
      </c>
      <c r="H45" s="138" t="n">
        <v>223937.79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RESUMO'!AR33</f>
        <v>96.15</v>
      </c>
      <c r="N45" s="140" t="n">
        <f aca="false">MAX(0,M45-M44)</f>
        <v>3.97</v>
      </c>
      <c r="O45" s="139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3.97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38904.7014429558</v>
      </c>
      <c r="E46" s="45" t="n">
        <f aca="false">L46+D46/$K$2</f>
        <v>29.9984820928822</v>
      </c>
      <c r="F46" s="117" t="n">
        <f aca="false">IF($K$9=0,0,E46/$K$9)</f>
        <v>0.0144999999999999</v>
      </c>
      <c r="G46" s="117" t="n">
        <f aca="false">G45+F46</f>
        <v>0.976</v>
      </c>
      <c r="H46" s="138" t="n">
        <v>109846.26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RESUMO'!AS33</f>
        <v>97.6</v>
      </c>
      <c r="N46" s="140" t="n">
        <f aca="false">MAX(0,M46-M45)</f>
        <v>1.44999999999999</v>
      </c>
      <c r="O46" s="139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1.44999999999999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64393.9885952379</v>
      </c>
      <c r="E47" s="45" t="n">
        <f aca="false">L47+D47/$K$2</f>
        <v>49.6526600158054</v>
      </c>
      <c r="F47" s="117" t="n">
        <f aca="false">IF($K$9=0,0,E47/$K$9)</f>
        <v>0.0240000000000001</v>
      </c>
      <c r="G47" s="117" t="n">
        <f aca="false">G46+F47</f>
        <v>1</v>
      </c>
      <c r="H47" s="138" t="n">
        <v>205099.43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RESUMO'!AT33</f>
        <v>100</v>
      </c>
      <c r="N47" s="140" t="n">
        <f aca="false">MAX(0,M47-M46)</f>
        <v>2.40000000000001</v>
      </c>
      <c r="O47" s="139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2.40000000000001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 t="n">
        <v>91803.88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RESUMO'!AU33</f>
        <v>100</v>
      </c>
      <c r="N48" s="140" t="n">
        <f aca="false">MAX(0,M48-M47)</f>
        <v>0</v>
      </c>
      <c r="O48" s="139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RESUMO'!AV33</f>
        <v>100</v>
      </c>
      <c r="N49" s="140" t="n">
        <f aca="false">MAX(0,M49-M48)</f>
        <v>0</v>
      </c>
      <c r="O49" s="139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RESUMO'!AW33</f>
        <v>100</v>
      </c>
      <c r="N50" s="140" t="n">
        <f aca="false">MAX(0,M50-M49)</f>
        <v>0</v>
      </c>
      <c r="O50" s="139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RESUMO'!AX33</f>
        <v>100</v>
      </c>
      <c r="N51" s="140" t="n">
        <f aca="false">MAX(0,M51-M50)</f>
        <v>0</v>
      </c>
      <c r="O51" s="139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RESUMO'!AY33</f>
        <v>100</v>
      </c>
      <c r="N52" s="140" t="n">
        <f aca="false">MAX(0,M52-M51)</f>
        <v>0</v>
      </c>
      <c r="O52" s="139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RESUMO'!AZ33</f>
        <v>100</v>
      </c>
      <c r="N53" s="140" t="n">
        <f aca="false">MAX(0,M53-M52)</f>
        <v>0</v>
      </c>
      <c r="O53" s="139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RESUMO'!BA33</f>
        <v>100</v>
      </c>
      <c r="N54" s="140" t="n">
        <f aca="false">MAX(0,M54-M53)</f>
        <v>0</v>
      </c>
      <c r="O54" s="139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RESUMO'!BB33</f>
        <v>100</v>
      </c>
      <c r="N55" s="140" t="n">
        <f aca="false">MAX(0,M55-M54)</f>
        <v>0</v>
      </c>
      <c r="O55" s="139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RESUMO'!BC33</f>
        <v>100</v>
      </c>
      <c r="N56" s="140" t="n">
        <f aca="false">MAX(0,M56-M55)</f>
        <v>0</v>
      </c>
      <c r="O56" s="139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RESUMO'!BD33</f>
        <v>100</v>
      </c>
      <c r="N57" s="140" t="n">
        <f aca="false">MAX(0,M57-M56)</f>
        <v>0</v>
      </c>
      <c r="O57" s="139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RESUMO'!BE33</f>
        <v>100</v>
      </c>
      <c r="N58" s="140" t="n">
        <f aca="false">MAX(0,M58-M57)</f>
        <v>0</v>
      </c>
      <c r="O58" s="139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RESUMO'!BF33</f>
        <v>100</v>
      </c>
      <c r="N59" s="140" t="n">
        <f aca="false">MAX(0,M59-M58)</f>
        <v>0</v>
      </c>
      <c r="O59" s="139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RESUMO'!BG33</f>
        <v>100</v>
      </c>
      <c r="N60" s="140" t="n">
        <f aca="false">MAX(0,M60-M59)</f>
        <v>0</v>
      </c>
      <c r="O60" s="139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RESUMO'!BH33</f>
        <v>100</v>
      </c>
      <c r="N61" s="140" t="n">
        <f aca="false">MAX(0,M61-M60)</f>
        <v>0</v>
      </c>
      <c r="O61" s="139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RESUMO'!BI33</f>
        <v>100</v>
      </c>
      <c r="N62" s="140" t="n">
        <f aca="false">MAX(0,M62-M61)</f>
        <v>0</v>
      </c>
      <c r="O62" s="139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RESUMO'!BJ33</f>
        <v>100</v>
      </c>
      <c r="N63" s="140" t="n">
        <f aca="false">MAX(0,M63-M62)</f>
        <v>0</v>
      </c>
      <c r="O63" s="139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RESUMO'!BK33</f>
        <v>100</v>
      </c>
      <c r="N64" s="140" t="n">
        <f aca="false">MAX(0,M64-M63)</f>
        <v>0</v>
      </c>
      <c r="O64" s="139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RESUMO'!BL33</f>
        <v>100</v>
      </c>
      <c r="N65" s="140" t="n">
        <f aca="false">MAX(0,M65-M64)</f>
        <v>0</v>
      </c>
      <c r="O65" s="139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RESUMO'!BM33</f>
        <v>100</v>
      </c>
      <c r="N66" s="140" t="n">
        <f aca="false">MAX(0,M66-M65)</f>
        <v>0</v>
      </c>
      <c r="O66" s="139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RESUMO'!BN33</f>
        <v>100</v>
      </c>
      <c r="N67" s="140" t="n">
        <f aca="false">MAX(0,M67-M66)</f>
        <v>0</v>
      </c>
      <c r="O67" s="139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RESUMO'!BO33</f>
        <v>100</v>
      </c>
      <c r="N68" s="140" t="n">
        <f aca="false">MAX(0,M68-M67)</f>
        <v>0</v>
      </c>
      <c r="O68" s="139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RESUMO'!BP33</f>
        <v>100</v>
      </c>
      <c r="N69" s="140" t="n">
        <f aca="false">MAX(0,M69-M68)</f>
        <v>0</v>
      </c>
      <c r="O69" s="139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RESUMO'!BQ33</f>
        <v>100</v>
      </c>
      <c r="N70" s="140" t="n">
        <f aca="false">MAX(0,M70-M69)</f>
        <v>0</v>
      </c>
      <c r="O70" s="139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RESUMO'!BR33</f>
        <v>100</v>
      </c>
      <c r="N71" s="140" t="n">
        <f aca="false">MAX(0,M71-M70)</f>
        <v>0</v>
      </c>
      <c r="O71" s="139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RESUMO'!BS33</f>
        <v>100</v>
      </c>
      <c r="N72" s="140" t="n">
        <f aca="false">MAX(0,M72-M71)</f>
        <v>0</v>
      </c>
      <c r="O72" s="139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RESUMO'!BT33</f>
        <v>100</v>
      </c>
      <c r="N73" s="140" t="n">
        <f aca="false">MAX(0,M73-M72)</f>
        <v>0</v>
      </c>
      <c r="O73" s="139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RESUMO'!BU33</f>
        <v>100</v>
      </c>
      <c r="N74" s="140" t="n">
        <f aca="false">MAX(0,M74-M73)</f>
        <v>0</v>
      </c>
      <c r="O74" s="139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RESUMO'!BV33</f>
        <v>100</v>
      </c>
      <c r="N75" s="140" t="n">
        <f aca="false">MAX(0,M75-M74)</f>
        <v>0</v>
      </c>
      <c r="O75" s="139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RESUMO'!BW33</f>
        <v>100</v>
      </c>
      <c r="N76" s="140" t="n">
        <f aca="false">MAX(0,M76-M75)</f>
        <v>0</v>
      </c>
      <c r="O76" s="139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2683082.85813491</v>
      </c>
      <c r="E78" s="61" t="n">
        <f aca="false">SUM(E5:E76)</f>
        <v>2068.86083399189</v>
      </c>
      <c r="F78" s="145" t="n">
        <f aca="false">SUM(F5:F76)</f>
        <v>1</v>
      </c>
      <c r="H78" s="61" t="n">
        <f aca="false">SUM(H5:H76)</f>
        <v>2653291.42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PL'!F40</f>
        <v>10402356.25</v>
      </c>
      <c r="K5" s="56" t="n">
        <f aca="false">'VALOR POR PL'!G40</f>
        <v>8549.605448</v>
      </c>
      <c r="L5" s="56" t="n">
        <f aca="false">'DADOS HISTORICOS'!$BZ$34</f>
        <v>0</v>
      </c>
      <c r="M5" s="139" t="n">
        <f aca="false">'CP RESUMO'!D34</f>
        <v>0</v>
      </c>
      <c r="N5" s="140" t="n">
        <v>0</v>
      </c>
      <c r="O5" s="139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PL'!H40</f>
        <v>8549.605448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RESUMO'!E34</f>
        <v>0</v>
      </c>
      <c r="N6" s="140" t="n">
        <f aca="false">MAX(0,M6-M5)</f>
        <v>0</v>
      </c>
      <c r="O6" s="139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11083504.6272305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RESUMO'!F34</f>
        <v>0</v>
      </c>
      <c r="N7" s="140" t="n">
        <f aca="false">MAX(0,M7-M6)</f>
        <v>0</v>
      </c>
      <c r="O7" s="139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RESUMO'!G34</f>
        <v>0</v>
      </c>
      <c r="N8" s="140" t="n">
        <f aca="false">MAX(0,M8-M7)</f>
        <v>0</v>
      </c>
      <c r="O8" s="139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11083504.6272305</v>
      </c>
      <c r="K9" s="45" t="n">
        <f aca="false">E78</f>
        <v>8546.22456295837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RESUMO'!H34</f>
        <v>0</v>
      </c>
      <c r="N9" s="140" t="n">
        <f aca="false">MAX(0,M9-M8)</f>
        <v>0</v>
      </c>
      <c r="O9" s="139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8546.22456295837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RESUMO'!I34</f>
        <v>0</v>
      </c>
      <c r="N10" s="140" t="n">
        <f aca="false">MAX(0,M10-M9)</f>
        <v>0</v>
      </c>
      <c r="O10" s="139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10951845.09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RESUMO'!J34</f>
        <v>0</v>
      </c>
      <c r="N11" s="140" t="n">
        <f aca="false">MAX(0,M11-M10)</f>
        <v>0</v>
      </c>
      <c r="O11" s="139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99.97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RESUMO'!K34</f>
        <v>0</v>
      </c>
      <c r="N12" s="140" t="n">
        <f aca="false">MAX(0,M12-M11)</f>
        <v>0</v>
      </c>
      <c r="O12" s="139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RESUMO'!L34</f>
        <v>0</v>
      </c>
      <c r="N13" s="140" t="n">
        <f aca="false">MAX(0,M13-M12)</f>
        <v>0</v>
      </c>
      <c r="O13" s="139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RESUMO'!$D$76:$BW$76,MATCH('VALOR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RESUMO'!M34</f>
        <v>0</v>
      </c>
      <c r="N14" s="140" t="n">
        <f aca="false">MAX(0,M14-M13)</f>
        <v>0</v>
      </c>
      <c r="O14" s="139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RESUMO'!N34</f>
        <v>0</v>
      </c>
      <c r="N15" s="140" t="n">
        <f aca="false">MAX(0,M15-M14)</f>
        <v>0</v>
      </c>
      <c r="O15" s="139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RESUMO'!O34</f>
        <v>0</v>
      </c>
      <c r="N16" s="140" t="n">
        <f aca="false">MAX(0,M16-M15)</f>
        <v>0</v>
      </c>
      <c r="O16" s="139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99.97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RESUMO'!P34</f>
        <v>0</v>
      </c>
      <c r="N17" s="140" t="n">
        <f aca="false">MAX(0,M17-M16)</f>
        <v>0</v>
      </c>
      <c r="O17" s="139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11083504.6272305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RESUMO'!Q34</f>
        <v>0</v>
      </c>
      <c r="N18" s="140" t="n">
        <f aca="false">MAX(0,M18-M17)</f>
        <v>0</v>
      </c>
      <c r="O18" s="139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RESUMO'!R34</f>
        <v>0</v>
      </c>
      <c r="N19" s="140" t="n">
        <f aca="false">MAX(0,M19-M18)</f>
        <v>0</v>
      </c>
      <c r="O19" s="139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RESUMO'!S34</f>
        <v>0</v>
      </c>
      <c r="N20" s="140" t="n">
        <f aca="false">MAX(0,M20-M19)</f>
        <v>0</v>
      </c>
      <c r="O20" s="139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RESUMO'!T34</f>
        <v>0</v>
      </c>
      <c r="N21" s="140" t="n">
        <f aca="false">MAX(0,M21-M20)</f>
        <v>0</v>
      </c>
      <c r="O21" s="139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RESUMO'!U34</f>
        <v>0</v>
      </c>
      <c r="N22" s="140" t="n">
        <f aca="false">MAX(0,M22-M21)</f>
        <v>0</v>
      </c>
      <c r="O22" s="139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RESUMO'!V34</f>
        <v>0</v>
      </c>
      <c r="N23" s="140" t="n">
        <f aca="false">MAX(0,M23-M22)</f>
        <v>0</v>
      </c>
      <c r="O23" s="139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RESUMO'!W34</f>
        <v>0</v>
      </c>
      <c r="N24" s="140" t="n">
        <f aca="false">MAX(0,M24-M23)</f>
        <v>0</v>
      </c>
      <c r="O24" s="139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RESUMO'!X34</f>
        <v>0</v>
      </c>
      <c r="N25" s="140" t="n">
        <f aca="false">MAX(0,M25-M24)</f>
        <v>0</v>
      </c>
      <c r="O25" s="139" t="n">
        <f aca="false">IF(B25&lt;='VALOR POR PL'!$P$5,'CP RESUMO'!X76,"")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RESUMO'!Y34</f>
        <v>0</v>
      </c>
      <c r="N26" s="140" t="n">
        <f aca="false">MAX(0,M26-M25)</f>
        <v>0</v>
      </c>
      <c r="O26" s="139" t="str">
        <f aca="false">IF(B26&lt;='VALOR POR PL'!$P$5,'CP RESUMO'!Y76,"")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RESUMO'!Z34</f>
        <v>0</v>
      </c>
      <c r="N27" s="140" t="n">
        <f aca="false">MAX(0,M27-M26)</f>
        <v>0</v>
      </c>
      <c r="O27" s="139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RESUMO'!AA34</f>
        <v>0</v>
      </c>
      <c r="N28" s="140" t="n">
        <f aca="false">MAX(0,M28-M27)</f>
        <v>0</v>
      </c>
      <c r="O28" s="139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RESUMO'!AB34</f>
        <v>0</v>
      </c>
      <c r="N29" s="140" t="n">
        <f aca="false">MAX(0,M29-M28)</f>
        <v>0</v>
      </c>
      <c r="O29" s="139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RESUMO'!AC34</f>
        <v>0</v>
      </c>
      <c r="N30" s="140" t="n">
        <f aca="false">MAX(0,M30-M29)</f>
        <v>0</v>
      </c>
      <c r="O30" s="139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RESUMO'!AD34</f>
        <v>0</v>
      </c>
      <c r="N31" s="140" t="n">
        <f aca="false">MAX(0,M31-M30)</f>
        <v>0</v>
      </c>
      <c r="O31" s="139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RESUMO'!AE34</f>
        <v>0</v>
      </c>
      <c r="N32" s="140" t="n">
        <f aca="false">MAX(0,M32-M31)</f>
        <v>0</v>
      </c>
      <c r="O32" s="139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RESUMO'!AF34</f>
        <v>0</v>
      </c>
      <c r="N33" s="140" t="n">
        <f aca="false">MAX(0,M33-M32)</f>
        <v>0</v>
      </c>
      <c r="O33" s="139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RESUMO'!AG34</f>
        <v>0</v>
      </c>
      <c r="N34" s="140" t="n">
        <f aca="false">MAX(0,M34-M33)</f>
        <v>0</v>
      </c>
      <c r="O34" s="139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RESUMO'!AH34</f>
        <v>0</v>
      </c>
      <c r="N35" s="140" t="n">
        <f aca="false">MAX(0,M35-M34)</f>
        <v>0</v>
      </c>
      <c r="O35" s="139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RESUMO'!AI34</f>
        <v>0</v>
      </c>
      <c r="N36" s="140" t="n">
        <f aca="false">MAX(0,M36-M35)</f>
        <v>0</v>
      </c>
      <c r="O36" s="139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53216.7872468806</v>
      </c>
      <c r="E37" s="45" t="n">
        <f aca="false">L37+D37/$K$2</f>
        <v>41.0341881586478</v>
      </c>
      <c r="F37" s="117" t="n">
        <f aca="false">IF($K$9=0,0,E37/$K$9)</f>
        <v>0.00480144043212964</v>
      </c>
      <c r="G37" s="117" t="n">
        <f aca="false">G36+F37</f>
        <v>0.00480144043212964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RESUMO'!AJ34</f>
        <v>0.48</v>
      </c>
      <c r="N37" s="140" t="n">
        <f aca="false">MAX(0,M37-M36)</f>
        <v>0.48</v>
      </c>
      <c r="O37" s="139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0.48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449016.642395555</v>
      </c>
      <c r="E38" s="45" t="n">
        <f aca="false">L38+D38/$K$2</f>
        <v>346.225962588591</v>
      </c>
      <c r="F38" s="117" t="n">
        <f aca="false">IF($K$9=0,0,E38/$K$9)</f>
        <v>0.0405121536460938</v>
      </c>
      <c r="G38" s="117" t="n">
        <f aca="false">G37+F38</f>
        <v>0.0453135940782235</v>
      </c>
      <c r="H38" s="138" t="n">
        <v>52610.11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RESUMO'!AK34</f>
        <v>4.53</v>
      </c>
      <c r="N38" s="140" t="n">
        <f aca="false">MAX(0,M38-M37)</f>
        <v>4.05</v>
      </c>
      <c r="O38" s="139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4.05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610884.370271483</v>
      </c>
      <c r="E39" s="45" t="n">
        <f aca="false">L39+D39/$K$2</f>
        <v>471.038284904478</v>
      </c>
      <c r="F39" s="117" t="n">
        <f aca="false">IF($K$9=0,0,E39/$K$9)</f>
        <v>0.0551165349604882</v>
      </c>
      <c r="G39" s="117" t="n">
        <f aca="false">G38+F39</f>
        <v>0.100430129038712</v>
      </c>
      <c r="H39" s="138" t="n">
        <v>438417.58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RESUMO'!AL34</f>
        <v>10.04</v>
      </c>
      <c r="N39" s="140" t="n">
        <f aca="false">MAX(0,M39-M38)</f>
        <v>5.51</v>
      </c>
      <c r="O39" s="139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5.51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637492.763894924</v>
      </c>
      <c r="E40" s="45" t="n">
        <f aca="false">L40+D40/$K$2</f>
        <v>491.555378983802</v>
      </c>
      <c r="F40" s="117" t="n">
        <f aca="false">IF($K$9=0,0,E40/$K$9)</f>
        <v>0.057517255176553</v>
      </c>
      <c r="G40" s="117" t="n">
        <f aca="false">G39+F40</f>
        <v>0.157947384215265</v>
      </c>
      <c r="H40" s="138" t="n">
        <v>592959.78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RESUMO'!AM34</f>
        <v>15.79</v>
      </c>
      <c r="N40" s="140" t="n">
        <f aca="false">MAX(0,M40-M39)</f>
        <v>5.75</v>
      </c>
      <c r="O40" s="139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5.75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831512.300732509</v>
      </c>
      <c r="E41" s="45" t="n">
        <f aca="false">L41+D41/$K$2</f>
        <v>641.159189978872</v>
      </c>
      <c r="F41" s="117" t="n">
        <f aca="false">IF($K$9=0,0,E41/$K$9)</f>
        <v>0.0750225067520256</v>
      </c>
      <c r="G41" s="117" t="n">
        <f aca="false">G40+F41</f>
        <v>0.23296989096729</v>
      </c>
      <c r="H41" s="138" t="n">
        <v>625841.1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RESUMO'!AN34</f>
        <v>23.29</v>
      </c>
      <c r="N41" s="140" t="n">
        <f aca="false">MAX(0,M41-M40)</f>
        <v>7.5</v>
      </c>
      <c r="O41" s="139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7.5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1016662.37302895</v>
      </c>
      <c r="E42" s="45" t="n">
        <f aca="false">L42+D42/$K$2</f>
        <v>783.923969614167</v>
      </c>
      <c r="F42" s="117" t="n">
        <f aca="false">IF($K$9=0,0,E42/$K$9)</f>
        <v>0.0917275182554767</v>
      </c>
      <c r="G42" s="117" t="n">
        <f aca="false">G41+F42</f>
        <v>0.324697409222767</v>
      </c>
      <c r="H42" s="138" t="n">
        <v>431841.32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RESUMO'!AO34</f>
        <v>32.46</v>
      </c>
      <c r="N42" s="140" t="n">
        <f aca="false">MAX(0,M42-M41)</f>
        <v>9.17</v>
      </c>
      <c r="O42" s="139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9.17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742817.655321041</v>
      </c>
      <c r="E43" s="45" t="n">
        <f aca="false">L43+D43/$K$2</f>
        <v>572.768876381125</v>
      </c>
      <c r="F43" s="117" t="n">
        <f aca="false">IF($K$9=0,0,E43/$K$9)</f>
        <v>0.0670201060318095</v>
      </c>
      <c r="G43" s="117" t="n">
        <f aca="false">G42+F43</f>
        <v>0.391717515254576</v>
      </c>
      <c r="H43" s="138" t="n">
        <v>607208.35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RESUMO'!AP34</f>
        <v>39.16</v>
      </c>
      <c r="N43" s="140" t="n">
        <f aca="false">MAX(0,M43-M42)</f>
        <v>6.7</v>
      </c>
      <c r="O43" s="139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6.7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945706.656699774</v>
      </c>
      <c r="E44" s="45" t="n">
        <f aca="false">L44+D44/$K$2</f>
        <v>729.21171873597</v>
      </c>
      <c r="F44" s="117" t="n">
        <f aca="false">IF($K$9=0,0,E44/$K$9)</f>
        <v>0.0853255976793038</v>
      </c>
      <c r="G44" s="117" t="n">
        <f aca="false">G43+F44</f>
        <v>0.47704311293388</v>
      </c>
      <c r="H44" s="138" t="n">
        <v>773807.03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RESUMO'!AQ34</f>
        <v>47.69</v>
      </c>
      <c r="N44" s="140" t="n">
        <f aca="false">MAX(0,M44-M43)</f>
        <v>8.53</v>
      </c>
      <c r="O44" s="139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8.53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771643.415079768</v>
      </c>
      <c r="E45" s="45" t="n">
        <f aca="false">L45+D45/$K$2</f>
        <v>594.995728300393</v>
      </c>
      <c r="F45" s="117" t="n">
        <f aca="false">IF($K$9=0,0,E45/$K$9)</f>
        <v>0.0696208862658798</v>
      </c>
      <c r="G45" s="117" t="n">
        <f aca="false">G44+F45</f>
        <v>0.54666399919976</v>
      </c>
      <c r="H45" s="138" t="n">
        <v>887795.61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RESUMO'!AR34</f>
        <v>54.65</v>
      </c>
      <c r="N45" s="140" t="n">
        <f aca="false">MAX(0,M45-M44)</f>
        <v>6.96</v>
      </c>
      <c r="O45" s="139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6.96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866990.158897096</v>
      </c>
      <c r="E46" s="45" t="n">
        <f aca="false">L46+D46/$K$2</f>
        <v>668.51531541797</v>
      </c>
      <c r="F46" s="117" t="n">
        <f aca="false">IF($K$9=0,0,E46/$K$9)</f>
        <v>0.078223467040112</v>
      </c>
      <c r="G46" s="117" t="n">
        <f aca="false">G45+F46</f>
        <v>0.624887466239872</v>
      </c>
      <c r="H46" s="138" t="n">
        <v>788055.61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RESUMO'!AS34</f>
        <v>62.47</v>
      </c>
      <c r="N46" s="140" t="n">
        <f aca="false">MAX(0,M46-M45)</f>
        <v>7.82</v>
      </c>
      <c r="O46" s="139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7.82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883620.404911746</v>
      </c>
      <c r="E47" s="45" t="n">
        <f aca="false">L47+D47/$K$2</f>
        <v>681.338499217548</v>
      </c>
      <c r="F47" s="117" t="n">
        <f aca="false">IF($K$9=0,0,E47/$K$9)</f>
        <v>0.0797239171751526</v>
      </c>
      <c r="G47" s="117" t="n">
        <f aca="false">G46+F47</f>
        <v>0.704611383415025</v>
      </c>
      <c r="H47" s="138" t="n">
        <v>839569.67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RESUMO'!AT34</f>
        <v>70.44</v>
      </c>
      <c r="N47" s="140" t="n">
        <f aca="false">MAX(0,M47-M46)</f>
        <v>7.97</v>
      </c>
      <c r="O47" s="139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7.97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773860.781215055</v>
      </c>
      <c r="E48" s="45" t="n">
        <f aca="false">L48+D48/$K$2</f>
        <v>596.705486140337</v>
      </c>
      <c r="F48" s="117" t="n">
        <f aca="false">IF($K$9=0,0,E48/$K$9)</f>
        <v>0.0698209462838852</v>
      </c>
      <c r="G48" s="117" t="n">
        <f aca="false">G47+F48</f>
        <v>0.77443232969891</v>
      </c>
      <c r="H48" s="138" t="n">
        <v>905332.31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RESUMO'!AU34</f>
        <v>77.42</v>
      </c>
      <c r="N48" s="140" t="n">
        <f aca="false">MAX(0,M48-M47)</f>
        <v>6.98</v>
      </c>
      <c r="O48" s="139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6.98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429060.347177975</v>
      </c>
      <c r="E49" s="45" t="n">
        <f aca="false">L49+D49/$K$2</f>
        <v>330.838142029098</v>
      </c>
      <c r="F49" s="117" t="n">
        <f aca="false">IF($K$9=0,0,E49/$K$9)</f>
        <v>0.0387116134840453</v>
      </c>
      <c r="G49" s="117" t="n">
        <f aca="false">G48+F49</f>
        <v>0.813143943182955</v>
      </c>
      <c r="H49" s="138" t="n">
        <v>708044.4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RESUMO'!AV34</f>
        <v>81.29</v>
      </c>
      <c r="N49" s="140" t="n">
        <f aca="false">MAX(0,M49-M48)</f>
        <v>3.87</v>
      </c>
      <c r="O49" s="139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3.87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558776.266092245</v>
      </c>
      <c r="E50" s="45" t="n">
        <f aca="false">L50+D50/$K$2</f>
        <v>430.858975665801</v>
      </c>
      <c r="F50" s="117" t="n">
        <f aca="false">IF($K$9=0,0,E50/$K$9)</f>
        <v>0.0504151245373611</v>
      </c>
      <c r="G50" s="117" t="n">
        <f aca="false">G49+F50</f>
        <v>0.863559067720316</v>
      </c>
      <c r="H50" s="138" t="n">
        <v>574327.03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RESUMO'!AW34</f>
        <v>86.33</v>
      </c>
      <c r="N50" s="140" t="n">
        <f aca="false">MAX(0,M50-M49)</f>
        <v>5.03999999999999</v>
      </c>
      <c r="O50" s="139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5.03999999999999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453451.374666129</v>
      </c>
      <c r="E51" s="45" t="n">
        <f aca="false">L51+D51/$K$2</f>
        <v>349.645478268478</v>
      </c>
      <c r="F51" s="117" t="n">
        <f aca="false">IF($K$9=0,0,E51/$K$9)</f>
        <v>0.0409122736821047</v>
      </c>
      <c r="G51" s="117" t="n">
        <f aca="false">G50+F51</f>
        <v>0.904471341402421</v>
      </c>
      <c r="H51" s="138" t="n">
        <v>584191.43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RESUMO'!AX34</f>
        <v>90.42</v>
      </c>
      <c r="N51" s="140" t="n">
        <f aca="false">MAX(0,M51-M50)</f>
        <v>4.09</v>
      </c>
      <c r="O51" s="139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4.09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356995.947781157</v>
      </c>
      <c r="E52" s="45" t="n">
        <f aca="false">L52+D52/$K$2</f>
        <v>275.271012230929</v>
      </c>
      <c r="F52" s="117" t="n">
        <f aca="false">IF($K$9=0,0,E52/$K$9)</f>
        <v>0.0322096628988697</v>
      </c>
      <c r="G52" s="117" t="n">
        <f aca="false">G51+F52</f>
        <v>0.936681004301291</v>
      </c>
      <c r="H52" s="138" t="n">
        <v>486643.52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RESUMO'!AY34</f>
        <v>93.64</v>
      </c>
      <c r="N52" s="140" t="n">
        <f aca="false">MAX(0,M52-M51)</f>
        <v>3.22</v>
      </c>
      <c r="O52" s="139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3.22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319300.723481283</v>
      </c>
      <c r="E53" s="45" t="n">
        <f aca="false">L53+D53/$K$2</f>
        <v>246.205128951886</v>
      </c>
      <c r="F53" s="117" t="n">
        <f aca="false">IF($K$9=0,0,E53/$K$9)</f>
        <v>0.0288086425927778</v>
      </c>
      <c r="G53" s="117" t="n">
        <f aca="false">G52+F53</f>
        <v>0.965489646894069</v>
      </c>
      <c r="H53" s="138" t="n">
        <v>562270.55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RESUMO'!AZ34</f>
        <v>96.52</v>
      </c>
      <c r="N53" s="140" t="n">
        <f aca="false">MAX(0,M53-M52)</f>
        <v>2.88</v>
      </c>
      <c r="O53" s="139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2.88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280496.816113766</v>
      </c>
      <c r="E54" s="45" t="n">
        <f aca="false">L54+D54/$K$2</f>
        <v>216.284366752873</v>
      </c>
      <c r="F54" s="117" t="n">
        <f aca="false">IF($K$9=0,0,E54/$K$9)</f>
        <v>0.0253075922776833</v>
      </c>
      <c r="G54" s="117" t="n">
        <f aca="false">G53+F54</f>
        <v>0.990797239171752</v>
      </c>
      <c r="H54" s="138" t="n">
        <v>516236.7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RESUMO'!BA34</f>
        <v>99.05</v>
      </c>
      <c r="N54" s="140" t="n">
        <f aca="false">MAX(0,M54-M53)</f>
        <v>2.53</v>
      </c>
      <c r="O54" s="139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2.53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101998.842223188</v>
      </c>
      <c r="E55" s="45" t="n">
        <f aca="false">L55+D55/$K$2</f>
        <v>78.6488606374084</v>
      </c>
      <c r="F55" s="117" t="n">
        <f aca="false">IF($K$9=0,0,E55/$K$9)</f>
        <v>0.0092027608282485</v>
      </c>
      <c r="G55" s="117" t="n">
        <f aca="false">G54+F55</f>
        <v>1</v>
      </c>
      <c r="H55" s="138" t="n">
        <v>416496.7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RESUMO'!BB34</f>
        <v>99.97</v>
      </c>
      <c r="N55" s="140" t="n">
        <f aca="false">MAX(0,M55-M54)</f>
        <v>0.920000000000002</v>
      </c>
      <c r="O55" s="139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0.920000000000002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160196.29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RESUMO'!BC34</f>
        <v>99.97</v>
      </c>
      <c r="N56" s="140" t="n">
        <f aca="false">MAX(0,M56-M55)</f>
        <v>0</v>
      </c>
      <c r="O56" s="139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RESUMO'!BD34</f>
        <v>99.97</v>
      </c>
      <c r="N57" s="140" t="n">
        <f aca="false">MAX(0,M57-M56)</f>
        <v>0</v>
      </c>
      <c r="O57" s="139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RESUMO'!BE34</f>
        <v>99.97</v>
      </c>
      <c r="N58" s="140" t="n">
        <f aca="false">MAX(0,M58-M57)</f>
        <v>0</v>
      </c>
      <c r="O58" s="139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RESUMO'!BF34</f>
        <v>99.97</v>
      </c>
      <c r="N59" s="140" t="n">
        <f aca="false">MAX(0,M59-M58)</f>
        <v>0</v>
      </c>
      <c r="O59" s="139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RESUMO'!BG34</f>
        <v>99.97</v>
      </c>
      <c r="N60" s="140" t="n">
        <f aca="false">MAX(0,M60-M59)</f>
        <v>0</v>
      </c>
      <c r="O60" s="139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RESUMO'!BH34</f>
        <v>99.97</v>
      </c>
      <c r="N61" s="140" t="n">
        <f aca="false">MAX(0,M61-M60)</f>
        <v>0</v>
      </c>
      <c r="O61" s="139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RESUMO'!BI34</f>
        <v>99.97</v>
      </c>
      <c r="N62" s="140" t="n">
        <f aca="false">MAX(0,M62-M61)</f>
        <v>0</v>
      </c>
      <c r="O62" s="139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RESUMO'!BJ34</f>
        <v>99.97</v>
      </c>
      <c r="N63" s="140" t="n">
        <f aca="false">MAX(0,M63-M62)</f>
        <v>0</v>
      </c>
      <c r="O63" s="139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RESUMO'!BK34</f>
        <v>99.97</v>
      </c>
      <c r="N64" s="140" t="n">
        <f aca="false">MAX(0,M64-M63)</f>
        <v>0</v>
      </c>
      <c r="O64" s="139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RESUMO'!BL34</f>
        <v>99.97</v>
      </c>
      <c r="N65" s="140" t="n">
        <f aca="false">MAX(0,M65-M64)</f>
        <v>0</v>
      </c>
      <c r="O65" s="139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RESUMO'!BM34</f>
        <v>99.97</v>
      </c>
      <c r="N66" s="140" t="n">
        <f aca="false">MAX(0,M66-M65)</f>
        <v>0</v>
      </c>
      <c r="O66" s="139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RESUMO'!BN34</f>
        <v>99.97</v>
      </c>
      <c r="N67" s="140" t="n">
        <f aca="false">MAX(0,M67-M66)</f>
        <v>0</v>
      </c>
      <c r="O67" s="139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RESUMO'!BO34</f>
        <v>99.97</v>
      </c>
      <c r="N68" s="140" t="n">
        <f aca="false">MAX(0,M68-M67)</f>
        <v>0</v>
      </c>
      <c r="O68" s="139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RESUMO'!BP34</f>
        <v>99.97</v>
      </c>
      <c r="N69" s="140" t="n">
        <f aca="false">MAX(0,M69-M68)</f>
        <v>0</v>
      </c>
      <c r="O69" s="139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RESUMO'!BQ34</f>
        <v>99.97</v>
      </c>
      <c r="N70" s="140" t="n">
        <f aca="false">MAX(0,M70-M69)</f>
        <v>0</v>
      </c>
      <c r="O70" s="139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RESUMO'!BR34</f>
        <v>99.97</v>
      </c>
      <c r="N71" s="140" t="n">
        <f aca="false">MAX(0,M71-M70)</f>
        <v>0</v>
      </c>
      <c r="O71" s="139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RESUMO'!BS34</f>
        <v>99.97</v>
      </c>
      <c r="N72" s="140" t="n">
        <f aca="false">MAX(0,M72-M71)</f>
        <v>0</v>
      </c>
      <c r="O72" s="139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RESUMO'!BT34</f>
        <v>99.97</v>
      </c>
      <c r="N73" s="140" t="n">
        <f aca="false">MAX(0,M73-M72)</f>
        <v>0</v>
      </c>
      <c r="O73" s="139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RESUMO'!BU34</f>
        <v>99.97</v>
      </c>
      <c r="N74" s="140" t="n">
        <f aca="false">MAX(0,M74-M73)</f>
        <v>0</v>
      </c>
      <c r="O74" s="139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RESUMO'!BV34</f>
        <v>99.97</v>
      </c>
      <c r="N75" s="140" t="n">
        <f aca="false">MAX(0,M75-M74)</f>
        <v>0</v>
      </c>
      <c r="O75" s="139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RESUMO'!BW34</f>
        <v>99.97</v>
      </c>
      <c r="N76" s="140" t="n">
        <f aca="false">MAX(0,M76-M75)</f>
        <v>0</v>
      </c>
      <c r="O76" s="139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11083504.6272305</v>
      </c>
      <c r="E78" s="61" t="n">
        <f aca="false">SUM(E5:E76)</f>
        <v>8546.22456295837</v>
      </c>
      <c r="F78" s="145" t="n">
        <f aca="false">SUM(F5:F76)</f>
        <v>1</v>
      </c>
      <c r="H78" s="61" t="n">
        <f aca="false">SUM(H5:H76)</f>
        <v>10951845.09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PAVIMENTAÇÃO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PL'!F41</f>
        <v>106895.67</v>
      </c>
      <c r="K5" s="56" t="n">
        <f aca="false">'VALOR POR PL'!G41</f>
        <v>87.856614</v>
      </c>
      <c r="L5" s="56" t="n">
        <f aca="false">'DADOS HISTORICOS'!$BZ$35</f>
        <v>0</v>
      </c>
      <c r="M5" s="139" t="n">
        <f aca="false">'CP RESUMO'!D35</f>
        <v>0</v>
      </c>
      <c r="N5" s="140" t="n">
        <v>0</v>
      </c>
      <c r="O5" s="139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PL'!H41</f>
        <v>87.856614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RESUMO'!E35</f>
        <v>0</v>
      </c>
      <c r="N6" s="140" t="n">
        <f aca="false">MAX(0,M6-M5)</f>
        <v>0</v>
      </c>
      <c r="O6" s="139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113895.219343671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RESUMO'!F35</f>
        <v>0</v>
      </c>
      <c r="N7" s="140" t="n">
        <f aca="false">MAX(0,M7-M6)</f>
        <v>0</v>
      </c>
      <c r="O7" s="139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RESUMO'!G35</f>
        <v>0</v>
      </c>
      <c r="N8" s="140" t="n">
        <f aca="false">MAX(0,M8-M7)</f>
        <v>0</v>
      </c>
      <c r="O8" s="139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113895.219343671</v>
      </c>
      <c r="K9" s="45" t="n">
        <f aca="false">E78</f>
        <v>87.8218716819027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RESUMO'!H35</f>
        <v>0</v>
      </c>
      <c r="N9" s="140" t="n">
        <f aca="false">MAX(0,M9-M8)</f>
        <v>0</v>
      </c>
      <c r="O9" s="139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87.8218716819027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RESUMO'!I35</f>
        <v>0</v>
      </c>
      <c r="N10" s="140" t="n">
        <f aca="false">MAX(0,M10-M9)</f>
        <v>0</v>
      </c>
      <c r="O10" s="139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112630.58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RESUMO'!J35</f>
        <v>0</v>
      </c>
      <c r="N11" s="140" t="n">
        <f aca="false">MAX(0,M11-M10)</f>
        <v>0</v>
      </c>
      <c r="O11" s="139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RESUMO'!K35</f>
        <v>0</v>
      </c>
      <c r="N12" s="140" t="n">
        <f aca="false">MAX(0,M12-M11)</f>
        <v>0</v>
      </c>
      <c r="O12" s="139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RESUMO'!L35</f>
        <v>0</v>
      </c>
      <c r="N13" s="140" t="n">
        <f aca="false">MAX(0,M13-M12)</f>
        <v>0</v>
      </c>
      <c r="O13" s="139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RESUMO'!M35</f>
        <v>0</v>
      </c>
      <c r="N14" s="140" t="n">
        <f aca="false">MAX(0,M14-M13)</f>
        <v>0</v>
      </c>
      <c r="O14" s="139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RESUMO'!N35</f>
        <v>0</v>
      </c>
      <c r="N15" s="140" t="n">
        <f aca="false">MAX(0,M15-M14)</f>
        <v>0</v>
      </c>
      <c r="O15" s="139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RESUMO'!O35</f>
        <v>0</v>
      </c>
      <c r="N16" s="140" t="n">
        <f aca="false">MAX(0,M16-M15)</f>
        <v>0</v>
      </c>
      <c r="O16" s="139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RESUMO'!P35</f>
        <v>0</v>
      </c>
      <c r="N17" s="140" t="n">
        <f aca="false">MAX(0,M17-M16)</f>
        <v>0</v>
      </c>
      <c r="O17" s="139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113895.219343671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RESUMO'!Q35</f>
        <v>0</v>
      </c>
      <c r="N18" s="140" t="n">
        <f aca="false">MAX(0,M18-M17)</f>
        <v>0</v>
      </c>
      <c r="O18" s="139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RESUMO'!R35</f>
        <v>0</v>
      </c>
      <c r="N19" s="140" t="n">
        <f aca="false">MAX(0,M19-M18)</f>
        <v>0</v>
      </c>
      <c r="O19" s="139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RESUMO'!S35</f>
        <v>0</v>
      </c>
      <c r="N20" s="140" t="n">
        <f aca="false">MAX(0,M20-M19)</f>
        <v>0</v>
      </c>
      <c r="O20" s="139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RESUMO'!T35</f>
        <v>0</v>
      </c>
      <c r="N21" s="140" t="n">
        <f aca="false">MAX(0,M21-M20)</f>
        <v>0</v>
      </c>
      <c r="O21" s="139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RESUMO'!U35</f>
        <v>0</v>
      </c>
      <c r="N22" s="140" t="n">
        <f aca="false">MAX(0,M22-M21)</f>
        <v>0</v>
      </c>
      <c r="O22" s="139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RESUMO'!V35</f>
        <v>0</v>
      </c>
      <c r="N23" s="140" t="n">
        <f aca="false">MAX(0,M23-M22)</f>
        <v>0</v>
      </c>
      <c r="O23" s="139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RESUMO'!W35</f>
        <v>0</v>
      </c>
      <c r="N24" s="140" t="n">
        <f aca="false">MAX(0,M24-M23)</f>
        <v>0</v>
      </c>
      <c r="O24" s="139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RESUMO'!X35</f>
        <v>0</v>
      </c>
      <c r="N25" s="140" t="n">
        <f aca="false">MAX(0,M25-M24)</f>
        <v>0</v>
      </c>
      <c r="O25" s="139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RESUMO'!Y35</f>
        <v>0</v>
      </c>
      <c r="N26" s="140" t="n">
        <f aca="false">MAX(0,M26-M25)</f>
        <v>0</v>
      </c>
      <c r="O26" s="139" t="str">
        <f aca="false">IF(B26&lt;='VALOR POR PL'!$P$5,'CP RESUMO'!Y77,"")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RESUMO'!Z35</f>
        <v>0</v>
      </c>
      <c r="N27" s="140" t="n">
        <f aca="false">MAX(0,M27-M26)</f>
        <v>0</v>
      </c>
      <c r="O27" s="139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RESUMO'!AA35</f>
        <v>0</v>
      </c>
      <c r="N28" s="140" t="n">
        <f aca="false">MAX(0,M28-M27)</f>
        <v>0</v>
      </c>
      <c r="O28" s="139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RESUMO'!AB35</f>
        <v>0</v>
      </c>
      <c r="N29" s="140" t="n">
        <f aca="false">MAX(0,M29-M28)</f>
        <v>0</v>
      </c>
      <c r="O29" s="139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RESUMO'!AC35</f>
        <v>0</v>
      </c>
      <c r="N30" s="140" t="n">
        <f aca="false">MAX(0,M30-M29)</f>
        <v>0</v>
      </c>
      <c r="O30" s="139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RESUMO'!AD35</f>
        <v>0</v>
      </c>
      <c r="N31" s="140" t="n">
        <f aca="false">MAX(0,M31-M30)</f>
        <v>0</v>
      </c>
      <c r="O31" s="139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RESUMO'!AE35</f>
        <v>0</v>
      </c>
      <c r="N32" s="140" t="n">
        <f aca="false">MAX(0,M32-M31)</f>
        <v>0</v>
      </c>
      <c r="O32" s="139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RESUMO'!AF35</f>
        <v>0</v>
      </c>
      <c r="N33" s="140" t="n">
        <f aca="false">MAX(0,M33-M32)</f>
        <v>0</v>
      </c>
      <c r="O33" s="139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RESUMO'!AG35</f>
        <v>0</v>
      </c>
      <c r="N34" s="140" t="n">
        <f aca="false">MAX(0,M34-M33)</f>
        <v>0</v>
      </c>
      <c r="O34" s="139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RESUMO'!AH35</f>
        <v>0</v>
      </c>
      <c r="N35" s="140" t="n">
        <f aca="false">MAX(0,M35-M34)</f>
        <v>0</v>
      </c>
      <c r="O35" s="139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RESUMO'!AI35</f>
        <v>0</v>
      </c>
      <c r="N36" s="140" t="n">
        <f aca="false">MAX(0,M36-M35)</f>
        <v>0</v>
      </c>
      <c r="O36" s="139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RESUMO'!AJ35</f>
        <v>0</v>
      </c>
      <c r="N37" s="140" t="n">
        <f aca="false">MAX(0,M37-M36)</f>
        <v>0</v>
      </c>
      <c r="O37" s="139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RESUMO'!AK35</f>
        <v>0</v>
      </c>
      <c r="N38" s="140" t="n">
        <f aca="false">MAX(0,M38-M37)</f>
        <v>0</v>
      </c>
      <c r="O38" s="139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RESUMO'!AL35</f>
        <v>0</v>
      </c>
      <c r="N39" s="140" t="n">
        <f aca="false">MAX(0,M39-M38)</f>
        <v>0</v>
      </c>
      <c r="O39" s="139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1731.2073340238</v>
      </c>
      <c r="E40" s="45" t="n">
        <f aca="false">L40+D40/$K$2</f>
        <v>1.33489244956492</v>
      </c>
      <c r="F40" s="117" t="n">
        <f aca="false">IF($K$9=0,0,E40/$K$9)</f>
        <v>0.0152</v>
      </c>
      <c r="G40" s="117" t="n">
        <f aca="false">G39+F40</f>
        <v>0.0152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RESUMO'!AM35</f>
        <v>1.52</v>
      </c>
      <c r="N40" s="140" t="n">
        <f aca="false">MAX(0,M40-M39)</f>
        <v>1.52</v>
      </c>
      <c r="O40" s="139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1.52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27608.2011689059</v>
      </c>
      <c r="E41" s="45" t="n">
        <f aca="false">L41+D41/$K$2</f>
        <v>21.2880216956932</v>
      </c>
      <c r="F41" s="117" t="n">
        <f aca="false">IF($K$9=0,0,E41/$K$9)</f>
        <v>0.2424</v>
      </c>
      <c r="G41" s="117" t="n">
        <f aca="false">G40+F41</f>
        <v>0.2576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RESUMO'!AN35</f>
        <v>25.76</v>
      </c>
      <c r="N41" s="140" t="n">
        <f aca="false">MAX(0,M41-M40)</f>
        <v>24.24</v>
      </c>
      <c r="O41" s="139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24.24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36241.4587951562</v>
      </c>
      <c r="E42" s="45" t="n">
        <f aca="false">L42+D42/$K$2</f>
        <v>27.9449195691814</v>
      </c>
      <c r="F42" s="117" t="n">
        <f aca="false">IF($K$9=0,0,E42/$K$9)</f>
        <v>0.3182</v>
      </c>
      <c r="G42" s="117" t="n">
        <f aca="false">G41+F42</f>
        <v>0.5758</v>
      </c>
      <c r="H42" s="138" t="n">
        <v>17063.53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RESUMO'!AO35</f>
        <v>57.58</v>
      </c>
      <c r="N42" s="140" t="n">
        <f aca="false">MAX(0,M42-M41)</f>
        <v>31.82</v>
      </c>
      <c r="O42" s="139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31.82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36230.0692732218</v>
      </c>
      <c r="E43" s="45" t="n">
        <f aca="false">L43+D43/$K$2</f>
        <v>27.9361373820133</v>
      </c>
      <c r="F43" s="117" t="n">
        <f aca="false">IF($K$9=0,0,E43/$K$9)</f>
        <v>0.3181</v>
      </c>
      <c r="G43" s="117" t="n">
        <f aca="false">G42+F43</f>
        <v>0.8939</v>
      </c>
      <c r="H43" s="138" t="n">
        <v>35839.05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RESUMO'!AP35</f>
        <v>89.39</v>
      </c>
      <c r="N43" s="140" t="n">
        <f aca="false">MAX(0,M43-M42)</f>
        <v>31.81</v>
      </c>
      <c r="O43" s="139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31.81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12084.2827723635</v>
      </c>
      <c r="E44" s="45" t="n">
        <f aca="false">L44+D44/$K$2</f>
        <v>9.31790058544988</v>
      </c>
      <c r="F44" s="117" t="n">
        <f aca="false">IF($K$9=0,0,E44/$K$9)</f>
        <v>0.1061</v>
      </c>
      <c r="G44" s="117" t="n">
        <f aca="false">G43+F44</f>
        <v>1</v>
      </c>
      <c r="H44" s="138" t="n">
        <v>35839.05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RESUMO'!AQ35</f>
        <v>100</v>
      </c>
      <c r="N44" s="140" t="n">
        <f aca="false">MAX(0,M44-M43)</f>
        <v>10.61</v>
      </c>
      <c r="O44" s="139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10.61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8" t="n">
        <v>23888.95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RESUMO'!AR35</f>
        <v>100</v>
      </c>
      <c r="N45" s="140" t="n">
        <f aca="false">MAX(0,M45-M44)</f>
        <v>0</v>
      </c>
      <c r="O45" s="139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RESUMO'!AS35</f>
        <v>100</v>
      </c>
      <c r="N46" s="140" t="n">
        <f aca="false">MAX(0,M46-M45)</f>
        <v>0</v>
      </c>
      <c r="O46" s="139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RESUMO'!AT35</f>
        <v>100</v>
      </c>
      <c r="N47" s="140" t="n">
        <f aca="false">MAX(0,M47-M46)</f>
        <v>0</v>
      </c>
      <c r="O47" s="139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RESUMO'!AU35</f>
        <v>100</v>
      </c>
      <c r="N48" s="140" t="n">
        <f aca="false">MAX(0,M48-M47)</f>
        <v>0</v>
      </c>
      <c r="O48" s="139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RESUMO'!AV35</f>
        <v>100</v>
      </c>
      <c r="N49" s="140" t="n">
        <f aca="false">MAX(0,M49-M48)</f>
        <v>0</v>
      </c>
      <c r="O49" s="139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8"/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RESUMO'!AW35</f>
        <v>100</v>
      </c>
      <c r="N50" s="140" t="n">
        <f aca="false">MAX(0,M50-M49)</f>
        <v>0</v>
      </c>
      <c r="O50" s="139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8"/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RESUMO'!AX35</f>
        <v>100</v>
      </c>
      <c r="N51" s="140" t="n">
        <f aca="false">MAX(0,M51-M50)</f>
        <v>0</v>
      </c>
      <c r="O51" s="139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8"/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RESUMO'!AY35</f>
        <v>100</v>
      </c>
      <c r="N52" s="140" t="n">
        <f aca="false">MAX(0,M52-M51)</f>
        <v>0</v>
      </c>
      <c r="O52" s="139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/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RESUMO'!AZ35</f>
        <v>100</v>
      </c>
      <c r="N53" s="140" t="n">
        <f aca="false">MAX(0,M53-M52)</f>
        <v>0</v>
      </c>
      <c r="O53" s="139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RESUMO'!BA35</f>
        <v>100</v>
      </c>
      <c r="N54" s="140" t="n">
        <f aca="false">MAX(0,M54-M53)</f>
        <v>0</v>
      </c>
      <c r="O54" s="139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RESUMO'!BB35</f>
        <v>100</v>
      </c>
      <c r="N55" s="140" t="n">
        <f aca="false">MAX(0,M55-M54)</f>
        <v>0</v>
      </c>
      <c r="O55" s="139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RESUMO'!BC35</f>
        <v>100</v>
      </c>
      <c r="N56" s="140" t="n">
        <f aca="false">MAX(0,M56-M55)</f>
        <v>0</v>
      </c>
      <c r="O56" s="139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RESUMO'!BD35</f>
        <v>100</v>
      </c>
      <c r="N57" s="140" t="n">
        <f aca="false">MAX(0,M57-M56)</f>
        <v>0</v>
      </c>
      <c r="O57" s="139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RESUMO'!BE35</f>
        <v>100</v>
      </c>
      <c r="N58" s="140" t="n">
        <f aca="false">MAX(0,M58-M57)</f>
        <v>0</v>
      </c>
      <c r="O58" s="139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RESUMO'!BF35</f>
        <v>100</v>
      </c>
      <c r="N59" s="140" t="n">
        <f aca="false">MAX(0,M59-M58)</f>
        <v>0</v>
      </c>
      <c r="O59" s="139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RESUMO'!BG35</f>
        <v>100</v>
      </c>
      <c r="N60" s="140" t="n">
        <f aca="false">MAX(0,M60-M59)</f>
        <v>0</v>
      </c>
      <c r="O60" s="139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RESUMO'!BH35</f>
        <v>100</v>
      </c>
      <c r="N61" s="140" t="n">
        <f aca="false">MAX(0,M61-M60)</f>
        <v>0</v>
      </c>
      <c r="O61" s="139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RESUMO'!BI35</f>
        <v>100</v>
      </c>
      <c r="N62" s="140" t="n">
        <f aca="false">MAX(0,M62-M61)</f>
        <v>0</v>
      </c>
      <c r="O62" s="139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RESUMO'!BJ35</f>
        <v>100</v>
      </c>
      <c r="N63" s="140" t="n">
        <f aca="false">MAX(0,M63-M62)</f>
        <v>0</v>
      </c>
      <c r="O63" s="139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RESUMO'!BK35</f>
        <v>100</v>
      </c>
      <c r="N64" s="140" t="n">
        <f aca="false">MAX(0,M64-M63)</f>
        <v>0</v>
      </c>
      <c r="O64" s="139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RESUMO'!BL35</f>
        <v>100</v>
      </c>
      <c r="N65" s="140" t="n">
        <f aca="false">MAX(0,M65-M64)</f>
        <v>0</v>
      </c>
      <c r="O65" s="139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RESUMO'!BM35</f>
        <v>100</v>
      </c>
      <c r="N66" s="140" t="n">
        <f aca="false">MAX(0,M66-M65)</f>
        <v>0</v>
      </c>
      <c r="O66" s="139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RESUMO'!BN35</f>
        <v>100</v>
      </c>
      <c r="N67" s="140" t="n">
        <f aca="false">MAX(0,M67-M66)</f>
        <v>0</v>
      </c>
      <c r="O67" s="139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RESUMO'!BO35</f>
        <v>100</v>
      </c>
      <c r="N68" s="140" t="n">
        <f aca="false">MAX(0,M68-M67)</f>
        <v>0</v>
      </c>
      <c r="O68" s="139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RESUMO'!BP35</f>
        <v>100</v>
      </c>
      <c r="N69" s="140" t="n">
        <f aca="false">MAX(0,M69-M68)</f>
        <v>0</v>
      </c>
      <c r="O69" s="139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RESUMO'!BQ35</f>
        <v>100</v>
      </c>
      <c r="N70" s="140" t="n">
        <f aca="false">MAX(0,M70-M69)</f>
        <v>0</v>
      </c>
      <c r="O70" s="139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RESUMO'!BR35</f>
        <v>100</v>
      </c>
      <c r="N71" s="140" t="n">
        <f aca="false">MAX(0,M71-M70)</f>
        <v>0</v>
      </c>
      <c r="O71" s="139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RESUMO'!BS35</f>
        <v>100</v>
      </c>
      <c r="N72" s="140" t="n">
        <f aca="false">MAX(0,M72-M71)</f>
        <v>0</v>
      </c>
      <c r="O72" s="139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RESUMO'!BT35</f>
        <v>100</v>
      </c>
      <c r="N73" s="140" t="n">
        <f aca="false">MAX(0,M73-M72)</f>
        <v>0</v>
      </c>
      <c r="O73" s="139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RESUMO'!BU35</f>
        <v>100</v>
      </c>
      <c r="N74" s="140" t="n">
        <f aca="false">MAX(0,M74-M73)</f>
        <v>0</v>
      </c>
      <c r="O74" s="139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RESUMO'!BV35</f>
        <v>100</v>
      </c>
      <c r="N75" s="140" t="n">
        <f aca="false">MAX(0,M75-M74)</f>
        <v>0</v>
      </c>
      <c r="O75" s="139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RESUMO'!BW35</f>
        <v>100</v>
      </c>
      <c r="N76" s="140" t="n">
        <f aca="false">MAX(0,M76-M75)</f>
        <v>0</v>
      </c>
      <c r="O76" s="139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113895.219343671</v>
      </c>
      <c r="E78" s="61" t="n">
        <f aca="false">SUM(E5:E76)</f>
        <v>87.8218716819027</v>
      </c>
      <c r="F78" s="145" t="n">
        <f aca="false">SUM(F5:F76)</f>
        <v>1</v>
      </c>
      <c r="H78" s="61" t="n">
        <f aca="false">SUM(H5:H76)</f>
        <v>112630.58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- FACHADA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PL'!F42</f>
        <v>5055622.3</v>
      </c>
      <c r="K5" s="56" t="n">
        <f aca="false">'VALOR POR PL'!G42</f>
        <v>4155.171665</v>
      </c>
      <c r="L5" s="56" t="n">
        <f aca="false">'DADOS HISTORICOS'!$BZ$36</f>
        <v>0</v>
      </c>
      <c r="M5" s="139" t="n">
        <f aca="false">'CP RESUMO'!D36</f>
        <v>0</v>
      </c>
      <c r="N5" s="140" t="n">
        <v>0</v>
      </c>
      <c r="O5" s="139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PL'!H42</f>
        <v>4155.171665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RESUMO'!E36</f>
        <v>0</v>
      </c>
      <c r="N6" s="140" t="n">
        <f aca="false">MAX(0,M6-M5)</f>
        <v>0</v>
      </c>
      <c r="O6" s="139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5386665.46147319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RESUMO'!F36</f>
        <v>0</v>
      </c>
      <c r="N7" s="140" t="n">
        <f aca="false">MAX(0,M7-M6)</f>
        <v>0</v>
      </c>
      <c r="O7" s="139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RESUMO'!G36</f>
        <v>0</v>
      </c>
      <c r="N8" s="140" t="n">
        <f aca="false">MAX(0,M8-M7)</f>
        <v>0</v>
      </c>
      <c r="O8" s="139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5386665.46147319</v>
      </c>
      <c r="K9" s="45" t="n">
        <f aca="false">E78</f>
        <v>4153.52852979183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RESUMO'!H36</f>
        <v>0</v>
      </c>
      <c r="N9" s="140" t="n">
        <f aca="false">MAX(0,M9-M8)</f>
        <v>0</v>
      </c>
      <c r="O9" s="139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4153.52852979183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RESUMO'!I36</f>
        <v>0</v>
      </c>
      <c r="N10" s="140" t="n">
        <f aca="false">MAX(0,M10-M9)</f>
        <v>0</v>
      </c>
      <c r="O10" s="139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5326854.95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RESUMO'!J36</f>
        <v>0</v>
      </c>
      <c r="N11" s="140" t="n">
        <f aca="false">MAX(0,M11-M10)</f>
        <v>0</v>
      </c>
      <c r="O11" s="139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RESUMO'!K36</f>
        <v>0</v>
      </c>
      <c r="N12" s="140" t="n">
        <f aca="false">MAX(0,M12-M11)</f>
        <v>0</v>
      </c>
      <c r="O12" s="139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RESUMO'!L36</f>
        <v>0</v>
      </c>
      <c r="N13" s="140" t="n">
        <f aca="false">MAX(0,M13-M12)</f>
        <v>0</v>
      </c>
      <c r="O13" s="139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RESUMO'!M36</f>
        <v>0</v>
      </c>
      <c r="N14" s="140" t="n">
        <f aca="false">MAX(0,M14-M13)</f>
        <v>0</v>
      </c>
      <c r="O14" s="139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RESUMO'!N36</f>
        <v>0</v>
      </c>
      <c r="N15" s="140" t="n">
        <f aca="false">MAX(0,M15-M14)</f>
        <v>0</v>
      </c>
      <c r="O15" s="139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RESUMO'!O36</f>
        <v>0</v>
      </c>
      <c r="N16" s="140" t="n">
        <f aca="false">MAX(0,M16-M15)</f>
        <v>0</v>
      </c>
      <c r="O16" s="139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RESUMO'!P36</f>
        <v>0</v>
      </c>
      <c r="N17" s="140" t="n">
        <f aca="false">MAX(0,M17-M16)</f>
        <v>0</v>
      </c>
      <c r="O17" s="139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5386665.46147319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RESUMO'!Q36</f>
        <v>0</v>
      </c>
      <c r="N18" s="140" t="n">
        <f aca="false">MAX(0,M18-M17)</f>
        <v>0</v>
      </c>
      <c r="O18" s="139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RESUMO'!R36</f>
        <v>0</v>
      </c>
      <c r="N19" s="140" t="n">
        <f aca="false">MAX(0,M19-M18)</f>
        <v>0</v>
      </c>
      <c r="O19" s="139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RESUMO'!S36</f>
        <v>0</v>
      </c>
      <c r="N20" s="140" t="n">
        <f aca="false">MAX(0,M20-M19)</f>
        <v>0</v>
      </c>
      <c r="O20" s="139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RESUMO'!T36</f>
        <v>0</v>
      </c>
      <c r="N21" s="140" t="n">
        <f aca="false">MAX(0,M21-M20)</f>
        <v>0</v>
      </c>
      <c r="O21" s="139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RESUMO'!U36</f>
        <v>0</v>
      </c>
      <c r="N22" s="140" t="n">
        <f aca="false">MAX(0,M22-M21)</f>
        <v>0</v>
      </c>
      <c r="O22" s="139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RESUMO'!V36</f>
        <v>0</v>
      </c>
      <c r="N23" s="140" t="n">
        <f aca="false">MAX(0,M23-M22)</f>
        <v>0</v>
      </c>
      <c r="O23" s="139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RESUMO'!W36</f>
        <v>0</v>
      </c>
      <c r="N24" s="140" t="n">
        <f aca="false">MAX(0,M24-M23)</f>
        <v>0</v>
      </c>
      <c r="O24" s="139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RESUMO'!X36</f>
        <v>0</v>
      </c>
      <c r="N25" s="140" t="n">
        <f aca="false">MAX(0,M25-M24)</f>
        <v>0</v>
      </c>
      <c r="O25" s="139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HISTORICOS'!Y36)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RESUMO'!Y36</f>
        <v>0</v>
      </c>
      <c r="N26" s="140" t="n">
        <f aca="false">MAX(0,M26-M25)</f>
        <v>0</v>
      </c>
      <c r="O26" s="139" t="str">
        <f aca="false">IF(B26&lt;='VALOR POR PL'!$P$5,'CP RESUMO'!Y78,"")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HISTORICOS'!Z36)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RESUMO'!Z36</f>
        <v>0</v>
      </c>
      <c r="N27" s="140" t="n">
        <f aca="false">MAX(0,M27-M26)</f>
        <v>0</v>
      </c>
      <c r="O27" s="139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RESUMO'!AA36</f>
        <v>0</v>
      </c>
      <c r="N28" s="140" t="n">
        <f aca="false">MAX(0,M28-M27)</f>
        <v>0</v>
      </c>
      <c r="O28" s="139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RESUMO'!AB36</f>
        <v>0</v>
      </c>
      <c r="N29" s="140" t="n">
        <f aca="false">MAX(0,M29-M28)</f>
        <v>0</v>
      </c>
      <c r="O29" s="139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RESUMO'!AC36</f>
        <v>0</v>
      </c>
      <c r="N30" s="140" t="n">
        <f aca="false">MAX(0,M30-M29)</f>
        <v>0</v>
      </c>
      <c r="O30" s="139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RESUMO'!AD36</f>
        <v>0</v>
      </c>
      <c r="N31" s="140" t="n">
        <f aca="false">MAX(0,M31-M30)</f>
        <v>0</v>
      </c>
      <c r="O31" s="139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RESUMO'!AE36</f>
        <v>0</v>
      </c>
      <c r="N32" s="140" t="n">
        <f aca="false">MAX(0,M32-M31)</f>
        <v>0</v>
      </c>
      <c r="O32" s="139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RESUMO'!AF36</f>
        <v>0</v>
      </c>
      <c r="N33" s="140" t="n">
        <f aca="false">MAX(0,M33-M32)</f>
        <v>0</v>
      </c>
      <c r="O33" s="139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RESUMO'!AG36</f>
        <v>0</v>
      </c>
      <c r="N34" s="140" t="n">
        <f aca="false">MAX(0,M34-M33)</f>
        <v>0</v>
      </c>
      <c r="O34" s="139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RESUMO'!AH36</f>
        <v>0</v>
      </c>
      <c r="N35" s="140" t="n">
        <f aca="false">MAX(0,M35-M34)</f>
        <v>0</v>
      </c>
      <c r="O35" s="139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RESUMO'!AI36</f>
        <v>0</v>
      </c>
      <c r="N36" s="140" t="n">
        <f aca="false">MAX(0,M36-M35)</f>
        <v>0</v>
      </c>
      <c r="O36" s="139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126047.971798473</v>
      </c>
      <c r="E37" s="45" t="n">
        <f aca="false">L37+D37/$K$2</f>
        <v>97.1925675971287</v>
      </c>
      <c r="F37" s="117" t="n">
        <f aca="false">IF($K$9=0,0,E37/$K$9)</f>
        <v>0.0234</v>
      </c>
      <c r="G37" s="117" t="n">
        <f aca="false">G36+F37</f>
        <v>0.0234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RESUMO'!AJ36</f>
        <v>2.34</v>
      </c>
      <c r="N37" s="140" t="n">
        <f aca="false">MAX(0,M37-M36)</f>
        <v>2.34</v>
      </c>
      <c r="O37" s="139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2.34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454095.89840219</v>
      </c>
      <c r="E38" s="45" t="n">
        <f aca="false">L38+D38/$K$2</f>
        <v>350.142455061451</v>
      </c>
      <c r="F38" s="117" t="n">
        <f aca="false">IF($K$9=0,0,E38/$K$9)</f>
        <v>0.0843</v>
      </c>
      <c r="G38" s="117" t="n">
        <f aca="false">G37+F38</f>
        <v>0.1077</v>
      </c>
      <c r="H38" s="138" t="n">
        <v>124648.41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RESUMO'!AK36</f>
        <v>10.77</v>
      </c>
      <c r="N38" s="140" t="n">
        <f aca="false">MAX(0,M38-M37)</f>
        <v>8.43</v>
      </c>
      <c r="O38" s="139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8.43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641013.18991531</v>
      </c>
      <c r="E39" s="45" t="n">
        <f aca="false">L39+D39/$K$2</f>
        <v>494.269895045228</v>
      </c>
      <c r="F39" s="117" t="n">
        <f aca="false">IF($K$9=0,0,E39/$K$9)</f>
        <v>0.119</v>
      </c>
      <c r="G39" s="117" t="n">
        <f aca="false">G38+F39</f>
        <v>0.2267</v>
      </c>
      <c r="H39" s="138" t="n">
        <v>342516.77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RESUMO'!AL36</f>
        <v>22.67</v>
      </c>
      <c r="N39" s="140" t="n">
        <f aca="false">MAX(0,M39-M38)</f>
        <v>11.9</v>
      </c>
      <c r="O39" s="139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11.9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532202.547593551</v>
      </c>
      <c r="E40" s="45" t="n">
        <f aca="false">L40+D40/$K$2</f>
        <v>410.368618743432</v>
      </c>
      <c r="F40" s="117" t="n">
        <f aca="false">IF($K$9=0,0,E40/$K$9)</f>
        <v>0.0988</v>
      </c>
      <c r="G40" s="117" t="n">
        <f aca="false">G39+F40</f>
        <v>0.3255</v>
      </c>
      <c r="H40" s="138" t="n">
        <v>420821.54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RESUMO'!AM36</f>
        <v>32.55</v>
      </c>
      <c r="N40" s="140" t="n">
        <f aca="false">MAX(0,M40-M39)</f>
        <v>9.88</v>
      </c>
      <c r="O40" s="139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9.88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474565.227155788</v>
      </c>
      <c r="E41" s="45" t="n">
        <f aca="false">L41+D41/$K$2</f>
        <v>365.92586347466</v>
      </c>
      <c r="F41" s="117" t="n">
        <f aca="false">IF($K$9=0,0,E41/$K$9)</f>
        <v>0.0881</v>
      </c>
      <c r="G41" s="117" t="n">
        <f aca="false">G40+F41</f>
        <v>0.4136</v>
      </c>
      <c r="H41" s="138" t="n">
        <v>361160.76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RESUMO'!AN36</f>
        <v>41.36</v>
      </c>
      <c r="N41" s="140" t="n">
        <f aca="false">MAX(0,M41-M40)</f>
        <v>8.81</v>
      </c>
      <c r="O41" s="139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8.81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431471.903464003</v>
      </c>
      <c r="E42" s="45" t="n">
        <f aca="false">L42+D42/$K$2</f>
        <v>332.697635236325</v>
      </c>
      <c r="F42" s="117" t="n">
        <f aca="false">IF($K$9=0,0,E42/$K$9)</f>
        <v>0.0801</v>
      </c>
      <c r="G42" s="117" t="n">
        <f aca="false">G41+F42</f>
        <v>0.4937</v>
      </c>
      <c r="H42" s="138" t="n">
        <v>278594.51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RESUMO'!AO36</f>
        <v>49.37</v>
      </c>
      <c r="N42" s="140" t="n">
        <f aca="false">MAX(0,M42-M41)</f>
        <v>8.01</v>
      </c>
      <c r="O42" s="139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8.01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427162.571094824</v>
      </c>
      <c r="E43" s="45" t="n">
        <f aca="false">L43+D43/$K$2</f>
        <v>329.374812412492</v>
      </c>
      <c r="F43" s="117" t="n">
        <f aca="false">IF($K$9=0,0,E43/$K$9)</f>
        <v>0.0793</v>
      </c>
      <c r="G43" s="117" t="n">
        <f aca="false">G42+F43</f>
        <v>0.573</v>
      </c>
      <c r="H43" s="138" t="n">
        <v>267408.12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RESUMO'!AP36</f>
        <v>57.3</v>
      </c>
      <c r="N43" s="140" t="n">
        <f aca="false">MAX(0,M43-M42)</f>
        <v>7.93</v>
      </c>
      <c r="O43" s="139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7.93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327509.26005757</v>
      </c>
      <c r="E44" s="45" t="n">
        <f aca="false">L44+D44/$K$2</f>
        <v>252.534534611343</v>
      </c>
      <c r="F44" s="117" t="n">
        <f aca="false">IF($K$9=0,0,E44/$K$9)</f>
        <v>0.0608000000000001</v>
      </c>
      <c r="G44" s="117" t="n">
        <f aca="false">G43+F44</f>
        <v>0.6338</v>
      </c>
      <c r="H44" s="138" t="n">
        <v>422419.6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RESUMO'!AQ36</f>
        <v>63.38</v>
      </c>
      <c r="N44" s="140" t="n">
        <f aca="false">MAX(0,M44-M43)</f>
        <v>6.08000000000001</v>
      </c>
      <c r="O44" s="139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6.08000000000001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141130.635090598</v>
      </c>
      <c r="E45" s="45" t="n">
        <f aca="false">L45+D45/$K$2</f>
        <v>108.822447480546</v>
      </c>
      <c r="F45" s="117" t="n">
        <f aca="false">IF($K$9=0,0,E45/$K$9)</f>
        <v>0.0262</v>
      </c>
      <c r="G45" s="117" t="n">
        <f aca="false">G44+F45</f>
        <v>0.66</v>
      </c>
      <c r="H45" s="138" t="n">
        <v>359562.71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RESUMO'!AR36</f>
        <v>66</v>
      </c>
      <c r="N45" s="140" t="n">
        <f aca="false">MAX(0,M45-M44)</f>
        <v>2.62</v>
      </c>
      <c r="O45" s="139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2.62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161599.963844196</v>
      </c>
      <c r="E46" s="45" t="n">
        <f aca="false">L46+D46/$K$2</f>
        <v>124.605855893755</v>
      </c>
      <c r="F46" s="117" t="n">
        <f aca="false">IF($K$9=0,0,E46/$K$9)</f>
        <v>0.03</v>
      </c>
      <c r="G46" s="117" t="n">
        <f aca="false">G45+F46</f>
        <v>0.69</v>
      </c>
      <c r="H46" s="138" t="n">
        <v>299369.25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RESUMO'!AS36</f>
        <v>69</v>
      </c>
      <c r="N46" s="140" t="n">
        <f aca="false">MAX(0,M46-M45)</f>
        <v>3</v>
      </c>
      <c r="O46" s="139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3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264485.274158334</v>
      </c>
      <c r="E47" s="45" t="n">
        <f aca="false">L47+D47/$K$2</f>
        <v>203.938250812779</v>
      </c>
      <c r="F47" s="117" t="n">
        <f aca="false">IF($K$9=0,0,E47/$K$9)</f>
        <v>0.0491</v>
      </c>
      <c r="G47" s="117" t="n">
        <f aca="false">G46+F47</f>
        <v>0.7391</v>
      </c>
      <c r="H47" s="138" t="n">
        <v>266342.75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RESUMO'!AT36</f>
        <v>73.91</v>
      </c>
      <c r="N47" s="140" t="n">
        <f aca="false">MAX(0,M47-M46)</f>
        <v>4.91</v>
      </c>
      <c r="O47" s="139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4.91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HISTORICOS'!AU36)</f>
        <v>0</v>
      </c>
      <c r="D48" s="45" t="n">
        <f aca="false">IF(B48&lt;='VALOR POR PL'!$P$5,0,IF($K$17&gt;0,$K$18*P48/$K$17,0))</f>
        <v>411541.241256552</v>
      </c>
      <c r="E48" s="45" t="n">
        <f aca="false">L48+D48/$K$2</f>
        <v>317.329579676096</v>
      </c>
      <c r="F48" s="117" t="n">
        <f aca="false">IF($K$9=0,0,E48/$K$9)</f>
        <v>0.0764</v>
      </c>
      <c r="G48" s="117" t="n">
        <f aca="false">G47+F48</f>
        <v>0.8155</v>
      </c>
      <c r="H48" s="138" t="n">
        <v>314817.13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RESUMO'!AU36</f>
        <v>81.55</v>
      </c>
      <c r="N48" s="140" t="n">
        <f aca="false">MAX(0,M48-M47)</f>
        <v>7.64</v>
      </c>
      <c r="O48" s="139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7.64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628623.859353922</v>
      </c>
      <c r="E49" s="45" t="n">
        <f aca="false">L49+D49/$K$2</f>
        <v>484.716779426706</v>
      </c>
      <c r="F49" s="117" t="n">
        <f aca="false">IF($K$9=0,0,E49/$K$9)</f>
        <v>0.1167</v>
      </c>
      <c r="G49" s="117" t="n">
        <f aca="false">G48+F49</f>
        <v>0.9322</v>
      </c>
      <c r="H49" s="138" t="n">
        <v>406971.72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RESUMO'!AV36</f>
        <v>93.22</v>
      </c>
      <c r="N49" s="140" t="n">
        <f aca="false">MAX(0,M49-M48)</f>
        <v>11.67</v>
      </c>
      <c r="O49" s="139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11.67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9695.99783065211</v>
      </c>
      <c r="E50" s="45" t="n">
        <f aca="false">L50+D50/$K$2</f>
        <v>7.47635135362557</v>
      </c>
      <c r="F50" s="117" t="n">
        <f aca="false">IF($K$9=0,0,E50/$K$9)</f>
        <v>0.00180000000000007</v>
      </c>
      <c r="G50" s="117" t="n">
        <f aca="false">G49+F50</f>
        <v>0.934</v>
      </c>
      <c r="H50" s="138" t="n">
        <v>621643.97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RESUMO'!AW36</f>
        <v>93.4</v>
      </c>
      <c r="N50" s="140" t="n">
        <f aca="false">MAX(0,M50-M49)</f>
        <v>0.180000000000007</v>
      </c>
      <c r="O50" s="139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0.180000000000007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256943.942512271</v>
      </c>
      <c r="E51" s="45" t="n">
        <f aca="false">L51+D51/$K$2</f>
        <v>198.12331087107</v>
      </c>
      <c r="F51" s="117" t="n">
        <f aca="false">IF($K$9=0,0,E51/$K$9)</f>
        <v>0.0477</v>
      </c>
      <c r="G51" s="117" t="n">
        <f aca="false">G50+F51</f>
        <v>0.9817</v>
      </c>
      <c r="H51" s="138" t="n">
        <v>275931.09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RESUMO'!AX36</f>
        <v>98.17</v>
      </c>
      <c r="N51" s="140" t="n">
        <f aca="false">MAX(0,M51-M50)</f>
        <v>4.77</v>
      </c>
      <c r="O51" s="139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4.77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71103.9840914458</v>
      </c>
      <c r="E52" s="45" t="n">
        <f aca="false">L52+D52/$K$2</f>
        <v>54.8265765932518</v>
      </c>
      <c r="F52" s="117" t="n">
        <f aca="false">IF($K$9=0,0,E52/$K$9)</f>
        <v>0.0131999999999999</v>
      </c>
      <c r="G52" s="117" t="n">
        <f aca="false">G51+F52</f>
        <v>0.9949</v>
      </c>
      <c r="H52" s="138" t="n">
        <v>254090.98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RESUMO'!AY36</f>
        <v>99.49</v>
      </c>
      <c r="N52" s="140" t="n">
        <f aca="false">MAX(0,M52-M51)</f>
        <v>1.31999999999999</v>
      </c>
      <c r="O52" s="139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1.31999999999999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7541.3316460625</v>
      </c>
      <c r="E53" s="45" t="n">
        <f aca="false">L53+D53/$K$2</f>
        <v>5.81493994170858</v>
      </c>
      <c r="F53" s="117" t="n">
        <f aca="false">IF($K$9=0,0,E53/$K$9)</f>
        <v>0.00140000000000001</v>
      </c>
      <c r="G53" s="117" t="n">
        <f aca="false">G52+F53</f>
        <v>0.9963</v>
      </c>
      <c r="H53" s="138" t="n">
        <v>176851.58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RESUMO'!AZ36</f>
        <v>99.63</v>
      </c>
      <c r="N53" s="140" t="n">
        <f aca="false">MAX(0,M53-M52)</f>
        <v>0.140000000000001</v>
      </c>
      <c r="O53" s="139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0.140000000000001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10773.3309229465</v>
      </c>
      <c r="E54" s="45" t="n">
        <f aca="false">L54+D54/$K$2</f>
        <v>8.30705705958377</v>
      </c>
      <c r="F54" s="117" t="n">
        <f aca="false">IF($K$9=0,0,E54/$K$9)</f>
        <v>0.00200000000000003</v>
      </c>
      <c r="G54" s="117" t="n">
        <f aca="false">G53+F54</f>
        <v>0.9983</v>
      </c>
      <c r="H54" s="138" t="n">
        <v>113994.7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RESUMO'!BA36</f>
        <v>99.83</v>
      </c>
      <c r="N54" s="140" t="n">
        <f aca="false">MAX(0,M54-M53)</f>
        <v>0.200000000000003</v>
      </c>
      <c r="O54" s="139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0.200000000000003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9157.33128450452</v>
      </c>
      <c r="E55" s="45" t="n">
        <f aca="false">L55+D55/$K$2</f>
        <v>7.06099850064618</v>
      </c>
      <c r="F55" s="117" t="n">
        <f aca="false">IF($K$9=0,0,E55/$K$9)</f>
        <v>0.00170000000000002</v>
      </c>
      <c r="G55" s="117" t="n">
        <f aca="false">G54+F55</f>
        <v>1</v>
      </c>
      <c r="H55" s="138" t="n">
        <v>10653.71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RESUMO'!BB36</f>
        <v>100</v>
      </c>
      <c r="N55" s="140" t="n">
        <f aca="false">MAX(0,M55-M54)</f>
        <v>0.170000000000002</v>
      </c>
      <c r="O55" s="139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0.170000000000002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9055.65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RESUMO'!BC36</f>
        <v>100</v>
      </c>
      <c r="N56" s="140" t="n">
        <f aca="false">MAX(0,M56-M55)</f>
        <v>0</v>
      </c>
      <c r="O56" s="139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RESUMO'!BD36</f>
        <v>100</v>
      </c>
      <c r="N57" s="140" t="n">
        <f aca="false">MAX(0,M57-M56)</f>
        <v>0</v>
      </c>
      <c r="O57" s="139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RESUMO'!BE36</f>
        <v>100</v>
      </c>
      <c r="N58" s="140" t="n">
        <f aca="false">MAX(0,M58-M57)</f>
        <v>0</v>
      </c>
      <c r="O58" s="139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RESUMO'!BF36</f>
        <v>100</v>
      </c>
      <c r="N59" s="140" t="n">
        <f aca="false">MAX(0,M59-M58)</f>
        <v>0</v>
      </c>
      <c r="O59" s="139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RESUMO'!BG36</f>
        <v>100</v>
      </c>
      <c r="N60" s="140" t="n">
        <f aca="false">MAX(0,M60-M59)</f>
        <v>0</v>
      </c>
      <c r="O60" s="139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RESUMO'!BH36</f>
        <v>100</v>
      </c>
      <c r="N61" s="140" t="n">
        <f aca="false">MAX(0,M61-M60)</f>
        <v>0</v>
      </c>
      <c r="O61" s="139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RESUMO'!BI36</f>
        <v>100</v>
      </c>
      <c r="N62" s="140" t="n">
        <f aca="false">MAX(0,M62-M61)</f>
        <v>0</v>
      </c>
      <c r="O62" s="139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RESUMO'!BJ36</f>
        <v>100</v>
      </c>
      <c r="N63" s="140" t="n">
        <f aca="false">MAX(0,M63-M62)</f>
        <v>0</v>
      </c>
      <c r="O63" s="139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RESUMO'!BK36</f>
        <v>100</v>
      </c>
      <c r="N64" s="140" t="n">
        <f aca="false">MAX(0,M64-M63)</f>
        <v>0</v>
      </c>
      <c r="O64" s="139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RESUMO'!BL36</f>
        <v>100</v>
      </c>
      <c r="N65" s="140" t="n">
        <f aca="false">MAX(0,M65-M64)</f>
        <v>0</v>
      </c>
      <c r="O65" s="139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RESUMO'!BM36</f>
        <v>100</v>
      </c>
      <c r="N66" s="140" t="n">
        <f aca="false">MAX(0,M66-M65)</f>
        <v>0</v>
      </c>
      <c r="O66" s="139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RESUMO'!BN36</f>
        <v>100</v>
      </c>
      <c r="N67" s="140" t="n">
        <f aca="false">MAX(0,M67-M66)</f>
        <v>0</v>
      </c>
      <c r="O67" s="139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RESUMO'!BO36</f>
        <v>100</v>
      </c>
      <c r="N68" s="140" t="n">
        <f aca="false">MAX(0,M68-M67)</f>
        <v>0</v>
      </c>
      <c r="O68" s="139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RESUMO'!BP36</f>
        <v>100</v>
      </c>
      <c r="N69" s="140" t="n">
        <f aca="false">MAX(0,M69-M68)</f>
        <v>0</v>
      </c>
      <c r="O69" s="139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RESUMO'!BQ36</f>
        <v>100</v>
      </c>
      <c r="N70" s="140" t="n">
        <f aca="false">MAX(0,M70-M69)</f>
        <v>0</v>
      </c>
      <c r="O70" s="139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RESUMO'!BR36</f>
        <v>100</v>
      </c>
      <c r="N71" s="140" t="n">
        <f aca="false">MAX(0,M71-M70)</f>
        <v>0</v>
      </c>
      <c r="O71" s="139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RESUMO'!BS36</f>
        <v>100</v>
      </c>
      <c r="N72" s="140" t="n">
        <f aca="false">MAX(0,M72-M71)</f>
        <v>0</v>
      </c>
      <c r="O72" s="139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RESUMO'!BT36</f>
        <v>100</v>
      </c>
      <c r="N73" s="140" t="n">
        <f aca="false">MAX(0,M73-M72)</f>
        <v>0</v>
      </c>
      <c r="O73" s="139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RESUMO'!BU36</f>
        <v>100</v>
      </c>
      <c r="N74" s="140" t="n">
        <f aca="false">MAX(0,M74-M73)</f>
        <v>0</v>
      </c>
      <c r="O74" s="139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RESUMO'!BV36</f>
        <v>100</v>
      </c>
      <c r="N75" s="140" t="n">
        <f aca="false">MAX(0,M75-M74)</f>
        <v>0</v>
      </c>
      <c r="O75" s="139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RESUMO'!BW36</f>
        <v>100</v>
      </c>
      <c r="N76" s="140" t="n">
        <f aca="false">MAX(0,M76-M75)</f>
        <v>0</v>
      </c>
      <c r="O76" s="139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5386665.46147319</v>
      </c>
      <c r="E78" s="61" t="n">
        <f aca="false">SUM(E5:E76)</f>
        <v>4153.52852979183</v>
      </c>
      <c r="F78" s="145" t="n">
        <f aca="false">SUM(F5:F76)</f>
        <v>1</v>
      </c>
      <c r="H78" s="61" t="n">
        <f aca="false">SUM(H5:H76)</f>
        <v>5326854.95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-9.09494701772928E-013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PL'!F43</f>
        <v>1690544.88</v>
      </c>
      <c r="K5" s="56" t="n">
        <f aca="false">'VALOR POR PL'!G43</f>
        <v>1389.444021</v>
      </c>
      <c r="L5" s="56" t="n">
        <f aca="false">'DADOS HISTORICOS'!$BZ$37</f>
        <v>0</v>
      </c>
      <c r="M5" s="139" t="n">
        <f aca="false">'CP RESUMO'!D37</f>
        <v>0</v>
      </c>
      <c r="N5" s="140" t="n">
        <v>0</v>
      </c>
      <c r="O5" s="139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PL'!H43</f>
        <v>1389.444021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RESUMO'!E37</f>
        <v>0</v>
      </c>
      <c r="N6" s="140" t="n">
        <f aca="false">MAX(0,M6-M5)</f>
        <v>0</v>
      </c>
      <c r="O6" s="139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1801242.09587166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RESUMO'!F37</f>
        <v>0</v>
      </c>
      <c r="N7" s="140" t="n">
        <f aca="false">MAX(0,M7-M6)</f>
        <v>0</v>
      </c>
      <c r="O7" s="139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RESUMO'!G37</f>
        <v>0</v>
      </c>
      <c r="N8" s="140" t="n">
        <f aca="false">MAX(0,M8-M7)</f>
        <v>0</v>
      </c>
      <c r="O8" s="139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1801242.09587166</v>
      </c>
      <c r="K9" s="45" t="n">
        <f aca="false">E78</f>
        <v>1388.8945745331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RESUMO'!H37</f>
        <v>0</v>
      </c>
      <c r="N9" s="140" t="n">
        <f aca="false">MAX(0,M9-M8)</f>
        <v>0</v>
      </c>
      <c r="O9" s="139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1388.8945745331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RESUMO'!I37</f>
        <v>0</v>
      </c>
      <c r="N10" s="140" t="n">
        <f aca="false">MAX(0,M10-M9)</f>
        <v>0</v>
      </c>
      <c r="O10" s="139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1781242.1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RESUMO'!J37</f>
        <v>0</v>
      </c>
      <c r="N11" s="140" t="n">
        <f aca="false">MAX(0,M11-M10)</f>
        <v>0</v>
      </c>
      <c r="O11" s="139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RESUMO'!K37</f>
        <v>0</v>
      </c>
      <c r="N12" s="140" t="n">
        <f aca="false">MAX(0,M12-M11)</f>
        <v>0</v>
      </c>
      <c r="O12" s="139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RESUMO'!L37</f>
        <v>0</v>
      </c>
      <c r="N13" s="140" t="n">
        <f aca="false">MAX(0,M13-M12)</f>
        <v>0</v>
      </c>
      <c r="O13" s="139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RESUMO'!M37</f>
        <v>0</v>
      </c>
      <c r="N14" s="140" t="n">
        <f aca="false">MAX(0,M14-M13)</f>
        <v>0</v>
      </c>
      <c r="O14" s="139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RESUMO'!N37</f>
        <v>0</v>
      </c>
      <c r="N15" s="140" t="n">
        <f aca="false">MAX(0,M15-M14)</f>
        <v>0</v>
      </c>
      <c r="O15" s="139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RESUMO'!O37</f>
        <v>0</v>
      </c>
      <c r="N16" s="140" t="n">
        <f aca="false">MAX(0,M16-M15)</f>
        <v>0</v>
      </c>
      <c r="O16" s="139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RESUMO'!P37</f>
        <v>0</v>
      </c>
      <c r="N17" s="140" t="n">
        <f aca="false">MAX(0,M17-M16)</f>
        <v>0</v>
      </c>
      <c r="O17" s="139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1801242.09587166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RESUMO'!Q37</f>
        <v>0</v>
      </c>
      <c r="N18" s="140" t="n">
        <f aca="false">MAX(0,M18-M17)</f>
        <v>0</v>
      </c>
      <c r="O18" s="139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RESUMO'!R37</f>
        <v>0</v>
      </c>
      <c r="N19" s="140" t="n">
        <f aca="false">MAX(0,M19-M18)</f>
        <v>0</v>
      </c>
      <c r="O19" s="139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RESUMO'!S37</f>
        <v>0</v>
      </c>
      <c r="N20" s="140" t="n">
        <f aca="false">MAX(0,M20-M19)</f>
        <v>0</v>
      </c>
      <c r="O20" s="139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RESUMO'!T37</f>
        <v>0</v>
      </c>
      <c r="N21" s="140" t="n">
        <f aca="false">MAX(0,M21-M20)</f>
        <v>0</v>
      </c>
      <c r="O21" s="139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RESUMO'!U37</f>
        <v>0</v>
      </c>
      <c r="N22" s="140" t="n">
        <f aca="false">MAX(0,M22-M21)</f>
        <v>0</v>
      </c>
      <c r="O22" s="139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RESUMO'!V37</f>
        <v>0</v>
      </c>
      <c r="N23" s="140" t="n">
        <f aca="false">MAX(0,M23-M22)</f>
        <v>0</v>
      </c>
      <c r="O23" s="139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RESUMO'!W37</f>
        <v>0</v>
      </c>
      <c r="N24" s="140" t="n">
        <f aca="false">MAX(0,M24-M23)</f>
        <v>0</v>
      </c>
      <c r="O24" s="139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RESUMO'!X37</f>
        <v>0</v>
      </c>
      <c r="N25" s="140" t="n">
        <f aca="false">MAX(0,M25-M24)</f>
        <v>0</v>
      </c>
      <c r="O25" s="139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RESUMO'!Y37</f>
        <v>0</v>
      </c>
      <c r="N26" s="140" t="n">
        <f aca="false">MAX(0,M26-M25)</f>
        <v>0</v>
      </c>
      <c r="O26" s="139" t="str">
        <f aca="false">IF(B26&lt;='VALOR POR PL'!$P$5,'CP RESUMO'!Y79,"")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RESUMO'!Z37</f>
        <v>0</v>
      </c>
      <c r="N27" s="140" t="n">
        <f aca="false">MAX(0,M27-M26)</f>
        <v>0</v>
      </c>
      <c r="O27" s="139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RESUMO'!AA37</f>
        <v>0</v>
      </c>
      <c r="N28" s="140" t="n">
        <f aca="false">MAX(0,M28-M27)</f>
        <v>0</v>
      </c>
      <c r="O28" s="139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RESUMO'!AB37</f>
        <v>0</v>
      </c>
      <c r="N29" s="140" t="n">
        <f aca="false">MAX(0,M29-M28)</f>
        <v>0</v>
      </c>
      <c r="O29" s="139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RESUMO'!AC37</f>
        <v>0</v>
      </c>
      <c r="N30" s="140" t="n">
        <f aca="false">MAX(0,M30-M29)</f>
        <v>0</v>
      </c>
      <c r="O30" s="139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RESUMO'!AD37</f>
        <v>0</v>
      </c>
      <c r="N31" s="140" t="n">
        <f aca="false">MAX(0,M31-M30)</f>
        <v>0</v>
      </c>
      <c r="O31" s="139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RESUMO'!AE37</f>
        <v>0</v>
      </c>
      <c r="N32" s="140" t="n">
        <f aca="false">MAX(0,M32-M31)</f>
        <v>0</v>
      </c>
      <c r="O32" s="139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RESUMO'!AF37</f>
        <v>0</v>
      </c>
      <c r="N33" s="140" t="n">
        <f aca="false">MAX(0,M33-M32)</f>
        <v>0</v>
      </c>
      <c r="O33" s="139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RESUMO'!AG37</f>
        <v>0</v>
      </c>
      <c r="N34" s="140" t="n">
        <f aca="false">MAX(0,M34-M33)</f>
        <v>0</v>
      </c>
      <c r="O34" s="139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RESUMO'!AH37</f>
        <v>0</v>
      </c>
      <c r="N35" s="140" t="n">
        <f aca="false">MAX(0,M35-M34)</f>
        <v>0</v>
      </c>
      <c r="O35" s="139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RESUMO'!AI37</f>
        <v>0</v>
      </c>
      <c r="N36" s="140" t="n">
        <f aca="false">MAX(0,M36-M35)</f>
        <v>0</v>
      </c>
      <c r="O36" s="139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RESUMO'!AJ37</f>
        <v>0</v>
      </c>
      <c r="N37" s="140" t="n">
        <f aca="false">MAX(0,M37-M36)</f>
        <v>0</v>
      </c>
      <c r="O37" s="139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RESUMO'!AK37</f>
        <v>0</v>
      </c>
      <c r="N38" s="140" t="n">
        <f aca="false">MAX(0,M38-M37)</f>
        <v>0</v>
      </c>
      <c r="O38" s="139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70068.3175294076</v>
      </c>
      <c r="E39" s="45" t="n">
        <f aca="false">L39+D39/$K$2</f>
        <v>54.0279989493377</v>
      </c>
      <c r="F39" s="117" t="n">
        <f aca="false">IF($K$9=0,0,E39/$K$9)</f>
        <v>0.0389</v>
      </c>
      <c r="G39" s="117" t="n">
        <f aca="false">G38+F39</f>
        <v>0.0389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RESUMO'!AL37</f>
        <v>3.89</v>
      </c>
      <c r="N39" s="140" t="n">
        <f aca="false">MAX(0,M39-M38)</f>
        <v>3.89</v>
      </c>
      <c r="O39" s="139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3.89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138695.641382118</v>
      </c>
      <c r="E40" s="45" t="n">
        <f aca="false">L40+D40/$K$2</f>
        <v>106.944882239049</v>
      </c>
      <c r="F40" s="117" t="n">
        <f aca="false">IF($K$9=0,0,E40/$K$9)</f>
        <v>0.077</v>
      </c>
      <c r="G40" s="117" t="n">
        <f aca="false">G39+F40</f>
        <v>0.1159</v>
      </c>
      <c r="H40" s="138" t="n">
        <v>69290.32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RESUMO'!AM37</f>
        <v>11.59</v>
      </c>
      <c r="N40" s="140" t="n">
        <f aca="false">MAX(0,M40-M39)</f>
        <v>7.7</v>
      </c>
      <c r="O40" s="139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7.7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118521.729908355</v>
      </c>
      <c r="E41" s="45" t="n">
        <f aca="false">L41+D41/$K$2</f>
        <v>91.3892630042781</v>
      </c>
      <c r="F41" s="117" t="n">
        <f aca="false">IF($K$9=0,0,E41/$K$9)</f>
        <v>0.0658</v>
      </c>
      <c r="G41" s="117" t="n">
        <f aca="false">G40+F41</f>
        <v>0.1817</v>
      </c>
      <c r="H41" s="138" t="n">
        <v>132168.16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RESUMO'!AN37</f>
        <v>18.17</v>
      </c>
      <c r="N41" s="140" t="n">
        <f aca="false">MAX(0,M41-M40)</f>
        <v>6.58</v>
      </c>
      <c r="O41" s="139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6.58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155267.068664137</v>
      </c>
      <c r="E42" s="45" t="n">
        <f aca="false">L42+D42/$K$2</f>
        <v>119.722712324753</v>
      </c>
      <c r="F42" s="117" t="n">
        <f aca="false">IF($K$9=0,0,E42/$K$9)</f>
        <v>0.0862</v>
      </c>
      <c r="G42" s="117" t="n">
        <f aca="false">G41+F42</f>
        <v>0.2679</v>
      </c>
      <c r="H42" s="138" t="n">
        <v>113999.49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RESUMO'!AO37</f>
        <v>26.79</v>
      </c>
      <c r="N42" s="140" t="n">
        <f aca="false">MAX(0,M42-M41)</f>
        <v>8.62</v>
      </c>
      <c r="O42" s="139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8.62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180484.45800634</v>
      </c>
      <c r="E43" s="45" t="n">
        <f aca="false">L43+D43/$K$2</f>
        <v>139.167236368217</v>
      </c>
      <c r="F43" s="117" t="n">
        <f aca="false">IF($K$9=0,0,E43/$K$9)</f>
        <v>0.1002</v>
      </c>
      <c r="G43" s="117" t="n">
        <f aca="false">G42+F43</f>
        <v>0.3681</v>
      </c>
      <c r="H43" s="138" t="n">
        <v>155680.56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RESUMO'!AP37</f>
        <v>36.81</v>
      </c>
      <c r="N43" s="140" t="n">
        <f aca="false">MAX(0,M43-M42)</f>
        <v>10.02</v>
      </c>
      <c r="O43" s="139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10.02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305670.783669421</v>
      </c>
      <c r="E44" s="45" t="n">
        <f aca="false">L44+D44/$K$2</f>
        <v>235.695409298267</v>
      </c>
      <c r="F44" s="117" t="n">
        <f aca="false">IF($K$9=0,0,E44/$K$9)</f>
        <v>0.1697</v>
      </c>
      <c r="G44" s="117" t="n">
        <f aca="false">G43+F44</f>
        <v>0.5378</v>
      </c>
      <c r="H44" s="138" t="n">
        <v>148199.34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RESUMO'!AQ37</f>
        <v>53.78</v>
      </c>
      <c r="N44" s="140" t="n">
        <f aca="false">MAX(0,M44-M43)</f>
        <v>16.97</v>
      </c>
      <c r="O44" s="139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16.97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153465.826568265</v>
      </c>
      <c r="E45" s="45" t="n">
        <f aca="false">L45+D45/$K$2</f>
        <v>118.33381775022</v>
      </c>
      <c r="F45" s="117" t="n">
        <f aca="false">IF($K$9=0,0,E45/$K$9)</f>
        <v>0.0852</v>
      </c>
      <c r="G45" s="117" t="n">
        <f aca="false">G44+F45</f>
        <v>0.623</v>
      </c>
      <c r="H45" s="138" t="n">
        <v>290876.84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RESUMO'!AR37</f>
        <v>62.3</v>
      </c>
      <c r="N45" s="140" t="n">
        <f aca="false">MAX(0,M45-M44)</f>
        <v>8.52</v>
      </c>
      <c r="O45" s="139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8.52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165894.39702978</v>
      </c>
      <c r="E46" s="45" t="n">
        <f aca="false">L46+D46/$K$2</f>
        <v>127.917190314499</v>
      </c>
      <c r="F46" s="117" t="n">
        <f aca="false">IF($K$9=0,0,E46/$K$9)</f>
        <v>0.0921000000000001</v>
      </c>
      <c r="G46" s="117" t="n">
        <f aca="false">G45+F46</f>
        <v>0.7151</v>
      </c>
      <c r="H46" s="138" t="n">
        <v>198252.25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RESUMO'!AS37</f>
        <v>71.51</v>
      </c>
      <c r="N46" s="140" t="n">
        <f aca="false">MAX(0,M46-M45)</f>
        <v>9.21000000000001</v>
      </c>
      <c r="O46" s="139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9.21000000000001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141397.504525925</v>
      </c>
      <c r="E47" s="45" t="n">
        <f aca="false">L47+D47/$K$2</f>
        <v>109.028224100848</v>
      </c>
      <c r="F47" s="117" t="n">
        <f aca="false">IF($K$9=0,0,E47/$K$9)</f>
        <v>0.0784999999999999</v>
      </c>
      <c r="G47" s="117" t="n">
        <f aca="false">G46+F47</f>
        <v>0.7936</v>
      </c>
      <c r="H47" s="138" t="n">
        <v>153008.7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RESUMO'!AT37</f>
        <v>79.36</v>
      </c>
      <c r="N47" s="140" t="n">
        <f aca="false">MAX(0,M47-M46)</f>
        <v>7.84999999999999</v>
      </c>
      <c r="O47" s="139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7.84999999999999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134913.032980787</v>
      </c>
      <c r="E48" s="45" t="n">
        <f aca="false">L48+D48/$K$2</f>
        <v>104.028203632529</v>
      </c>
      <c r="F48" s="117" t="n">
        <f aca="false">IF($K$9=0,0,E48/$K$9)</f>
        <v>0.0749</v>
      </c>
      <c r="G48" s="117" t="n">
        <f aca="false">G47+F48</f>
        <v>0.8685</v>
      </c>
      <c r="H48" s="138" t="n">
        <v>144814.98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RESUMO'!AU37</f>
        <v>86.85</v>
      </c>
      <c r="N48" s="140" t="n">
        <f aca="false">MAX(0,M48-M47)</f>
        <v>7.49</v>
      </c>
      <c r="O48" s="139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7.49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148602.472909412</v>
      </c>
      <c r="E49" s="45" t="n">
        <f aca="false">L49+D49/$K$2</f>
        <v>114.583802398981</v>
      </c>
      <c r="F49" s="117" t="n">
        <f aca="false">IF($K$9=0,0,E49/$K$9)</f>
        <v>0.0825</v>
      </c>
      <c r="G49" s="117" t="n">
        <f aca="false">G48+F49</f>
        <v>0.951</v>
      </c>
      <c r="H49" s="138" t="n">
        <v>139827.51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RESUMO'!AV37</f>
        <v>95.1</v>
      </c>
      <c r="N49" s="140" t="n">
        <f aca="false">MAX(0,M49-M48)</f>
        <v>8.25</v>
      </c>
      <c r="O49" s="139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8.25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30801.2398394055</v>
      </c>
      <c r="E50" s="45" t="n">
        <f aca="false">L50+D50/$K$2</f>
        <v>23.7500972245162</v>
      </c>
      <c r="F50" s="117" t="n">
        <f aca="false">IF($K$9=0,0,E50/$K$9)</f>
        <v>0.0171000000000001</v>
      </c>
      <c r="G50" s="117" t="n">
        <f aca="false">G49+F50</f>
        <v>0.9681</v>
      </c>
      <c r="H50" s="138" t="n">
        <v>132524.41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RESUMO'!AW37</f>
        <v>96.81</v>
      </c>
      <c r="N50" s="140" t="n">
        <f aca="false">MAX(0,M50-M49)</f>
        <v>1.71000000000001</v>
      </c>
      <c r="O50" s="139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1.71000000000001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41068.3197858739</v>
      </c>
      <c r="E51" s="45" t="n">
        <f aca="false">L51+D51/$K$2</f>
        <v>31.6667962993547</v>
      </c>
      <c r="F51" s="117" t="n">
        <f aca="false">IF($K$9=0,0,E51/$K$9)</f>
        <v>0.0228</v>
      </c>
      <c r="G51" s="117" t="n">
        <f aca="false">G50+F51</f>
        <v>0.9909</v>
      </c>
      <c r="H51" s="138" t="n">
        <v>29746.74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RESUMO'!AX37</f>
        <v>99.09</v>
      </c>
      <c r="N51" s="140" t="n">
        <f aca="false">MAX(0,M51-M50)</f>
        <v>2.28</v>
      </c>
      <c r="O51" s="139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2.28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16391.303072432</v>
      </c>
      <c r="E52" s="45" t="n">
        <f aca="false">L52+D52/$K$2</f>
        <v>12.6389406282512</v>
      </c>
      <c r="F52" s="117" t="n">
        <f aca="false">IF($K$9=0,0,E52/$K$9)</f>
        <v>0.00909999999999997</v>
      </c>
      <c r="G52" s="117" t="n">
        <f aca="false">G51+F52</f>
        <v>1</v>
      </c>
      <c r="H52" s="138" t="n">
        <v>56643.5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RESUMO'!AY37</f>
        <v>100</v>
      </c>
      <c r="N52" s="140" t="n">
        <f aca="false">MAX(0,M52-M51)</f>
        <v>0.909999999999997</v>
      </c>
      <c r="O52" s="139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0.909999999999997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8" t="n">
        <v>16209.3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RESUMO'!AZ37</f>
        <v>100</v>
      </c>
      <c r="N53" s="140" t="n">
        <f aca="false">MAX(0,M53-M52)</f>
        <v>0</v>
      </c>
      <c r="O53" s="139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/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RESUMO'!BA37</f>
        <v>100</v>
      </c>
      <c r="N54" s="140" t="n">
        <f aca="false">MAX(0,M54-M53)</f>
        <v>0</v>
      </c>
      <c r="O54" s="139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RESUMO'!BB37</f>
        <v>100</v>
      </c>
      <c r="N55" s="140" t="n">
        <f aca="false">MAX(0,M55-M54)</f>
        <v>0</v>
      </c>
      <c r="O55" s="139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RESUMO'!BC37</f>
        <v>100</v>
      </c>
      <c r="N56" s="140" t="n">
        <f aca="false">MAX(0,M56-M55)</f>
        <v>0</v>
      </c>
      <c r="O56" s="139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RESUMO'!BD37</f>
        <v>100</v>
      </c>
      <c r="N57" s="140" t="n">
        <f aca="false">MAX(0,M57-M56)</f>
        <v>0</v>
      </c>
      <c r="O57" s="139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RESUMO'!BE37</f>
        <v>100</v>
      </c>
      <c r="N58" s="140" t="n">
        <f aca="false">MAX(0,M58-M57)</f>
        <v>0</v>
      </c>
      <c r="O58" s="139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RESUMO'!BF37</f>
        <v>100</v>
      </c>
      <c r="N59" s="140" t="n">
        <f aca="false">MAX(0,M59-M58)</f>
        <v>0</v>
      </c>
      <c r="O59" s="139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RESUMO'!BG37</f>
        <v>100</v>
      </c>
      <c r="N60" s="140" t="n">
        <f aca="false">MAX(0,M60-M59)</f>
        <v>0</v>
      </c>
      <c r="O60" s="139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RESUMO'!BH37</f>
        <v>100</v>
      </c>
      <c r="N61" s="140" t="n">
        <f aca="false">MAX(0,M61-M60)</f>
        <v>0</v>
      </c>
      <c r="O61" s="139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RESUMO'!BI37</f>
        <v>100</v>
      </c>
      <c r="N62" s="140" t="n">
        <f aca="false">MAX(0,M62-M61)</f>
        <v>0</v>
      </c>
      <c r="O62" s="139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RESUMO'!BJ37</f>
        <v>100</v>
      </c>
      <c r="N63" s="140" t="n">
        <f aca="false">MAX(0,M63-M62)</f>
        <v>0</v>
      </c>
      <c r="O63" s="139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RESUMO'!BK37</f>
        <v>100</v>
      </c>
      <c r="N64" s="140" t="n">
        <f aca="false">MAX(0,M64-M63)</f>
        <v>0</v>
      </c>
      <c r="O64" s="139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RESUMO'!BL37</f>
        <v>100</v>
      </c>
      <c r="N65" s="140" t="n">
        <f aca="false">MAX(0,M65-M64)</f>
        <v>0</v>
      </c>
      <c r="O65" s="139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RESUMO'!BM37</f>
        <v>100</v>
      </c>
      <c r="N66" s="140" t="n">
        <f aca="false">MAX(0,M66-M65)</f>
        <v>0</v>
      </c>
      <c r="O66" s="139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RESUMO'!BN37</f>
        <v>100</v>
      </c>
      <c r="N67" s="140" t="n">
        <f aca="false">MAX(0,M67-M66)</f>
        <v>0</v>
      </c>
      <c r="O67" s="139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RESUMO'!BO37</f>
        <v>100</v>
      </c>
      <c r="N68" s="140" t="n">
        <f aca="false">MAX(0,M68-M67)</f>
        <v>0</v>
      </c>
      <c r="O68" s="139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RESUMO'!BP37</f>
        <v>100</v>
      </c>
      <c r="N69" s="140" t="n">
        <f aca="false">MAX(0,M69-M68)</f>
        <v>0</v>
      </c>
      <c r="O69" s="139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RESUMO'!BQ37</f>
        <v>100</v>
      </c>
      <c r="N70" s="140" t="n">
        <f aca="false">MAX(0,M70-M69)</f>
        <v>0</v>
      </c>
      <c r="O70" s="139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RESUMO'!BR37</f>
        <v>100</v>
      </c>
      <c r="N71" s="140" t="n">
        <f aca="false">MAX(0,M71-M70)</f>
        <v>0</v>
      </c>
      <c r="O71" s="139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RESUMO'!BS37</f>
        <v>100</v>
      </c>
      <c r="N72" s="140" t="n">
        <f aca="false">MAX(0,M72-M71)</f>
        <v>0</v>
      </c>
      <c r="O72" s="139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RESUMO'!BT37</f>
        <v>100</v>
      </c>
      <c r="N73" s="140" t="n">
        <f aca="false">MAX(0,M73-M72)</f>
        <v>0</v>
      </c>
      <c r="O73" s="139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RESUMO'!BU37</f>
        <v>100</v>
      </c>
      <c r="N74" s="140" t="n">
        <f aca="false">MAX(0,M74-M73)</f>
        <v>0</v>
      </c>
      <c r="O74" s="139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RESUMO'!BV37</f>
        <v>100</v>
      </c>
      <c r="N75" s="140" t="n">
        <f aca="false">MAX(0,M75-M74)</f>
        <v>0</v>
      </c>
      <c r="O75" s="139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RESUMO'!BW37</f>
        <v>100</v>
      </c>
      <c r="N76" s="140" t="n">
        <f aca="false">MAX(0,M76-M75)</f>
        <v>0</v>
      </c>
      <c r="O76" s="139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1801242.09587166</v>
      </c>
      <c r="E78" s="61" t="n">
        <f aca="false">SUM(E5:E76)</f>
        <v>1388.8945745331</v>
      </c>
      <c r="F78" s="145" t="n">
        <f aca="false">SUM(F5:F76)</f>
        <v>1</v>
      </c>
      <c r="H78" s="61" t="n">
        <f aca="false">SUM(H5:H76)</f>
        <v>1781242.1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  <c r="R4" s="54" t="s">
        <v>3016</v>
      </c>
      <c r="S4" s="54" t="s">
        <v>3017</v>
      </c>
      <c r="T4" s="54" t="s">
        <v>3018</v>
      </c>
      <c r="U4" s="54" t="s">
        <v>3019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PL'!F44</f>
        <v>2050613.5</v>
      </c>
      <c r="K5" s="56" t="n">
        <f aca="false">'VALOR POR PL'!G44</f>
        <v>1685.381265</v>
      </c>
      <c r="L5" s="56" t="n">
        <f aca="false">'DADOS HISTORICOS'!$BZ$38</f>
        <v>0</v>
      </c>
      <c r="M5" s="139" t="n">
        <f aca="false">'CP RESUMO'!D38</f>
        <v>0</v>
      </c>
      <c r="N5" s="140" t="n">
        <v>0</v>
      </c>
      <c r="O5" s="139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0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0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PL'!H44</f>
        <v>1685.381265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RESUMO'!E38</f>
        <v>0</v>
      </c>
      <c r="N6" s="140" t="n">
        <f aca="false">MAX(0,M6-M5)</f>
        <v>0</v>
      </c>
      <c r="O6" s="139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0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0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2184888.0820161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RESUMO'!F38</f>
        <v>0</v>
      </c>
      <c r="N7" s="140" t="n">
        <f aca="false">MAX(0,M7-M6)</f>
        <v>0</v>
      </c>
      <c r="O7" s="139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0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0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RESUMO'!G38</f>
        <v>0</v>
      </c>
      <c r="N8" s="140" t="n">
        <f aca="false">MAX(0,M8-M7)</f>
        <v>0</v>
      </c>
      <c r="O8" s="139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0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0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2184888.0820161</v>
      </c>
      <c r="K9" s="45" t="n">
        <f aca="false">E78</f>
        <v>1684.71479210333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RESUMO'!H38</f>
        <v>0</v>
      </c>
      <c r="N9" s="140" t="n">
        <f aca="false">MAX(0,M9-M8)</f>
        <v>0</v>
      </c>
      <c r="O9" s="139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0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0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1684.71479210333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RESUMO'!I38</f>
        <v>0</v>
      </c>
      <c r="N10" s="140" t="n">
        <f aca="false">MAX(0,M10-M9)</f>
        <v>0</v>
      </c>
      <c r="O10" s="139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0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0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2160628.3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RESUMO'!J38</f>
        <v>0</v>
      </c>
      <c r="N11" s="140" t="n">
        <f aca="false">MAX(0,M11-M10)</f>
        <v>0</v>
      </c>
      <c r="O11" s="139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0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0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RESUMO'!K38</f>
        <v>0</v>
      </c>
      <c r="N12" s="140" t="n">
        <f aca="false">MAX(0,M12-M11)</f>
        <v>0</v>
      </c>
      <c r="O12" s="139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0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0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RESUMO'!L38</f>
        <v>0</v>
      </c>
      <c r="N13" s="140" t="n">
        <f aca="false">MAX(0,M13-M12)</f>
        <v>0</v>
      </c>
      <c r="O13" s="139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0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0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RESUMO'!M38</f>
        <v>0</v>
      </c>
      <c r="N14" s="140" t="n">
        <f aca="false">MAX(0,M14-M13)</f>
        <v>0</v>
      </c>
      <c r="O14" s="139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0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0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3020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RESUMO'!N38</f>
        <v>0</v>
      </c>
      <c r="N15" s="140" t="n">
        <f aca="false">MAX(0,M15-M14)</f>
        <v>0</v>
      </c>
      <c r="O15" s="139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0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0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RESUMO'!O38</f>
        <v>0</v>
      </c>
      <c r="N16" s="140" t="n">
        <f aca="false">MAX(0,M16-M15)</f>
        <v>0</v>
      </c>
      <c r="O16" s="139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0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0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RESUMO'!P38</f>
        <v>0</v>
      </c>
      <c r="N17" s="140" t="n">
        <f aca="false">MAX(0,M17-M16)</f>
        <v>0</v>
      </c>
      <c r="O17" s="139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0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0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2184888.0820161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RESUMO'!Q38</f>
        <v>0</v>
      </c>
      <c r="N18" s="140" t="n">
        <f aca="false">MAX(0,M18-M17)</f>
        <v>0</v>
      </c>
      <c r="O18" s="139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0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0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RESUMO'!R38</f>
        <v>0</v>
      </c>
      <c r="N19" s="140" t="n">
        <f aca="false">MAX(0,M19-M18)</f>
        <v>0</v>
      </c>
      <c r="O19" s="139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0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0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RESUMO'!S38</f>
        <v>0</v>
      </c>
      <c r="N20" s="140" t="n">
        <f aca="false">MAX(0,M20-M19)</f>
        <v>0</v>
      </c>
      <c r="O20" s="139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0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0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RESUMO'!T38</f>
        <v>0</v>
      </c>
      <c r="N21" s="140" t="n">
        <f aca="false">MAX(0,M21-M20)</f>
        <v>0</v>
      </c>
      <c r="O21" s="139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0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0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RESUMO'!U38</f>
        <v>0</v>
      </c>
      <c r="N22" s="140" t="n">
        <f aca="false">MAX(0,M22-M21)</f>
        <v>0</v>
      </c>
      <c r="O22" s="139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0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0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RESUMO'!V38</f>
        <v>0</v>
      </c>
      <c r="N23" s="140" t="n">
        <f aca="false">MAX(0,M23-M22)</f>
        <v>0</v>
      </c>
      <c r="O23" s="139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0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0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 t="s">
        <v>3021</v>
      </c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RESUMO'!W38</f>
        <v>0</v>
      </c>
      <c r="N24" s="140" t="n">
        <f aca="false">MAX(0,M24-M23)</f>
        <v>0</v>
      </c>
      <c r="O24" s="139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0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0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I25" s="62" t="s">
        <v>3022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RESUMO'!X38</f>
        <v>0</v>
      </c>
      <c r="N25" s="140" t="n">
        <f aca="false">MAX(0,M25-M24)</f>
        <v>0</v>
      </c>
      <c r="O25" s="139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0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0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I26" s="42" t="s">
        <v>3023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RESUMO'!Y38</f>
        <v>0</v>
      </c>
      <c r="N26" s="140" t="n">
        <f aca="false">MAX(0,M26-M25)</f>
        <v>0</v>
      </c>
      <c r="O26" s="139" t="str">
        <f aca="false">IF(B26&lt;='VALOR POR PL'!$P$5,'CP RESUMO'!Y80,"")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0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0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I27" s="42" t="s">
        <v>3024</v>
      </c>
      <c r="K27" s="146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RESUMO'!Z38</f>
        <v>0</v>
      </c>
      <c r="N27" s="140" t="n">
        <f aca="false">MAX(0,M27-M26)</f>
        <v>0</v>
      </c>
      <c r="O27" s="139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0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0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I28" s="42" t="s">
        <v>3025</v>
      </c>
      <c r="K28" s="147" t="n">
        <v>180</v>
      </c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RESUMO'!AA38</f>
        <v>0</v>
      </c>
      <c r="N28" s="140" t="n">
        <f aca="false">MAX(0,M28-M27)</f>
        <v>0</v>
      </c>
      <c r="O28" s="139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0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0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I29" s="42" t="s">
        <v>3026</v>
      </c>
      <c r="K29" s="147" t="n">
        <v>28</v>
      </c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RESUMO'!AB38</f>
        <v>0</v>
      </c>
      <c r="N29" s="140" t="n">
        <f aca="false">MAX(0,M29-M28)</f>
        <v>0</v>
      </c>
      <c r="O29" s="139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0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0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I30" s="42" t="s">
        <v>3027</v>
      </c>
      <c r="K30" s="147" t="n">
        <v>56</v>
      </c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RESUMO'!AC38</f>
        <v>0</v>
      </c>
      <c r="N30" s="140" t="n">
        <f aca="false">MAX(0,M30-M29)</f>
        <v>0</v>
      </c>
      <c r="O30" s="139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0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0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I31" s="42" t="s">
        <v>3028</v>
      </c>
      <c r="K31" s="147" t="n">
        <v>84</v>
      </c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RESUMO'!AD38</f>
        <v>0</v>
      </c>
      <c r="N31" s="140" t="n">
        <f aca="false">MAX(0,M31-M30)</f>
        <v>0</v>
      </c>
      <c r="O31" s="139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0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0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I32" s="42" t="s">
        <v>3029</v>
      </c>
      <c r="K32" s="140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RESUMO'!AE38</f>
        <v>0</v>
      </c>
      <c r="N32" s="140" t="n">
        <f aca="false">MAX(0,M32-M31)</f>
        <v>0</v>
      </c>
      <c r="O32" s="139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0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0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I33" s="42" t="s">
        <v>3030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RESUMO'!AF38</f>
        <v>0</v>
      </c>
      <c r="N33" s="140" t="n">
        <f aca="false">MAX(0,M33-M32)</f>
        <v>0</v>
      </c>
      <c r="O33" s="139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0" t="n">
        <f aca="false">(IF(AND(29+$K$33&gt;=1,29+$K$33&lt;=72),INDEX($N$5:$N$76,29+$K$33),0)+IF(AND(29+$K$34&gt;=1,29+$K$34&lt;=72),INDEX($N$5:$N$76,29+$K$34),0)+IF(AND(29+$K$35&gt;=1,29+$K$35&lt;=72),INDEX($N$5:$N$76,29+$K$35),0))/3</f>
        <v>0</v>
      </c>
      <c r="T33" s="140" t="n">
        <f aca="false">IF(B33&lt;='VALOR POR PL'!$P$5,0,S33+IF(B33=DATE(YEAR('VALOR POR PL'!$P$5),MONTH('VALOR POR PL'!$P$5)+1,1),SUMPRODUCT((B5:B76&lt;='VALOR POR PL'!$P$5)*S5:S76),0))</f>
        <v>0</v>
      </c>
      <c r="U33" s="45" t="n">
        <f aca="false">IF($K$32=0,0,$K$18*$K$27*T33/$K$32)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I34" s="42" t="s">
        <v>3031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RESUMO'!AG38</f>
        <v>0</v>
      </c>
      <c r="N34" s="140" t="n">
        <f aca="false">MAX(0,M34-M33)</f>
        <v>0</v>
      </c>
      <c r="O34" s="139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0" t="n">
        <f aca="false">(IF(AND(30+$K$33&gt;=1,30+$K$33&lt;=72),INDEX($N$5:$N$76,30+$K$33),0)+IF(AND(30+$K$34&gt;=1,30+$K$34&lt;=72),INDEX($N$5:$N$76,30+$K$34),0)+IF(AND(30+$K$35&gt;=1,30+$K$35&lt;=72),INDEX($N$5:$N$76,30+$K$35),0))/3</f>
        <v>0</v>
      </c>
      <c r="T34" s="140" t="n">
        <f aca="false">IF(B34&lt;='VALOR POR PL'!$P$5,0,S34+IF(B34=DATE(YEAR('VALOR POR PL'!$P$5),MONTH('VALOR POR PL'!$P$5)+1,1),SUMPRODUCT((B5:B76&lt;='VALOR POR PL'!$P$5)*S5:S76),0))</f>
        <v>0</v>
      </c>
      <c r="U34" s="45" t="n">
        <f aca="false">IF($K$32=0,0,$K$18*$K$27*T34/$K$32)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I35" s="42" t="s">
        <v>3032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RESUMO'!AH38</f>
        <v>0</v>
      </c>
      <c r="N35" s="140" t="n">
        <f aca="false">MAX(0,M35-M34)</f>
        <v>0</v>
      </c>
      <c r="O35" s="139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0" t="n">
        <f aca="false">(IF(AND(31+$K$33&gt;=1,31+$K$33&lt;=72),INDEX($N$5:$N$76,31+$K$33),0)+IF(AND(31+$K$34&gt;=1,31+$K$34&lt;=72),INDEX($N$5:$N$76,31+$K$34),0)+IF(AND(31+$K$35&gt;=1,31+$K$35&lt;=72),INDEX($N$5:$N$76,31+$K$35),0))/3</f>
        <v>0</v>
      </c>
      <c r="T35" s="140" t="n">
        <f aca="false">IF(B35&lt;='VALOR POR PL'!$P$5,0,S35+IF(B35=DATE(YEAR('VALOR POR PL'!$P$5),MONTH('VALOR POR PL'!$P$5)+1,1),SUMPRODUCT((B5:B76&lt;='VALOR POR PL'!$P$5)*S5:S76),0))</f>
        <v>0</v>
      </c>
      <c r="U35" s="45" t="n">
        <f aca="false">IF($K$32=0,0,$K$18*$K$27*T35/$K$32)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I36" s="42" t="s">
        <v>3033</v>
      </c>
      <c r="K36" s="45" t="n">
        <f aca="false">SUM(R5:R76)</f>
        <v>873955.23280644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RESUMO'!AI38</f>
        <v>0</v>
      </c>
      <c r="N36" s="140" t="n">
        <f aca="false">MAX(0,M36-M35)</f>
        <v>0</v>
      </c>
      <c r="O36" s="139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0" t="n">
        <f aca="false">(IF(AND(32+$K$33&gt;=1,32+$K$33&lt;=72),INDEX($N$5:$N$76,32+$K$33),0)+IF(AND(32+$K$34&gt;=1,32+$K$34&lt;=72),INDEX($N$5:$N$76,32+$K$34),0)+IF(AND(32+$K$35&gt;=1,32+$K$35&lt;=72),INDEX($N$5:$N$76,32+$K$35),0))/3</f>
        <v>0</v>
      </c>
      <c r="T36" s="140" t="n">
        <f aca="false">IF(B36&lt;='VALOR POR PL'!$P$5,0,S36+IF(B36=DATE(YEAR('VALOR POR PL'!$P$5),MONTH('VALOR POR PL'!$P$5)+1,1),SUMPRODUCT((B5:B76&lt;='VALOR POR PL'!$P$5)*S5:S76),0))</f>
        <v>0</v>
      </c>
      <c r="U36" s="45" t="n">
        <f aca="false">IF($K$32=0,0,$K$18*$K$27*T36/$K$32)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I37" s="42" t="s">
        <v>3034</v>
      </c>
      <c r="K37" s="45" t="n">
        <f aca="false">SUM(U5:U76)</f>
        <v>1310932.84920966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RESUMO'!AJ38</f>
        <v>0</v>
      </c>
      <c r="N37" s="140" t="n">
        <f aca="false">MAX(0,M37-M36)</f>
        <v>0</v>
      </c>
      <c r="O37" s="139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0" t="n">
        <f aca="false">(IF(AND(33+$K$33&gt;=1,33+$K$33&lt;=72),INDEX($N$5:$N$76,33+$K$33),0)+IF(AND(33+$K$34&gt;=1,33+$K$34&lt;=72),INDEX($N$5:$N$76,33+$K$34),0)+IF(AND(33+$K$35&gt;=1,33+$K$35&lt;=72),INDEX($N$5:$N$76,33+$K$35),0))/3</f>
        <v>0</v>
      </c>
      <c r="T37" s="140" t="n">
        <f aca="false">IF(B37&lt;='VALOR POR PL'!$P$5,0,S37+IF(B37=DATE(YEAR('VALOR POR PL'!$P$5),MONTH('VALOR POR PL'!$P$5)+1,1),SUMPRODUCT((B5:B76&lt;='VALOR POR PL'!$P$5)*S5:S76),0))</f>
        <v>0</v>
      </c>
      <c r="U37" s="45" t="n">
        <f aca="false">IF($K$32=0,0,$K$18*$K$27*T37/$K$32)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RESUMO'!AK38</f>
        <v>0</v>
      </c>
      <c r="N38" s="140" t="n">
        <f aca="false">MAX(0,M38-M37)</f>
        <v>0</v>
      </c>
      <c r="O38" s="139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  <c r="R38" s="45" t="n">
        <f aca="false">IF(OR(B38&lt;='VALOR POR PL'!$P$5,$K$12=0),0,$K$18*$K$26*N38/$K$12)</f>
        <v>0</v>
      </c>
      <c r="S38" s="140" t="n">
        <f aca="false">(IF(AND(34+$K$33&gt;=1,34+$K$33&lt;=72),INDEX($N$5:$N$76,34+$K$33),0)+IF(AND(34+$K$34&gt;=1,34+$K$34&lt;=72),INDEX($N$5:$N$76,34+$K$34),0)+IF(AND(34+$K$35&gt;=1,34+$K$35&lt;=72),INDEX($N$5:$N$76,34+$K$35),0))/3</f>
        <v>0</v>
      </c>
      <c r="T38" s="140" t="n">
        <f aca="false">IF(B38&lt;='VALOR POR PL'!$P$5,0,S38+IF(B38=DATE(YEAR('VALOR POR PL'!$P$5),MONTH('VALOR POR PL'!$P$5)+1,1),SUMPRODUCT((B5:B76&lt;='VALOR POR PL'!$P$5)*S5:S76),0))</f>
        <v>0</v>
      </c>
      <c r="U38" s="45" t="n">
        <f aca="false">IF($K$32=0,0,$K$18*$K$27*T38/$K$32)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41949.8511747091</v>
      </c>
      <c r="E39" s="45" t="n">
        <f aca="false">L39+D39/$K$2</f>
        <v>32.346524008384</v>
      </c>
      <c r="F39" s="117" t="n">
        <f aca="false">IF($K$9=0,0,E39/$K$9)</f>
        <v>0.0192</v>
      </c>
      <c r="G39" s="117" t="n">
        <f aca="false">G38+F39</f>
        <v>0.0192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RESUMO'!AL38</f>
        <v>0</v>
      </c>
      <c r="N39" s="140" t="n">
        <f aca="false">MAX(0,M39-M38)</f>
        <v>0</v>
      </c>
      <c r="O39" s="139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  <c r="R39" s="45" t="n">
        <f aca="false">IF(OR(B39&lt;='VALOR POR PL'!$P$5,$K$12=0),0,$K$18*$K$26*N39/$K$12)</f>
        <v>0</v>
      </c>
      <c r="S39" s="140" t="n">
        <f aca="false">(IF(AND(35+$K$33&gt;=1,35+$K$33&lt;=72),INDEX($N$5:$N$76,35+$K$33),0)+IF(AND(35+$K$34&gt;=1,35+$K$34&lt;=72),INDEX($N$5:$N$76,35+$K$34),0)+IF(AND(35+$K$35&gt;=1,35+$K$35&lt;=72),INDEX($N$5:$N$76,35+$K$35),0))/3</f>
        <v>3.2</v>
      </c>
      <c r="T39" s="140" t="n">
        <f aca="false">IF(B39&lt;='VALOR POR PL'!$P$5,0,S39+IF(B39=DATE(YEAR('VALOR POR PL'!$P$5),MONTH('VALOR POR PL'!$P$5)+1,1),SUMPRODUCT((B5:B76&lt;='VALOR POR PL'!$P$5)*S5:S76),0))</f>
        <v>3.2</v>
      </c>
      <c r="U39" s="45" t="n">
        <f aca="false">IF($K$32=0,0,$K$18*$K$27*T39/$K$32)</f>
        <v>41949.8511747091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78000.5045279748</v>
      </c>
      <c r="E40" s="45" t="n">
        <f aca="false">L40+D40/$K$2</f>
        <v>60.144318078089</v>
      </c>
      <c r="F40" s="117" t="n">
        <f aca="false">IF($K$9=0,0,E40/$K$9)</f>
        <v>0.0357</v>
      </c>
      <c r="G40" s="117" t="n">
        <f aca="false">G39+F40</f>
        <v>0.0549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RESUMO'!AM38</f>
        <v>0</v>
      </c>
      <c r="N40" s="140" t="n">
        <f aca="false">MAX(0,M40-M39)</f>
        <v>0</v>
      </c>
      <c r="O40" s="139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  <c r="R40" s="45" t="n">
        <f aca="false">IF(OR(B40&lt;='VALOR POR PL'!$P$5,$K$12=0),0,$K$18*$K$26*N40/$K$12)</f>
        <v>0</v>
      </c>
      <c r="S40" s="140" t="n">
        <f aca="false">(IF(AND(36+$K$33&gt;=1,36+$K$33&lt;=72),INDEX($N$5:$N$76,36+$K$33),0)+IF(AND(36+$K$34&gt;=1,36+$K$34&lt;=72),INDEX($N$5:$N$76,36+$K$34),0)+IF(AND(36+$K$35&gt;=1,36+$K$35&lt;=72),INDEX($N$5:$N$76,36+$K$35),0))/3</f>
        <v>5.95</v>
      </c>
      <c r="T40" s="140" t="n">
        <f aca="false">IF(B40&lt;='VALOR POR PL'!$P$5,0,S40+IF(B40=DATE(YEAR('VALOR POR PL'!$P$5),MONTH('VALOR POR PL'!$P$5)+1,1),SUMPRODUCT((B5:B76&lt;='VALOR POR PL'!$P$5)*S5:S76),0))</f>
        <v>5.95</v>
      </c>
      <c r="U40" s="45" t="n">
        <f aca="false">IF($K$32=0,0,$K$18*$K$27*T40/$K$32)</f>
        <v>78000.5045279748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124538.620674918</v>
      </c>
      <c r="E41" s="45" t="n">
        <f aca="false">L41+D41/$K$2</f>
        <v>96.0287431498901</v>
      </c>
      <c r="F41" s="117" t="n">
        <f aca="false">IF($K$9=0,0,E41/$K$9)</f>
        <v>0.057</v>
      </c>
      <c r="G41" s="117" t="n">
        <f aca="false">G40+F41</f>
        <v>0.1119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RESUMO'!AN38</f>
        <v>0</v>
      </c>
      <c r="N41" s="140" t="n">
        <f aca="false">MAX(0,M41-M40)</f>
        <v>0</v>
      </c>
      <c r="O41" s="139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  <c r="R41" s="45" t="n">
        <f aca="false">IF(OR(B41&lt;='VALOR POR PL'!$P$5,$K$12=0),0,$K$18*$K$26*N41/$K$12)</f>
        <v>0</v>
      </c>
      <c r="S41" s="140" t="n">
        <f aca="false">(IF(AND(37+$K$33&gt;=1,37+$K$33&lt;=72),INDEX($N$5:$N$76,37+$K$33),0)+IF(AND(37+$K$34&gt;=1,37+$K$34&lt;=72),INDEX($N$5:$N$76,37+$K$34),0)+IF(AND(37+$K$35&gt;=1,37+$K$35&lt;=72),INDEX($N$5:$N$76,37+$K$35),0))/3</f>
        <v>9.5</v>
      </c>
      <c r="T41" s="140" t="n">
        <f aca="false">IF(B41&lt;='VALOR POR PL'!$P$5,0,S41+IF(B41=DATE(YEAR('VALOR POR PL'!$P$5),MONTH('VALOR POR PL'!$P$5)+1,1),SUMPRODUCT((B5:B76&lt;='VALOR POR PL'!$P$5)*S5:S76),0))</f>
        <v>9.5</v>
      </c>
      <c r="U41" s="45" t="n">
        <f aca="false">IF($K$32=0,0,$K$18*$K$27*T41/$K$32)</f>
        <v>124538.620674918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125194.087099523</v>
      </c>
      <c r="E42" s="45" t="n">
        <f aca="false">L42+D42/$K$2</f>
        <v>96.5341575875211</v>
      </c>
      <c r="F42" s="117" t="n">
        <f aca="false">IF($K$9=0,0,E42/$K$9)</f>
        <v>0.0573</v>
      </c>
      <c r="G42" s="117" t="n">
        <f aca="false">G41+F42</f>
        <v>0.1692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RESUMO'!AO38</f>
        <v>0</v>
      </c>
      <c r="N42" s="140" t="n">
        <f aca="false">MAX(0,M42-M41)</f>
        <v>0</v>
      </c>
      <c r="O42" s="139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  <c r="R42" s="45" t="n">
        <f aca="false">IF(OR(B42&lt;='VALOR POR PL'!$P$5,$K$12=0),0,$K$18*$K$26*N42/$K$12)</f>
        <v>0</v>
      </c>
      <c r="S42" s="140" t="n">
        <f aca="false">(IF(AND(38+$K$33&gt;=1,38+$K$33&lt;=72),INDEX($N$5:$N$76,38+$K$33),0)+IF(AND(38+$K$34&gt;=1,38+$K$34&lt;=72),INDEX($N$5:$N$76,38+$K$34),0)+IF(AND(38+$K$35&gt;=1,38+$K$35&lt;=72),INDEX($N$5:$N$76,38+$K$35),0))/3</f>
        <v>9.55</v>
      </c>
      <c r="T42" s="140" t="n">
        <f aca="false">IF(B42&lt;='VALOR POR PL'!$P$5,0,S42+IF(B42=DATE(YEAR('VALOR POR PL'!$P$5),MONTH('VALOR POR PL'!$P$5)+1,1),SUMPRODUCT((B5:B76&lt;='VALOR POR PL'!$P$5)*S5:S76),0))</f>
        <v>9.55</v>
      </c>
      <c r="U42" s="45" t="n">
        <f aca="false">IF($K$32=0,0,$K$18*$K$27*T42/$K$32)</f>
        <v>125194.087099523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131923.542392132</v>
      </c>
      <c r="E43" s="45" t="n">
        <f aca="false">L43+D43/$K$2</f>
        <v>101.723079147199</v>
      </c>
      <c r="F43" s="117" t="n">
        <f aca="false">IF($K$9=0,0,E43/$K$9)</f>
        <v>0.06038</v>
      </c>
      <c r="G43" s="117" t="n">
        <f aca="false">G42+F43</f>
        <v>0.22958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RESUMO'!AP38</f>
        <v>0</v>
      </c>
      <c r="N43" s="140" t="n">
        <f aca="false">MAX(0,M43-M42)</f>
        <v>0</v>
      </c>
      <c r="O43" s="139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  <c r="R43" s="45" t="n">
        <f aca="false">IF(OR(B43&lt;='VALOR POR PL'!$P$5,$K$12=0),0,$K$18*$K$26*N43/$K$12)</f>
        <v>0</v>
      </c>
      <c r="S43" s="140" t="n">
        <f aca="false">(IF(AND(39+$K$33&gt;=1,39+$K$33&lt;=72),INDEX($N$5:$N$76,39+$K$33),0)+IF(AND(39+$K$34&gt;=1,39+$K$34&lt;=72),INDEX($N$5:$N$76,39+$K$34),0)+IF(AND(39+$K$35&gt;=1,39+$K$35&lt;=72),INDEX($N$5:$N$76,39+$K$35),0))/3</f>
        <v>10.0633333333333</v>
      </c>
      <c r="T43" s="140" t="n">
        <f aca="false">IF(B43&lt;='VALOR POR PL'!$P$5,0,S43+IF(B43=DATE(YEAR('VALOR POR PL'!$P$5),MONTH('VALOR POR PL'!$P$5)+1,1),SUMPRODUCT((B5:B76&lt;='VALOR POR PL'!$P$5)*S5:S76),0))</f>
        <v>10.0633333333333</v>
      </c>
      <c r="U43" s="45" t="n">
        <f aca="false">IF($K$32=0,0,$K$18*$K$27*T43/$K$32)</f>
        <v>131923.542392132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212677.005903447</v>
      </c>
      <c r="E44" s="45" t="n">
        <f aca="false">L44+D44/$K$2</f>
        <v>163.990137863339</v>
      </c>
      <c r="F44" s="117" t="n">
        <f aca="false">IF($K$9=0,0,E44/$K$9)</f>
        <v>0.09734</v>
      </c>
      <c r="G44" s="117" t="n">
        <f aca="false">G43+F44</f>
        <v>0.32692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RESUMO'!AQ38</f>
        <v>9.6</v>
      </c>
      <c r="N44" s="140" t="n">
        <f aca="false">MAX(0,M44-M43)</f>
        <v>9.6</v>
      </c>
      <c r="O44" s="139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9.6</v>
      </c>
      <c r="R44" s="45" t="n">
        <f aca="false">IF(OR(B44&lt;='VALOR POR PL'!$P$5,$K$12=0),0,$K$18*$K$26*N44/$K$12)</f>
        <v>83899.7023494183</v>
      </c>
      <c r="S44" s="140" t="n">
        <f aca="false">(IF(AND(40+$K$33&gt;=1,40+$K$33&lt;=72),INDEX($N$5:$N$76,40+$K$33),0)+IF(AND(40+$K$34&gt;=1,40+$K$34&lt;=72),INDEX($N$5:$N$76,40+$K$34),0)+IF(AND(40+$K$35&gt;=1,40+$K$35&lt;=72),INDEX($N$5:$N$76,40+$K$35),0))/3</f>
        <v>9.82333333333333</v>
      </c>
      <c r="T44" s="140" t="n">
        <f aca="false">IF(B44&lt;='VALOR POR PL'!$P$5,0,S44+IF(B44=DATE(YEAR('VALOR POR PL'!$P$5),MONTH('VALOR POR PL'!$P$5)+1,1),SUMPRODUCT((B5:B76&lt;='VALOR POR PL'!$P$5)*S5:S76),0))</f>
        <v>9.82333333333333</v>
      </c>
      <c r="U44" s="45" t="n">
        <f aca="false">IF($K$32=0,0,$K$18*$K$27*T44/$K$32)</f>
        <v>128777.303554029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194280.248252872</v>
      </c>
      <c r="E45" s="45" t="n">
        <f aca="false">L45+D45/$K$2</f>
        <v>149.804839313829</v>
      </c>
      <c r="F45" s="117" t="n">
        <f aca="false">IF($K$9=0,0,E45/$K$9)</f>
        <v>0.08892</v>
      </c>
      <c r="G45" s="117" t="n">
        <f aca="false">G44+F45</f>
        <v>0.41584</v>
      </c>
      <c r="H45" s="138" t="n">
        <v>204179.37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RESUMO'!AR38</f>
        <v>17.85</v>
      </c>
      <c r="N45" s="140" t="n">
        <f aca="false">MAX(0,M45-M44)</f>
        <v>8.25</v>
      </c>
      <c r="O45" s="139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8.25</v>
      </c>
      <c r="R45" s="45" t="n">
        <f aca="false">IF(OR(B45&lt;='VALOR POR PL'!$P$5,$K$12=0),0,$K$18*$K$26*N45/$K$12)</f>
        <v>72101.3067065314</v>
      </c>
      <c r="S45" s="140" t="n">
        <f aca="false">(IF(AND(41+$K$33&gt;=1,41+$K$33&lt;=72),INDEX($N$5:$N$76,41+$K$33),0)+IF(AND(41+$K$34&gt;=1,41+$K$34&lt;=72),INDEX($N$5:$N$76,41+$K$34),0)+IF(AND(41+$K$35&gt;=1,41+$K$35&lt;=72),INDEX($N$5:$N$76,41+$K$35),0))/3</f>
        <v>9.32</v>
      </c>
      <c r="T45" s="140" t="n">
        <f aca="false">IF(B45&lt;='VALOR POR PL'!$P$5,0,S45+IF(B45=DATE(YEAR('VALOR POR PL'!$P$5),MONTH('VALOR POR PL'!$P$5)+1,1),SUMPRODUCT((B5:B76&lt;='VALOR POR PL'!$P$5)*S5:S76),0))</f>
        <v>9.32</v>
      </c>
      <c r="U45" s="45" t="n">
        <f aca="false">IF($K$32=0,0,$K$18*$K$27*T45/$K$32)</f>
        <v>122178.94154634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211671.95738572</v>
      </c>
      <c r="E46" s="45" t="n">
        <f aca="false">L46+D46/$K$2</f>
        <v>163.215169058971</v>
      </c>
      <c r="F46" s="117" t="n">
        <f aca="false">IF($K$9=0,0,E46/$K$9)</f>
        <v>0.09688</v>
      </c>
      <c r="G46" s="117" t="n">
        <f aca="false">G45+F46</f>
        <v>0.51272</v>
      </c>
      <c r="H46" s="138" t="n">
        <v>174146.64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RESUMO'!AS38</f>
        <v>28.5</v>
      </c>
      <c r="N46" s="140" t="n">
        <f aca="false">MAX(0,M46-M45)</f>
        <v>10.65</v>
      </c>
      <c r="O46" s="139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10.65</v>
      </c>
      <c r="R46" s="45" t="n">
        <f aca="false">IF(OR(B46&lt;='VALOR POR PL'!$P$5,$K$12=0),0,$K$18*$K$26*N46/$K$12)</f>
        <v>93076.2322938859</v>
      </c>
      <c r="S46" s="140" t="n">
        <f aca="false">(IF(AND(42+$K$33&gt;=1,42+$K$33&lt;=72),INDEX($N$5:$N$76,42+$K$33),0)+IF(AND(42+$K$34&gt;=1,42+$K$34&lt;=72),INDEX($N$5:$N$76,42+$K$34),0)+IF(AND(42+$K$35&gt;=1,42+$K$35&lt;=72),INDEX($N$5:$N$76,42+$K$35),0))/3</f>
        <v>9.04666666666667</v>
      </c>
      <c r="T46" s="140" t="n">
        <f aca="false">IF(B46&lt;='VALOR POR PL'!$P$5,0,S46+IF(B46=DATE(YEAR('VALOR POR PL'!$P$5),MONTH('VALOR POR PL'!$P$5)+1,1),SUMPRODUCT((B5:B76&lt;='VALOR POR PL'!$P$5)*S5:S76),0))</f>
        <v>9.04666666666667</v>
      </c>
      <c r="U46" s="45" t="n">
        <f aca="false">IF($K$32=0,0,$K$18*$K$27*T46/$K$32)</f>
        <v>118595.725091834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199829.863981193</v>
      </c>
      <c r="E47" s="45" t="n">
        <f aca="false">L47+D47/$K$2</f>
        <v>154.084014885771</v>
      </c>
      <c r="F47" s="117" t="n">
        <f aca="false">IF($K$9=0,0,E47/$K$9)</f>
        <v>0.09146</v>
      </c>
      <c r="G47" s="117" t="n">
        <f aca="false">G46+F47</f>
        <v>0.60418</v>
      </c>
      <c r="H47" s="138" t="n">
        <v>227082.03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RESUMO'!AT38</f>
        <v>38.25</v>
      </c>
      <c r="N47" s="140" t="n">
        <f aca="false">MAX(0,M47-M46)</f>
        <v>9.75</v>
      </c>
      <c r="O47" s="139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9.75</v>
      </c>
      <c r="R47" s="45" t="n">
        <f aca="false">IF(OR(B47&lt;='VALOR POR PL'!$P$5,$K$12=0),0,$K$18*$K$26*N47/$K$12)</f>
        <v>85210.6351986279</v>
      </c>
      <c r="S47" s="140" t="n">
        <f aca="false">(IF(AND(43+$K$33&gt;=1,43+$K$33&lt;=72),INDEX($N$5:$N$76,43+$K$33),0)+IF(AND(43+$K$34&gt;=1,43+$K$34&lt;=72),INDEX($N$5:$N$76,43+$K$34),0)+IF(AND(43+$K$35&gt;=1,43+$K$35&lt;=72),INDEX($N$5:$N$76,43+$K$35),0))/3</f>
        <v>8.74333333333333</v>
      </c>
      <c r="T47" s="140" t="n">
        <f aca="false">IF(B47&lt;='VALOR POR PL'!$P$5,0,S47+IF(B47=DATE(YEAR('VALOR POR PL'!$P$5),MONTH('VALOR POR PL'!$P$5)+1,1),SUMPRODUCT((B5:B76&lt;='VALOR POR PL'!$P$5)*S5:S76),0))</f>
        <v>8.74333333333333</v>
      </c>
      <c r="U47" s="45" t="n">
        <f aca="false">IF($K$32=0,0,$K$18*$K$27*T47/$K$32)</f>
        <v>114619.228782565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191920.569124294</v>
      </c>
      <c r="E48" s="45" t="n">
        <f aca="false">L48+D48/$K$2</f>
        <v>147.985347338357</v>
      </c>
      <c r="F48" s="117" t="n">
        <f aca="false">IF($K$9=0,0,E48/$K$9)</f>
        <v>0.08784</v>
      </c>
      <c r="G48" s="117" t="n">
        <f aca="false">G47+F48</f>
        <v>0.69202</v>
      </c>
      <c r="H48" s="138" t="n">
        <v>213686.14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RESUMO'!AU38</f>
        <v>48.04</v>
      </c>
      <c r="N48" s="140" t="n">
        <f aca="false">MAX(0,M48-M47)</f>
        <v>9.79</v>
      </c>
      <c r="O48" s="139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9.79</v>
      </c>
      <c r="R48" s="45" t="n">
        <f aca="false">IF(OR(B48&lt;='VALOR POR PL'!$P$5,$K$12=0),0,$K$18*$K$26*N48/$K$12)</f>
        <v>85560.2172917505</v>
      </c>
      <c r="S48" s="140" t="n">
        <f aca="false">(IF(AND(44+$K$33&gt;=1,44+$K$33&lt;=72),INDEX($N$5:$N$76,44+$K$33),0)+IF(AND(44+$K$34&gt;=1,44+$K$34&lt;=72),INDEX($N$5:$N$76,44+$K$34),0)+IF(AND(44+$K$35&gt;=1,44+$K$35&lt;=72),INDEX($N$5:$N$76,44+$K$35),0))/3</f>
        <v>8.11333333333334</v>
      </c>
      <c r="T48" s="140" t="n">
        <f aca="false">IF(B48&lt;='VALOR POR PL'!$P$5,0,S48+IF(B48=DATE(YEAR('VALOR POR PL'!$P$5),MONTH('VALOR POR PL'!$P$5)+1,1),SUMPRODUCT((B5:B76&lt;='VALOR POR PL'!$P$5)*S5:S76),0))</f>
        <v>8.11333333333334</v>
      </c>
      <c r="U48" s="45" t="n">
        <f aca="false">IF($K$32=0,0,$K$18*$K$27*T48/$K$32)</f>
        <v>106360.351832544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189473.494472436</v>
      </c>
      <c r="E49" s="45" t="n">
        <f aca="false">L49+D49/$K$2</f>
        <v>146.098466771201</v>
      </c>
      <c r="F49" s="117" t="n">
        <f aca="false">IF($K$9=0,0,E49/$K$9)</f>
        <v>0.08672</v>
      </c>
      <c r="G49" s="117" t="n">
        <f aca="false">G48+F49</f>
        <v>0.77874</v>
      </c>
      <c r="H49" s="138" t="n">
        <v>207420.32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RESUMO'!AV38</f>
        <v>57.97</v>
      </c>
      <c r="N49" s="140" t="n">
        <f aca="false">MAX(0,M49-M48)</f>
        <v>9.93</v>
      </c>
      <c r="O49" s="139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9.93</v>
      </c>
      <c r="R49" s="45" t="n">
        <f aca="false">IF(OR(B49&lt;='VALOR POR PL'!$P$5,$K$12=0),0,$K$18*$K$26*N49/$K$12)</f>
        <v>86783.7546176795</v>
      </c>
      <c r="S49" s="140" t="n">
        <f aca="false">(IF(AND(45+$K$33&gt;=1,45+$K$33&lt;=72),INDEX($N$5:$N$76,45+$K$33),0)+IF(AND(45+$K$34&gt;=1,45+$K$34&lt;=72),INDEX($N$5:$N$76,45+$K$34),0)+IF(AND(45+$K$35&gt;=1,45+$K$35&lt;=72),INDEX($N$5:$N$76,45+$K$35),0))/3</f>
        <v>7.83333333333333</v>
      </c>
      <c r="T49" s="140" t="n">
        <f aca="false">IF(B49&lt;='VALOR POR PL'!$P$5,0,S49+IF(B49=DATE(YEAR('VALOR POR PL'!$P$5),MONTH('VALOR POR PL'!$P$5)+1,1),SUMPRODUCT((B5:B76&lt;='VALOR POR PL'!$P$5)*S5:S76),0))</f>
        <v>7.83333333333333</v>
      </c>
      <c r="U49" s="45" t="n">
        <f aca="false">IF($K$32=0,0,$K$18*$K$27*T49/$K$32)</f>
        <v>102689.739854757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141056.374574959</v>
      </c>
      <c r="E50" s="45" t="n">
        <f aca="false">L50+D50/$K$2</f>
        <v>108.765186978191</v>
      </c>
      <c r="F50" s="117" t="n">
        <f aca="false">IF($K$9=0,0,E50/$K$9)</f>
        <v>0.06456</v>
      </c>
      <c r="G50" s="117" t="n">
        <f aca="false">G49+F50</f>
        <v>0.8433</v>
      </c>
      <c r="H50" s="138" t="n">
        <v>226001.72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RESUMO'!AW38</f>
        <v>66.21</v>
      </c>
      <c r="N50" s="140" t="n">
        <f aca="false">MAX(0,M50-M49)</f>
        <v>8.24</v>
      </c>
      <c r="O50" s="139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8.24</v>
      </c>
      <c r="R50" s="45" t="n">
        <f aca="false">IF(OR(B50&lt;='VALOR POR PL'!$P$5,$K$12=0),0,$K$18*$K$26*N50/$K$12)</f>
        <v>72013.9111832507</v>
      </c>
      <c r="S50" s="140" t="n">
        <f aca="false">(IF(AND(46+$K$33&gt;=1,46+$K$33&lt;=72),INDEX($N$5:$N$76,46+$K$33),0)+IF(AND(46+$K$34&gt;=1,46+$K$34&lt;=72),INDEX($N$5:$N$76,46+$K$34),0)+IF(AND(46+$K$35&gt;=1,46+$K$35&lt;=72),INDEX($N$5:$N$76,46+$K$35),0))/3</f>
        <v>5.26666666666667</v>
      </c>
      <c r="T50" s="140" t="n">
        <f aca="false">IF(B50&lt;='VALOR POR PL'!$P$5,0,S50+IF(B50=DATE(YEAR('VALOR POR PL'!$P$5),MONTH('VALOR POR PL'!$P$5)+1,1),SUMPRODUCT((B5:B76&lt;='VALOR POR PL'!$P$5)*S5:S76),0))</f>
        <v>5.26666666666667</v>
      </c>
      <c r="U50" s="45" t="n">
        <f aca="false">IF($K$32=0,0,$K$18*$K$27*T50/$K$32)</f>
        <v>69042.4633917088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119688.169132842</v>
      </c>
      <c r="E51" s="45" t="n">
        <f aca="false">L51+D51/$K$2</f>
        <v>92.2886763114208</v>
      </c>
      <c r="F51" s="117" t="n">
        <f aca="false">IF($K$9=0,0,E51/$K$9)</f>
        <v>0.0547800000000001</v>
      </c>
      <c r="G51" s="117" t="n">
        <f aca="false">G50+F51</f>
        <v>0.89808</v>
      </c>
      <c r="H51" s="138" t="n">
        <v>177603.65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RESUMO'!AX38</f>
        <v>75.18</v>
      </c>
      <c r="N51" s="140" t="n">
        <f aca="false">MAX(0,M51-M50)</f>
        <v>8.97000000000001</v>
      </c>
      <c r="O51" s="139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8.97000000000001</v>
      </c>
      <c r="R51" s="45" t="n">
        <f aca="false">IF(OR(B51&lt;='VALOR POR PL'!$P$5,$K$12=0),0,$K$18*$K$26*N51/$K$12)</f>
        <v>78393.7843827378</v>
      </c>
      <c r="S51" s="140" t="n">
        <f aca="false">(IF(AND(47+$K$33&gt;=1,47+$K$33&lt;=72),INDEX($N$5:$N$76,47+$K$33),0)+IF(AND(47+$K$34&gt;=1,47+$K$34&lt;=72),INDEX($N$5:$N$76,47+$K$34),0)+IF(AND(47+$K$35&gt;=1,47+$K$35&lt;=72),INDEX($N$5:$N$76,47+$K$35),0))/3</f>
        <v>3.15</v>
      </c>
      <c r="T51" s="140" t="n">
        <f aca="false">IF(B51&lt;='VALOR POR PL'!$P$5,0,S51+IF(B51=DATE(YEAR('VALOR POR PL'!$P$5),MONTH('VALOR POR PL'!$P$5)+1,1),SUMPRODUCT((B5:B76&lt;='VALOR POR PL'!$P$5)*S5:S76),0))</f>
        <v>3.15</v>
      </c>
      <c r="U51" s="45" t="n">
        <f aca="false">IF($K$32=0,0,$K$18*$K$27*T51/$K$32)</f>
        <v>41294.3847501043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84598.8665356634</v>
      </c>
      <c r="E52" s="45" t="n">
        <f aca="false">L52+D52/$K$2</f>
        <v>65.2321567502411</v>
      </c>
      <c r="F52" s="117" t="n">
        <f aca="false">IF($K$9=0,0,E52/$K$9)</f>
        <v>0.03872</v>
      </c>
      <c r="G52" s="117" t="n">
        <f aca="false">G51+F52</f>
        <v>0.9368</v>
      </c>
      <c r="H52" s="138" t="n">
        <v>186894.35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RESUMO'!AY38</f>
        <v>84.2</v>
      </c>
      <c r="N52" s="140" t="n">
        <f aca="false">MAX(0,M52-M51)</f>
        <v>9.02</v>
      </c>
      <c r="O52" s="139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9.02</v>
      </c>
      <c r="R52" s="45" t="n">
        <f aca="false">IF(OR(B52&lt;='VALOR POR PL'!$P$5,$K$12=0),0,$K$18*$K$26*N52/$K$12)</f>
        <v>78830.7619991409</v>
      </c>
      <c r="S52" s="140" t="n">
        <f aca="false">(IF(AND(48+$K$33&gt;=1,48+$K$33&lt;=72),INDEX($N$5:$N$76,48+$K$33),0)+IF(AND(48+$K$34&gt;=1,48+$K$34&lt;=72),INDEX($N$5:$N$76,48+$K$34),0)+IF(AND(48+$K$35&gt;=1,48+$K$35&lt;=72),INDEX($N$5:$N$76,48+$K$35),0))/3</f>
        <v>0.439999999999998</v>
      </c>
      <c r="T52" s="140" t="n">
        <f aca="false">IF(B52&lt;='VALOR POR PL'!$P$5,0,S52+IF(B52=DATE(YEAR('VALOR POR PL'!$P$5),MONTH('VALOR POR PL'!$P$5)+1,1),SUMPRODUCT((B5:B76&lt;='VALOR POR PL'!$P$5)*S5:S76),0))</f>
        <v>0.439999999999998</v>
      </c>
      <c r="U52" s="45" t="n">
        <f aca="false">IF($K$32=0,0,$K$18*$K$27*T52/$K$32)</f>
        <v>5768.10453652248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55496.1572832089</v>
      </c>
      <c r="E53" s="45" t="n">
        <f aca="false">L53+D53/$K$2</f>
        <v>42.7917557194247</v>
      </c>
      <c r="F53" s="117" t="n">
        <f aca="false">IF($K$9=0,0,E53/$K$9)</f>
        <v>0.0254</v>
      </c>
      <c r="G53" s="117" t="n">
        <f aca="false">G52+F53</f>
        <v>0.9622</v>
      </c>
      <c r="H53" s="138" t="n">
        <v>176091.21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RESUMO'!AZ38</f>
        <v>90.55</v>
      </c>
      <c r="N53" s="140" t="n">
        <f aca="false">MAX(0,M53-M52)</f>
        <v>6.34999999999999</v>
      </c>
      <c r="O53" s="139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6.34999999999999</v>
      </c>
      <c r="R53" s="45" t="n">
        <f aca="false">IF(OR(B53&lt;='VALOR POR PL'!$P$5,$K$12=0),0,$K$18*$K$26*N53/$K$12)</f>
        <v>55496.1572832089</v>
      </c>
      <c r="S53" s="140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0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71052.5604271637</v>
      </c>
      <c r="E54" s="45" t="n">
        <f aca="false">L54+D54/$K$2</f>
        <v>54.7869250392005</v>
      </c>
      <c r="F54" s="117" t="n">
        <f aca="false">IF($K$9=0,0,E54/$K$9)</f>
        <v>0.03252</v>
      </c>
      <c r="G54" s="117" t="n">
        <f aca="false">G53+F54</f>
        <v>0.99472</v>
      </c>
      <c r="H54" s="138" t="n">
        <v>151676.11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RESUMO'!BA38</f>
        <v>98.68</v>
      </c>
      <c r="N54" s="140" t="n">
        <f aca="false">MAX(0,M54-M53)</f>
        <v>8.13000000000001</v>
      </c>
      <c r="O54" s="139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8.13000000000001</v>
      </c>
      <c r="R54" s="45" t="n">
        <f aca="false">IF(OR(B54&lt;='VALOR POR PL'!$P$5,$K$12=0),0,$K$18*$K$26*N54/$K$12)</f>
        <v>71052.5604271637</v>
      </c>
      <c r="S54" s="140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0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11536.209073045</v>
      </c>
      <c r="E55" s="45" t="n">
        <f aca="false">L55+D55/$K$2</f>
        <v>8.89529410230556</v>
      </c>
      <c r="F55" s="117" t="n">
        <f aca="false">IF($K$9=0,0,E55/$K$9)</f>
        <v>0.00527999999999997</v>
      </c>
      <c r="G55" s="117" t="n">
        <f aca="false">G54+F55</f>
        <v>1</v>
      </c>
      <c r="H55" s="138" t="n">
        <v>187326.47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RESUMO'!BB38</f>
        <v>100</v>
      </c>
      <c r="N55" s="140" t="n">
        <f aca="false">MAX(0,M55-M54)</f>
        <v>1.31999999999999</v>
      </c>
      <c r="O55" s="139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1.31999999999999</v>
      </c>
      <c r="R55" s="45" t="n">
        <f aca="false">IF(OR(B55&lt;='VALOR POR PL'!$P$5,$K$12=0),0,$K$18*$K$26*N55/$K$12)</f>
        <v>11536.209073045</v>
      </c>
      <c r="S55" s="140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0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 t="n">
        <v>28520.29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RESUMO'!BC38</f>
        <v>100</v>
      </c>
      <c r="N56" s="140" t="n">
        <f aca="false">MAX(0,M56-M55)</f>
        <v>0</v>
      </c>
      <c r="O56" s="139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0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0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RESUMO'!BD38</f>
        <v>100</v>
      </c>
      <c r="N57" s="140" t="n">
        <f aca="false">MAX(0,M57-M56)</f>
        <v>0</v>
      </c>
      <c r="O57" s="139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0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0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RESUMO'!BE38</f>
        <v>100</v>
      </c>
      <c r="N58" s="140" t="n">
        <f aca="false">MAX(0,M58-M57)</f>
        <v>0</v>
      </c>
      <c r="O58" s="139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0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0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RESUMO'!BF38</f>
        <v>100</v>
      </c>
      <c r="N59" s="140" t="n">
        <f aca="false">MAX(0,M59-M58)</f>
        <v>0</v>
      </c>
      <c r="O59" s="139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0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0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RESUMO'!BG38</f>
        <v>100</v>
      </c>
      <c r="N60" s="140" t="n">
        <f aca="false">MAX(0,M60-M59)</f>
        <v>0</v>
      </c>
      <c r="O60" s="139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0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0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RESUMO'!BH38</f>
        <v>100</v>
      </c>
      <c r="N61" s="140" t="n">
        <f aca="false">MAX(0,M61-M60)</f>
        <v>0</v>
      </c>
      <c r="O61" s="139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0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0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RESUMO'!BI38</f>
        <v>100</v>
      </c>
      <c r="N62" s="140" t="n">
        <f aca="false">MAX(0,M62-M61)</f>
        <v>0</v>
      </c>
      <c r="O62" s="139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0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0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RESUMO'!BJ38</f>
        <v>100</v>
      </c>
      <c r="N63" s="140" t="n">
        <f aca="false">MAX(0,M63-M62)</f>
        <v>0</v>
      </c>
      <c r="O63" s="139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0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0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RESUMO'!BK38</f>
        <v>100</v>
      </c>
      <c r="N64" s="140" t="n">
        <f aca="false">MAX(0,M64-M63)</f>
        <v>0</v>
      </c>
      <c r="O64" s="139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0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0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RESUMO'!BL38</f>
        <v>100</v>
      </c>
      <c r="N65" s="140" t="n">
        <f aca="false">MAX(0,M65-M64)</f>
        <v>0</v>
      </c>
      <c r="O65" s="139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0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0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RESUMO'!BM38</f>
        <v>100</v>
      </c>
      <c r="N66" s="140" t="n">
        <f aca="false">MAX(0,M66-M65)</f>
        <v>0</v>
      </c>
      <c r="O66" s="139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0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0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RESUMO'!BN38</f>
        <v>100</v>
      </c>
      <c r="N67" s="140" t="n">
        <f aca="false">MAX(0,M67-M66)</f>
        <v>0</v>
      </c>
      <c r="O67" s="139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0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0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RESUMO'!BO38</f>
        <v>100</v>
      </c>
      <c r="N68" s="140" t="n">
        <f aca="false">MAX(0,M68-M67)</f>
        <v>0</v>
      </c>
      <c r="O68" s="139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0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0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RESUMO'!BP38</f>
        <v>100</v>
      </c>
      <c r="N69" s="140" t="n">
        <f aca="false">MAX(0,M69-M68)</f>
        <v>0</v>
      </c>
      <c r="O69" s="139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0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0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RESUMO'!BQ38</f>
        <v>100</v>
      </c>
      <c r="N70" s="140" t="n">
        <f aca="false">MAX(0,M70-M69)</f>
        <v>0</v>
      </c>
      <c r="O70" s="139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0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0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RESUMO'!BR38</f>
        <v>100</v>
      </c>
      <c r="N71" s="140" t="n">
        <f aca="false">MAX(0,M71-M70)</f>
        <v>0</v>
      </c>
      <c r="O71" s="139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0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0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RESUMO'!BS38</f>
        <v>100</v>
      </c>
      <c r="N72" s="140" t="n">
        <f aca="false">MAX(0,M72-M71)</f>
        <v>0</v>
      </c>
      <c r="O72" s="139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0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0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RESUMO'!BT38</f>
        <v>100</v>
      </c>
      <c r="N73" s="140" t="n">
        <f aca="false">MAX(0,M73-M72)</f>
        <v>0</v>
      </c>
      <c r="O73" s="139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0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0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RESUMO'!BU38</f>
        <v>100</v>
      </c>
      <c r="N74" s="140" t="n">
        <f aca="false">MAX(0,M74-M73)</f>
        <v>0</v>
      </c>
      <c r="O74" s="139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0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0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RESUMO'!BV38</f>
        <v>100</v>
      </c>
      <c r="N75" s="140" t="n">
        <f aca="false">MAX(0,M75-M74)</f>
        <v>0</v>
      </c>
      <c r="O75" s="139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0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0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RESUMO'!BW38</f>
        <v>100</v>
      </c>
      <c r="N76" s="140" t="n">
        <f aca="false">MAX(0,M76-M75)</f>
        <v>0</v>
      </c>
      <c r="O76" s="139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0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0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2184888.0820161</v>
      </c>
      <c r="E78" s="61" t="n">
        <f aca="false">SUM(E5:E76)</f>
        <v>1684.71479210333</v>
      </c>
      <c r="F78" s="145" t="n">
        <f aca="false">SUM(F5:F76)</f>
        <v>1</v>
      </c>
      <c r="H78" s="61" t="n">
        <f aca="false">SUM(H5:H76)</f>
        <v>2160628.3</v>
      </c>
      <c r="L78" s="61" t="n">
        <f aca="false">SUM(L5:L76)</f>
        <v>0</v>
      </c>
      <c r="R78" s="61" t="n">
        <f aca="false">SUM(R5:R76)</f>
        <v>873955.23280644</v>
      </c>
      <c r="U78" s="61" t="n">
        <f aca="false">SUM(U5:U76)</f>
        <v>1310932.84920966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PL'!F45</f>
        <v>3676746.93</v>
      </c>
      <c r="K5" s="56" t="n">
        <f aca="false">'VALOR POR PL'!G45</f>
        <v>3021.886086</v>
      </c>
      <c r="L5" s="56" t="n">
        <f aca="false">'DADOS HISTORICOS'!$BZ$39</f>
        <v>0</v>
      </c>
      <c r="M5" s="139" t="n">
        <f aca="false">'CP RESUMO'!D39</f>
        <v>0</v>
      </c>
      <c r="N5" s="140" t="n">
        <v>0</v>
      </c>
      <c r="O5" s="139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PL'!H45</f>
        <v>3021.886086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RESUMO'!E39</f>
        <v>0</v>
      </c>
      <c r="N6" s="140" t="n">
        <f aca="false">MAX(0,M6-M5)</f>
        <v>0</v>
      </c>
      <c r="O6" s="139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3917501.06140623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RESUMO'!F39</f>
        <v>0</v>
      </c>
      <c r="N7" s="140" t="n">
        <f aca="false">MAX(0,M7-M6)</f>
        <v>0</v>
      </c>
      <c r="O7" s="139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RESUMO'!G39</f>
        <v>0</v>
      </c>
      <c r="N8" s="140" t="n">
        <f aca="false">MAX(0,M8-M7)</f>
        <v>0</v>
      </c>
      <c r="O8" s="139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3917501.06140623</v>
      </c>
      <c r="K9" s="45" t="n">
        <f aca="false">E78</f>
        <v>3020.69110109364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RESUMO'!H39</f>
        <v>0</v>
      </c>
      <c r="N9" s="140" t="n">
        <f aca="false">MAX(0,M9-M8)</f>
        <v>0</v>
      </c>
      <c r="O9" s="139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3020.69110109364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RESUMO'!I39</f>
        <v>0</v>
      </c>
      <c r="N10" s="140" t="n">
        <f aca="false">MAX(0,M10-M9)</f>
        <v>0</v>
      </c>
      <c r="O10" s="139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3759701.65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RESUMO'!J39</f>
        <v>0</v>
      </c>
      <c r="N11" s="140" t="n">
        <f aca="false">MAX(0,M11-M10)</f>
        <v>0</v>
      </c>
      <c r="O11" s="139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98.46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RESUMO'!K39</f>
        <v>0</v>
      </c>
      <c r="N12" s="140" t="n">
        <f aca="false">MAX(0,M12-M11)</f>
        <v>0</v>
      </c>
      <c r="O12" s="139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RESUMO'!L39</f>
        <v>0</v>
      </c>
      <c r="N13" s="140" t="n">
        <f aca="false">MAX(0,M13-M12)</f>
        <v>0</v>
      </c>
      <c r="O13" s="139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RESUMO'!$D$81:$BW$81,MATCH('VALOR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RESUMO'!M39</f>
        <v>0</v>
      </c>
      <c r="N14" s="140" t="n">
        <f aca="false">MAX(0,M14-M13)</f>
        <v>0</v>
      </c>
      <c r="O14" s="139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RESUMO'!N39</f>
        <v>0</v>
      </c>
      <c r="N15" s="140" t="n">
        <f aca="false">MAX(0,M15-M14)</f>
        <v>0</v>
      </c>
      <c r="O15" s="139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RESUMO'!O39</f>
        <v>0</v>
      </c>
      <c r="N16" s="140" t="n">
        <f aca="false">MAX(0,M16-M15)</f>
        <v>0</v>
      </c>
      <c r="O16" s="139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98.46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RESUMO'!P39</f>
        <v>0</v>
      </c>
      <c r="N17" s="140" t="n">
        <f aca="false">MAX(0,M17-M16)</f>
        <v>0</v>
      </c>
      <c r="O17" s="139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HISTORICOS'!Q39)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3917501.06140623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RESUMO'!Q39</f>
        <v>0</v>
      </c>
      <c r="N18" s="140" t="n">
        <f aca="false">MAX(0,M18-M17)</f>
        <v>0</v>
      </c>
      <c r="O18" s="139" t="n">
        <f aca="false">IF(B18&lt;='VALOR POR PL'!$P$5,'CP RESUMO'!Q81,"")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HISTORICOS'!R39)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RESUMO'!R39</f>
        <v>0</v>
      </c>
      <c r="N19" s="140" t="n">
        <f aca="false">MAX(0,M19-M18)</f>
        <v>0</v>
      </c>
      <c r="O19" s="139" t="n">
        <f aca="false">IF(B19&lt;='VALOR POR PL'!$P$5,'CP RESUMO'!R81,"")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HISTORICOS'!S39)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RESUMO'!S39</f>
        <v>0</v>
      </c>
      <c r="N20" s="140" t="n">
        <f aca="false">MAX(0,M20-M19)</f>
        <v>0</v>
      </c>
      <c r="O20" s="139" t="n">
        <f aca="false">IF(B20&lt;='VALOR POR PL'!$P$5,'CP RESUMO'!S81,"")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HISTORICOS'!T39)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RESUMO'!T39</f>
        <v>0</v>
      </c>
      <c r="N21" s="140" t="n">
        <f aca="false">MAX(0,M21-M20)</f>
        <v>0</v>
      </c>
      <c r="O21" s="139" t="n">
        <f aca="false">IF(B21&lt;='VALOR POR PL'!$P$5,'CP RESUMO'!T81,"")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HISTORICOS'!U39)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RESUMO'!U39</f>
        <v>0</v>
      </c>
      <c r="N22" s="140" t="n">
        <f aca="false">MAX(0,M22-M21)</f>
        <v>0</v>
      </c>
      <c r="O22" s="139" t="n">
        <f aca="false">IF(B22&lt;='VALOR POR PL'!$P$5,'CP RESUMO'!U81,"")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HISTORICOS'!V39)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RESUMO'!V39</f>
        <v>0</v>
      </c>
      <c r="N23" s="140" t="n">
        <f aca="false">MAX(0,M23-M22)</f>
        <v>0</v>
      </c>
      <c r="O23" s="139" t="n">
        <f aca="false">IF(B23&lt;='VALOR POR PL'!$P$5,'CP RESUMO'!V81,"")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HISTORICOS'!W39)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RESUMO'!W39</f>
        <v>0</v>
      </c>
      <c r="N24" s="140" t="n">
        <f aca="false">MAX(0,M24-M23)</f>
        <v>0</v>
      </c>
      <c r="O24" s="139" t="n">
        <f aca="false">IF(B24&lt;='VALOR POR PL'!$P$5,'CP RESUMO'!W81,"")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HISTORICOS'!X39)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RESUMO'!X39</f>
        <v>0</v>
      </c>
      <c r="N25" s="140" t="n">
        <f aca="false">MAX(0,M25-M24)</f>
        <v>0</v>
      </c>
      <c r="O25" s="139" t="n">
        <f aca="false">IF(B25&lt;='VALOR POR PL'!$P$5,'CP RESUMO'!X81,"")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HISTORICOS'!Y39)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RESUMO'!Y39</f>
        <v>0</v>
      </c>
      <c r="N26" s="140" t="n">
        <f aca="false">MAX(0,M26-M25)</f>
        <v>0</v>
      </c>
      <c r="O26" s="139" t="str">
        <f aca="false">IF(B26&lt;='VALOR POR PL'!$P$5,'CP RESUMO'!Y81,"")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HISTORICOS'!Z39)</f>
        <v>0</v>
      </c>
      <c r="D27" s="45" t="n">
        <f aca="false">IF(B27&lt;='VALOR POR PL'!$P$5,0,IF($K$17&gt;0,$K$18*P27/$K$17,0))</f>
        <v>36604.7224913034</v>
      </c>
      <c r="E27" s="45" t="n">
        <f aca="false">L27+D27/$K$2</f>
        <v>28.2250234918358</v>
      </c>
      <c r="F27" s="117" t="n">
        <f aca="false">IF($K$9=0,0,E27/$K$9)</f>
        <v>0.00934389599837498</v>
      </c>
      <c r="G27" s="117" t="n">
        <f aca="false">G26+F27</f>
        <v>0.00934389599837498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RESUMO'!Z39</f>
        <v>0.92</v>
      </c>
      <c r="N27" s="140" t="n">
        <f aca="false">MAX(0,M27-M26)</f>
        <v>0.92</v>
      </c>
      <c r="O27" s="139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0.92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HISTORICOS'!AA39)</f>
        <v>0</v>
      </c>
      <c r="D28" s="45" t="n">
        <f aca="false">IF(B28&lt;='VALOR POR PL'!$P$5,0,IF($K$17&gt;0,$K$18*P28/$K$17,0))</f>
        <v>68832.7933803858</v>
      </c>
      <c r="E28" s="45" t="n">
        <f aca="false">L28+D28/$K$2</f>
        <v>53.0753159139956</v>
      </c>
      <c r="F28" s="117" t="n">
        <f aca="false">IF($K$9=0,0,E28/$K$9)</f>
        <v>0.0175705870404225</v>
      </c>
      <c r="G28" s="117" t="n">
        <f aca="false">G27+F28</f>
        <v>0.0269144830387975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RESUMO'!AA39</f>
        <v>2.65</v>
      </c>
      <c r="N28" s="140" t="n">
        <f aca="false">MAX(0,M28-M27)</f>
        <v>1.73</v>
      </c>
      <c r="O28" s="139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1.73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58487.9805024088</v>
      </c>
      <c r="E29" s="45" t="n">
        <f aca="false">L29+D29/$K$2</f>
        <v>45.0986788402159</v>
      </c>
      <c r="F29" s="117" t="n">
        <f aca="false">IF($K$9=0,0,E29/$K$9)</f>
        <v>0.0149299207800122</v>
      </c>
      <c r="G29" s="117" t="n">
        <f aca="false">G28+F29</f>
        <v>0.0418444038188097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RESUMO'!AB39</f>
        <v>4.12</v>
      </c>
      <c r="N29" s="140" t="n">
        <f aca="false">MAX(0,M29-M28)</f>
        <v>1.47</v>
      </c>
      <c r="O29" s="139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1.47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98275.722340782</v>
      </c>
      <c r="E30" s="45" t="n">
        <f aca="false">L30+D30/$K$2</f>
        <v>75.778052200907</v>
      </c>
      <c r="F30" s="117" t="n">
        <f aca="false">IF($K$9=0,0,E30/$K$9)</f>
        <v>0.025086329473898</v>
      </c>
      <c r="G30" s="117" t="n">
        <f aca="false">G29+F30</f>
        <v>0.0669307332927077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RESUMO'!AC39</f>
        <v>6.59</v>
      </c>
      <c r="N30" s="140" t="n">
        <f aca="false">MAX(0,M30-M29)</f>
        <v>2.47</v>
      </c>
      <c r="O30" s="139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2.47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98275.7223407821</v>
      </c>
      <c r="E31" s="45" t="n">
        <f aca="false">L31+D31/$K$2</f>
        <v>75.778052200907</v>
      </c>
      <c r="F31" s="117" t="n">
        <f aca="false">IF($K$9=0,0,E31/$K$9)</f>
        <v>0.025086329473898</v>
      </c>
      <c r="G31" s="117" t="n">
        <f aca="false">G30+F31</f>
        <v>0.0920170627666058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RESUMO'!AD39</f>
        <v>9.06</v>
      </c>
      <c r="N31" s="140" t="n">
        <f aca="false">MAX(0,M31-M30)</f>
        <v>2.47</v>
      </c>
      <c r="O31" s="139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2.47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98275.722340782</v>
      </c>
      <c r="E32" s="45" t="n">
        <f aca="false">L32+D32/$K$2</f>
        <v>75.778052200907</v>
      </c>
      <c r="F32" s="117" t="n">
        <f aca="false">IF($K$9=0,0,E32/$K$9)</f>
        <v>0.025086329473898</v>
      </c>
      <c r="G32" s="117" t="n">
        <f aca="false">G31+F32</f>
        <v>0.117103392240504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RESUMO'!AE39</f>
        <v>11.53</v>
      </c>
      <c r="N32" s="140" t="n">
        <f aca="false">MAX(0,M32-M31)</f>
        <v>2.47</v>
      </c>
      <c r="O32" s="139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2.47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106631.14812684</v>
      </c>
      <c r="E33" s="45" t="n">
        <f aca="false">L33+D33/$K$2</f>
        <v>82.2207206066522</v>
      </c>
      <c r="F33" s="117" t="n">
        <f aca="false">IF($K$9=0,0,E33/$K$9)</f>
        <v>0.0272191752996141</v>
      </c>
      <c r="G33" s="117" t="n">
        <f aca="false">G32+F33</f>
        <v>0.144322567540118</v>
      </c>
      <c r="H33" s="138" t="n">
        <v>6143.06</v>
      </c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RESUMO'!AF39</f>
        <v>14.21</v>
      </c>
      <c r="N33" s="140" t="n">
        <f aca="false">MAX(0,M33-M32)</f>
        <v>2.68</v>
      </c>
      <c r="O33" s="139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2.68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31034.4386339311</v>
      </c>
      <c r="E34" s="45" t="n">
        <f aca="false">L34+D34/$K$2</f>
        <v>23.929911221339</v>
      </c>
      <c r="F34" s="117" t="n">
        <f aca="false">IF($K$9=0,0,E34/$K$9)</f>
        <v>0.00792199878123095</v>
      </c>
      <c r="G34" s="117" t="n">
        <f aca="false">G33+F34</f>
        <v>0.152244566321349</v>
      </c>
      <c r="H34" s="138" t="n">
        <v>11788.04</v>
      </c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RESUMO'!AG39</f>
        <v>14.99</v>
      </c>
      <c r="N34" s="140" t="n">
        <f aca="false">MAX(0,M34-M33)</f>
        <v>0.779999999999999</v>
      </c>
      <c r="O34" s="139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0.779999999999999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0.152244566321349</v>
      </c>
      <c r="H35" s="138" t="n">
        <v>19370.02</v>
      </c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RESUMO'!AH39</f>
        <v>14.99</v>
      </c>
      <c r="N35" s="140" t="n">
        <f aca="false">MAX(0,M35-M34)</f>
        <v>0</v>
      </c>
      <c r="O35" s="139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0.152244566321349</v>
      </c>
      <c r="H36" s="138" t="n">
        <v>36470.97</v>
      </c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RESUMO'!AI39</f>
        <v>14.99</v>
      </c>
      <c r="N36" s="140" t="n">
        <f aca="false">MAX(0,M36-M35)</f>
        <v>0</v>
      </c>
      <c r="O36" s="139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0.152244566321349</v>
      </c>
      <c r="H37" s="138" t="n">
        <v>33925.2</v>
      </c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RESUMO'!AJ39</f>
        <v>14.99</v>
      </c>
      <c r="N37" s="140" t="n">
        <f aca="false">MAX(0,M37-M36)</f>
        <v>0</v>
      </c>
      <c r="O37" s="139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0.152244566321349</v>
      </c>
      <c r="H38" s="138" t="n">
        <v>47816.27</v>
      </c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RESUMO'!AK39</f>
        <v>14.99</v>
      </c>
      <c r="N38" s="140" t="n">
        <f aca="false">MAX(0,M38-M37)</f>
        <v>0</v>
      </c>
      <c r="O38" s="139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0.152244566321349</v>
      </c>
      <c r="H39" s="138" t="n">
        <v>49421.21</v>
      </c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RESUMO'!AL39</f>
        <v>14.99</v>
      </c>
      <c r="N39" s="140" t="n">
        <f aca="false">MAX(0,M39-M38)</f>
        <v>0</v>
      </c>
      <c r="O39" s="139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HISTORICOS'!AM39)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0.152244566321349</v>
      </c>
      <c r="H40" s="138" t="n">
        <v>55564.28</v>
      </c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RESUMO'!AM39</f>
        <v>14.99</v>
      </c>
      <c r="N40" s="140" t="n">
        <f aca="false">MAX(0,M40-M39)</f>
        <v>0</v>
      </c>
      <c r="O40" s="139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HISTORICOS'!AN39)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0.152244566321349</v>
      </c>
      <c r="H41" s="138" t="n">
        <v>120000</v>
      </c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RESUMO'!AN39</f>
        <v>14.99</v>
      </c>
      <c r="N41" s="140" t="n">
        <f aca="false">MAX(0,M41-M40)</f>
        <v>0</v>
      </c>
      <c r="O41" s="139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49336.7998795829</v>
      </c>
      <c r="E42" s="45" t="n">
        <f aca="false">L42+D42/$K$2</f>
        <v>38.042422967257</v>
      </c>
      <c r="F42" s="117" t="n">
        <f aca="false">IF($K$9=0,0,E42/$K$9)</f>
        <v>0.0125939467804184</v>
      </c>
      <c r="G42" s="117" t="n">
        <f aca="false">G41+F42</f>
        <v>0.164838513101767</v>
      </c>
      <c r="H42" s="138" t="n">
        <v>297136.05</v>
      </c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RESUMO'!AO39</f>
        <v>16.23</v>
      </c>
      <c r="N42" s="140" t="n">
        <f aca="false">MAX(0,M42-M41)</f>
        <v>1.24</v>
      </c>
      <c r="O42" s="139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1.24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69230.6707987695</v>
      </c>
      <c r="E43" s="45" t="n">
        <f aca="false">L43+D43/$K$2</f>
        <v>53.3821096476025</v>
      </c>
      <c r="F43" s="117" t="n">
        <f aca="false">IF($K$9=0,0,E43/$K$9)</f>
        <v>0.0176721511273614</v>
      </c>
      <c r="G43" s="117" t="n">
        <f aca="false">G42+F43</f>
        <v>0.182510664229129</v>
      </c>
      <c r="H43" s="138" t="n">
        <v>318055.67</v>
      </c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RESUMO'!AP39</f>
        <v>17.97</v>
      </c>
      <c r="N43" s="140" t="n">
        <f aca="false">MAX(0,M43-M42)</f>
        <v>1.74</v>
      </c>
      <c r="O43" s="139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1.74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97082.0900856309</v>
      </c>
      <c r="E44" s="45" t="n">
        <f aca="false">L44+D44/$K$2</f>
        <v>74.8576710000863</v>
      </c>
      <c r="F44" s="117" t="n">
        <f aca="false">IF($K$9=0,0,E44/$K$9)</f>
        <v>0.0247816372130815</v>
      </c>
      <c r="G44" s="117" t="n">
        <f aca="false">G43+F44</f>
        <v>0.20729230144221</v>
      </c>
      <c r="H44" s="138" t="n">
        <v>266531.43</v>
      </c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RESUMO'!AQ39</f>
        <v>20.41</v>
      </c>
      <c r="N44" s="140" t="n">
        <f aca="false">MAX(0,M44-M43)</f>
        <v>2.44</v>
      </c>
      <c r="O44" s="139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2.44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159548.844771877</v>
      </c>
      <c r="E45" s="45" t="n">
        <f aca="false">L45+D45/$K$2</f>
        <v>123.024287176371</v>
      </c>
      <c r="F45" s="117" t="n">
        <f aca="false">IF($K$9=0,0,E45/$K$9)</f>
        <v>0.0407271988624822</v>
      </c>
      <c r="G45" s="117" t="n">
        <f aca="false">G44+F45</f>
        <v>0.248019500304692</v>
      </c>
      <c r="H45" s="138" t="n">
        <v>319992.67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RESUMO'!AR39</f>
        <v>24.42</v>
      </c>
      <c r="N45" s="140" t="n">
        <f aca="false">MAX(0,M45-M44)</f>
        <v>4.01</v>
      </c>
      <c r="O45" s="139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4.01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369628.121678488</v>
      </c>
      <c r="E46" s="45" t="n">
        <f aca="false">L46+D46/$K$2</f>
        <v>285.01137852082</v>
      </c>
      <c r="F46" s="117" t="n">
        <f aca="false">IF($K$9=0,0,E46/$K$9)</f>
        <v>0.0943530367661995</v>
      </c>
      <c r="G46" s="117" t="n">
        <f aca="false">G45+F46</f>
        <v>0.342372537070892</v>
      </c>
      <c r="H46" s="138" t="n">
        <v>166969.54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RESUMO'!AS39</f>
        <v>33.71</v>
      </c>
      <c r="N46" s="140" t="n">
        <f aca="false">MAX(0,M46-M45)</f>
        <v>9.29</v>
      </c>
      <c r="O46" s="139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9.29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358885.431382127</v>
      </c>
      <c r="E47" s="45" t="n">
        <f aca="false">L47+D47/$K$2</f>
        <v>276.727947713434</v>
      </c>
      <c r="F47" s="117" t="n">
        <f aca="false">IF($K$9=0,0,E47/$K$9)</f>
        <v>0.0916108064188503</v>
      </c>
      <c r="G47" s="117" t="n">
        <f aca="false">G46+F47</f>
        <v>0.433983343489742</v>
      </c>
      <c r="H47" s="138" t="n">
        <v>158467.79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RESUMO'!AT39</f>
        <v>42.73</v>
      </c>
      <c r="N47" s="140" t="n">
        <f aca="false">MAX(0,M47-M46)</f>
        <v>9.02</v>
      </c>
      <c r="O47" s="139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9.02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245092.48972438</v>
      </c>
      <c r="E48" s="45" t="n">
        <f aca="false">L48+D48/$K$2</f>
        <v>188.984939901857</v>
      </c>
      <c r="F48" s="117" t="n">
        <f aca="false">IF($K$9=0,0,E48/$K$9)</f>
        <v>0.0625634775543368</v>
      </c>
      <c r="G48" s="117" t="n">
        <f aca="false">G47+F48</f>
        <v>0.496546821044079</v>
      </c>
      <c r="H48" s="138" t="n">
        <v>158467.79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RESUMO'!AU39</f>
        <v>48.89</v>
      </c>
      <c r="N48" s="140" t="n">
        <f aca="false">MAX(0,M48-M47)</f>
        <v>6.16</v>
      </c>
      <c r="O48" s="139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6.16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243898.857469228</v>
      </c>
      <c r="E49" s="45" t="n">
        <f aca="false">L49+D49/$K$2</f>
        <v>188.064558701036</v>
      </c>
      <c r="F49" s="117" t="n">
        <f aca="false">IF($K$9=0,0,E49/$K$9)</f>
        <v>0.0622587852935202</v>
      </c>
      <c r="G49" s="117" t="n">
        <f aca="false">G48+F49</f>
        <v>0.558805606337599</v>
      </c>
      <c r="H49" s="138" t="n">
        <v>158467.79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RESUMO'!AV39</f>
        <v>55.02</v>
      </c>
      <c r="N49" s="140" t="n">
        <f aca="false">MAX(0,M49-M48)</f>
        <v>6.13</v>
      </c>
      <c r="O49" s="139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6.13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274535.418684776</v>
      </c>
      <c r="E50" s="45" t="n">
        <f aca="false">L50+D50/$K$2</f>
        <v>211.687676188768</v>
      </c>
      <c r="F50" s="117" t="n">
        <f aca="false">IF($K$9=0,0,E50/$K$9)</f>
        <v>0.0700792199878123</v>
      </c>
      <c r="G50" s="117" t="n">
        <f aca="false">G49+F50</f>
        <v>0.628884826325411</v>
      </c>
      <c r="H50" s="138" t="n">
        <v>158467.79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RESUMO'!AW39</f>
        <v>61.92</v>
      </c>
      <c r="N50" s="140" t="n">
        <f aca="false">MAX(0,M50-M49)</f>
        <v>6.9</v>
      </c>
      <c r="O50" s="139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6.9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298010.186369416</v>
      </c>
      <c r="E51" s="45" t="n">
        <f aca="false">L51+D51/$K$2</f>
        <v>229.788506471576</v>
      </c>
      <c r="F51" s="117" t="n">
        <f aca="false">IF($K$9=0,0,E51/$K$9)</f>
        <v>0.0760715011172049</v>
      </c>
      <c r="G51" s="117" t="n">
        <f aca="false">G50+F51</f>
        <v>0.704956327442616</v>
      </c>
      <c r="H51" s="138" t="n">
        <v>158467.79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RESUMO'!AX39</f>
        <v>69.41</v>
      </c>
      <c r="N51" s="140" t="n">
        <f aca="false">MAX(0,M51-M50)</f>
        <v>7.49</v>
      </c>
      <c r="O51" s="139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7.49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299203.818624568</v>
      </c>
      <c r="E52" s="45" t="n">
        <f aca="false">L52+D52/$K$2</f>
        <v>230.708887672397</v>
      </c>
      <c r="F52" s="117" t="n">
        <f aca="false">IF($K$9=0,0,E52/$K$9)</f>
        <v>0.0763761933780217</v>
      </c>
      <c r="G52" s="117" t="n">
        <f aca="false">G51+F52</f>
        <v>0.781332520820638</v>
      </c>
      <c r="H52" s="138" t="n">
        <v>158467.79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RESUMO'!AY39</f>
        <v>76.93</v>
      </c>
      <c r="N52" s="140" t="n">
        <f aca="false">MAX(0,M52-M51)</f>
        <v>7.52000000000001</v>
      </c>
      <c r="O52" s="139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7.52000000000001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200132.341447017</v>
      </c>
      <c r="E53" s="45" t="n">
        <f aca="false">L53+D53/$K$2</f>
        <v>154.317248004276</v>
      </c>
      <c r="F53" s="117" t="n">
        <f aca="false">IF($K$9=0,0,E53/$K$9)</f>
        <v>0.0510867357302457</v>
      </c>
      <c r="G53" s="117" t="n">
        <f aca="false">G52+F53</f>
        <v>0.832419256550884</v>
      </c>
      <c r="H53" s="138" t="n">
        <v>158467.79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RESUMO'!AZ39</f>
        <v>81.96</v>
      </c>
      <c r="N53" s="140" t="n">
        <f aca="false">MAX(0,M53-M52)</f>
        <v>5.02999999999999</v>
      </c>
      <c r="O53" s="139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5.02999999999999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311140.14117608</v>
      </c>
      <c r="E54" s="45" t="n">
        <f aca="false">L54+D54/$K$2</f>
        <v>239.912699680605</v>
      </c>
      <c r="F54" s="117" t="n">
        <f aca="false">IF($K$9=0,0,E54/$K$9)</f>
        <v>0.0794231159861874</v>
      </c>
      <c r="G54" s="117" t="n">
        <f aca="false">G53+F54</f>
        <v>0.911842372537071</v>
      </c>
      <c r="H54" s="138" t="n">
        <v>158467.79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RESUMO'!BA39</f>
        <v>89.78</v>
      </c>
      <c r="N54" s="140" t="n">
        <f aca="false">MAX(0,M54-M53)</f>
        <v>7.82000000000001</v>
      </c>
      <c r="O54" s="139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7.82000000000001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222811.35429489</v>
      </c>
      <c r="E55" s="45" t="n">
        <f aca="false">L55+D55/$K$2</f>
        <v>171.80449081987</v>
      </c>
      <c r="F55" s="117" t="n">
        <f aca="false">IF($K$9=0,0,E55/$K$9)</f>
        <v>0.0568758886857607</v>
      </c>
      <c r="G55" s="117" t="n">
        <f aca="false">G54+F55</f>
        <v>0.968718261222832</v>
      </c>
      <c r="H55" s="138" t="n">
        <v>158467.79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RESUMO'!BB39</f>
        <v>95.38</v>
      </c>
      <c r="N55" s="140" t="n">
        <f aca="false">MAX(0,M55-M54)</f>
        <v>5.59999999999999</v>
      </c>
      <c r="O55" s="139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5.59999999999999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121750.490025422</v>
      </c>
      <c r="E56" s="45" t="n">
        <f aca="false">L56+D56/$K$2</f>
        <v>93.8788824837148</v>
      </c>
      <c r="F56" s="117" t="n">
        <f aca="false">IF($K$9=0,0,E56/$K$9)</f>
        <v>0.0310786106032907</v>
      </c>
      <c r="G56" s="117" t="n">
        <f aca="false">G55+F56</f>
        <v>0.999796871826123</v>
      </c>
      <c r="H56" s="138" t="n">
        <v>158467.79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RESUMO'!BC39</f>
        <v>98.44</v>
      </c>
      <c r="N56" s="140" t="n">
        <f aca="false">MAX(0,M56-M55)</f>
        <v>3.06</v>
      </c>
      <c r="O56" s="139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3.06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795.754836767308</v>
      </c>
      <c r="E57" s="45" t="n">
        <f aca="false">L57+D57/$K$2</f>
        <v>0.6135874672137</v>
      </c>
      <c r="F57" s="117" t="n">
        <f aca="false">IF($K$9=0,0,E57/$K$9)</f>
        <v>0.000203128173877676</v>
      </c>
      <c r="G57" s="117" t="n">
        <f aca="false">G56+F57</f>
        <v>1</v>
      </c>
      <c r="H57" s="138" t="n">
        <v>158467.79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RESUMO'!BD39</f>
        <v>98.46</v>
      </c>
      <c r="N57" s="140" t="n">
        <f aca="false">MAX(0,M57-M56)</f>
        <v>0.019999999999996</v>
      </c>
      <c r="O57" s="139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0.019999999999996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 t="n">
        <v>267371.55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RESUMO'!BE39</f>
        <v>98.46</v>
      </c>
      <c r="N58" s="140" t="n">
        <f aca="false">MAX(0,M58-M57)</f>
        <v>0</v>
      </c>
      <c r="O58" s="139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RESUMO'!BF39</f>
        <v>98.46</v>
      </c>
      <c r="N59" s="140" t="n">
        <f aca="false">MAX(0,M59-M58)</f>
        <v>0</v>
      </c>
      <c r="O59" s="139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RESUMO'!BG39</f>
        <v>98.46</v>
      </c>
      <c r="N60" s="140" t="n">
        <f aca="false">MAX(0,M60-M59)</f>
        <v>0</v>
      </c>
      <c r="O60" s="139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RESUMO'!BH39</f>
        <v>98.46</v>
      </c>
      <c r="N61" s="140" t="n">
        <f aca="false">MAX(0,M61-M60)</f>
        <v>0</v>
      </c>
      <c r="O61" s="139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RESUMO'!BI39</f>
        <v>98.46</v>
      </c>
      <c r="N62" s="140" t="n">
        <f aca="false">MAX(0,M62-M61)</f>
        <v>0</v>
      </c>
      <c r="O62" s="139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RESUMO'!BJ39</f>
        <v>98.46</v>
      </c>
      <c r="N63" s="140" t="n">
        <f aca="false">MAX(0,M63-M62)</f>
        <v>0</v>
      </c>
      <c r="O63" s="139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RESUMO'!BK39</f>
        <v>98.46</v>
      </c>
      <c r="N64" s="140" t="n">
        <f aca="false">MAX(0,M64-M63)</f>
        <v>0</v>
      </c>
      <c r="O64" s="139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RESUMO'!BL39</f>
        <v>98.46</v>
      </c>
      <c r="N65" s="140" t="n">
        <f aca="false">MAX(0,M65-M64)</f>
        <v>0</v>
      </c>
      <c r="O65" s="139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RESUMO'!BM39</f>
        <v>98.46</v>
      </c>
      <c r="N66" s="140" t="n">
        <f aca="false">MAX(0,M66-M65)</f>
        <v>0</v>
      </c>
      <c r="O66" s="139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RESUMO'!BN39</f>
        <v>98.46</v>
      </c>
      <c r="N67" s="140" t="n">
        <f aca="false">MAX(0,M67-M66)</f>
        <v>0</v>
      </c>
      <c r="O67" s="139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RESUMO'!BO39</f>
        <v>98.46</v>
      </c>
      <c r="N68" s="140" t="n">
        <f aca="false">MAX(0,M68-M67)</f>
        <v>0</v>
      </c>
      <c r="O68" s="139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RESUMO'!BP39</f>
        <v>98.46</v>
      </c>
      <c r="N69" s="140" t="n">
        <f aca="false">MAX(0,M69-M68)</f>
        <v>0</v>
      </c>
      <c r="O69" s="139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RESUMO'!BQ39</f>
        <v>98.46</v>
      </c>
      <c r="N70" s="140" t="n">
        <f aca="false">MAX(0,M70-M69)</f>
        <v>0</v>
      </c>
      <c r="O70" s="139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RESUMO'!BR39</f>
        <v>98.46</v>
      </c>
      <c r="N71" s="140" t="n">
        <f aca="false">MAX(0,M71-M70)</f>
        <v>0</v>
      </c>
      <c r="O71" s="139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RESUMO'!BS39</f>
        <v>98.46</v>
      </c>
      <c r="N72" s="140" t="n">
        <f aca="false">MAX(0,M72-M71)</f>
        <v>0</v>
      </c>
      <c r="O72" s="139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RESUMO'!BT39</f>
        <v>98.46</v>
      </c>
      <c r="N73" s="140" t="n">
        <f aca="false">MAX(0,M73-M72)</f>
        <v>0</v>
      </c>
      <c r="O73" s="139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RESUMO'!BU39</f>
        <v>98.46</v>
      </c>
      <c r="N74" s="140" t="n">
        <f aca="false">MAX(0,M74-M73)</f>
        <v>0</v>
      </c>
      <c r="O74" s="139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RESUMO'!BV39</f>
        <v>98.46</v>
      </c>
      <c r="N75" s="140" t="n">
        <f aca="false">MAX(0,M75-M74)</f>
        <v>0</v>
      </c>
      <c r="O75" s="139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RESUMO'!BW39</f>
        <v>98.46</v>
      </c>
      <c r="N76" s="140" t="n">
        <f aca="false">MAX(0,M76-M75)</f>
        <v>0</v>
      </c>
      <c r="O76" s="139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3917501.06140623</v>
      </c>
      <c r="E78" s="61" t="n">
        <f aca="false">SUM(E5:E76)</f>
        <v>3020.69110109364</v>
      </c>
      <c r="F78" s="145" t="n">
        <f aca="false">SUM(F5:F76)</f>
        <v>1</v>
      </c>
      <c r="H78" s="61" t="n">
        <f aca="false">SUM(H5:H76)</f>
        <v>3759701.65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PAISAGISMO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PL'!F46</f>
        <v>1116999.6</v>
      </c>
      <c r="K5" s="56" t="n">
        <f aca="false">'VALOR POR PL'!G46</f>
        <v>918.052182</v>
      </c>
      <c r="L5" s="56" t="n">
        <f aca="false">'DADOS HISTORICOS'!$BZ$40</f>
        <v>0</v>
      </c>
      <c r="M5" s="139" t="n">
        <f aca="false">'CP RESUMO'!D40</f>
        <v>0</v>
      </c>
      <c r="N5" s="140" t="n">
        <v>0</v>
      </c>
      <c r="O5" s="139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PL'!H46</f>
        <v>918.052182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RESUMO'!E40</f>
        <v>0</v>
      </c>
      <c r="N6" s="140" t="n">
        <f aca="false">MAX(0,M6-M5)</f>
        <v>0</v>
      </c>
      <c r="O6" s="139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1190140.95669366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RESUMO'!F40</f>
        <v>0</v>
      </c>
      <c r="N7" s="140" t="n">
        <f aca="false">MAX(0,M7-M6)</f>
        <v>0</v>
      </c>
      <c r="O7" s="139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RESUMO'!G40</f>
        <v>0</v>
      </c>
      <c r="N8" s="140" t="n">
        <f aca="false">MAX(0,M8-M7)</f>
        <v>0</v>
      </c>
      <c r="O8" s="139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1190140.95669366</v>
      </c>
      <c r="K9" s="45" t="n">
        <f aca="false">E78</f>
        <v>917.689144324351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RESUMO'!H40</f>
        <v>0</v>
      </c>
      <c r="N9" s="140" t="n">
        <f aca="false">MAX(0,M9-M8)</f>
        <v>0</v>
      </c>
      <c r="O9" s="139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917.689144324351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RESUMO'!I40</f>
        <v>0</v>
      </c>
      <c r="N10" s="140" t="n">
        <f aca="false">MAX(0,M10-M9)</f>
        <v>0</v>
      </c>
      <c r="O10" s="139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1176926.29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RESUMO'!J40</f>
        <v>0</v>
      </c>
      <c r="N11" s="140" t="n">
        <f aca="false">MAX(0,M11-M10)</f>
        <v>0</v>
      </c>
      <c r="O11" s="139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RESUMO'!K40</f>
        <v>0</v>
      </c>
      <c r="N12" s="140" t="n">
        <f aca="false">MAX(0,M12-M11)</f>
        <v>0</v>
      </c>
      <c r="O12" s="139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RESUMO'!L40</f>
        <v>0</v>
      </c>
      <c r="N13" s="140" t="n">
        <f aca="false">MAX(0,M13-M12)</f>
        <v>0</v>
      </c>
      <c r="O13" s="139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RESUMO'!$D$82:$BW$82,MATCH('VALOR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RESUMO'!M40</f>
        <v>0</v>
      </c>
      <c r="N14" s="140" t="n">
        <f aca="false">MAX(0,M14-M13)</f>
        <v>0</v>
      </c>
      <c r="O14" s="139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RESUMO'!N40</f>
        <v>0</v>
      </c>
      <c r="N15" s="140" t="n">
        <f aca="false">MAX(0,M15-M14)</f>
        <v>0</v>
      </c>
      <c r="O15" s="139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RESUMO'!O40</f>
        <v>0</v>
      </c>
      <c r="N16" s="140" t="n">
        <f aca="false">MAX(0,M16-M15)</f>
        <v>0</v>
      </c>
      <c r="O16" s="139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RESUMO'!P40</f>
        <v>0</v>
      </c>
      <c r="N17" s="140" t="n">
        <f aca="false">MAX(0,M17-M16)</f>
        <v>0</v>
      </c>
      <c r="O17" s="139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1190140.95669366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RESUMO'!Q40</f>
        <v>0</v>
      </c>
      <c r="N18" s="140" t="n">
        <f aca="false">MAX(0,M18-M17)</f>
        <v>0</v>
      </c>
      <c r="O18" s="139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RESUMO'!R40</f>
        <v>0</v>
      </c>
      <c r="N19" s="140" t="n">
        <f aca="false">MAX(0,M19-M18)</f>
        <v>0</v>
      </c>
      <c r="O19" s="139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RESUMO'!S40</f>
        <v>0</v>
      </c>
      <c r="N20" s="140" t="n">
        <f aca="false">MAX(0,M20-M19)</f>
        <v>0</v>
      </c>
      <c r="O20" s="139" t="n">
        <f aca="false">IF(B20&lt;='VALOR POR PL'!$P$5,'CP RESUMO'!S82,"")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RESUMO'!T40</f>
        <v>0</v>
      </c>
      <c r="N21" s="140" t="n">
        <f aca="false">MAX(0,M21-M20)</f>
        <v>0</v>
      </c>
      <c r="O21" s="139" t="n">
        <f aca="false">IF(B21&lt;='VALOR POR PL'!$P$5,'CP RESUMO'!T82,"")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RESUMO'!U40</f>
        <v>0</v>
      </c>
      <c r="N22" s="140" t="n">
        <f aca="false">MAX(0,M22-M21)</f>
        <v>0</v>
      </c>
      <c r="O22" s="139" t="n">
        <f aca="false">IF(B22&lt;='VALOR POR PL'!$P$5,'CP RESUMO'!U82,"")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RESUMO'!V40</f>
        <v>0</v>
      </c>
      <c r="N23" s="140" t="n">
        <f aca="false">MAX(0,M23-M22)</f>
        <v>0</v>
      </c>
      <c r="O23" s="139" t="n">
        <f aca="false">IF(B23&lt;='VALOR POR PL'!$P$5,'CP RESUMO'!V82,"")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RESUMO'!W40</f>
        <v>0</v>
      </c>
      <c r="N24" s="140" t="n">
        <f aca="false">MAX(0,M24-M23)</f>
        <v>0</v>
      </c>
      <c r="O24" s="139" t="n">
        <f aca="false">IF(B24&lt;='VALOR POR PL'!$P$5,'CP RESUMO'!W82,"")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HISTORICOS'!X40)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RESUMO'!X40</f>
        <v>0</v>
      </c>
      <c r="N25" s="140" t="n">
        <f aca="false">MAX(0,M25-M24)</f>
        <v>0</v>
      </c>
      <c r="O25" s="139" t="n">
        <f aca="false">IF(B25&lt;='VALOR POR PL'!$P$5,'CP RESUMO'!X82,"")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RESUMO'!Y40</f>
        <v>0</v>
      </c>
      <c r="N26" s="140" t="n">
        <f aca="false">MAX(0,M26-M25)</f>
        <v>0</v>
      </c>
      <c r="O26" s="139" t="str">
        <f aca="false">IF(B26&lt;='VALOR POR PL'!$P$5,'CP RESUMO'!Y82,"")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RESUMO'!Z40</f>
        <v>0</v>
      </c>
      <c r="N27" s="140" t="n">
        <f aca="false">MAX(0,M27-M26)</f>
        <v>0</v>
      </c>
      <c r="O27" s="139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RESUMO'!AA40</f>
        <v>0</v>
      </c>
      <c r="N28" s="140" t="n">
        <f aca="false">MAX(0,M28-M27)</f>
        <v>0</v>
      </c>
      <c r="O28" s="139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RESUMO'!AB40</f>
        <v>0</v>
      </c>
      <c r="N29" s="140" t="n">
        <f aca="false">MAX(0,M29-M28)</f>
        <v>0</v>
      </c>
      <c r="O29" s="139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RESUMO'!AC40</f>
        <v>0</v>
      </c>
      <c r="N30" s="140" t="n">
        <f aca="false">MAX(0,M30-M29)</f>
        <v>0</v>
      </c>
      <c r="O30" s="139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RESUMO'!AD40</f>
        <v>0</v>
      </c>
      <c r="N31" s="140" t="n">
        <f aca="false">MAX(0,M31-M30)</f>
        <v>0</v>
      </c>
      <c r="O31" s="139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RESUMO'!AE40</f>
        <v>0</v>
      </c>
      <c r="N32" s="140" t="n">
        <f aca="false">MAX(0,M32-M31)</f>
        <v>0</v>
      </c>
      <c r="O32" s="139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RESUMO'!AF40</f>
        <v>0</v>
      </c>
      <c r="N33" s="140" t="n">
        <f aca="false">MAX(0,M33-M32)</f>
        <v>0</v>
      </c>
      <c r="O33" s="139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RESUMO'!AG40</f>
        <v>0</v>
      </c>
      <c r="N34" s="140" t="n">
        <f aca="false">MAX(0,M34-M33)</f>
        <v>0</v>
      </c>
      <c r="O34" s="139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RESUMO'!AH40</f>
        <v>0</v>
      </c>
      <c r="N35" s="140" t="n">
        <f aca="false">MAX(0,M35-M34)</f>
        <v>0</v>
      </c>
      <c r="O35" s="139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RESUMO'!AI40</f>
        <v>0</v>
      </c>
      <c r="N36" s="140" t="n">
        <f aca="false">MAX(0,M36-M35)</f>
        <v>0</v>
      </c>
      <c r="O36" s="139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RESUMO'!AJ40</f>
        <v>0</v>
      </c>
      <c r="N37" s="140" t="n">
        <f aca="false">MAX(0,M37-M36)</f>
        <v>0</v>
      </c>
      <c r="O37" s="139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RESUMO'!AK40</f>
        <v>0</v>
      </c>
      <c r="N38" s="140" t="n">
        <f aca="false">MAX(0,M38-M37)</f>
        <v>0</v>
      </c>
      <c r="O38" s="139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RESUMO'!AL40</f>
        <v>0</v>
      </c>
      <c r="N39" s="140" t="n">
        <f aca="false">MAX(0,M39-M38)</f>
        <v>0</v>
      </c>
      <c r="O39" s="139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RESUMO'!AM40</f>
        <v>0</v>
      </c>
      <c r="N40" s="140" t="n">
        <f aca="false">MAX(0,M40-M39)</f>
        <v>0</v>
      </c>
      <c r="O40" s="139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RESUMO'!AN40</f>
        <v>0</v>
      </c>
      <c r="N41" s="140" t="n">
        <f aca="false">MAX(0,M41-M40)</f>
        <v>0</v>
      </c>
      <c r="O41" s="139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RESUMO'!AO40</f>
        <v>0</v>
      </c>
      <c r="N42" s="140" t="n">
        <f aca="false">MAX(0,M42-M41)</f>
        <v>0</v>
      </c>
      <c r="O42" s="139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RESUMO'!AP40</f>
        <v>0</v>
      </c>
      <c r="N43" s="140" t="n">
        <f aca="false">MAX(0,M43-M42)</f>
        <v>0</v>
      </c>
      <c r="O43" s="139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RESUMO'!AQ40</f>
        <v>0</v>
      </c>
      <c r="N44" s="140" t="n">
        <f aca="false">MAX(0,M44-M43)</f>
        <v>0</v>
      </c>
      <c r="O44" s="139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</v>
      </c>
      <c r="H45" s="138"/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RESUMO'!AR40</f>
        <v>0</v>
      </c>
      <c r="N45" s="140" t="n">
        <f aca="false">MAX(0,M45-M44)</f>
        <v>0</v>
      </c>
      <c r="O45" s="139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</v>
      </c>
      <c r="H46" s="138"/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RESUMO'!AS40</f>
        <v>0</v>
      </c>
      <c r="N46" s="140" t="n">
        <f aca="false">MAX(0,M46-M45)</f>
        <v>0</v>
      </c>
      <c r="O46" s="139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</v>
      </c>
      <c r="H47" s="138"/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RESUMO'!AT40</f>
        <v>0</v>
      </c>
      <c r="N47" s="140" t="n">
        <f aca="false">MAX(0,M47-M46)</f>
        <v>0</v>
      </c>
      <c r="O47" s="139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281587.350353721</v>
      </c>
      <c r="E48" s="45" t="n">
        <f aca="false">L48+D48/$K$2</f>
        <v>217.125251547142</v>
      </c>
      <c r="F48" s="117" t="n">
        <f aca="false">IF($K$9=0,0,E48/$K$9)</f>
        <v>0.2366</v>
      </c>
      <c r="G48" s="117" t="n">
        <f aca="false">G47+F48</f>
        <v>0.2366</v>
      </c>
      <c r="H48" s="138"/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RESUMO'!AU40</f>
        <v>23.66</v>
      </c>
      <c r="N48" s="140" t="n">
        <f aca="false">MAX(0,M48-M47)</f>
        <v>23.66</v>
      </c>
      <c r="O48" s="139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23.66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389295.106934497</v>
      </c>
      <c r="E49" s="45" t="n">
        <f aca="false">L49+D49/$K$2</f>
        <v>300.176119108495</v>
      </c>
      <c r="F49" s="117" t="n">
        <f aca="false">IF($K$9=0,0,E49/$K$9)</f>
        <v>0.3271</v>
      </c>
      <c r="G49" s="117" t="n">
        <f aca="false">G48+F49</f>
        <v>0.5637</v>
      </c>
      <c r="H49" s="138"/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RESUMO'!AV40</f>
        <v>56.37</v>
      </c>
      <c r="N49" s="140" t="n">
        <f aca="false">MAX(0,M49-M48)</f>
        <v>32.71</v>
      </c>
      <c r="O49" s="139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32.71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172094.382337904</v>
      </c>
      <c r="E50" s="45" t="n">
        <f aca="false">L50+D50/$K$2</f>
        <v>132.697850269301</v>
      </c>
      <c r="F50" s="117" t="n">
        <f aca="false">IF($K$9=0,0,E50/$K$9)</f>
        <v>0.1446</v>
      </c>
      <c r="G50" s="117" t="n">
        <f aca="false">G49+F50</f>
        <v>0.7083</v>
      </c>
      <c r="H50" s="138" t="n">
        <v>377793.34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RESUMO'!AW40</f>
        <v>70.83</v>
      </c>
      <c r="N50" s="140" t="n">
        <f aca="false">MAX(0,M50-M49)</f>
        <v>14.46</v>
      </c>
      <c r="O50" s="139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14.46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217319.738692263</v>
      </c>
      <c r="E51" s="45" t="n">
        <f aca="false">L51+D51/$K$2</f>
        <v>167.570037753627</v>
      </c>
      <c r="F51" s="117" t="n">
        <f aca="false">IF($K$9=0,0,E51/$K$9)</f>
        <v>0.1826</v>
      </c>
      <c r="G51" s="117" t="n">
        <f aca="false">G50+F51</f>
        <v>0.8909</v>
      </c>
      <c r="H51" s="138" t="n">
        <v>346604.79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RESUMO'!AX40</f>
        <v>89.09</v>
      </c>
      <c r="N51" s="140" t="n">
        <f aca="false">MAX(0,M51-M50)</f>
        <v>18.26</v>
      </c>
      <c r="O51" s="139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18.26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107231.700198099</v>
      </c>
      <c r="E52" s="45" t="n">
        <f aca="false">L52+D52/$K$2</f>
        <v>82.683791903624</v>
      </c>
      <c r="F52" s="117" t="n">
        <f aca="false">IF($K$9=0,0,E52/$K$9)</f>
        <v>0.0900999999999999</v>
      </c>
      <c r="G52" s="117" t="n">
        <f aca="false">G51+F52</f>
        <v>0.981</v>
      </c>
      <c r="H52" s="138" t="n">
        <v>267750.73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RESUMO'!AY40</f>
        <v>98.1</v>
      </c>
      <c r="N52" s="140" t="n">
        <f aca="false">MAX(0,M52-M51)</f>
        <v>9.00999999999999</v>
      </c>
      <c r="O52" s="139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9.00999999999999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22612.6781771797</v>
      </c>
      <c r="E53" s="45" t="n">
        <f aca="false">L53+D53/$K$2</f>
        <v>17.4360937421627</v>
      </c>
      <c r="F53" s="117" t="n">
        <f aca="false">IF($K$9=0,0,E53/$K$9)</f>
        <v>0.0190000000000001</v>
      </c>
      <c r="G53" s="117" t="n">
        <f aca="false">G52+F53</f>
        <v>1</v>
      </c>
      <c r="H53" s="138" t="n">
        <v>123341.88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RESUMO'!AZ40</f>
        <v>100</v>
      </c>
      <c r="N53" s="140" t="n">
        <f aca="false">MAX(0,M53-M52)</f>
        <v>1.90000000000001</v>
      </c>
      <c r="O53" s="139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1.90000000000001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8" t="n">
        <v>61435.55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RESUMO'!BA40</f>
        <v>100</v>
      </c>
      <c r="N54" s="140" t="n">
        <f aca="false">MAX(0,M54-M53)</f>
        <v>0</v>
      </c>
      <c r="O54" s="139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8"/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RESUMO'!BB40</f>
        <v>100</v>
      </c>
      <c r="N55" s="140" t="n">
        <f aca="false">MAX(0,M55-M54)</f>
        <v>0</v>
      </c>
      <c r="O55" s="139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8"/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RESUMO'!BC40</f>
        <v>100</v>
      </c>
      <c r="N56" s="140" t="n">
        <f aca="false">MAX(0,M56-M55)</f>
        <v>0</v>
      </c>
      <c r="O56" s="139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8"/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RESUMO'!BD40</f>
        <v>100</v>
      </c>
      <c r="N57" s="140" t="n">
        <f aca="false">MAX(0,M57-M56)</f>
        <v>0</v>
      </c>
      <c r="O57" s="139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/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RESUMO'!BE40</f>
        <v>100</v>
      </c>
      <c r="N58" s="140" t="n">
        <f aca="false">MAX(0,M58-M57)</f>
        <v>0</v>
      </c>
      <c r="O58" s="139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RESUMO'!BF40</f>
        <v>100</v>
      </c>
      <c r="N59" s="140" t="n">
        <f aca="false">MAX(0,M59-M58)</f>
        <v>0</v>
      </c>
      <c r="O59" s="139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RESUMO'!BG40</f>
        <v>100</v>
      </c>
      <c r="N60" s="140" t="n">
        <f aca="false">MAX(0,M60-M59)</f>
        <v>0</v>
      </c>
      <c r="O60" s="139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RESUMO'!BH40</f>
        <v>100</v>
      </c>
      <c r="N61" s="140" t="n">
        <f aca="false">MAX(0,M61-M60)</f>
        <v>0</v>
      </c>
      <c r="O61" s="139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RESUMO'!BI40</f>
        <v>100</v>
      </c>
      <c r="N62" s="140" t="n">
        <f aca="false">MAX(0,M62-M61)</f>
        <v>0</v>
      </c>
      <c r="O62" s="139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RESUMO'!BJ40</f>
        <v>100</v>
      </c>
      <c r="N63" s="140" t="n">
        <f aca="false">MAX(0,M63-M62)</f>
        <v>0</v>
      </c>
      <c r="O63" s="139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RESUMO'!BK40</f>
        <v>100</v>
      </c>
      <c r="N64" s="140" t="n">
        <f aca="false">MAX(0,M64-M63)</f>
        <v>0</v>
      </c>
      <c r="O64" s="139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RESUMO'!BL40</f>
        <v>100</v>
      </c>
      <c r="N65" s="140" t="n">
        <f aca="false">MAX(0,M65-M64)</f>
        <v>0</v>
      </c>
      <c r="O65" s="139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RESUMO'!BM40</f>
        <v>100</v>
      </c>
      <c r="N66" s="140" t="n">
        <f aca="false">MAX(0,M66-M65)</f>
        <v>0</v>
      </c>
      <c r="O66" s="139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RESUMO'!BN40</f>
        <v>100</v>
      </c>
      <c r="N67" s="140" t="n">
        <f aca="false">MAX(0,M67-M66)</f>
        <v>0</v>
      </c>
      <c r="O67" s="139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RESUMO'!BO40</f>
        <v>100</v>
      </c>
      <c r="N68" s="140" t="n">
        <f aca="false">MAX(0,M68-M67)</f>
        <v>0</v>
      </c>
      <c r="O68" s="139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RESUMO'!BP40</f>
        <v>100</v>
      </c>
      <c r="N69" s="140" t="n">
        <f aca="false">MAX(0,M69-M68)</f>
        <v>0</v>
      </c>
      <c r="O69" s="139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RESUMO'!BQ40</f>
        <v>100</v>
      </c>
      <c r="N70" s="140" t="n">
        <f aca="false">MAX(0,M70-M69)</f>
        <v>0</v>
      </c>
      <c r="O70" s="139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RESUMO'!BR40</f>
        <v>100</v>
      </c>
      <c r="N71" s="140" t="n">
        <f aca="false">MAX(0,M71-M70)</f>
        <v>0</v>
      </c>
      <c r="O71" s="139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RESUMO'!BS40</f>
        <v>100</v>
      </c>
      <c r="N72" s="140" t="n">
        <f aca="false">MAX(0,M72-M71)</f>
        <v>0</v>
      </c>
      <c r="O72" s="139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RESUMO'!BT40</f>
        <v>100</v>
      </c>
      <c r="N73" s="140" t="n">
        <f aca="false">MAX(0,M73-M72)</f>
        <v>0</v>
      </c>
      <c r="O73" s="139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RESUMO'!BU40</f>
        <v>100</v>
      </c>
      <c r="N74" s="140" t="n">
        <f aca="false">MAX(0,M74-M73)</f>
        <v>0</v>
      </c>
      <c r="O74" s="139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RESUMO'!BV40</f>
        <v>100</v>
      </c>
      <c r="N75" s="140" t="n">
        <f aca="false">MAX(0,M75-M74)</f>
        <v>0</v>
      </c>
      <c r="O75" s="139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RESUMO'!BW40</f>
        <v>100</v>
      </c>
      <c r="N76" s="140" t="n">
        <f aca="false">MAX(0,M76-M75)</f>
        <v>0</v>
      </c>
      <c r="O76" s="139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1190140.95669366</v>
      </c>
      <c r="E78" s="61" t="n">
        <f aca="false">SUM(E5:E76)</f>
        <v>917.689144324351</v>
      </c>
      <c r="F78" s="145" t="n">
        <f aca="false">SUM(F5:F76)</f>
        <v>1</v>
      </c>
      <c r="H78" s="61" t="n">
        <f aca="false">SUM(H5:H76)</f>
        <v>1176926.29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2906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2907</v>
      </c>
      <c r="D4" s="54" t="s">
        <v>2908</v>
      </c>
      <c r="E4" s="54" t="s">
        <v>2909</v>
      </c>
      <c r="F4" s="54" t="s">
        <v>2910</v>
      </c>
      <c r="G4" s="54" t="s">
        <v>2911</v>
      </c>
      <c r="H4" s="137" t="s">
        <v>2912</v>
      </c>
      <c r="I4" s="54" t="s">
        <v>2913</v>
      </c>
      <c r="J4" s="54" t="s">
        <v>2914</v>
      </c>
      <c r="K4" s="54" t="s">
        <v>2909</v>
      </c>
      <c r="L4" s="54" t="s">
        <v>2915</v>
      </c>
      <c r="M4" s="54" t="s">
        <v>2916</v>
      </c>
      <c r="N4" s="54" t="s">
        <v>2917</v>
      </c>
      <c r="O4" s="54" t="s">
        <v>2918</v>
      </c>
      <c r="P4" s="54" t="s">
        <v>2919</v>
      </c>
    </row>
    <row r="5" customFormat="false" ht="15" hidden="false" customHeight="false" outlineLevel="0" collapsed="false">
      <c r="A5" s="123" t="s">
        <v>2868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8"/>
      <c r="I5" s="42" t="s">
        <v>2920</v>
      </c>
      <c r="J5" s="56" t="n">
        <f aca="false">'VALOR POR PL'!F47</f>
        <v>887766.61</v>
      </c>
      <c r="K5" s="56" t="n">
        <f aca="false">'VALOR POR PL'!G47</f>
        <v>729.647598</v>
      </c>
      <c r="L5" s="56" t="n">
        <f aca="false">'DADOS HISTORICOS'!$BZ$41</f>
        <v>0</v>
      </c>
      <c r="M5" s="139" t="n">
        <f aca="false">'CP RESUMO'!D41</f>
        <v>0</v>
      </c>
      <c r="N5" s="140" t="n">
        <v>0</v>
      </c>
      <c r="O5" s="139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1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8"/>
      <c r="I6" s="42" t="s">
        <v>2921</v>
      </c>
      <c r="K6" s="52" t="n">
        <f aca="false">'VALOR POR PL'!H47</f>
        <v>729.647598</v>
      </c>
      <c r="L6" s="45" t="n">
        <f aca="false">C6/IF(B6&lt;='VALOR POR PL'!$P$5,IFERROR(INDEX('"INCC-FGV"'!$B$2:$B$800,MATCH(B6,'"INCC-FGV"'!$A$2:$A$800,0)),$K$2),$K$2)</f>
        <v>0</v>
      </c>
      <c r="M6" s="139" t="n">
        <f aca="false">'CP RESUMO'!E41</f>
        <v>0</v>
      </c>
      <c r="N6" s="140" t="n">
        <f aca="false">MAX(0,M6-M5)</f>
        <v>0</v>
      </c>
      <c r="O6" s="139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1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8"/>
      <c r="I7" s="42" t="s">
        <v>2922</v>
      </c>
      <c r="J7" s="45" t="n">
        <f aca="false">C78+D78</f>
        <v>945897.746728468</v>
      </c>
      <c r="L7" s="45" t="n">
        <f aca="false">C7/IF(B7&lt;='VALOR POR PL'!$P$5,IFERROR(INDEX('"INCC-FGV"'!$B$2:$B$800,MATCH(B7,'"INCC-FGV"'!$A$2:$A$800,0)),$K$2),$K$2)</f>
        <v>0</v>
      </c>
      <c r="M7" s="139" t="n">
        <f aca="false">'CP RESUMO'!F41</f>
        <v>0</v>
      </c>
      <c r="N7" s="140" t="n">
        <f aca="false">MAX(0,M7-M6)</f>
        <v>0</v>
      </c>
      <c r="O7" s="139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1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8"/>
      <c r="I8" s="42" t="s">
        <v>2923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39" t="n">
        <f aca="false">'CP RESUMO'!G41</f>
        <v>0</v>
      </c>
      <c r="N8" s="140" t="n">
        <f aca="false">MAX(0,M8-M7)</f>
        <v>0</v>
      </c>
      <c r="O8" s="139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1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8"/>
      <c r="I9" s="42" t="s">
        <v>2924</v>
      </c>
      <c r="J9" s="45" t="n">
        <f aca="false">C78+D78</f>
        <v>945897.746728468</v>
      </c>
      <c r="K9" s="45" t="n">
        <f aca="false">E78</f>
        <v>729.359063673505</v>
      </c>
      <c r="L9" s="45" t="n">
        <f aca="false">C9/IF(B9&lt;='VALOR POR PL'!$P$5,IFERROR(INDEX('"INCC-FGV"'!$B$2:$B$800,MATCH(B9,'"INCC-FGV"'!$A$2:$A$800,0)),$K$2),$K$2)</f>
        <v>0</v>
      </c>
      <c r="M9" s="139" t="n">
        <f aca="false">'CP RESUMO'!H41</f>
        <v>0</v>
      </c>
      <c r="N9" s="140" t="n">
        <f aca="false">MAX(0,M9-M8)</f>
        <v>0</v>
      </c>
      <c r="O9" s="139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1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8"/>
      <c r="I10" s="42" t="s">
        <v>2925</v>
      </c>
      <c r="K10" s="52" t="n">
        <f aca="false">IF(K6-K8&gt;0,(K6-K8)*'VALOR POR PL'!$G$65,K6-K8)</f>
        <v>729.359063673505</v>
      </c>
      <c r="L10" s="45" t="n">
        <f aca="false">C10/IF(B10&lt;='VALOR POR PL'!$P$5,IFERROR(INDEX('"INCC-FGV"'!$B$2:$B$800,MATCH(B10,'"INCC-FGV"'!$A$2:$A$800,0)),$K$2),$K$2)</f>
        <v>0</v>
      </c>
      <c r="M10" s="139" t="n">
        <f aca="false">'CP RESUMO'!I41</f>
        <v>0</v>
      </c>
      <c r="N10" s="140" t="n">
        <f aca="false">MAX(0,M10-M9)</f>
        <v>0</v>
      </c>
      <c r="O10" s="139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1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8"/>
      <c r="I11" s="42" t="s">
        <v>2926</v>
      </c>
      <c r="K11" s="56" t="n">
        <f aca="false">SUMPRODUCT((B5:B76&gt;'VALOR POR PL'!$P$5)*H5:H76)</f>
        <v>934927.34</v>
      </c>
      <c r="L11" s="45" t="n">
        <f aca="false">C11/IF(B11&lt;='VALOR POR PL'!$P$5,IFERROR(INDEX('"INCC-FGV"'!$B$2:$B$800,MATCH(B11,'"INCC-FGV"'!$A$2:$A$800,0)),$K$2),$K$2)</f>
        <v>0</v>
      </c>
      <c r="M11" s="139" t="n">
        <f aca="false">'CP RESUMO'!J41</f>
        <v>0</v>
      </c>
      <c r="N11" s="140" t="n">
        <f aca="false">MAX(0,M11-M10)</f>
        <v>0</v>
      </c>
      <c r="O11" s="139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1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8"/>
      <c r="I12" s="42" t="s">
        <v>2927</v>
      </c>
      <c r="K12" s="139" t="n">
        <f aca="false">SUMPRODUCT((B5:B76&gt;'VALOR POR PL'!$P$5)*N5:N76)</f>
        <v>99.95</v>
      </c>
      <c r="L12" s="45" t="n">
        <f aca="false">C12/IF(B12&lt;='VALOR POR PL'!$P$5,IFERROR(INDEX('"INCC-FGV"'!$B$2:$B$800,MATCH(B12,'"INCC-FGV"'!$A$2:$A$800,0)),$K$2),$K$2)</f>
        <v>0</v>
      </c>
      <c r="M12" s="139" t="n">
        <f aca="false">'CP RESUMO'!K41</f>
        <v>0</v>
      </c>
      <c r="N12" s="140" t="n">
        <f aca="false">MAX(0,M12-M11)</f>
        <v>0</v>
      </c>
      <c r="O12" s="139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1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8"/>
      <c r="I13" s="42" t="s">
        <v>2928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39" t="n">
        <f aca="false">'CP RESUMO'!L41</f>
        <v>0</v>
      </c>
      <c r="N13" s="140" t="n">
        <f aca="false">MAX(0,M13-M12)</f>
        <v>0</v>
      </c>
      <c r="O13" s="139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1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8"/>
      <c r="I14" s="42" t="s">
        <v>2929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39" t="n">
        <f aca="false">'CP RESUMO'!M41</f>
        <v>0</v>
      </c>
      <c r="N14" s="140" t="n">
        <f aca="false">MAX(0,M14-M13)</f>
        <v>0</v>
      </c>
      <c r="O14" s="139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1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8"/>
      <c r="I15" s="42" t="s">
        <v>2930</v>
      </c>
      <c r="K15" s="67" t="s">
        <v>2931</v>
      </c>
      <c r="L15" s="45" t="n">
        <f aca="false">C15/IF(B15&lt;='VALOR POR PL'!$P$5,IFERROR(INDEX('"INCC-FGV"'!$B$2:$B$800,MATCH(B15,'"INCC-FGV"'!$A$2:$A$800,0)),$K$2),$K$2)</f>
        <v>0</v>
      </c>
      <c r="M15" s="139" t="n">
        <f aca="false">'CP RESUMO'!N41</f>
        <v>0</v>
      </c>
      <c r="N15" s="140" t="n">
        <f aca="false">MAX(0,M15-M14)</f>
        <v>0</v>
      </c>
      <c r="O15" s="139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1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8"/>
      <c r="I16" s="42" t="s">
        <v>2932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39" t="n">
        <f aca="false">'CP RESUMO'!O41</f>
        <v>0</v>
      </c>
      <c r="N16" s="140" t="n">
        <f aca="false">MAX(0,M16-M15)</f>
        <v>0</v>
      </c>
      <c r="O16" s="139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1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8"/>
      <c r="I17" s="42" t="s">
        <v>2933</v>
      </c>
      <c r="K17" s="45" t="n">
        <f aca="false">SUM(P5:P76)</f>
        <v>99.95</v>
      </c>
      <c r="L17" s="45" t="n">
        <f aca="false">C17/IF(B17&lt;='VALOR POR PL'!$P$5,IFERROR(INDEX('"INCC-FGV"'!$B$2:$B$800,MATCH(B17,'"INCC-FGV"'!$A$2:$A$800,0)),$K$2),$K$2)</f>
        <v>0</v>
      </c>
      <c r="M17" s="139" t="n">
        <f aca="false">'CP RESUMO'!P41</f>
        <v>0</v>
      </c>
      <c r="N17" s="140" t="n">
        <f aca="false">MAX(0,M17-M16)</f>
        <v>0</v>
      </c>
      <c r="O17" s="139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1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8"/>
      <c r="I18" s="42" t="s">
        <v>2934</v>
      </c>
      <c r="K18" s="45" t="n">
        <f aca="false">MAX(0,K10)*$K$2</f>
        <v>945897.746728468</v>
      </c>
      <c r="L18" s="45" t="n">
        <f aca="false">C18/IF(B18&lt;='VALOR POR PL'!$P$5,IFERROR(INDEX('"INCC-FGV"'!$B$2:$B$800,MATCH(B18,'"INCC-FGV"'!$A$2:$A$800,0)),$K$2),$K$2)</f>
        <v>0</v>
      </c>
      <c r="M18" s="139" t="n">
        <f aca="false">'CP RESUMO'!Q41</f>
        <v>0</v>
      </c>
      <c r="N18" s="140" t="n">
        <f aca="false">MAX(0,M18-M17)</f>
        <v>0</v>
      </c>
      <c r="O18" s="139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1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8"/>
      <c r="I19" s="42" t="s">
        <v>2935</v>
      </c>
      <c r="K19" s="142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39" t="n">
        <f aca="false">'CP RESUMO'!R41</f>
        <v>0</v>
      </c>
      <c r="N19" s="140" t="n">
        <f aca="false">MAX(0,M19-M18)</f>
        <v>0</v>
      </c>
      <c r="O19" s="139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1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8"/>
      <c r="I20" s="42" t="s">
        <v>2936</v>
      </c>
      <c r="K20" s="143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39" t="n">
        <f aca="false">'CP RESUMO'!S41</f>
        <v>0</v>
      </c>
      <c r="N20" s="140" t="n">
        <f aca="false">MAX(0,M20-M19)</f>
        <v>0</v>
      </c>
      <c r="O20" s="139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1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8"/>
      <c r="K21" s="143"/>
      <c r="L21" s="45" t="n">
        <f aca="false">C21/IF(B21&lt;='VALOR POR PL'!$P$5,IFERROR(INDEX('"INCC-FGV"'!$B$2:$B$800,MATCH(B21,'"INCC-FGV"'!$A$2:$A$800,0)),$K$2),$K$2)</f>
        <v>0</v>
      </c>
      <c r="M21" s="139" t="n">
        <f aca="false">'CP RESUMO'!T41</f>
        <v>0</v>
      </c>
      <c r="N21" s="140" t="n">
        <f aca="false">MAX(0,M21-M20)</f>
        <v>0</v>
      </c>
      <c r="O21" s="139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1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8"/>
      <c r="I22" s="42" t="s">
        <v>2937</v>
      </c>
      <c r="K22" s="53" t="s">
        <v>2299</v>
      </c>
      <c r="L22" s="45" t="n">
        <f aca="false">C22/IF(B22&lt;='VALOR POR PL'!$P$5,IFERROR(INDEX('"INCC-FGV"'!$B$2:$B$800,MATCH(B22,'"INCC-FGV"'!$A$2:$A$800,0)),$K$2),$K$2)</f>
        <v>0</v>
      </c>
      <c r="M22" s="139" t="n">
        <f aca="false">'CP RESUMO'!U41</f>
        <v>0</v>
      </c>
      <c r="N22" s="140" t="n">
        <f aca="false">MAX(0,M22-M21)</f>
        <v>0</v>
      </c>
      <c r="O22" s="139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1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8"/>
      <c r="I23" s="3" t="s">
        <v>2938</v>
      </c>
      <c r="L23" s="45" t="n">
        <f aca="false">C23/IF(B23&lt;='VALOR POR PL'!$P$5,IFERROR(INDEX('"INCC-FGV"'!$B$2:$B$800,MATCH(B23,'"INCC-FGV"'!$A$2:$A$800,0)),$K$2),$K$2)</f>
        <v>0</v>
      </c>
      <c r="M23" s="139" t="n">
        <f aca="false">'CP RESUMO'!V41</f>
        <v>0</v>
      </c>
      <c r="N23" s="140" t="n">
        <f aca="false">MAX(0,M23-M22)</f>
        <v>0</v>
      </c>
      <c r="O23" s="139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1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8"/>
      <c r="I24" s="144"/>
      <c r="J24" s="144"/>
      <c r="K24" s="144"/>
      <c r="L24" s="45" t="n">
        <f aca="false">C24/IF(B24&lt;='VALOR POR PL'!$P$5,IFERROR(INDEX('"INCC-FGV"'!$B$2:$B$800,MATCH(B24,'"INCC-FGV"'!$A$2:$A$800,0)),$K$2),$K$2)</f>
        <v>0</v>
      </c>
      <c r="M24" s="139" t="n">
        <f aca="false">'CP RESUMO'!W41</f>
        <v>0</v>
      </c>
      <c r="N24" s="140" t="n">
        <f aca="false">MAX(0,M24-M23)</f>
        <v>0</v>
      </c>
      <c r="O24" s="139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1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8"/>
      <c r="L25" s="45" t="n">
        <f aca="false">C25/IF(B25&lt;='VALOR POR PL'!$P$5,IFERROR(INDEX('"INCC-FGV"'!$B$2:$B$800,MATCH(B25,'"INCC-FGV"'!$A$2:$A$800,0)),$K$2),$K$2)</f>
        <v>0</v>
      </c>
      <c r="M25" s="139" t="n">
        <f aca="false">'CP RESUMO'!X41</f>
        <v>0</v>
      </c>
      <c r="N25" s="140" t="n">
        <f aca="false">MAX(0,M25-M24)</f>
        <v>0</v>
      </c>
      <c r="O25" s="139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1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8"/>
      <c r="L26" s="45" t="n">
        <f aca="false">C26/IF(B26&lt;='VALOR POR PL'!$P$5,IFERROR(INDEX('"INCC-FGV"'!$B$2:$B$800,MATCH(B26,'"INCC-FGV"'!$A$2:$A$800,0)),$K$2),$K$2)</f>
        <v>0</v>
      </c>
      <c r="M26" s="139" t="n">
        <f aca="false">'CP RESUMO'!Y41</f>
        <v>0</v>
      </c>
      <c r="N26" s="140" t="n">
        <f aca="false">MAX(0,M26-M25)</f>
        <v>0</v>
      </c>
      <c r="O26" s="139" t="str">
        <f aca="false">IF(B26&lt;='VALOR POR PL'!$P$5,'CP RESUMO'!Y83,"")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1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8"/>
      <c r="L27" s="45" t="n">
        <f aca="false">C27/IF(B27&lt;='VALOR POR PL'!$P$5,IFERROR(INDEX('"INCC-FGV"'!$B$2:$B$800,MATCH(B27,'"INCC-FGV"'!$A$2:$A$800,0)),$K$2),$K$2)</f>
        <v>0</v>
      </c>
      <c r="M27" s="139" t="n">
        <f aca="false">'CP RESUMO'!Z41</f>
        <v>0</v>
      </c>
      <c r="N27" s="140" t="n">
        <f aca="false">MAX(0,M27-M26)</f>
        <v>0</v>
      </c>
      <c r="O27" s="139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1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8"/>
      <c r="L28" s="45" t="n">
        <f aca="false">C28/IF(B28&lt;='VALOR POR PL'!$P$5,IFERROR(INDEX('"INCC-FGV"'!$B$2:$B$800,MATCH(B28,'"INCC-FGV"'!$A$2:$A$800,0)),$K$2),$K$2)</f>
        <v>0</v>
      </c>
      <c r="M28" s="139" t="n">
        <f aca="false">'CP RESUMO'!AA41</f>
        <v>0</v>
      </c>
      <c r="N28" s="140" t="n">
        <f aca="false">MAX(0,M28-M27)</f>
        <v>0</v>
      </c>
      <c r="O28" s="139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1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8"/>
      <c r="L29" s="45" t="n">
        <f aca="false">C29/IF(B29&lt;='VALOR POR PL'!$P$5,IFERROR(INDEX('"INCC-FGV"'!$B$2:$B$800,MATCH(B29,'"INCC-FGV"'!$A$2:$A$800,0)),$K$2),$K$2)</f>
        <v>0</v>
      </c>
      <c r="M29" s="139" t="n">
        <f aca="false">'CP RESUMO'!AB41</f>
        <v>0</v>
      </c>
      <c r="N29" s="140" t="n">
        <f aca="false">MAX(0,M29-M28)</f>
        <v>0</v>
      </c>
      <c r="O29" s="139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1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8"/>
      <c r="L30" s="45" t="n">
        <f aca="false">C30/IF(B30&lt;='VALOR POR PL'!$P$5,IFERROR(INDEX('"INCC-FGV"'!$B$2:$B$800,MATCH(B30,'"INCC-FGV"'!$A$2:$A$800,0)),$K$2),$K$2)</f>
        <v>0</v>
      </c>
      <c r="M30" s="139" t="n">
        <f aca="false">'CP RESUMO'!AC41</f>
        <v>0</v>
      </c>
      <c r="N30" s="140" t="n">
        <f aca="false">MAX(0,M30-M29)</f>
        <v>0</v>
      </c>
      <c r="O30" s="139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1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8"/>
      <c r="L31" s="45" t="n">
        <f aca="false">C31/IF(B31&lt;='VALOR POR PL'!$P$5,IFERROR(INDEX('"INCC-FGV"'!$B$2:$B$800,MATCH(B31,'"INCC-FGV"'!$A$2:$A$800,0)),$K$2),$K$2)</f>
        <v>0</v>
      </c>
      <c r="M31" s="139" t="n">
        <f aca="false">'CP RESUMO'!AD41</f>
        <v>0</v>
      </c>
      <c r="N31" s="140" t="n">
        <f aca="false">MAX(0,M31-M30)</f>
        <v>0</v>
      </c>
      <c r="O31" s="139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1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8"/>
      <c r="L32" s="45" t="n">
        <f aca="false">C32/IF(B32&lt;='VALOR POR PL'!$P$5,IFERROR(INDEX('"INCC-FGV"'!$B$2:$B$800,MATCH(B32,'"INCC-FGV"'!$A$2:$A$800,0)),$K$2),$K$2)</f>
        <v>0</v>
      </c>
      <c r="M32" s="139" t="n">
        <f aca="false">'CP RESUMO'!AE41</f>
        <v>0</v>
      </c>
      <c r="N32" s="140" t="n">
        <f aca="false">MAX(0,M32-M31)</f>
        <v>0</v>
      </c>
      <c r="O32" s="139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1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8"/>
      <c r="L33" s="45" t="n">
        <f aca="false">C33/IF(B33&lt;='VALOR POR PL'!$P$5,IFERROR(INDEX('"INCC-FGV"'!$B$2:$B$800,MATCH(B33,'"INCC-FGV"'!$A$2:$A$800,0)),$K$2),$K$2)</f>
        <v>0</v>
      </c>
      <c r="M33" s="139" t="n">
        <f aca="false">'CP RESUMO'!AF41</f>
        <v>0</v>
      </c>
      <c r="N33" s="140" t="n">
        <f aca="false">MAX(0,M33-M32)</f>
        <v>0</v>
      </c>
      <c r="O33" s="139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1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8"/>
      <c r="L34" s="45" t="n">
        <f aca="false">C34/IF(B34&lt;='VALOR POR PL'!$P$5,IFERROR(INDEX('"INCC-FGV"'!$B$2:$B$800,MATCH(B34,'"INCC-FGV"'!$A$2:$A$800,0)),$K$2),$K$2)</f>
        <v>0</v>
      </c>
      <c r="M34" s="139" t="n">
        <f aca="false">'CP RESUMO'!AG41</f>
        <v>0</v>
      </c>
      <c r="N34" s="140" t="n">
        <f aca="false">MAX(0,M34-M33)</f>
        <v>0</v>
      </c>
      <c r="O34" s="139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1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8"/>
      <c r="L35" s="45" t="n">
        <f aca="false">C35/IF(B35&lt;='VALOR POR PL'!$P$5,IFERROR(INDEX('"INCC-FGV"'!$B$2:$B$800,MATCH(B35,'"INCC-FGV"'!$A$2:$A$800,0)),$K$2),$K$2)</f>
        <v>0</v>
      </c>
      <c r="M35" s="139" t="n">
        <f aca="false">'CP RESUMO'!AH41</f>
        <v>0</v>
      </c>
      <c r="N35" s="140" t="n">
        <f aca="false">MAX(0,M35-M34)</f>
        <v>0</v>
      </c>
      <c r="O35" s="139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1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8"/>
      <c r="L36" s="45" t="n">
        <f aca="false">C36/IF(B36&lt;='VALOR POR PL'!$P$5,IFERROR(INDEX('"INCC-FGV"'!$B$2:$B$800,MATCH(B36,'"INCC-FGV"'!$A$2:$A$800,0)),$K$2),$K$2)</f>
        <v>0</v>
      </c>
      <c r="M36" s="139" t="n">
        <f aca="false">'CP RESUMO'!AI41</f>
        <v>0</v>
      </c>
      <c r="N36" s="140" t="n">
        <f aca="false">MAX(0,M36-M35)</f>
        <v>0</v>
      </c>
      <c r="O36" s="139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1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8"/>
      <c r="L37" s="45" t="n">
        <f aca="false">C37/IF(B37&lt;='VALOR POR PL'!$P$5,IFERROR(INDEX('"INCC-FGV"'!$B$2:$B$800,MATCH(B37,'"INCC-FGV"'!$A$2:$A$800,0)),$K$2),$K$2)</f>
        <v>0</v>
      </c>
      <c r="M37" s="139" t="n">
        <f aca="false">'CP RESUMO'!AJ41</f>
        <v>0</v>
      </c>
      <c r="N37" s="140" t="n">
        <f aca="false">MAX(0,M37-M36)</f>
        <v>0</v>
      </c>
      <c r="O37" s="139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1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8"/>
      <c r="L38" s="45" t="n">
        <f aca="false">C38/IF(B38&lt;='VALOR POR PL'!$P$5,IFERROR(INDEX('"INCC-FGV"'!$B$2:$B$800,MATCH(B38,'"INCC-FGV"'!$A$2:$A$800,0)),$K$2),$K$2)</f>
        <v>0</v>
      </c>
      <c r="M38" s="139" t="n">
        <f aca="false">'CP RESUMO'!AK41</f>
        <v>0</v>
      </c>
      <c r="N38" s="140" t="n">
        <f aca="false">MAX(0,M38-M37)</f>
        <v>0</v>
      </c>
      <c r="O38" s="139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1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8"/>
      <c r="L39" s="45" t="n">
        <f aca="false">C39/IF(B39&lt;='VALOR POR PL'!$P$5,IFERROR(INDEX('"INCC-FGV"'!$B$2:$B$800,MATCH(B39,'"INCC-FGV"'!$A$2:$A$800,0)),$K$2),$K$2)</f>
        <v>0</v>
      </c>
      <c r="M39" s="139" t="n">
        <f aca="false">'CP RESUMO'!AL41</f>
        <v>0</v>
      </c>
      <c r="N39" s="140" t="n">
        <f aca="false">MAX(0,M39-M38)</f>
        <v>0</v>
      </c>
      <c r="O39" s="139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1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8"/>
      <c r="L40" s="45" t="n">
        <f aca="false">C40/IF(B40&lt;='VALOR POR PL'!$P$5,IFERROR(INDEX('"INCC-FGV"'!$B$2:$B$800,MATCH(B40,'"INCC-FGV"'!$A$2:$A$800,0)),$K$2),$K$2)</f>
        <v>0</v>
      </c>
      <c r="M40" s="139" t="n">
        <f aca="false">'CP RESUMO'!AM41</f>
        <v>0</v>
      </c>
      <c r="N40" s="140" t="n">
        <f aca="false">MAX(0,M40-M39)</f>
        <v>0</v>
      </c>
      <c r="O40" s="139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1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8"/>
      <c r="L41" s="45" t="n">
        <f aca="false">C41/IF(B41&lt;='VALOR POR PL'!$P$5,IFERROR(INDEX('"INCC-FGV"'!$B$2:$B$800,MATCH(B41,'"INCC-FGV"'!$A$2:$A$800,0)),$K$2),$K$2)</f>
        <v>0</v>
      </c>
      <c r="M41" s="139" t="n">
        <f aca="false">'CP RESUMO'!AN41</f>
        <v>0</v>
      </c>
      <c r="N41" s="140" t="n">
        <f aca="false">MAX(0,M41-M40)</f>
        <v>0</v>
      </c>
      <c r="O41" s="139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1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8"/>
      <c r="L42" s="45" t="n">
        <f aca="false">C42/IF(B42&lt;='VALOR POR PL'!$P$5,IFERROR(INDEX('"INCC-FGV"'!$B$2:$B$800,MATCH(B42,'"INCC-FGV"'!$A$2:$A$800,0)),$K$2),$K$2)</f>
        <v>0</v>
      </c>
      <c r="M42" s="139" t="n">
        <f aca="false">'CP RESUMO'!AO41</f>
        <v>0</v>
      </c>
      <c r="N42" s="140" t="n">
        <f aca="false">MAX(0,M42-M41)</f>
        <v>0</v>
      </c>
      <c r="O42" s="139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1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8"/>
      <c r="L43" s="45" t="n">
        <f aca="false">C43/IF(B43&lt;='VALOR POR PL'!$P$5,IFERROR(INDEX('"INCC-FGV"'!$B$2:$B$800,MATCH(B43,'"INCC-FGV"'!$A$2:$A$800,0)),$K$2),$K$2)</f>
        <v>0</v>
      </c>
      <c r="M43" s="139" t="n">
        <f aca="false">'CP RESUMO'!AP41</f>
        <v>0</v>
      </c>
      <c r="N43" s="140" t="n">
        <f aca="false">MAX(0,M43-M42)</f>
        <v>0</v>
      </c>
      <c r="O43" s="139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1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19305.9670167691</v>
      </c>
      <c r="E44" s="45" t="n">
        <f aca="false">L44+D44/$K$2</f>
        <v>14.886368082981</v>
      </c>
      <c r="F44" s="117" t="n">
        <f aca="false">IF($K$9=0,0,E44/$K$9)</f>
        <v>0.0204102051025513</v>
      </c>
      <c r="G44" s="117" t="n">
        <f aca="false">G43+F44</f>
        <v>0.0204102051025513</v>
      </c>
      <c r="H44" s="138"/>
      <c r="L44" s="45" t="n">
        <f aca="false">C44/IF(B44&lt;='VALOR POR PL'!$P$5,IFERROR(INDEX('"INCC-FGV"'!$B$2:$B$800,MATCH(B44,'"INCC-FGV"'!$A$2:$A$800,0)),$K$2),$K$2)</f>
        <v>0</v>
      </c>
      <c r="M44" s="139" t="n">
        <f aca="false">'CP RESUMO'!AQ41</f>
        <v>2.04</v>
      </c>
      <c r="N44" s="140" t="n">
        <f aca="false">MAX(0,M44-M43)</f>
        <v>2.04</v>
      </c>
      <c r="O44" s="139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2.04</v>
      </c>
    </row>
    <row r="45" customFormat="false" ht="15" hidden="false" customHeight="false" outlineLevel="0" collapsed="false">
      <c r="B45" s="141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37476.2889149048</v>
      </c>
      <c r="E45" s="45" t="n">
        <f aca="false">L45+D45/$K$2</f>
        <v>28.8970674551984</v>
      </c>
      <c r="F45" s="117" t="n">
        <f aca="false">IF($K$9=0,0,E45/$K$9)</f>
        <v>0.0396198099049525</v>
      </c>
      <c r="G45" s="117" t="n">
        <f aca="false">G44+F45</f>
        <v>0.0600300150075038</v>
      </c>
      <c r="H45" s="138" t="n">
        <v>19082.06</v>
      </c>
      <c r="L45" s="45" t="n">
        <f aca="false">C45/IF(B45&lt;='VALOR POR PL'!$P$5,IFERROR(INDEX('"INCC-FGV"'!$B$2:$B$800,MATCH(B45,'"INCC-FGV"'!$A$2:$A$800,0)),$K$2),$K$2)</f>
        <v>0</v>
      </c>
      <c r="M45" s="139" t="n">
        <f aca="false">'CP RESUMO'!AR41</f>
        <v>6</v>
      </c>
      <c r="N45" s="140" t="n">
        <f aca="false">MAX(0,M45-M44)</f>
        <v>3.96</v>
      </c>
      <c r="O45" s="139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3.96</v>
      </c>
    </row>
    <row r="46" customFormat="false" ht="15" hidden="false" customHeight="false" outlineLevel="0" collapsed="false">
      <c r="B46" s="141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67665.5216519114</v>
      </c>
      <c r="E46" s="45" t="n">
        <f aca="false">L46+D46/$K$2</f>
        <v>52.1752606829971</v>
      </c>
      <c r="F46" s="117" t="n">
        <f aca="false">IF($K$9=0,0,E46/$K$9)</f>
        <v>0.071535767883942</v>
      </c>
      <c r="G46" s="117" t="n">
        <f aca="false">G45+F46</f>
        <v>0.131565782891446</v>
      </c>
      <c r="H46" s="138" t="n">
        <v>36106.25</v>
      </c>
      <c r="L46" s="45" t="n">
        <f aca="false">C46/IF(B46&lt;='VALOR POR PL'!$P$5,IFERROR(INDEX('"INCC-FGV"'!$B$2:$B$800,MATCH(B46,'"INCC-FGV"'!$A$2:$A$800,0)),$K$2),$K$2)</f>
        <v>0</v>
      </c>
      <c r="M46" s="139" t="n">
        <f aca="false">'CP RESUMO'!AS41</f>
        <v>13.15</v>
      </c>
      <c r="N46" s="140" t="n">
        <f aca="false">MAX(0,M46-M45)</f>
        <v>7.15</v>
      </c>
      <c r="O46" s="139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7.15</v>
      </c>
    </row>
    <row r="47" customFormat="false" ht="15" hidden="false" customHeight="false" outlineLevel="0" collapsed="false">
      <c r="B47" s="141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87823.2225076557</v>
      </c>
      <c r="E47" s="45" t="n">
        <f aca="false">L47+D47/$K$2</f>
        <v>67.7183802990508</v>
      </c>
      <c r="F47" s="117" t="n">
        <f aca="false">IF($K$9=0,0,E47/$K$9)</f>
        <v>0.0928464232116058</v>
      </c>
      <c r="G47" s="117" t="n">
        <f aca="false">G46+F47</f>
        <v>0.224412206103052</v>
      </c>
      <c r="H47" s="138" t="n">
        <v>66038.89</v>
      </c>
      <c r="L47" s="45" t="n">
        <f aca="false">C47/IF(B47&lt;='VALOR POR PL'!$P$5,IFERROR(INDEX('"INCC-FGV"'!$B$2:$B$800,MATCH(B47,'"INCC-FGV"'!$A$2:$A$800,0)),$K$2),$K$2)</f>
        <v>0</v>
      </c>
      <c r="M47" s="139" t="n">
        <f aca="false">'CP RESUMO'!AT41</f>
        <v>22.43</v>
      </c>
      <c r="N47" s="140" t="n">
        <f aca="false">MAX(0,M47-M46)</f>
        <v>9.28</v>
      </c>
      <c r="O47" s="139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9.28</v>
      </c>
    </row>
    <row r="48" customFormat="false" ht="15" hidden="false" customHeight="false" outlineLevel="0" collapsed="false">
      <c r="B48" s="141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83091.3678466828</v>
      </c>
      <c r="E48" s="45" t="n">
        <f aca="false">L48+D48/$K$2</f>
        <v>64.0697606708692</v>
      </c>
      <c r="F48" s="117" t="n">
        <f aca="false">IF($K$9=0,0,E48/$K$9)</f>
        <v>0.0878439219609805</v>
      </c>
      <c r="G48" s="117" t="n">
        <f aca="false">G47+F48</f>
        <v>0.312256128064032</v>
      </c>
      <c r="H48" s="138" t="n">
        <v>81005.21</v>
      </c>
      <c r="L48" s="45" t="n">
        <f aca="false">C48/IF(B48&lt;='VALOR POR PL'!$P$5,IFERROR(INDEX('"INCC-FGV"'!$B$2:$B$800,MATCH(B48,'"INCC-FGV"'!$A$2:$A$800,0)),$K$2),$K$2)</f>
        <v>0</v>
      </c>
      <c r="M48" s="139" t="n">
        <f aca="false">'CP RESUMO'!AU41</f>
        <v>31.21</v>
      </c>
      <c r="N48" s="140" t="n">
        <f aca="false">MAX(0,M48-M47)</f>
        <v>8.78</v>
      </c>
      <c r="O48" s="139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8.78</v>
      </c>
    </row>
    <row r="49" customFormat="false" ht="15" hidden="false" customHeight="false" outlineLevel="0" collapsed="false">
      <c r="B49" s="141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86687.5773890222</v>
      </c>
      <c r="E49" s="45" t="n">
        <f aca="false">L49+D49/$K$2</f>
        <v>66.8427115882872</v>
      </c>
      <c r="F49" s="117" t="n">
        <f aca="false">IF($K$9=0,0,E49/$K$9)</f>
        <v>0.0916458229114557</v>
      </c>
      <c r="G49" s="117" t="n">
        <f aca="false">G48+F49</f>
        <v>0.403901950975488</v>
      </c>
      <c r="H49" s="138" t="n">
        <v>86430.5</v>
      </c>
      <c r="L49" s="45" t="n">
        <f aca="false">C49/IF(B49&lt;='VALOR POR PL'!$P$5,IFERROR(INDEX('"INCC-FGV"'!$B$2:$B$800,MATCH(B49,'"INCC-FGV"'!$A$2:$A$800,0)),$K$2),$K$2)</f>
        <v>0</v>
      </c>
      <c r="M49" s="139" t="n">
        <f aca="false">'CP RESUMO'!AV41</f>
        <v>40.37</v>
      </c>
      <c r="N49" s="140" t="n">
        <f aca="false">MAX(0,M49-M48)</f>
        <v>9.16</v>
      </c>
      <c r="O49" s="139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9.16</v>
      </c>
    </row>
    <row r="50" customFormat="false" ht="15" hidden="false" customHeight="false" outlineLevel="0" collapsed="false">
      <c r="B50" s="141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81577.1743551716</v>
      </c>
      <c r="E50" s="45" t="n">
        <f aca="false">L50+D50/$K$2</f>
        <v>62.9022023898511</v>
      </c>
      <c r="F50" s="117" t="n">
        <f aca="false">IF($K$9=0,0,E50/$K$9)</f>
        <v>0.0862431215607804</v>
      </c>
      <c r="G50" s="117" t="n">
        <f aca="false">G49+F50</f>
        <v>0.490145072536268</v>
      </c>
      <c r="H50" s="138" t="n">
        <v>83343.7</v>
      </c>
      <c r="L50" s="45" t="n">
        <f aca="false">C50/IF(B50&lt;='VALOR POR PL'!$P$5,IFERROR(INDEX('"INCC-FGV"'!$B$2:$B$800,MATCH(B50,'"INCC-FGV"'!$A$2:$A$800,0)),$K$2),$K$2)</f>
        <v>0</v>
      </c>
      <c r="M50" s="139" t="n">
        <f aca="false">'CP RESUMO'!AW41</f>
        <v>48.99</v>
      </c>
      <c r="N50" s="140" t="n">
        <f aca="false">MAX(0,M50-M49)</f>
        <v>8.62000000000001</v>
      </c>
      <c r="O50" s="139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8.62000000000001</v>
      </c>
    </row>
    <row r="51" customFormat="false" ht="15" hidden="false" customHeight="false" outlineLevel="0" collapsed="false">
      <c r="B51" s="141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81861.0856348299</v>
      </c>
      <c r="E51" s="45" t="n">
        <f aca="false">L51+D51/$K$2</f>
        <v>63.1211195675419</v>
      </c>
      <c r="F51" s="117" t="n">
        <f aca="false">IF($K$9=0,0,E51/$K$9)</f>
        <v>0.0865432716358179</v>
      </c>
      <c r="G51" s="117" t="n">
        <f aca="false">G50+F51</f>
        <v>0.576688344172086</v>
      </c>
      <c r="H51" s="138" t="n">
        <v>83437.24</v>
      </c>
      <c r="L51" s="45" t="n">
        <f aca="false">C51/IF(B51&lt;='VALOR POR PL'!$P$5,IFERROR(INDEX('"INCC-FGV"'!$B$2:$B$800,MATCH(B51,'"INCC-FGV"'!$A$2:$A$800,0)),$K$2),$K$2)</f>
        <v>0</v>
      </c>
      <c r="M51" s="139" t="n">
        <f aca="false">'CP RESUMO'!AX41</f>
        <v>57.64</v>
      </c>
      <c r="N51" s="140" t="n">
        <f aca="false">MAX(0,M51-M50)</f>
        <v>8.65</v>
      </c>
      <c r="O51" s="139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8.65</v>
      </c>
    </row>
    <row r="52" customFormat="false" ht="15" hidden="false" customHeight="false" outlineLevel="0" collapsed="false">
      <c r="B52" s="141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66624.5136264975</v>
      </c>
      <c r="E52" s="45" t="n">
        <f aca="false">L52+D52/$K$2</f>
        <v>51.3725643647972</v>
      </c>
      <c r="F52" s="117" t="n">
        <f aca="false">IF($K$9=0,0,E52/$K$9)</f>
        <v>0.0704352176088045</v>
      </c>
      <c r="G52" s="117" t="n">
        <f aca="false">G51+F52</f>
        <v>0.647123561780891</v>
      </c>
      <c r="H52" s="138" t="n">
        <v>77824.87</v>
      </c>
      <c r="L52" s="45" t="n">
        <f aca="false">C52/IF(B52&lt;='VALOR POR PL'!$P$5,IFERROR(INDEX('"INCC-FGV"'!$B$2:$B$800,MATCH(B52,'"INCC-FGV"'!$A$2:$A$800,0)),$K$2),$K$2)</f>
        <v>0</v>
      </c>
      <c r="M52" s="139" t="n">
        <f aca="false">'CP RESUMO'!AY41</f>
        <v>64.68</v>
      </c>
      <c r="N52" s="140" t="n">
        <f aca="false">MAX(0,M52-M51)</f>
        <v>7.04000000000001</v>
      </c>
      <c r="O52" s="139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7.04000000000001</v>
      </c>
    </row>
    <row r="53" customFormat="false" ht="15" hidden="false" customHeight="false" outlineLevel="0" collapsed="false">
      <c r="B53" s="141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63406.8524570358</v>
      </c>
      <c r="E53" s="45" t="n">
        <f aca="false">L53+D53/$K$2</f>
        <v>48.8915030176336</v>
      </c>
      <c r="F53" s="117" t="n">
        <f aca="false">IF($K$9=0,0,E53/$K$9)</f>
        <v>0.0670335167583791</v>
      </c>
      <c r="G53" s="117" t="n">
        <f aca="false">G52+F53</f>
        <v>0.71415707853927</v>
      </c>
      <c r="H53" s="138" t="n">
        <v>69219.23</v>
      </c>
      <c r="L53" s="45" t="n">
        <f aca="false">C53/IF(B53&lt;='VALOR POR PL'!$P$5,IFERROR(INDEX('"INCC-FGV"'!$B$2:$B$800,MATCH(B53,'"INCC-FGV"'!$A$2:$A$800,0)),$K$2),$K$2)</f>
        <v>0</v>
      </c>
      <c r="M53" s="139" t="n">
        <f aca="false">'CP RESUMO'!AZ41</f>
        <v>71.38</v>
      </c>
      <c r="N53" s="140" t="n">
        <f aca="false">MAX(0,M53-M52)</f>
        <v>6.69999999999999</v>
      </c>
      <c r="O53" s="139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6.69999999999999</v>
      </c>
    </row>
    <row r="54" customFormat="false" ht="15" hidden="false" customHeight="false" outlineLevel="0" collapsed="false">
      <c r="B54" s="141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97192.294736382</v>
      </c>
      <c r="E54" s="45" t="n">
        <f aca="false">L54+D54/$K$2</f>
        <v>74.9426471628505</v>
      </c>
      <c r="F54" s="117" t="n">
        <f aca="false">IF($K$9=0,0,E54/$K$9)</f>
        <v>0.102751375687844</v>
      </c>
      <c r="G54" s="117" t="n">
        <f aca="false">G53+F54</f>
        <v>0.816908454227114</v>
      </c>
      <c r="H54" s="138" t="n">
        <v>55843.08</v>
      </c>
      <c r="L54" s="45" t="n">
        <f aca="false">C54/IF(B54&lt;='VALOR POR PL'!$P$5,IFERROR(INDEX('"INCC-FGV"'!$B$2:$B$800,MATCH(B54,'"INCC-FGV"'!$A$2:$A$800,0)),$K$2),$K$2)</f>
        <v>0</v>
      </c>
      <c r="M54" s="139" t="n">
        <f aca="false">'CP RESUMO'!BA41</f>
        <v>81.65</v>
      </c>
      <c r="N54" s="140" t="n">
        <f aca="false">MAX(0,M54-M53)</f>
        <v>10.27</v>
      </c>
      <c r="O54" s="139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10.27</v>
      </c>
    </row>
    <row r="55" customFormat="false" ht="15" hidden="false" customHeight="false" outlineLevel="0" collapsed="false">
      <c r="B55" s="141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90946.2465838977</v>
      </c>
      <c r="E55" s="45" t="n">
        <f aca="false">L55+D55/$K$2</f>
        <v>70.1264692536506</v>
      </c>
      <c r="F55" s="117" t="n">
        <f aca="false">IF($K$9=0,0,E55/$K$9)</f>
        <v>0.0961480740370185</v>
      </c>
      <c r="G55" s="117" t="n">
        <f aca="false">G54+F55</f>
        <v>0.913056528264132</v>
      </c>
      <c r="H55" s="138" t="n">
        <v>95784.45</v>
      </c>
      <c r="L55" s="45" t="n">
        <f aca="false">C55/IF(B55&lt;='VALOR POR PL'!$P$5,IFERROR(INDEX('"INCC-FGV"'!$B$2:$B$800,MATCH(B55,'"INCC-FGV"'!$A$2:$A$800,0)),$K$2),$K$2)</f>
        <v>0</v>
      </c>
      <c r="M55" s="139" t="n">
        <f aca="false">'CP RESUMO'!BB41</f>
        <v>91.26</v>
      </c>
      <c r="N55" s="140" t="n">
        <f aca="false">MAX(0,M55-M54)</f>
        <v>9.61</v>
      </c>
      <c r="O55" s="139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9.61</v>
      </c>
    </row>
    <row r="56" customFormat="false" ht="15" hidden="false" customHeight="false" outlineLevel="0" collapsed="false">
      <c r="B56" s="141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75047.214923029</v>
      </c>
      <c r="E56" s="45" t="n">
        <f aca="false">L56+D56/$K$2</f>
        <v>57.8671073029604</v>
      </c>
      <c r="F56" s="117" t="n">
        <f aca="false">IF($K$9=0,0,E56/$K$9)</f>
        <v>0.0793396698349174</v>
      </c>
      <c r="G56" s="117" t="n">
        <f aca="false">G55+F56</f>
        <v>0.99239619809905</v>
      </c>
      <c r="H56" s="138" t="n">
        <v>86711.12</v>
      </c>
      <c r="L56" s="45" t="n">
        <f aca="false">C56/IF(B56&lt;='VALOR POR PL'!$P$5,IFERROR(INDEX('"INCC-FGV"'!$B$2:$B$800,MATCH(B56,'"INCC-FGV"'!$A$2:$A$800,0)),$K$2),$K$2)</f>
        <v>0</v>
      </c>
      <c r="M56" s="139" t="n">
        <f aca="false">'CP RESUMO'!BC41</f>
        <v>99.19</v>
      </c>
      <c r="N56" s="140" t="n">
        <f aca="false">MAX(0,M56-M55)</f>
        <v>7.92999999999999</v>
      </c>
      <c r="O56" s="139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7.92999999999999</v>
      </c>
    </row>
    <row r="57" customFormat="false" ht="15" hidden="false" customHeight="false" outlineLevel="0" collapsed="false">
      <c r="B57" s="141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7192.41908467875</v>
      </c>
      <c r="E57" s="45" t="n">
        <f aca="false">L57+D57/$K$2</f>
        <v>5.54590183483609</v>
      </c>
      <c r="F57" s="117" t="n">
        <f aca="false">IF($K$9=0,0,E57/$K$9)</f>
        <v>0.00760380190095053</v>
      </c>
      <c r="G57" s="117" t="n">
        <f aca="false">G56+F57</f>
        <v>1</v>
      </c>
      <c r="H57" s="138" t="n">
        <v>81940.6</v>
      </c>
      <c r="L57" s="45" t="n">
        <f aca="false">C57/IF(B57&lt;='VALOR POR PL'!$P$5,IFERROR(INDEX('"INCC-FGV"'!$B$2:$B$800,MATCH(B57,'"INCC-FGV"'!$A$2:$A$800,0)),$K$2),$K$2)</f>
        <v>0</v>
      </c>
      <c r="M57" s="139" t="n">
        <f aca="false">'CP RESUMO'!BD41</f>
        <v>99.95</v>
      </c>
      <c r="N57" s="140" t="n">
        <f aca="false">MAX(0,M57-M56)</f>
        <v>0.760000000000005</v>
      </c>
      <c r="O57" s="139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0.760000000000005</v>
      </c>
    </row>
    <row r="58" customFormat="false" ht="15" hidden="false" customHeight="false" outlineLevel="0" collapsed="false">
      <c r="B58" s="141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8" t="n">
        <v>12160.14</v>
      </c>
      <c r="L58" s="45" t="n">
        <f aca="false">C58/IF(B58&lt;='VALOR POR PL'!$P$5,IFERROR(INDEX('"INCC-FGV"'!$B$2:$B$800,MATCH(B58,'"INCC-FGV"'!$A$2:$A$800,0)),$K$2),$K$2)</f>
        <v>0</v>
      </c>
      <c r="M58" s="139" t="n">
        <f aca="false">'CP RESUMO'!BE41</f>
        <v>99.95</v>
      </c>
      <c r="N58" s="140" t="n">
        <f aca="false">MAX(0,M58-M57)</f>
        <v>0</v>
      </c>
      <c r="O58" s="139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1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8"/>
      <c r="L59" s="45" t="n">
        <f aca="false">C59/IF(B59&lt;='VALOR POR PL'!$P$5,IFERROR(INDEX('"INCC-FGV"'!$B$2:$B$800,MATCH(B59,'"INCC-FGV"'!$A$2:$A$800,0)),$K$2),$K$2)</f>
        <v>0</v>
      </c>
      <c r="M59" s="139" t="n">
        <f aca="false">'CP RESUMO'!BF41</f>
        <v>99.95</v>
      </c>
      <c r="N59" s="140" t="n">
        <f aca="false">MAX(0,M59-M58)</f>
        <v>0</v>
      </c>
      <c r="O59" s="139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1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8"/>
      <c r="L60" s="45" t="n">
        <f aca="false">C60/IF(B60&lt;='VALOR POR PL'!$P$5,IFERROR(INDEX('"INCC-FGV"'!$B$2:$B$800,MATCH(B60,'"INCC-FGV"'!$A$2:$A$800,0)),$K$2),$K$2)</f>
        <v>0</v>
      </c>
      <c r="M60" s="139" t="n">
        <f aca="false">'CP RESUMO'!BG41</f>
        <v>99.95</v>
      </c>
      <c r="N60" s="140" t="n">
        <f aca="false">MAX(0,M60-M59)</f>
        <v>0</v>
      </c>
      <c r="O60" s="139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1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8"/>
      <c r="L61" s="45" t="n">
        <f aca="false">C61/IF(B61&lt;='VALOR POR PL'!$P$5,IFERROR(INDEX('"INCC-FGV"'!$B$2:$B$800,MATCH(B61,'"INCC-FGV"'!$A$2:$A$800,0)),$K$2),$K$2)</f>
        <v>0</v>
      </c>
      <c r="M61" s="139" t="n">
        <f aca="false">'CP RESUMO'!BH41</f>
        <v>99.95</v>
      </c>
      <c r="N61" s="140" t="n">
        <f aca="false">MAX(0,M61-M60)</f>
        <v>0</v>
      </c>
      <c r="O61" s="139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1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8"/>
      <c r="L62" s="45" t="n">
        <f aca="false">C62/IF(B62&lt;='VALOR POR PL'!$P$5,IFERROR(INDEX('"INCC-FGV"'!$B$2:$B$800,MATCH(B62,'"INCC-FGV"'!$A$2:$A$800,0)),$K$2),$K$2)</f>
        <v>0</v>
      </c>
      <c r="M62" s="139" t="n">
        <f aca="false">'CP RESUMO'!BI41</f>
        <v>99.95</v>
      </c>
      <c r="N62" s="140" t="n">
        <f aca="false">MAX(0,M62-M61)</f>
        <v>0</v>
      </c>
      <c r="O62" s="139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1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8"/>
      <c r="L63" s="45" t="n">
        <f aca="false">C63/IF(B63&lt;='VALOR POR PL'!$P$5,IFERROR(INDEX('"INCC-FGV"'!$B$2:$B$800,MATCH(B63,'"INCC-FGV"'!$A$2:$A$800,0)),$K$2),$K$2)</f>
        <v>0</v>
      </c>
      <c r="M63" s="139" t="n">
        <f aca="false">'CP RESUMO'!BJ41</f>
        <v>99.95</v>
      </c>
      <c r="N63" s="140" t="n">
        <f aca="false">MAX(0,M63-M62)</f>
        <v>0</v>
      </c>
      <c r="O63" s="139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1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8"/>
      <c r="L64" s="45" t="n">
        <f aca="false">C64/IF(B64&lt;='VALOR POR PL'!$P$5,IFERROR(INDEX('"INCC-FGV"'!$B$2:$B$800,MATCH(B64,'"INCC-FGV"'!$A$2:$A$800,0)),$K$2),$K$2)</f>
        <v>0</v>
      </c>
      <c r="M64" s="139" t="n">
        <f aca="false">'CP RESUMO'!BK41</f>
        <v>99.95</v>
      </c>
      <c r="N64" s="140" t="n">
        <f aca="false">MAX(0,M64-M63)</f>
        <v>0</v>
      </c>
      <c r="O64" s="139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1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8"/>
      <c r="L65" s="45" t="n">
        <f aca="false">C65/IF(B65&lt;='VALOR POR PL'!$P$5,IFERROR(INDEX('"INCC-FGV"'!$B$2:$B$800,MATCH(B65,'"INCC-FGV"'!$A$2:$A$800,0)),$K$2),$K$2)</f>
        <v>0</v>
      </c>
      <c r="M65" s="139" t="n">
        <f aca="false">'CP RESUMO'!BL41</f>
        <v>99.95</v>
      </c>
      <c r="N65" s="140" t="n">
        <f aca="false">MAX(0,M65-M64)</f>
        <v>0</v>
      </c>
      <c r="O65" s="139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1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8"/>
      <c r="L66" s="45" t="n">
        <f aca="false">C66/IF(B66&lt;='VALOR POR PL'!$P$5,IFERROR(INDEX('"INCC-FGV"'!$B$2:$B$800,MATCH(B66,'"INCC-FGV"'!$A$2:$A$800,0)),$K$2),$K$2)</f>
        <v>0</v>
      </c>
      <c r="M66" s="139" t="n">
        <f aca="false">'CP RESUMO'!BM41</f>
        <v>99.95</v>
      </c>
      <c r="N66" s="140" t="n">
        <f aca="false">MAX(0,M66-M65)</f>
        <v>0</v>
      </c>
      <c r="O66" s="139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1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8"/>
      <c r="L67" s="45" t="n">
        <f aca="false">C67/IF(B67&lt;='VALOR POR PL'!$P$5,IFERROR(INDEX('"INCC-FGV"'!$B$2:$B$800,MATCH(B67,'"INCC-FGV"'!$A$2:$A$800,0)),$K$2),$K$2)</f>
        <v>0</v>
      </c>
      <c r="M67" s="139" t="n">
        <f aca="false">'CP RESUMO'!BN41</f>
        <v>99.95</v>
      </c>
      <c r="N67" s="140" t="n">
        <f aca="false">MAX(0,M67-M66)</f>
        <v>0</v>
      </c>
      <c r="O67" s="139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1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8"/>
      <c r="L68" s="45" t="n">
        <f aca="false">C68/IF(B68&lt;='VALOR POR PL'!$P$5,IFERROR(INDEX('"INCC-FGV"'!$B$2:$B$800,MATCH(B68,'"INCC-FGV"'!$A$2:$A$800,0)),$K$2),$K$2)</f>
        <v>0</v>
      </c>
      <c r="M68" s="139" t="n">
        <f aca="false">'CP RESUMO'!BO41</f>
        <v>99.95</v>
      </c>
      <c r="N68" s="140" t="n">
        <f aca="false">MAX(0,M68-M67)</f>
        <v>0</v>
      </c>
      <c r="O68" s="139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1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8"/>
      <c r="L69" s="45" t="n">
        <f aca="false">C69/IF(B69&lt;='VALOR POR PL'!$P$5,IFERROR(INDEX('"INCC-FGV"'!$B$2:$B$800,MATCH(B69,'"INCC-FGV"'!$A$2:$A$800,0)),$K$2),$K$2)</f>
        <v>0</v>
      </c>
      <c r="M69" s="139" t="n">
        <f aca="false">'CP RESUMO'!BP41</f>
        <v>99.95</v>
      </c>
      <c r="N69" s="140" t="n">
        <f aca="false">MAX(0,M69-M68)</f>
        <v>0</v>
      </c>
      <c r="O69" s="139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1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8"/>
      <c r="L70" s="45" t="n">
        <f aca="false">C70/IF(B70&lt;='VALOR POR PL'!$P$5,IFERROR(INDEX('"INCC-FGV"'!$B$2:$B$800,MATCH(B70,'"INCC-FGV"'!$A$2:$A$800,0)),$K$2),$K$2)</f>
        <v>0</v>
      </c>
      <c r="M70" s="139" t="n">
        <f aca="false">'CP RESUMO'!BQ41</f>
        <v>99.95</v>
      </c>
      <c r="N70" s="140" t="n">
        <f aca="false">MAX(0,M70-M69)</f>
        <v>0</v>
      </c>
      <c r="O70" s="139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1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8"/>
      <c r="L71" s="45" t="n">
        <f aca="false">C71/IF(B71&lt;='VALOR POR PL'!$P$5,IFERROR(INDEX('"INCC-FGV"'!$B$2:$B$800,MATCH(B71,'"INCC-FGV"'!$A$2:$A$800,0)),$K$2),$K$2)</f>
        <v>0</v>
      </c>
      <c r="M71" s="139" t="n">
        <f aca="false">'CP RESUMO'!BR41</f>
        <v>99.95</v>
      </c>
      <c r="N71" s="140" t="n">
        <f aca="false">MAX(0,M71-M70)</f>
        <v>0</v>
      </c>
      <c r="O71" s="139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1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8"/>
      <c r="L72" s="45" t="n">
        <f aca="false">C72/IF(B72&lt;='VALOR POR PL'!$P$5,IFERROR(INDEX('"INCC-FGV"'!$B$2:$B$800,MATCH(B72,'"INCC-FGV"'!$A$2:$A$800,0)),$K$2),$K$2)</f>
        <v>0</v>
      </c>
      <c r="M72" s="139" t="n">
        <f aca="false">'CP RESUMO'!BS41</f>
        <v>99.95</v>
      </c>
      <c r="N72" s="140" t="n">
        <f aca="false">MAX(0,M72-M71)</f>
        <v>0</v>
      </c>
      <c r="O72" s="139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1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8"/>
      <c r="L73" s="45" t="n">
        <f aca="false">C73/IF(B73&lt;='VALOR POR PL'!$P$5,IFERROR(INDEX('"INCC-FGV"'!$B$2:$B$800,MATCH(B73,'"INCC-FGV"'!$A$2:$A$800,0)),$K$2),$K$2)</f>
        <v>0</v>
      </c>
      <c r="M73" s="139" t="n">
        <f aca="false">'CP RESUMO'!BT41</f>
        <v>99.95</v>
      </c>
      <c r="N73" s="140" t="n">
        <f aca="false">MAX(0,M73-M72)</f>
        <v>0</v>
      </c>
      <c r="O73" s="139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1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8"/>
      <c r="L74" s="45" t="n">
        <f aca="false">C74/IF(B74&lt;='VALOR POR PL'!$P$5,IFERROR(INDEX('"INCC-FGV"'!$B$2:$B$800,MATCH(B74,'"INCC-FGV"'!$A$2:$A$800,0)),$K$2),$K$2)</f>
        <v>0</v>
      </c>
      <c r="M74" s="139" t="n">
        <f aca="false">'CP RESUMO'!BU41</f>
        <v>99.95</v>
      </c>
      <c r="N74" s="140" t="n">
        <f aca="false">MAX(0,M74-M73)</f>
        <v>0</v>
      </c>
      <c r="O74" s="139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1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8"/>
      <c r="L75" s="45" t="n">
        <f aca="false">C75/IF(B75&lt;='VALOR POR PL'!$P$5,IFERROR(INDEX('"INCC-FGV"'!$B$2:$B$800,MATCH(B75,'"INCC-FGV"'!$A$2:$A$800,0)),$K$2),$K$2)</f>
        <v>0</v>
      </c>
      <c r="M75" s="139" t="n">
        <f aca="false">'CP RESUMO'!BV41</f>
        <v>99.95</v>
      </c>
      <c r="N75" s="140" t="n">
        <f aca="false">MAX(0,M75-M74)</f>
        <v>0</v>
      </c>
      <c r="O75" s="139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1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8"/>
      <c r="L76" s="45" t="n">
        <f aca="false">C76/IF(B76&lt;='VALOR POR PL'!$P$5,IFERROR(INDEX('"INCC-FGV"'!$B$2:$B$800,MATCH(B76,'"INCC-FGV"'!$A$2:$A$800,0)),$K$2),$K$2)</f>
        <v>0</v>
      </c>
      <c r="M76" s="139" t="n">
        <f aca="false">'CP RESUMO'!BW41</f>
        <v>99.95</v>
      </c>
      <c r="N76" s="140" t="n">
        <f aca="false">MAX(0,M76-M75)</f>
        <v>0</v>
      </c>
      <c r="O76" s="139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945897.746728468</v>
      </c>
      <c r="E78" s="61" t="n">
        <f aca="false">SUM(E5:E76)</f>
        <v>729.359063673505</v>
      </c>
      <c r="F78" s="145" t="n">
        <f aca="false">SUM(F5:F76)</f>
        <v>1</v>
      </c>
      <c r="H78" s="61" t="n">
        <f aca="false">SUM(H5:H76)</f>
        <v>934927.34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2939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2026-10-07T20:40:06Z</dcterms:created>
  <dc:creator>openpyxl</dc:creator>
  <dc:description/>
  <dc:language>en-US</dc:language>
  <cp:lastModifiedBy/>
  <dcterms:modified xsi:type="dcterms:W3CDTF">2026-10-07T20:40:22Z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