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firstSheet="1" activeTab="2"/>
  </bookViews>
  <sheets>
    <sheet name="（工作状态）-80116(high)100m以上" sheetId="1" r:id="rId1"/>
    <sheet name="（非工作状态）-80116(high)100m以上 " sheetId="4" r:id="rId2"/>
    <sheet name="(工作状态)-80116(high)100m以下" sheetId="2" r:id="rId3"/>
    <sheet name="(非工作状态)-80116(high)100m以下 " sheetId="5" r:id="rId4"/>
    <sheet name="Sheet3" sheetId="3" r:id="rId5"/>
  </sheets>
  <definedNames>
    <definedName name="solver_adj" localSheetId="0" hidden="1">'（工作状态）-80116(high)100m以上'!$D$54:$I$54</definedName>
    <definedName name="solver_adj" localSheetId="2" hidden="1">'(工作状态)-80116(high)100m以下'!$D$50:$I$50</definedName>
    <definedName name="solver_adj" localSheetId="1" hidden="1">'（非工作状态）-80116(high)100m以上 '!$D$53:$I$53</definedName>
    <definedName name="solver_adj" localSheetId="3" hidden="1">'(非工作状态)-80116(high)100m以下 '!$D$50:$I$50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10000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0" hidden="1">'（工作状态）-80116(high)100m以上'!$H$48</definedName>
    <definedName name="solver_lhs1" localSheetId="2" hidden="1">'(工作状态)-80116(high)100m以下'!$H$45</definedName>
    <definedName name="solver_lhs1" localSheetId="1" hidden="1">'（非工作状态）-80116(high)100m以上 '!$H$48</definedName>
    <definedName name="solver_lhs1" localSheetId="3" hidden="1">'(非工作状态)-80116(high)100m以下 '!$H$45</definedName>
    <definedName name="solver_lhs2" localSheetId="0" hidden="1">'（工作状态）-80116(high)100m以上'!$E$48</definedName>
    <definedName name="solver_lhs2" localSheetId="2" hidden="1">'(工作状态)-80116(high)100m以下'!$E$45</definedName>
    <definedName name="solver_lhs2" localSheetId="1" hidden="1">'（非工作状态）-80116(high)100m以上 '!$E$48</definedName>
    <definedName name="solver_lhs2" localSheetId="3" hidden="1">'(非工作状态)-80116(high)100m以下 '!$E$45</definedName>
    <definedName name="solver_lhs3" localSheetId="0" hidden="1">'（工作状态）-80116(high)100m以上'!$F$48</definedName>
    <definedName name="solver_lhs3" localSheetId="2" hidden="1">'(工作状态)-80116(high)100m以下'!$F$45</definedName>
    <definedName name="solver_lhs3" localSheetId="1" hidden="1">'（非工作状态）-80116(high)100m以上 '!$F$48</definedName>
    <definedName name="solver_lhs3" localSheetId="3" hidden="1">'(非工作状态)-80116(high)100m以下 '!$F$45</definedName>
    <definedName name="solver_lhs4" localSheetId="0" hidden="1">'（工作状态）-80116(high)100m以上'!$G$48</definedName>
    <definedName name="solver_lhs4" localSheetId="2" hidden="1">'(工作状态)-80116(high)100m以下'!$G$45</definedName>
    <definedName name="solver_lhs4" localSheetId="1" hidden="1">'（非工作状态）-80116(high)100m以上 '!$G$48</definedName>
    <definedName name="solver_lhs4" localSheetId="3" hidden="1">'(非工作状态)-80116(high)100m以下 '!$G$45</definedName>
    <definedName name="solver_lhs5" localSheetId="0" hidden="1">'（工作状态）-80116(high)100m以上'!$I$48</definedName>
    <definedName name="solver_lhs5" localSheetId="2" hidden="1">'(工作状态)-80116(high)100m以下'!$I$45</definedName>
    <definedName name="solver_lhs5" localSheetId="1" hidden="1">'（非工作状态）-80116(high)100m以上 '!$I$48</definedName>
    <definedName name="solver_lhs5" localSheetId="3" hidden="1">'(非工作状态)-80116(high)100m以下 '!$I$45</definedName>
    <definedName name="solver_lin" localSheetId="0" hidden="1">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od" localSheetId="2" hidden="1">2147483647</definedName>
    <definedName name="solver_num" localSheetId="0" hidden="1">5</definedName>
    <definedName name="solver_num" localSheetId="2" hidden="1">5</definedName>
    <definedName name="solver_num" localSheetId="1" hidden="1">5</definedName>
    <definedName name="solver_num" localSheetId="3" hidden="1">5</definedName>
    <definedName name="solver_nwt" localSheetId="0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'（工作状态）-80116(high)100m以上'!$D$48</definedName>
    <definedName name="solver_opt" localSheetId="2" hidden="1">'(工作状态)-80116(high)100m以下'!$D$45</definedName>
    <definedName name="solver_opt" localSheetId="1" hidden="1">'（非工作状态）-80116(high)100m以上 '!$D$48</definedName>
    <definedName name="solver_opt" localSheetId="3" hidden="1">'(非工作状态)-80116(high)100m以下 '!$D$45</definedName>
    <definedName name="solver_pre" localSheetId="0" hidden="1">0.001</definedName>
    <definedName name="solver_pre" localSheetId="2" hidden="1">0.001</definedName>
    <definedName name="solver_pre" localSheetId="1" hidden="1">0.000001</definedName>
    <definedName name="solver_pre" localSheetId="3" hidden="1">0.001</definedName>
    <definedName name="solver_rbv" localSheetId="2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el2" localSheetId="3" hidden="1">2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3" localSheetId="3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4" localSheetId="3" hidden="1">2</definedName>
    <definedName name="solver_rel5" localSheetId="0" hidden="1">2</definedName>
    <definedName name="solver_rel5" localSheetId="2" hidden="1">2</definedName>
    <definedName name="solver_rel5" localSheetId="1" hidden="1">2</definedName>
    <definedName name="solver_rel5" localSheetId="3" hidden="1">2</definedName>
    <definedName name="solver_rhs1" localSheetId="0" hidden="1">0</definedName>
    <definedName name="solver_rhs1" localSheetId="2" hidden="1">0</definedName>
    <definedName name="solver_rhs1" localSheetId="1" hidden="1">0</definedName>
    <definedName name="solver_rhs1" localSheetId="3" hidden="1">0</definedName>
    <definedName name="solver_rhs2" localSheetId="0" hidden="1">0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3" localSheetId="0" hidden="1">0</definedName>
    <definedName name="solver_rhs3" localSheetId="2" hidden="1">0</definedName>
    <definedName name="solver_rhs3" localSheetId="1" hidden="1">0</definedName>
    <definedName name="solver_rhs3" localSheetId="3" hidden="1">0</definedName>
    <definedName name="solver_rhs4" localSheetId="0" hidden="1">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5" localSheetId="0" hidden="1">0</definedName>
    <definedName name="solver_rhs5" localSheetId="2" hidden="1">0</definedName>
    <definedName name="solver_rhs5" localSheetId="1" hidden="1">0</definedName>
    <definedName name="solver_rhs5" localSheetId="3" hidden="1">0</definedName>
    <definedName name="solver_rlx" localSheetId="2" hidden="1">1</definedName>
    <definedName name="solver_rsd" localSheetId="2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E10" i="2" l="1"/>
  <c r="E15" i="2"/>
  <c r="O15" i="4" l="1"/>
  <c r="P15" i="4" s="1"/>
  <c r="Q15" i="4" s="1"/>
  <c r="R15" i="4" s="1"/>
  <c r="S15" i="4" s="1"/>
  <c r="T15" i="4" s="1"/>
  <c r="O25" i="1"/>
  <c r="P25" i="1" s="1"/>
  <c r="Q25" i="1" s="1"/>
  <c r="R25" i="1" s="1"/>
  <c r="S25" i="1" s="1"/>
  <c r="T25" i="1" s="1"/>
  <c r="M12" i="4"/>
  <c r="M11" i="4" s="1"/>
  <c r="M10" i="4" s="1"/>
  <c r="M9" i="4" s="1"/>
  <c r="M8" i="4" s="1"/>
  <c r="M7" i="4" s="1"/>
  <c r="M22" i="1"/>
  <c r="M21" i="1" s="1"/>
  <c r="M20" i="1" s="1"/>
  <c r="M19" i="1" s="1"/>
  <c r="M18" i="1" s="1"/>
  <c r="M17" i="1" s="1"/>
  <c r="O14" i="4" l="1"/>
  <c r="P14" i="4" s="1"/>
  <c r="Q14" i="4" s="1"/>
  <c r="R14" i="4" l="1"/>
  <c r="H33" i="1"/>
  <c r="I33" i="1"/>
  <c r="O24" i="1"/>
  <c r="P24" i="1" s="1"/>
  <c r="Q24" i="1" s="1"/>
  <c r="R24" i="1" s="1"/>
  <c r="S24" i="1" s="1"/>
  <c r="E17" i="1"/>
  <c r="E11" i="1" s="1"/>
  <c r="E17" i="4"/>
  <c r="E11" i="4" s="1"/>
  <c r="E16" i="5"/>
  <c r="E10" i="5" s="1"/>
  <c r="E16" i="2"/>
  <c r="E15" i="5"/>
  <c r="E16" i="4"/>
  <c r="F23" i="4" s="1"/>
  <c r="I32" i="4"/>
  <c r="E16" i="1"/>
  <c r="E9" i="1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6" i="5"/>
  <c r="H36" i="5"/>
  <c r="G36" i="5"/>
  <c r="F36" i="5"/>
  <c r="D36" i="5"/>
  <c r="O34" i="5"/>
  <c r="I31" i="5"/>
  <c r="H31" i="5"/>
  <c r="G31" i="5"/>
  <c r="F31" i="5"/>
  <c r="D31" i="5"/>
  <c r="I29" i="5"/>
  <c r="H29" i="5"/>
  <c r="G29" i="5"/>
  <c r="F29" i="5"/>
  <c r="D29" i="5"/>
  <c r="B22" i="5"/>
  <c r="C21" i="5"/>
  <c r="B21" i="5"/>
  <c r="F21" i="5"/>
  <c r="C5" i="5"/>
  <c r="C4" i="5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4" i="4"/>
  <c r="H34" i="4"/>
  <c r="G34" i="4"/>
  <c r="F34" i="4"/>
  <c r="E34" i="4"/>
  <c r="D34" i="4"/>
  <c r="H32" i="4"/>
  <c r="F32" i="4"/>
  <c r="D32" i="4"/>
  <c r="B24" i="4"/>
  <c r="C23" i="4" s="1"/>
  <c r="B23" i="4"/>
  <c r="C22" i="4" s="1"/>
  <c r="B22" i="4"/>
  <c r="C5" i="4"/>
  <c r="C4" i="4"/>
  <c r="C5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O34" i="2"/>
  <c r="I31" i="2"/>
  <c r="H31" i="2"/>
  <c r="G31" i="2"/>
  <c r="F31" i="2"/>
  <c r="E31" i="2"/>
  <c r="D31" i="2"/>
  <c r="I29" i="2"/>
  <c r="H29" i="2"/>
  <c r="G29" i="2"/>
  <c r="F29" i="2"/>
  <c r="E29" i="2"/>
  <c r="D29" i="2"/>
  <c r="B22" i="2"/>
  <c r="C21" i="2" s="1"/>
  <c r="B21" i="2"/>
  <c r="C4" i="2"/>
  <c r="H34" i="1"/>
  <c r="I34" i="1"/>
  <c r="D34" i="1"/>
  <c r="H32" i="1"/>
  <c r="I32" i="1"/>
  <c r="D32" i="1"/>
  <c r="I37" i="5" l="1"/>
  <c r="G37" i="5"/>
  <c r="E37" i="5"/>
  <c r="N37" i="5" s="1"/>
  <c r="E36" i="5"/>
  <c r="N36" i="5" s="1"/>
  <c r="H37" i="5"/>
  <c r="F37" i="5"/>
  <c r="D37" i="5"/>
  <c r="M37" i="5" s="1"/>
  <c r="E31" i="5"/>
  <c r="E29" i="5"/>
  <c r="E33" i="1"/>
  <c r="M40" i="4"/>
  <c r="S14" i="4"/>
  <c r="G33" i="1"/>
  <c r="D33" i="1"/>
  <c r="F33" i="1"/>
  <c r="F34" i="1"/>
  <c r="F32" i="1"/>
  <c r="E34" i="1"/>
  <c r="E32" i="1"/>
  <c r="G34" i="1"/>
  <c r="G32" i="1"/>
  <c r="I33" i="4"/>
  <c r="G33" i="4"/>
  <c r="E33" i="4"/>
  <c r="H33" i="4"/>
  <c r="F33" i="4"/>
  <c r="D33" i="4"/>
  <c r="I30" i="5"/>
  <c r="G30" i="5"/>
  <c r="E30" i="5"/>
  <c r="H30" i="5"/>
  <c r="F30" i="5"/>
  <c r="D30" i="5"/>
  <c r="E32" i="4"/>
  <c r="G32" i="4"/>
  <c r="H30" i="2"/>
  <c r="F30" i="2"/>
  <c r="D30" i="2"/>
  <c r="I30" i="2"/>
  <c r="G30" i="2"/>
  <c r="E30" i="2"/>
  <c r="H27" i="5"/>
  <c r="F27" i="5"/>
  <c r="D27" i="5"/>
  <c r="I27" i="5"/>
  <c r="G27" i="5"/>
  <c r="E27" i="5"/>
  <c r="H21" i="5"/>
  <c r="F22" i="5"/>
  <c r="M36" i="5"/>
  <c r="H30" i="4"/>
  <c r="F30" i="4"/>
  <c r="D30" i="4"/>
  <c r="I30" i="4"/>
  <c r="G30" i="4"/>
  <c r="E30" i="4"/>
  <c r="H23" i="4"/>
  <c r="F24" i="4"/>
  <c r="M39" i="4"/>
  <c r="F22" i="4"/>
  <c r="N37" i="2"/>
  <c r="M37" i="2"/>
  <c r="F21" i="2"/>
  <c r="F22" i="2"/>
  <c r="H22" i="2" s="1"/>
  <c r="N36" i="2"/>
  <c r="M36" i="2"/>
  <c r="O37" i="1"/>
  <c r="D39" i="1"/>
  <c r="D72" i="1" s="1"/>
  <c r="D80" i="1" s="1"/>
  <c r="D88" i="1" s="1"/>
  <c r="D96" i="1" s="1"/>
  <c r="D104" i="1" s="1"/>
  <c r="E39" i="1"/>
  <c r="F39" i="1"/>
  <c r="G39" i="1"/>
  <c r="H39" i="1"/>
  <c r="H47" i="1" s="1"/>
  <c r="H48" i="1" s="1"/>
  <c r="I39" i="1"/>
  <c r="I47" i="1" s="1"/>
  <c r="I48" i="1" s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53" i="2" l="1"/>
  <c r="N39" i="1"/>
  <c r="H28" i="5"/>
  <c r="F28" i="5"/>
  <c r="F32" i="5" s="1"/>
  <c r="D28" i="5"/>
  <c r="D32" i="5" s="1"/>
  <c r="H22" i="5"/>
  <c r="H23" i="5" s="1"/>
  <c r="I28" i="5"/>
  <c r="G28" i="5"/>
  <c r="G32" i="5" s="1"/>
  <c r="E28" i="5"/>
  <c r="E32" i="5" s="1"/>
  <c r="E53" i="5"/>
  <c r="I32" i="5"/>
  <c r="H32" i="5"/>
  <c r="H29" i="4"/>
  <c r="F29" i="4"/>
  <c r="D29" i="4"/>
  <c r="E56" i="4"/>
  <c r="I29" i="4"/>
  <c r="G29" i="4"/>
  <c r="E29" i="4"/>
  <c r="H22" i="4"/>
  <c r="H31" i="4"/>
  <c r="F31" i="4"/>
  <c r="D31" i="4"/>
  <c r="H24" i="4"/>
  <c r="I31" i="4"/>
  <c r="G31" i="4"/>
  <c r="E31" i="4"/>
  <c r="N40" i="1"/>
  <c r="M39" i="1"/>
  <c r="F28" i="2"/>
  <c r="H28" i="2"/>
  <c r="D28" i="2"/>
  <c r="E28" i="2"/>
  <c r="G28" i="2"/>
  <c r="I28" i="2"/>
  <c r="I27" i="2"/>
  <c r="G27" i="2"/>
  <c r="E27" i="2"/>
  <c r="H21" i="2"/>
  <c r="H23" i="2" s="1"/>
  <c r="H27" i="2"/>
  <c r="F27" i="2"/>
  <c r="D27" i="2"/>
  <c r="D44" i="1"/>
  <c r="I72" i="1" s="1"/>
  <c r="D43" i="1"/>
  <c r="D76" i="1" s="1"/>
  <c r="D84" i="1" s="1"/>
  <c r="D42" i="1"/>
  <c r="D75" i="1" s="1"/>
  <c r="D83" i="1" s="1"/>
  <c r="D41" i="1"/>
  <c r="D74" i="1" s="1"/>
  <c r="D82" i="1" s="1"/>
  <c r="D90" i="1" s="1"/>
  <c r="D98" i="1" s="1"/>
  <c r="D106" i="1" s="1"/>
  <c r="D40" i="1"/>
  <c r="F23" i="1"/>
  <c r="D30" i="1" s="1"/>
  <c r="F24" i="1"/>
  <c r="F22" i="1"/>
  <c r="B24" i="1"/>
  <c r="C23" i="1" s="1"/>
  <c r="B23" i="1"/>
  <c r="C22" i="1" s="1"/>
  <c r="B22" i="1"/>
  <c r="C5" i="1"/>
  <c r="C4" i="1"/>
  <c r="F32" i="2" l="1"/>
  <c r="F33" i="2" s="1"/>
  <c r="H32" i="2"/>
  <c r="H33" i="2" s="1"/>
  <c r="G32" i="2"/>
  <c r="G33" i="2" s="1"/>
  <c r="D32" i="2"/>
  <c r="D44" i="2" s="1"/>
  <c r="D45" i="2" s="1"/>
  <c r="E32" i="2"/>
  <c r="E33" i="2" s="1"/>
  <c r="I32" i="2"/>
  <c r="I33" i="2" s="1"/>
  <c r="E57" i="1"/>
  <c r="D29" i="1"/>
  <c r="E66" i="1"/>
  <c r="D92" i="1"/>
  <c r="D100" i="1" s="1"/>
  <c r="D108" i="1" s="1"/>
  <c r="F72" i="1"/>
  <c r="E72" i="1"/>
  <c r="M40" i="1"/>
  <c r="D73" i="1"/>
  <c r="D81" i="1" s="1"/>
  <c r="D89" i="1" s="1"/>
  <c r="D97" i="1" s="1"/>
  <c r="D105" i="1" s="1"/>
  <c r="D91" i="1"/>
  <c r="D99" i="1" s="1"/>
  <c r="D107" i="1" s="1"/>
  <c r="D77" i="1"/>
  <c r="D85" i="1" s="1"/>
  <c r="F76" i="1"/>
  <c r="G73" i="1"/>
  <c r="I73" i="1"/>
  <c r="G74" i="1"/>
  <c r="I74" i="1"/>
  <c r="G75" i="1"/>
  <c r="I75" i="1"/>
  <c r="H76" i="1"/>
  <c r="F77" i="1"/>
  <c r="H77" i="1"/>
  <c r="E73" i="1"/>
  <c r="E81" i="1" s="1"/>
  <c r="E75" i="1"/>
  <c r="E83" i="1" s="1"/>
  <c r="E77" i="1"/>
  <c r="E85" i="1" s="1"/>
  <c r="F73" i="1"/>
  <c r="H73" i="1"/>
  <c r="F74" i="1"/>
  <c r="H74" i="1"/>
  <c r="F75" i="1"/>
  <c r="H75" i="1"/>
  <c r="G76" i="1"/>
  <c r="I76" i="1"/>
  <c r="G77" i="1"/>
  <c r="I77" i="1"/>
  <c r="E74" i="1"/>
  <c r="E82" i="1" s="1"/>
  <c r="E76" i="1"/>
  <c r="E84" i="1" s="1"/>
  <c r="H72" i="1"/>
  <c r="G72" i="1"/>
  <c r="E80" i="1"/>
  <c r="H33" i="5"/>
  <c r="H44" i="5"/>
  <c r="H45" i="5" s="1"/>
  <c r="I33" i="5"/>
  <c r="I44" i="5"/>
  <c r="I45" i="5" s="1"/>
  <c r="F33" i="5"/>
  <c r="F44" i="5"/>
  <c r="F45" i="5" s="1"/>
  <c r="G33" i="5"/>
  <c r="G44" i="5"/>
  <c r="G45" i="5" s="1"/>
  <c r="D33" i="5"/>
  <c r="D44" i="5"/>
  <c r="D45" i="5" s="1"/>
  <c r="E33" i="5"/>
  <c r="E44" i="5"/>
  <c r="E45" i="5" s="1"/>
  <c r="E35" i="4"/>
  <c r="I35" i="4"/>
  <c r="D35" i="4"/>
  <c r="H35" i="4"/>
  <c r="H25" i="4"/>
  <c r="G35" i="4"/>
  <c r="F35" i="4"/>
  <c r="F44" i="2"/>
  <c r="F45" i="2" s="1"/>
  <c r="F31" i="1"/>
  <c r="H24" i="1"/>
  <c r="F30" i="1"/>
  <c r="H30" i="1"/>
  <c r="H23" i="1"/>
  <c r="E30" i="1"/>
  <c r="G30" i="1"/>
  <c r="I30" i="1"/>
  <c r="F29" i="1"/>
  <c r="H22" i="1"/>
  <c r="I31" i="1"/>
  <c r="G31" i="1"/>
  <c r="E31" i="1"/>
  <c r="H29" i="1"/>
  <c r="D31" i="1"/>
  <c r="H31" i="1"/>
  <c r="I29" i="1"/>
  <c r="G29" i="1"/>
  <c r="E29" i="1"/>
  <c r="D33" i="2" l="1"/>
  <c r="G44" i="2"/>
  <c r="G45" i="2" s="1"/>
  <c r="H44" i="2"/>
  <c r="H45" i="2" s="1"/>
  <c r="I44" i="2"/>
  <c r="I45" i="2" s="1"/>
  <c r="E44" i="2"/>
  <c r="E45" i="2" s="1"/>
  <c r="I35" i="1"/>
  <c r="H25" i="1"/>
  <c r="E90" i="1"/>
  <c r="E98" i="1" s="1"/>
  <c r="E106" i="1" s="1"/>
  <c r="E91" i="1"/>
  <c r="E99" i="1" s="1"/>
  <c r="E107" i="1" s="1"/>
  <c r="E93" i="1"/>
  <c r="E101" i="1" s="1"/>
  <c r="E109" i="1" s="1"/>
  <c r="G80" i="1"/>
  <c r="G82" i="1"/>
  <c r="G84" i="1"/>
  <c r="G81" i="1"/>
  <c r="G83" i="1"/>
  <c r="G85" i="1"/>
  <c r="H81" i="1"/>
  <c r="H83" i="1"/>
  <c r="H85" i="1"/>
  <c r="H80" i="1"/>
  <c r="H82" i="1"/>
  <c r="H84" i="1"/>
  <c r="D93" i="1"/>
  <c r="D101" i="1" s="1"/>
  <c r="D109" i="1" s="1"/>
  <c r="E92" i="1"/>
  <c r="E100" i="1" s="1"/>
  <c r="E108" i="1" s="1"/>
  <c r="E89" i="1"/>
  <c r="E97" i="1" s="1"/>
  <c r="E105" i="1" s="1"/>
  <c r="E88" i="1"/>
  <c r="E96" i="1" s="1"/>
  <c r="E104" i="1" s="1"/>
  <c r="I80" i="1"/>
  <c r="I82" i="1"/>
  <c r="I84" i="1"/>
  <c r="I81" i="1"/>
  <c r="I83" i="1"/>
  <c r="I85" i="1"/>
  <c r="F81" i="1"/>
  <c r="F89" i="1" s="1"/>
  <c r="F97" i="1" s="1"/>
  <c r="F83" i="1"/>
  <c r="F91" i="1" s="1"/>
  <c r="F99" i="1" s="1"/>
  <c r="F107" i="1" s="1"/>
  <c r="F85" i="1"/>
  <c r="F93" i="1" s="1"/>
  <c r="F101" i="1" s="1"/>
  <c r="F109" i="1" s="1"/>
  <c r="F82" i="1"/>
  <c r="F90" i="1" s="1"/>
  <c r="F98" i="1" s="1"/>
  <c r="F84" i="1"/>
  <c r="F92" i="1" s="1"/>
  <c r="F100" i="1" s="1"/>
  <c r="F108" i="1" s="1"/>
  <c r="F80" i="1"/>
  <c r="F88" i="1" s="1"/>
  <c r="F96" i="1" s="1"/>
  <c r="F104" i="1" s="1"/>
  <c r="F106" i="1"/>
  <c r="F105" i="1"/>
  <c r="F36" i="4"/>
  <c r="F47" i="4"/>
  <c r="F48" i="4" s="1"/>
  <c r="D36" i="4"/>
  <c r="D47" i="4"/>
  <c r="D48" i="4" s="1"/>
  <c r="E36" i="4"/>
  <c r="E47" i="4"/>
  <c r="E48" i="4" s="1"/>
  <c r="G36" i="4"/>
  <c r="G47" i="4"/>
  <c r="G48" i="4" s="1"/>
  <c r="H36" i="4"/>
  <c r="H47" i="4"/>
  <c r="H48" i="4" s="1"/>
  <c r="I36" i="4"/>
  <c r="I47" i="4"/>
  <c r="I48" i="4" s="1"/>
  <c r="D35" i="1"/>
  <c r="D47" i="1" s="1"/>
  <c r="D48" i="1" s="1"/>
  <c r="E35" i="1"/>
  <c r="E47" i="1" s="1"/>
  <c r="E48" i="1" s="1"/>
  <c r="G35" i="1"/>
  <c r="G47" i="1" s="1"/>
  <c r="G48" i="1" s="1"/>
  <c r="F35" i="1"/>
  <c r="F47" i="1" s="1"/>
  <c r="F48" i="1" s="1"/>
  <c r="I36" i="1"/>
  <c r="H35" i="1"/>
  <c r="I88" i="1" l="1"/>
  <c r="I89" i="1"/>
  <c r="I90" i="1"/>
  <c r="I91" i="1"/>
  <c r="I92" i="1"/>
  <c r="I93" i="1"/>
  <c r="G93" i="1"/>
  <c r="G101" i="1" s="1"/>
  <c r="G109" i="1" s="1"/>
  <c r="G89" i="1"/>
  <c r="G97" i="1" s="1"/>
  <c r="G105" i="1" s="1"/>
  <c r="G91" i="1"/>
  <c r="G99" i="1" s="1"/>
  <c r="G107" i="1" s="1"/>
  <c r="G92" i="1"/>
  <c r="G100" i="1" s="1"/>
  <c r="G108" i="1" s="1"/>
  <c r="G88" i="1"/>
  <c r="G96" i="1" s="1"/>
  <c r="G104" i="1" s="1"/>
  <c r="G90" i="1"/>
  <c r="G98" i="1" s="1"/>
  <c r="G106" i="1" s="1"/>
  <c r="H88" i="1"/>
  <c r="H89" i="1"/>
  <c r="H90" i="1"/>
  <c r="H91" i="1"/>
  <c r="H92" i="1"/>
  <c r="H93" i="1"/>
  <c r="G36" i="1"/>
  <c r="D36" i="1"/>
  <c r="E36" i="1"/>
  <c r="F36" i="1"/>
  <c r="H36" i="1"/>
  <c r="H99" i="1" l="1"/>
  <c r="H107" i="1" s="1"/>
  <c r="H101" i="1"/>
  <c r="H109" i="1" s="1"/>
  <c r="H97" i="1"/>
  <c r="H105" i="1" s="1"/>
  <c r="H100" i="1"/>
  <c r="H108" i="1" s="1"/>
  <c r="H96" i="1"/>
  <c r="H104" i="1" s="1"/>
  <c r="H98" i="1"/>
  <c r="H106" i="1" s="1"/>
  <c r="I96" i="1"/>
  <c r="I98" i="1"/>
  <c r="I106" i="1" s="1"/>
  <c r="I100" i="1"/>
  <c r="I108" i="1" s="1"/>
  <c r="I97" i="1"/>
  <c r="I99" i="1"/>
  <c r="I107" i="1" s="1"/>
  <c r="I101" i="1"/>
  <c r="I109" i="1" s="1"/>
  <c r="I105" i="1" l="1"/>
  <c r="I104" i="1"/>
  <c r="D112" i="1" s="1"/>
</calcChain>
</file>

<file path=xl/comments1.xml><?xml version="1.0" encoding="utf-8"?>
<comments xmlns="http://schemas.openxmlformats.org/spreadsheetml/2006/main">
  <authors>
    <author>Author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  <comment ref="M2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sharedStrings.xml><?xml version="1.0" encoding="utf-8"?>
<sst xmlns="http://schemas.openxmlformats.org/spreadsheetml/2006/main" count="351" uniqueCount="94">
  <si>
    <t>+∞</t>
    <phoneticPr fontId="3" type="noConversion"/>
  </si>
  <si>
    <t>分段风压</t>
    <phoneticPr fontId="3" type="noConversion"/>
  </si>
  <si>
    <t>q1=</t>
    <phoneticPr fontId="1" type="noConversion"/>
  </si>
  <si>
    <t xml:space="preserve">m  </t>
    <phoneticPr fontId="1" type="noConversion"/>
  </si>
  <si>
    <t xml:space="preserve">m  </t>
    <phoneticPr fontId="1" type="noConversion"/>
  </si>
  <si>
    <t>q2=</t>
    <phoneticPr fontId="1" type="noConversion"/>
  </si>
  <si>
    <t>q3=</t>
    <phoneticPr fontId="1" type="noConversion"/>
  </si>
  <si>
    <t>载荷参数</t>
    <phoneticPr fontId="1" type="noConversion"/>
  </si>
  <si>
    <t>塔顶力矩</t>
    <phoneticPr fontId="1" type="noConversion"/>
  </si>
  <si>
    <t>M=</t>
    <phoneticPr fontId="1" type="noConversion"/>
  </si>
  <si>
    <t>塔顶横向力</t>
    <phoneticPr fontId="1" type="noConversion"/>
  </si>
  <si>
    <t>Fwt=</t>
    <phoneticPr fontId="1" type="noConversion"/>
  </si>
  <si>
    <t>塔顶横向力高度</t>
    <phoneticPr fontId="1" type="noConversion"/>
  </si>
  <si>
    <t>标节高度</t>
    <phoneticPr fontId="1" type="noConversion"/>
  </si>
  <si>
    <t>H0=</t>
    <phoneticPr fontId="1" type="noConversion"/>
  </si>
  <si>
    <t>A=</t>
    <phoneticPr fontId="1" type="noConversion"/>
  </si>
  <si>
    <t>单个标节迎风面积</t>
    <phoneticPr fontId="1" type="noConversion"/>
  </si>
  <si>
    <t>tm</t>
    <phoneticPr fontId="1" type="noConversion"/>
  </si>
  <si>
    <t>t</t>
    <phoneticPr fontId="1" type="noConversion"/>
  </si>
  <si>
    <t>m</t>
    <phoneticPr fontId="1" type="noConversion"/>
  </si>
  <si>
    <t>m^2</t>
    <phoneticPr fontId="1" type="noConversion"/>
  </si>
  <si>
    <t>标节数量</t>
    <phoneticPr fontId="1" type="noConversion"/>
  </si>
  <si>
    <t>n=</t>
    <phoneticPr fontId="1" type="noConversion"/>
  </si>
  <si>
    <t>个</t>
    <phoneticPr fontId="1" type="noConversion"/>
  </si>
  <si>
    <t>标节总高度</t>
    <phoneticPr fontId="1" type="noConversion"/>
  </si>
  <si>
    <t>H=</t>
    <phoneticPr fontId="1" type="noConversion"/>
  </si>
  <si>
    <t>p1=</t>
    <phoneticPr fontId="1" type="noConversion"/>
  </si>
  <si>
    <t>p2=</t>
    <phoneticPr fontId="1" type="noConversion"/>
  </si>
  <si>
    <t>p3=</t>
    <phoneticPr fontId="1" type="noConversion"/>
  </si>
  <si>
    <t>塔身各段分布风力</t>
    <phoneticPr fontId="1" type="noConversion"/>
  </si>
  <si>
    <t>N/m</t>
    <phoneticPr fontId="3" type="noConversion"/>
  </si>
  <si>
    <t>附着参数及位移参数</t>
    <phoneticPr fontId="1" type="noConversion"/>
  </si>
  <si>
    <t>附着道数</t>
    <phoneticPr fontId="3" type="noConversion"/>
  </si>
  <si>
    <t>附着位置/m</t>
    <phoneticPr fontId="3" type="noConversion"/>
  </si>
  <si>
    <t>集中力大小</t>
    <phoneticPr fontId="3" type="noConversion"/>
  </si>
  <si>
    <t>F1=</t>
    <phoneticPr fontId="3" type="noConversion"/>
  </si>
  <si>
    <t>t</t>
    <phoneticPr fontId="3" type="noConversion"/>
  </si>
  <si>
    <t>集中力高度</t>
    <phoneticPr fontId="3" type="noConversion"/>
  </si>
  <si>
    <t>Hwt=</t>
    <phoneticPr fontId="1" type="noConversion"/>
  </si>
  <si>
    <t>H1=</t>
    <phoneticPr fontId="3" type="noConversion"/>
  </si>
  <si>
    <t>m</t>
    <phoneticPr fontId="3" type="noConversion"/>
  </si>
  <si>
    <t>q1引起的位移*EI</t>
    <phoneticPr fontId="3" type="noConversion"/>
  </si>
  <si>
    <t>q2引起的位移*EI</t>
    <phoneticPr fontId="3" type="noConversion"/>
  </si>
  <si>
    <t>q3引起的位移*EI</t>
    <phoneticPr fontId="3" type="noConversion"/>
  </si>
  <si>
    <t>集中力引起的位移*EI</t>
    <phoneticPr fontId="3" type="noConversion"/>
  </si>
  <si>
    <t>M引起的位移*EI</t>
    <phoneticPr fontId="3" type="noConversion"/>
  </si>
  <si>
    <t>合计/m*EI</t>
    <phoneticPr fontId="3" type="noConversion"/>
  </si>
  <si>
    <t>施力附着编号</t>
    <phoneticPr fontId="3" type="noConversion"/>
  </si>
  <si>
    <t>各附着反力</t>
    <phoneticPr fontId="3" type="noConversion"/>
  </si>
  <si>
    <t>附着道数</t>
    <phoneticPr fontId="3" type="noConversion"/>
  </si>
  <si>
    <t>引起位移*EI</t>
    <phoneticPr fontId="3" type="noConversion"/>
  </si>
  <si>
    <t>塔顶横向力位移*EI</t>
    <phoneticPr fontId="3" type="noConversion"/>
  </si>
  <si>
    <t>实际位移/m</t>
    <phoneticPr fontId="3" type="noConversion"/>
  </si>
  <si>
    <t>位移差*EI</t>
    <phoneticPr fontId="3" type="noConversion"/>
  </si>
  <si>
    <t>E*I</t>
    <phoneticPr fontId="3" type="noConversion"/>
  </si>
  <si>
    <t>E/Pa</t>
    <phoneticPr fontId="3" type="noConversion"/>
  </si>
  <si>
    <t>I/m^4</t>
    <phoneticPr fontId="3" type="noConversion"/>
  </si>
  <si>
    <t>Pa</t>
    <phoneticPr fontId="3" type="noConversion"/>
  </si>
  <si>
    <t>各段风力/N</t>
    <phoneticPr fontId="3" type="noConversion"/>
  </si>
  <si>
    <t>各段风力/N</t>
    <phoneticPr fontId="1" type="noConversion"/>
  </si>
  <si>
    <t>q2引起的位移*EI</t>
    <phoneticPr fontId="3" type="noConversion"/>
  </si>
  <si>
    <t>求实际位移用</t>
    <phoneticPr fontId="1" type="noConversion"/>
  </si>
  <si>
    <t>求实际位移用</t>
    <phoneticPr fontId="3" type="noConversion"/>
  </si>
  <si>
    <t>附着反力/N</t>
    <phoneticPr fontId="3" type="noConversion"/>
  </si>
  <si>
    <t>与风力矩同向</t>
    <phoneticPr fontId="3" type="noConversion"/>
  </si>
  <si>
    <t>基础地面弯矩/tm</t>
    <phoneticPr fontId="3" type="noConversion"/>
  </si>
  <si>
    <t>工作100m以上附着计算表</t>
    <phoneticPr fontId="3" type="noConversion"/>
  </si>
  <si>
    <t>非工作100m以上附着计算表</t>
    <phoneticPr fontId="3" type="noConversion"/>
  </si>
  <si>
    <t>工作100m以下附着计算表</t>
    <phoneticPr fontId="3" type="noConversion"/>
  </si>
  <si>
    <t>非工作100m以下附着计算表</t>
    <phoneticPr fontId="3" type="noConversion"/>
  </si>
  <si>
    <t>附着位置</t>
    <phoneticPr fontId="3" type="noConversion"/>
  </si>
  <si>
    <t>附着吊钩下高度</t>
    <phoneticPr fontId="3" type="noConversion"/>
  </si>
  <si>
    <t>工作状态</t>
    <phoneticPr fontId="3" type="noConversion"/>
  </si>
  <si>
    <t>最大附着反力/t</t>
    <phoneticPr fontId="3" type="noConversion"/>
  </si>
  <si>
    <t>基础底面弯矩/tm</t>
    <phoneticPr fontId="3" type="noConversion"/>
  </si>
  <si>
    <t>塔身总节数/个</t>
    <phoneticPr fontId="3" type="noConversion"/>
  </si>
  <si>
    <t>各附着反力(高斯消去法结果)</t>
    <phoneticPr fontId="3" type="noConversion"/>
  </si>
  <si>
    <t>矩阵变换1</t>
    <phoneticPr fontId="3" type="noConversion"/>
  </si>
  <si>
    <t>矩阵变换2</t>
    <phoneticPr fontId="3" type="noConversion"/>
  </si>
  <si>
    <t>矩阵变换3</t>
    <phoneticPr fontId="3" type="noConversion"/>
  </si>
  <si>
    <t>矩阵变换4</t>
    <phoneticPr fontId="3" type="noConversion"/>
  </si>
  <si>
    <t>矩阵变换5</t>
    <phoneticPr fontId="3" type="noConversion"/>
  </si>
  <si>
    <t>放大的位移差*EI*N</t>
    <phoneticPr fontId="3" type="noConversion"/>
  </si>
  <si>
    <t>放大系数N</t>
    <phoneticPr fontId="3" type="noConversion"/>
  </si>
  <si>
    <t>计算用塔身高度</t>
    <phoneticPr fontId="3" type="noConversion"/>
  </si>
  <si>
    <t>非工作状态</t>
    <phoneticPr fontId="3" type="noConversion"/>
  </si>
  <si>
    <t>A=</t>
    <phoneticPr fontId="3" type="noConversion"/>
  </si>
  <si>
    <t>B=</t>
    <phoneticPr fontId="3" type="noConversion"/>
  </si>
  <si>
    <t>C=</t>
    <phoneticPr fontId="3" type="noConversion"/>
  </si>
  <si>
    <t>自由高度13个节</t>
    <phoneticPr fontId="3" type="noConversion"/>
  </si>
  <si>
    <t>第一道附着</t>
    <phoneticPr fontId="3" type="noConversion"/>
  </si>
  <si>
    <t>第二道附着</t>
    <phoneticPr fontId="3" type="noConversion"/>
  </si>
  <si>
    <t>附着反力</t>
    <phoneticPr fontId="3" type="noConversion"/>
  </si>
  <si>
    <t>25个标节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</si>
</sst>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0E+00"/>
    <numFmt numFmtId="166" formatCode="0_ "/>
    <numFmt numFmtId="167" formatCode="0.000E+00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u/>
      <sz val="11"/>
      <color rgb="FFFF0000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i/>
      <u/>
      <sz val="11"/>
      <color theme="9" tint="-0.24994659260841701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48"/>
      <color rgb="FFFA7D00"/>
      <name val="Calibri"/>
      <family val="2"/>
      <charset val="134"/>
      <scheme val="minor"/>
    </font>
    <font>
      <b/>
      <sz val="48"/>
      <color rgb="FFFA7D00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0" fillId="5" borderId="6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>
      <alignment vertical="center"/>
    </xf>
    <xf numFmtId="16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165" fontId="0" fillId="6" borderId="2" xfId="0" applyNumberFormat="1" applyFill="1" applyBorder="1">
      <alignment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0" fillId="5" borderId="7" xfId="1" applyBorder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>
      <alignment vertical="center"/>
    </xf>
    <xf numFmtId="165" fontId="0" fillId="10" borderId="0" xfId="0" applyNumberFormat="1" applyFill="1">
      <alignment vertical="center"/>
    </xf>
    <xf numFmtId="0" fontId="0" fillId="0" borderId="2" xfId="0" applyFill="1" applyBorder="1" applyAlignment="1">
      <alignment horizontal="center" vertical="center" shrinkToFit="1"/>
    </xf>
    <xf numFmtId="11" fontId="0" fillId="0" borderId="2" xfId="0" applyNumberFormat="1" applyBorder="1">
      <alignment vertical="center"/>
    </xf>
    <xf numFmtId="0" fontId="0" fillId="11" borderId="0" xfId="0" applyFill="1">
      <alignment vertical="center"/>
    </xf>
    <xf numFmtId="0" fontId="11" fillId="7" borderId="6" xfId="1" applyFont="1" applyFill="1" applyAlignment="1">
      <alignment horizontal="center" vertical="center"/>
    </xf>
    <xf numFmtId="0" fontId="12" fillId="7" borderId="6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8" borderId="6" xfId="1" applyFont="1" applyFill="1" applyAlignment="1">
      <alignment horizontal="center" vertical="center"/>
    </xf>
    <xf numFmtId="0" fontId="12" fillId="8" borderId="6" xfId="1" applyFont="1" applyFill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2190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4857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74295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4667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7334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99060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17430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2009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22669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67246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8" name="TextBox 7"/>
        <xdr:cNvSpPr txBox="1">
          <a:spLocks/>
        </xdr:cNvSpPr>
      </xdr:nvSpPr>
      <xdr:spPr>
        <a:xfrm>
          <a:off x="1543049" y="17621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9" name="TextBox 8"/>
        <xdr:cNvSpPr txBox="1">
          <a:spLocks/>
        </xdr:cNvSpPr>
      </xdr:nvSpPr>
      <xdr:spPr>
        <a:xfrm>
          <a:off x="1552574" y="2019300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400175" y="56673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400175" y="59340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5" name="TextBox 4"/>
        <xdr:cNvSpPr txBox="1">
          <a:spLocks/>
        </xdr:cNvSpPr>
      </xdr:nvSpPr>
      <xdr:spPr>
        <a:xfrm>
          <a:off x="1543049" y="1762125"/>
          <a:ext cx="27622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6" name="TextBox 5"/>
        <xdr:cNvSpPr txBox="1">
          <a:spLocks/>
        </xdr:cNvSpPr>
      </xdr:nvSpPr>
      <xdr:spPr>
        <a:xfrm>
          <a:off x="1552574" y="1981200"/>
          <a:ext cx="276225" cy="280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13"/>
  <sheetViews>
    <sheetView topLeftCell="A4" zoomScaleNormal="100" workbookViewId="0">
      <selection activeCell="E15" sqref="E15"/>
    </sheetView>
  </sheetViews>
  <sheetFormatPr defaultRowHeight="20.100000000000001" customHeight="1" outlineLevelRow="1"/>
  <cols>
    <col min="2" max="2" width="8.85546875" customWidth="1"/>
    <col min="3" max="3" width="11.5703125" customWidth="1"/>
    <col min="4" max="4" width="12.85546875" bestFit="1" customWidth="1"/>
    <col min="5" max="6" width="13.85546875" bestFit="1" customWidth="1"/>
    <col min="7" max="9" width="12.855468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18" ht="60" customHeight="1">
      <c r="A1" s="46" t="s">
        <v>66</v>
      </c>
      <c r="B1" s="47"/>
      <c r="C1" s="47"/>
      <c r="D1" s="47"/>
      <c r="E1" s="47"/>
      <c r="F1" s="47"/>
      <c r="G1" s="47"/>
      <c r="H1" s="47"/>
      <c r="I1" s="47"/>
    </row>
    <row r="2" spans="1:18" ht="60" customHeight="1"/>
    <row r="3" spans="1:18" ht="20.100000000000001" customHeight="1" thickBot="1">
      <c r="A3" s="9" t="s">
        <v>1</v>
      </c>
      <c r="K3" t="s">
        <v>86</v>
      </c>
      <c r="L3">
        <v>60</v>
      </c>
    </row>
    <row r="4" spans="1:18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  <c r="K4" t="s">
        <v>87</v>
      </c>
      <c r="L4">
        <v>39.9</v>
      </c>
    </row>
    <row r="5" spans="1:18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250</v>
      </c>
      <c r="G5" t="s">
        <v>57</v>
      </c>
      <c r="K5" t="s">
        <v>88</v>
      </c>
      <c r="L5">
        <v>57.85</v>
      </c>
    </row>
    <row r="6" spans="1:18" ht="20.100000000000001" customHeight="1" thickTop="1" thickBot="1">
      <c r="B6" s="19">
        <v>100</v>
      </c>
      <c r="C6" s="1" t="s">
        <v>0</v>
      </c>
      <c r="D6" s="3" t="s">
        <v>4</v>
      </c>
      <c r="E6" s="4" t="s">
        <v>28</v>
      </c>
      <c r="F6" s="5">
        <v>250</v>
      </c>
      <c r="G6" t="s">
        <v>57</v>
      </c>
    </row>
    <row r="7" spans="1:18" ht="20.100000000000001" customHeight="1" thickTop="1">
      <c r="K7" t="s">
        <v>89</v>
      </c>
    </row>
    <row r="8" spans="1:18" ht="20.100000000000001" customHeight="1" thickBot="1">
      <c r="A8" s="9" t="s">
        <v>7</v>
      </c>
    </row>
    <row r="9" spans="1:18" ht="20.100000000000001" customHeight="1" thickTop="1" thickBot="1">
      <c r="B9" t="s">
        <v>8</v>
      </c>
      <c r="D9" s="6" t="s">
        <v>9</v>
      </c>
      <c r="E9" s="5">
        <f>1194.6+27.15</f>
        <v>1221.75</v>
      </c>
      <c r="F9" t="s">
        <v>17</v>
      </c>
      <c r="L9">
        <v>78</v>
      </c>
    </row>
    <row r="10" spans="1:18" ht="20.100000000000001" customHeight="1" thickTop="1" thickBot="1">
      <c r="B10" t="s">
        <v>10</v>
      </c>
      <c r="D10" s="6" t="s">
        <v>11</v>
      </c>
      <c r="E10" s="5">
        <v>2.42</v>
      </c>
      <c r="F10" t="s">
        <v>18</v>
      </c>
    </row>
    <row r="11" spans="1:18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</row>
    <row r="12" spans="1:18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</row>
    <row r="13" spans="1:18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</row>
    <row r="14" spans="1:18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</row>
    <row r="15" spans="1:18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</row>
    <row r="16" spans="1:18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72</v>
      </c>
      <c r="M16" s="48"/>
      <c r="N16" s="48"/>
      <c r="O16" s="48"/>
      <c r="P16" s="48"/>
      <c r="Q16" s="48"/>
      <c r="R16" s="48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70</v>
      </c>
      <c r="M17">
        <f t="shared" ref="M17:M21" si="0">M18+39.9</f>
        <v>299.39999999999998</v>
      </c>
      <c r="S17" s="39"/>
      <c r="T17" s="39">
        <v>1</v>
      </c>
      <c r="U17" s="39"/>
    </row>
    <row r="18" spans="1:21" ht="20.100000000000001" customHeight="1" thickTop="1">
      <c r="D18" s="6"/>
      <c r="E18" s="15"/>
      <c r="L18" s="48"/>
      <c r="M18">
        <f t="shared" si="0"/>
        <v>259.5</v>
      </c>
      <c r="S18" s="39">
        <v>1</v>
      </c>
      <c r="T18" s="39"/>
      <c r="U18" s="39"/>
    </row>
    <row r="19" spans="1:21" ht="20.100000000000001" customHeight="1">
      <c r="D19" s="6"/>
      <c r="E19" s="15"/>
      <c r="L19" s="48"/>
      <c r="M19">
        <f t="shared" si="0"/>
        <v>219.60000000000002</v>
      </c>
      <c r="R19">
        <v>1</v>
      </c>
      <c r="S19" s="39"/>
      <c r="T19" s="39">
        <v>1</v>
      </c>
      <c r="U19" s="39"/>
    </row>
    <row r="20" spans="1:21" ht="20.100000000000001" customHeight="1">
      <c r="L20" s="48"/>
      <c r="M20">
        <f t="shared" si="0"/>
        <v>179.70000000000002</v>
      </c>
      <c r="Q20">
        <v>1</v>
      </c>
      <c r="S20" s="39">
        <v>1</v>
      </c>
      <c r="T20" s="39"/>
      <c r="U20" s="39"/>
    </row>
    <row r="21" spans="1:21" ht="20.100000000000001" customHeight="1" thickBot="1">
      <c r="A21" s="9" t="s">
        <v>29</v>
      </c>
      <c r="B21" s="8"/>
      <c r="H21" t="s">
        <v>58</v>
      </c>
      <c r="L21" s="48"/>
      <c r="M21">
        <f t="shared" si="0"/>
        <v>139.80000000000001</v>
      </c>
      <c r="P21">
        <v>1</v>
      </c>
      <c r="R21">
        <v>1</v>
      </c>
      <c r="S21" s="39"/>
      <c r="T21" s="39">
        <v>1</v>
      </c>
      <c r="U21" s="39"/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1124.2105263157894</v>
      </c>
      <c r="G22" t="s">
        <v>30</v>
      </c>
      <c r="H22">
        <f>F22*20</f>
        <v>22484.210526315786</v>
      </c>
      <c r="L22" s="48"/>
      <c r="M22">
        <f>M23+39.9</f>
        <v>99.9</v>
      </c>
      <c r="O22">
        <v>1</v>
      </c>
      <c r="Q22">
        <v>1</v>
      </c>
      <c r="S22" s="39">
        <v>1</v>
      </c>
      <c r="T22" s="39"/>
      <c r="U22" s="39"/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1">$E$16*F5/$E$14</f>
        <v>1124.2105263157894</v>
      </c>
      <c r="G23" t="s">
        <v>30</v>
      </c>
      <c r="H23">
        <f>F23*80</f>
        <v>89936.842105263146</v>
      </c>
      <c r="L23" s="48"/>
      <c r="M23">
        <v>60</v>
      </c>
      <c r="N23">
        <v>1</v>
      </c>
      <c r="O23">
        <v>1</v>
      </c>
      <c r="P23">
        <v>1</v>
      </c>
      <c r="R23">
        <v>1</v>
      </c>
      <c r="S23" s="39"/>
      <c r="T23" s="39">
        <v>1</v>
      </c>
      <c r="U23" s="39"/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4</v>
      </c>
      <c r="E24" s="4" t="s">
        <v>6</v>
      </c>
      <c r="F24" s="12">
        <f t="shared" si="1"/>
        <v>1124.2105263157894</v>
      </c>
      <c r="G24" t="s">
        <v>30</v>
      </c>
      <c r="H24">
        <f>F24*(E17-B6)</f>
        <v>47947.57894736842</v>
      </c>
      <c r="L24" s="48" t="s">
        <v>75</v>
      </c>
      <c r="M24" s="48"/>
      <c r="N24">
        <v>18</v>
      </c>
      <c r="O24">
        <f>N24+6</f>
        <v>24</v>
      </c>
      <c r="P24">
        <f>O24+6</f>
        <v>30</v>
      </c>
      <c r="Q24">
        <f>P24+6</f>
        <v>36</v>
      </c>
      <c r="R24">
        <f>Q24+6</f>
        <v>42</v>
      </c>
      <c r="S24" s="39">
        <f>R24+6</f>
        <v>48</v>
      </c>
      <c r="T24" s="39">
        <v>52</v>
      </c>
      <c r="U24" s="39"/>
    </row>
    <row r="25" spans="1:21" ht="20.100000000000001" customHeight="1" thickTop="1">
      <c r="H25">
        <f>SUM(H22:H24)+E10*10000</f>
        <v>184568.63157894736</v>
      </c>
      <c r="L25" s="26" t="s">
        <v>84</v>
      </c>
      <c r="N25" s="45">
        <v>20</v>
      </c>
      <c r="O25" s="45">
        <f>N25+7</f>
        <v>27</v>
      </c>
      <c r="P25" s="45">
        <f t="shared" ref="P25:T25" si="2">O25+7</f>
        <v>34</v>
      </c>
      <c r="Q25" s="45">
        <f t="shared" si="2"/>
        <v>41</v>
      </c>
      <c r="R25" s="45">
        <f t="shared" si="2"/>
        <v>48</v>
      </c>
      <c r="S25" s="45">
        <f t="shared" si="2"/>
        <v>55</v>
      </c>
      <c r="T25" s="45">
        <f t="shared" si="2"/>
        <v>62</v>
      </c>
    </row>
    <row r="26" spans="1:21" ht="20.100000000000001" customHeight="1">
      <c r="A26" s="9" t="s">
        <v>31</v>
      </c>
      <c r="B26" s="8"/>
      <c r="L26" s="48" t="s">
        <v>71</v>
      </c>
      <c r="M26" s="48"/>
      <c r="S26" s="39"/>
      <c r="T26" s="39"/>
      <c r="U26" s="39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  <c r="L27" s="48" t="s">
        <v>73</v>
      </c>
      <c r="M27" s="48"/>
      <c r="N27">
        <v>49.58</v>
      </c>
      <c r="O27">
        <v>57.76</v>
      </c>
      <c r="P27">
        <v>37.619999999999997</v>
      </c>
      <c r="Q27">
        <v>36.15</v>
      </c>
      <c r="R27">
        <v>36.58</v>
      </c>
      <c r="S27" s="39">
        <v>36.58</v>
      </c>
      <c r="T27" s="39">
        <v>36.56</v>
      </c>
      <c r="U27" s="39"/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  <c r="L28" s="48" t="s">
        <v>74</v>
      </c>
      <c r="M28" s="48"/>
      <c r="N28">
        <v>-720.32</v>
      </c>
      <c r="O28">
        <v>217.54</v>
      </c>
      <c r="P28">
        <v>262.37</v>
      </c>
      <c r="Q28">
        <v>293.33</v>
      </c>
      <c r="R28">
        <v>-38.54</v>
      </c>
      <c r="S28" s="39">
        <v>50.59</v>
      </c>
      <c r="T28" s="39">
        <v>43.14</v>
      </c>
      <c r="U28" s="39"/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48266105.263157897</v>
      </c>
      <c r="E29" s="22">
        <f t="shared" ref="E29:I29" si="3">IF(E28&lt;$B$5,$F$22*$B$5/24*(6*($B$5-$B$4)*E28^2-4*E28^3+E28^4/($B$5-$B$4)),$F$22*$B$5/24*(4*($B$5-$B$4)^2*E28-($B$5-$B$4)^3))</f>
        <v>108074105.26315787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S29" s="39"/>
      <c r="T29" s="39"/>
      <c r="U29" s="39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2966204832.1886315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9666702484.4636288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3613683690.2917905</v>
      </c>
      <c r="E31" s="22">
        <f t="shared" ref="E31:I31" si="5">IF(E28&lt;$B$6,$F$24*($E$17-$B$6)/12*(3*($E$17+$B$6)*E28^2-2*E28^3),$F$24*($E$17-$B$6)/24*(6*($E$17+$B$6)*E28^2-4*E28^3+(E28-$B$6)^4/($E$17-$B$6)))</f>
        <v>13627521990.278288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8453532600.000001</v>
      </c>
      <c r="E32" s="22">
        <f t="shared" ref="E32:I32" si="6">$E$9*10^4/2*E28^2</f>
        <v>36312914587.499992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 t="shared" ref="D33:I33" si="7">IF(D$28=0,0,10^4*$E$10*$E$11^3/3*(1-3*($E$11-D28)/(2*$E$11)+($E$11-D28)^3/(2*$E$11^3)))</f>
        <v>2348411075.9999986</v>
      </c>
      <c r="E33" s="22">
        <f t="shared" si="7"/>
        <v>9131178478.9500027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17430098303.74358</v>
      </c>
      <c r="E35" s="22">
        <f>SUM(E29:E34)</f>
        <v>68846391646.455063</v>
      </c>
      <c r="F35" s="22">
        <f t="shared" ref="F35" si="9">SUM(F29:F34)</f>
        <v>0</v>
      </c>
      <c r="G35" s="22">
        <f t="shared" ref="G35:I35" si="10">SUM(G29:G34)</f>
        <v>0</v>
      </c>
      <c r="H35" s="22">
        <f t="shared" si="10"/>
        <v>0</v>
      </c>
      <c r="I35" s="22">
        <f t="shared" si="10"/>
        <v>0</v>
      </c>
      <c r="L35" s="26"/>
      <c r="M35" t="s">
        <v>62</v>
      </c>
    </row>
    <row r="36" spans="2:15" ht="20.100000000000001" hidden="1" customHeight="1" outlineLevel="1">
      <c r="C36" s="28" t="s">
        <v>52</v>
      </c>
      <c r="D36" s="29">
        <f t="shared" ref="D36:I36" si="11">D35/$O$37</f>
        <v>1.2567395652553242</v>
      </c>
      <c r="E36" s="29">
        <f t="shared" si="11"/>
        <v>4.9639412698309799</v>
      </c>
      <c r="F36" s="29">
        <f t="shared" si="11"/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M36" s="27" t="s">
        <v>55</v>
      </c>
      <c r="N36" s="27" t="s">
        <v>56</v>
      </c>
      <c r="O36" s="27" t="s">
        <v>54</v>
      </c>
    </row>
    <row r="37" spans="2:15" ht="20.100000000000001" hidden="1" customHeight="1" outlineLevel="1">
      <c r="M37" s="30">
        <v>206000000000</v>
      </c>
      <c r="N37" s="27">
        <v>6.7326700000000003E-2</v>
      </c>
      <c r="O37" s="30">
        <f>M37*N37</f>
        <v>13869300200</v>
      </c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27"/>
      <c r="N38" s="27"/>
      <c r="O38" s="27"/>
    </row>
    <row r="39" spans="2:15" ht="20.100000000000001" hidden="1" customHeight="1" outlineLevel="1">
      <c r="B39" s="21">
        <v>1</v>
      </c>
      <c r="C39" s="21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2">IF($D$28=0,0,IF(E28&lt;$D$28,1*$D$28^3/3*(1-3*($D$28-E28)/2/$D$28+($D$28-E28)^3/2/$D$28^3),1*$D$28^3/3*(1+3*(E28-$D$28)/2/$D$28)))</f>
        <v>44767.224000000009</v>
      </c>
      <c r="F39" s="23">
        <f t="shared" si="12"/>
        <v>0</v>
      </c>
      <c r="G39" s="23">
        <f t="shared" si="12"/>
        <v>0</v>
      </c>
      <c r="H39" s="23">
        <f t="shared" si="12"/>
        <v>0</v>
      </c>
      <c r="I39" s="23">
        <f t="shared" si="12"/>
        <v>0</v>
      </c>
      <c r="K39" s="41"/>
      <c r="M39" s="31">
        <f>D39/$O$37</f>
        <v>1.2372373337192603E-6</v>
      </c>
      <c r="N39" s="31">
        <f>E39/$O$37</f>
        <v>3.2277925601466184E-6</v>
      </c>
      <c r="O39" s="27"/>
    </row>
    <row r="40" spans="2:15" ht="20.100000000000001" hidden="1" customHeight="1" outlineLevel="1">
      <c r="B40" s="21">
        <v>2</v>
      </c>
      <c r="C40" s="21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3">IF($E$28=0,0,IF(E28&lt;$E$28,1*$E$28^3/3*(1-3*($E$28-E28)/2/$E$28+($E$28-E28)^3/2/$E$28^3),1*$E$28^3/3*(1+3*(E28-$E$28)/2/$E$28)))</f>
        <v>152771.33699999997</v>
      </c>
      <c r="F40" s="23">
        <f t="shared" si="13"/>
        <v>0</v>
      </c>
      <c r="G40" s="23">
        <f t="shared" si="13"/>
        <v>0</v>
      </c>
      <c r="H40" s="23">
        <f t="shared" si="13"/>
        <v>0</v>
      </c>
      <c r="I40" s="23">
        <f t="shared" si="13"/>
        <v>0</v>
      </c>
      <c r="M40" s="31">
        <f>D40/$O$37</f>
        <v>3.227792560146618E-6</v>
      </c>
      <c r="N40" s="31">
        <f>E40/$O$37</f>
        <v>1.1015071762596932E-5</v>
      </c>
      <c r="O40" s="27"/>
    </row>
    <row r="41" spans="2:15" ht="20.100000000000001" hidden="1" customHeight="1" outlineLevel="1">
      <c r="B41" s="21">
        <v>3</v>
      </c>
      <c r="C41" s="21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4">IF($F$28=0,0,IF(E28&lt;$F$28,1*$F$28^3/3*(1-3*($F$28-E28)/2/$F$28+($F$28-E28)^3/2/$F$28^3),1*$F$28^3/3*(1+3*(E28-$F$28)/2/$F$28)))</f>
        <v>0</v>
      </c>
      <c r="F41" s="23">
        <f t="shared" si="14"/>
        <v>0</v>
      </c>
      <c r="G41" s="23">
        <f t="shared" si="14"/>
        <v>0</v>
      </c>
      <c r="H41" s="23">
        <f t="shared" si="14"/>
        <v>0</v>
      </c>
      <c r="I41" s="23">
        <f t="shared" si="14"/>
        <v>0</v>
      </c>
    </row>
    <row r="42" spans="2:15" ht="20.100000000000001" hidden="1" customHeight="1" outlineLevel="1">
      <c r="B42" s="21">
        <v>4</v>
      </c>
      <c r="C42" s="21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5">IF($G$28=0,0,IF(E28&lt;$G$28,1*$G$28^3/3*(1-3*($G$28-E28)/2/$G$28+($G$28-E28)^3/2/$G$28^3),1*$G$28^3/3*(1+3*(E28-$G$28)/2/$G$28)))</f>
        <v>0</v>
      </c>
      <c r="F42" s="23">
        <f t="shared" si="15"/>
        <v>0</v>
      </c>
      <c r="G42" s="23">
        <f t="shared" si="15"/>
        <v>0</v>
      </c>
      <c r="H42" s="23">
        <f t="shared" si="15"/>
        <v>0</v>
      </c>
      <c r="I42" s="23">
        <f t="shared" si="15"/>
        <v>0</v>
      </c>
    </row>
    <row r="43" spans="2:15" ht="20.100000000000001" hidden="1" customHeight="1" outlineLevel="1">
      <c r="B43" s="21">
        <v>5</v>
      </c>
      <c r="C43" s="21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6">IF($H$28=0,0,IF(E28&lt;$H$28,1*$H$28^3/3*(1-3*($H$28-E28)/2/$H$28+($H$28-E28)^3/2/$H$28^3),1*$H$28^3/3*(1+3*(E28-$H$28)/2/$H$28)))</f>
        <v>0</v>
      </c>
      <c r="F43" s="23">
        <f t="shared" si="16"/>
        <v>0</v>
      </c>
      <c r="G43" s="23">
        <f t="shared" si="16"/>
        <v>0</v>
      </c>
      <c r="H43" s="23">
        <f t="shared" si="16"/>
        <v>0</v>
      </c>
      <c r="I43" s="23">
        <f t="shared" si="16"/>
        <v>0</v>
      </c>
    </row>
    <row r="44" spans="2:15" ht="20.100000000000001" hidden="1" customHeight="1" outlineLevel="1">
      <c r="B44" s="21">
        <v>6</v>
      </c>
      <c r="C44" s="21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7">IF($I$28=0,0,IF(E28&lt;$I$28,1*$I$28^3/3*(1-3*($I$28-E28)/2/$I$28+($I$28-E28)^3/2/$I$28^3),1*$I$28^3/3*(1+3*(E28-$I$28)/2/$I$28)))</f>
        <v>0</v>
      </c>
      <c r="F44" s="23">
        <f t="shared" si="17"/>
        <v>0</v>
      </c>
      <c r="G44" s="23">
        <f t="shared" si="17"/>
        <v>0</v>
      </c>
      <c r="H44" s="23">
        <f t="shared" si="17"/>
        <v>0</v>
      </c>
      <c r="I44" s="23">
        <f t="shared" si="17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 t="shared" ref="D47:I47" si="18">IF(D$39&lt;1,0,$D$54*D39+$E$54*D40+$F$54*D41+$G$54*D42+$H$54*D43+$I$54*D44-D35)</f>
        <v>-8.43048095703125E-4</v>
      </c>
      <c r="E47" s="22">
        <f t="shared" si="18"/>
        <v>-4.1961669921875E-3</v>
      </c>
      <c r="F47" s="22">
        <f t="shared" si="18"/>
        <v>0</v>
      </c>
      <c r="G47" s="22">
        <f t="shared" si="18"/>
        <v>0</v>
      </c>
      <c r="H47" s="22">
        <f t="shared" si="18"/>
        <v>0</v>
      </c>
      <c r="I47" s="22">
        <f t="shared" si="18"/>
        <v>0</v>
      </c>
    </row>
    <row r="48" spans="2:15" ht="20.100000000000001" customHeight="1">
      <c r="C48" s="43" t="s">
        <v>82</v>
      </c>
      <c r="D48" s="22">
        <f>D47/$D$49</f>
        <v>-8.4304809570312506E-9</v>
      </c>
      <c r="E48" s="22">
        <f t="shared" ref="E48:I48" si="19">E47/$D$49</f>
        <v>-4.1961669921874998E-8</v>
      </c>
      <c r="F48" s="22">
        <f t="shared" si="19"/>
        <v>0</v>
      </c>
      <c r="G48" s="22">
        <f t="shared" si="19"/>
        <v>0</v>
      </c>
      <c r="H48" s="22">
        <f t="shared" si="19"/>
        <v>0</v>
      </c>
      <c r="I48" s="22">
        <f t="shared" si="19"/>
        <v>0</v>
      </c>
    </row>
    <row r="49" spans="1:15" ht="20.100000000000001" customHeight="1">
      <c r="C49" s="25" t="s">
        <v>83</v>
      </c>
      <c r="D49" s="44">
        <v>100000</v>
      </c>
    </row>
    <row r="52" spans="1:15" ht="20.100000000000001" customHeight="1">
      <c r="A52" s="24" t="s">
        <v>48</v>
      </c>
      <c r="B52" s="24"/>
      <c r="C52" s="24"/>
    </row>
    <row r="53" spans="1:15" ht="20.100000000000001" customHeight="1">
      <c r="C53" s="21" t="s">
        <v>49</v>
      </c>
      <c r="D53" s="21">
        <v>1</v>
      </c>
      <c r="E53" s="21">
        <v>2</v>
      </c>
      <c r="F53" s="21">
        <v>3</v>
      </c>
      <c r="G53" s="21">
        <v>4</v>
      </c>
      <c r="H53" s="21">
        <v>5</v>
      </c>
      <c r="I53" s="21">
        <v>6</v>
      </c>
    </row>
    <row r="54" spans="1:15" ht="20.100000000000001" customHeight="1">
      <c r="C54" s="27" t="s">
        <v>63</v>
      </c>
      <c r="D54" s="32">
        <v>-679052.60262120119</v>
      </c>
      <c r="E54" s="32">
        <v>649635.55052069225</v>
      </c>
      <c r="F54" s="32">
        <v>106989.16900268823</v>
      </c>
      <c r="G54" s="32">
        <v>365568.81470622029</v>
      </c>
      <c r="H54" s="32">
        <v>0</v>
      </c>
      <c r="I54" s="32">
        <v>0</v>
      </c>
    </row>
    <row r="56" spans="1:15" ht="20.100000000000001" customHeight="1">
      <c r="C56" s="36" t="s">
        <v>64</v>
      </c>
      <c r="D56" s="33"/>
      <c r="E56" s="27"/>
      <c r="F56" s="34"/>
      <c r="G56" s="34"/>
      <c r="H56" s="34"/>
      <c r="I56" s="34"/>
      <c r="M56" t="s">
        <v>93</v>
      </c>
    </row>
    <row r="57" spans="1:15" ht="20.100000000000001" customHeight="1">
      <c r="C57" s="7" t="s">
        <v>65</v>
      </c>
      <c r="D57" s="7"/>
      <c r="E57" s="37">
        <f>(($B$5-0)^2*$F$22/2+($B$6-$B$5)*$F$23*($B$6+$B$5)/2+($E$17-$B$6)*$F$24*($E$17+$B$6)/2)/10^4+E9+$E$10*$E$11+$E$12*$E$13-(D54*D28+E54*E28+F54*F28+G54*G28+H54*H28+I54*I28)/10^4</f>
        <v>252.37785197317362</v>
      </c>
      <c r="F57" s="35"/>
      <c r="G57" s="35"/>
      <c r="H57" s="35"/>
      <c r="I57" s="35"/>
      <c r="M57" t="s">
        <v>90</v>
      </c>
      <c r="N57">
        <v>37.200000000000003</v>
      </c>
    </row>
    <row r="58" spans="1:15" ht="20.100000000000001" customHeight="1">
      <c r="M58" t="s">
        <v>91</v>
      </c>
      <c r="N58">
        <v>77.099999999999994</v>
      </c>
    </row>
    <row r="59" spans="1:15" ht="20.100000000000001" customHeight="1">
      <c r="M59" s="48" t="s">
        <v>74</v>
      </c>
      <c r="N59" s="48"/>
      <c r="O59">
        <v>252.38</v>
      </c>
    </row>
    <row r="60" spans="1:15" ht="20.100000000000001" customHeight="1">
      <c r="M60" t="s">
        <v>92</v>
      </c>
      <c r="N60">
        <v>65</v>
      </c>
    </row>
    <row r="61" spans="1:15" ht="20.100000000000001" hidden="1" customHeight="1">
      <c r="A61" s="24" t="s">
        <v>76</v>
      </c>
      <c r="B61" s="24"/>
      <c r="C61" s="24"/>
    </row>
    <row r="62" spans="1:15" ht="20.100000000000001" hidden="1" customHeight="1">
      <c r="C62" s="40" t="s">
        <v>32</v>
      </c>
      <c r="D62" s="40">
        <v>1</v>
      </c>
      <c r="E62" s="40">
        <v>2</v>
      </c>
      <c r="F62" s="40">
        <v>3</v>
      </c>
      <c r="G62" s="40">
        <v>4</v>
      </c>
      <c r="H62" s="40">
        <v>5</v>
      </c>
      <c r="I62" s="40">
        <v>6</v>
      </c>
    </row>
    <row r="63" spans="1:15" ht="20.100000000000001" hidden="1" customHeight="1">
      <c r="C63" s="40" t="s">
        <v>63</v>
      </c>
      <c r="D63" s="32">
        <v>541875.14685851464</v>
      </c>
      <c r="E63" s="32">
        <v>-379967.47815314599</v>
      </c>
      <c r="F63" s="32">
        <v>228500.31361054932</v>
      </c>
      <c r="G63" s="32">
        <v>10</v>
      </c>
      <c r="H63" s="32">
        <v>1</v>
      </c>
      <c r="I63" s="32">
        <v>1</v>
      </c>
    </row>
    <row r="64" spans="1:15" ht="20.100000000000001" hidden="1" customHeight="1"/>
    <row r="65" spans="3:9" ht="20.100000000000001" hidden="1" customHeight="1">
      <c r="C65" s="36" t="s">
        <v>64</v>
      </c>
      <c r="D65" s="33"/>
      <c r="E65" s="40"/>
      <c r="F65" s="34"/>
      <c r="G65" s="34"/>
      <c r="H65" s="34"/>
      <c r="I65" s="34"/>
    </row>
    <row r="66" spans="3:9" ht="20.100000000000001" hidden="1" customHeight="1">
      <c r="C66" s="7" t="s">
        <v>65</v>
      </c>
      <c r="D66" s="7"/>
      <c r="E66" s="37">
        <f>(($B$5-0)^2*$F$22/2+($B$6-$B$5)*$F$23*($B$6+$B$5)/2+($E$17-$B$6)*$F$24*($E$17+$B$6)/2)/10^4+E18+$E$10*$E$11+$E$12*$E$13-(D63*D37+E63*E37+F63*F37+G63*G37+H63*H37+I63*I37)/10^4</f>
        <v>1513.2422647368419</v>
      </c>
      <c r="F66" s="35"/>
      <c r="G66" s="35"/>
      <c r="H66" s="35"/>
      <c r="I66" s="35"/>
    </row>
    <row r="67" spans="3:9" ht="20.100000000000001" hidden="1" customHeight="1"/>
    <row r="68" spans="3:9" ht="20.100000000000001" hidden="1" customHeight="1"/>
    <row r="69" spans="3:9" ht="20.100000000000001" hidden="1" customHeight="1"/>
    <row r="70" spans="3:9" ht="20.100000000000001" hidden="1" customHeight="1"/>
    <row r="71" spans="3:9" ht="20.100000000000001" hidden="1" customHeight="1">
      <c r="C71" s="39" t="s">
        <v>77</v>
      </c>
      <c r="D71" s="26"/>
      <c r="E71" s="26"/>
      <c r="F71" s="26"/>
      <c r="G71" s="26"/>
      <c r="H71" s="26"/>
      <c r="I71" s="26"/>
    </row>
    <row r="72" spans="3:9" ht="20.100000000000001" hidden="1" customHeight="1">
      <c r="D72" s="26">
        <f>D39</f>
        <v>17159.616000000005</v>
      </c>
      <c r="E72" s="26">
        <f>IF(E$44=0,E39,E39*$D$44/E$44-$D39)</f>
        <v>44767.224000000009</v>
      </c>
      <c r="F72" s="26">
        <f t="shared" ref="F72:I72" si="20">IF(F$44=0,F39,F39*$D$44/F$44-$D39)</f>
        <v>0</v>
      </c>
      <c r="G72" s="26">
        <f t="shared" si="20"/>
        <v>0</v>
      </c>
      <c r="H72" s="26">
        <f t="shared" si="20"/>
        <v>0</v>
      </c>
      <c r="I72" s="26">
        <f t="shared" si="20"/>
        <v>0</v>
      </c>
    </row>
    <row r="73" spans="3:9" ht="20.100000000000001" hidden="1" customHeight="1">
      <c r="D73" s="26">
        <f t="shared" ref="D73:D77" si="21">D40</f>
        <v>44767.224000000002</v>
      </c>
      <c r="E73" s="26">
        <f t="shared" ref="E73:I77" si="22">IF(E$44=0,E40,E40*$D$44/E$44-$D40)</f>
        <v>152771.33699999997</v>
      </c>
      <c r="F73" s="26">
        <f t="shared" si="22"/>
        <v>0</v>
      </c>
      <c r="G73" s="26">
        <f t="shared" si="22"/>
        <v>0</v>
      </c>
      <c r="H73" s="26">
        <f t="shared" si="22"/>
        <v>0</v>
      </c>
      <c r="I73" s="26">
        <f t="shared" si="22"/>
        <v>0</v>
      </c>
    </row>
    <row r="74" spans="3:9" ht="20.100000000000001" hidden="1" customHeight="1">
      <c r="D74" s="26">
        <f t="shared" si="21"/>
        <v>0</v>
      </c>
      <c r="E74" s="26">
        <f t="shared" si="22"/>
        <v>0</v>
      </c>
      <c r="F74" s="26">
        <f t="shared" si="22"/>
        <v>0</v>
      </c>
      <c r="G74" s="26">
        <f t="shared" si="22"/>
        <v>0</v>
      </c>
      <c r="H74" s="26">
        <f t="shared" si="22"/>
        <v>0</v>
      </c>
      <c r="I74" s="26">
        <f t="shared" si="22"/>
        <v>0</v>
      </c>
    </row>
    <row r="75" spans="3:9" ht="20.100000000000001" hidden="1" customHeight="1">
      <c r="D75" s="26">
        <f t="shared" si="21"/>
        <v>0</v>
      </c>
      <c r="E75" s="26">
        <f t="shared" si="22"/>
        <v>0</v>
      </c>
      <c r="F75" s="26">
        <f t="shared" si="22"/>
        <v>0</v>
      </c>
      <c r="G75" s="26">
        <f t="shared" si="22"/>
        <v>0</v>
      </c>
      <c r="H75" s="26">
        <f t="shared" si="22"/>
        <v>0</v>
      </c>
      <c r="I75" s="26">
        <f t="shared" si="22"/>
        <v>0</v>
      </c>
    </row>
    <row r="76" spans="3:9" ht="20.100000000000001" hidden="1" customHeight="1">
      <c r="D76" s="26">
        <f t="shared" si="21"/>
        <v>0</v>
      </c>
      <c r="E76" s="26">
        <f t="shared" si="22"/>
        <v>0</v>
      </c>
      <c r="F76" s="26">
        <f>IF(F$44=0,F43,F43*$D$44/F$44-$D43)</f>
        <v>0</v>
      </c>
      <c r="G76" s="26">
        <f t="shared" si="22"/>
        <v>0</v>
      </c>
      <c r="H76" s="26">
        <f t="shared" si="22"/>
        <v>0</v>
      </c>
      <c r="I76" s="26">
        <f t="shared" si="22"/>
        <v>0</v>
      </c>
    </row>
    <row r="77" spans="3:9" ht="20.100000000000001" hidden="1" customHeight="1">
      <c r="D77" s="26">
        <f t="shared" si="21"/>
        <v>0</v>
      </c>
      <c r="E77" s="26">
        <f t="shared" si="22"/>
        <v>0</v>
      </c>
      <c r="F77" s="26">
        <f t="shared" si="22"/>
        <v>0</v>
      </c>
      <c r="G77" s="26">
        <f t="shared" si="22"/>
        <v>0</v>
      </c>
      <c r="H77" s="26">
        <f t="shared" si="22"/>
        <v>0</v>
      </c>
      <c r="I77" s="26">
        <f t="shared" si="22"/>
        <v>0</v>
      </c>
    </row>
    <row r="78" spans="3:9" ht="20.100000000000001" hidden="1" customHeight="1">
      <c r="D78" s="26"/>
      <c r="E78" s="26"/>
      <c r="F78" s="26"/>
      <c r="G78" s="26"/>
      <c r="H78" s="26"/>
      <c r="I78" s="26"/>
    </row>
    <row r="79" spans="3:9" ht="20.100000000000001" hidden="1" customHeight="1">
      <c r="C79" s="39" t="s">
        <v>78</v>
      </c>
      <c r="D79" s="26"/>
      <c r="E79" s="26"/>
      <c r="F79" s="26"/>
      <c r="G79" s="26"/>
      <c r="H79" s="26"/>
      <c r="I79" s="26"/>
    </row>
    <row r="80" spans="3:9" ht="20.100000000000001" hidden="1" customHeight="1">
      <c r="D80" s="26">
        <f>D72</f>
        <v>17159.616000000005</v>
      </c>
      <c r="E80" s="26">
        <f>E72</f>
        <v>44767.224000000009</v>
      </c>
      <c r="F80" s="26">
        <f>IF(F$76=0,F72,F72*$E$76/F$76-$E72)</f>
        <v>0</v>
      </c>
      <c r="G80" s="26">
        <f t="shared" ref="G80:I80" si="23">IF(G$76=0,G72,G72*$E$76/G$76-$E72)</f>
        <v>0</v>
      </c>
      <c r="H80" s="26">
        <f t="shared" si="23"/>
        <v>0</v>
      </c>
      <c r="I80" s="26">
        <f t="shared" si="23"/>
        <v>0</v>
      </c>
    </row>
    <row r="81" spans="3:9" ht="20.100000000000001" hidden="1" customHeight="1">
      <c r="D81" s="26">
        <f t="shared" ref="D81:E85" si="24">D73</f>
        <v>44767.224000000002</v>
      </c>
      <c r="E81" s="26">
        <f t="shared" si="24"/>
        <v>152771.33699999997</v>
      </c>
      <c r="F81" s="26">
        <f t="shared" ref="F81:I85" si="25">IF(F$76=0,F73,F73*$E$76/F$76-$E73)</f>
        <v>0</v>
      </c>
      <c r="G81" s="26">
        <f t="shared" si="25"/>
        <v>0</v>
      </c>
      <c r="H81" s="26">
        <f t="shared" si="25"/>
        <v>0</v>
      </c>
      <c r="I81" s="26">
        <f t="shared" si="25"/>
        <v>0</v>
      </c>
    </row>
    <row r="82" spans="3:9" ht="20.100000000000001" hidden="1" customHeight="1">
      <c r="D82" s="26">
        <f t="shared" si="24"/>
        <v>0</v>
      </c>
      <c r="E82" s="26">
        <f t="shared" si="24"/>
        <v>0</v>
      </c>
      <c r="F82" s="26">
        <f t="shared" si="25"/>
        <v>0</v>
      </c>
      <c r="G82" s="26">
        <f t="shared" si="25"/>
        <v>0</v>
      </c>
      <c r="H82" s="26">
        <f t="shared" si="25"/>
        <v>0</v>
      </c>
      <c r="I82" s="26">
        <f t="shared" si="25"/>
        <v>0</v>
      </c>
    </row>
    <row r="83" spans="3:9" ht="20.100000000000001" hidden="1" customHeight="1">
      <c r="D83" s="26">
        <f t="shared" si="24"/>
        <v>0</v>
      </c>
      <c r="E83" s="26">
        <f t="shared" si="24"/>
        <v>0</v>
      </c>
      <c r="F83" s="26">
        <f t="shared" si="25"/>
        <v>0</v>
      </c>
      <c r="G83" s="26">
        <f t="shared" si="25"/>
        <v>0</v>
      </c>
      <c r="H83" s="26">
        <f t="shared" si="25"/>
        <v>0</v>
      </c>
      <c r="I83" s="26">
        <f t="shared" si="25"/>
        <v>0</v>
      </c>
    </row>
    <row r="84" spans="3:9" ht="20.100000000000001" hidden="1" customHeight="1">
      <c r="D84" s="26">
        <f t="shared" si="24"/>
        <v>0</v>
      </c>
      <c r="E84" s="26">
        <f t="shared" si="24"/>
        <v>0</v>
      </c>
      <c r="F84" s="26">
        <f t="shared" si="25"/>
        <v>0</v>
      </c>
      <c r="G84" s="26">
        <f t="shared" si="25"/>
        <v>0</v>
      </c>
      <c r="H84" s="26">
        <f t="shared" si="25"/>
        <v>0</v>
      </c>
      <c r="I84" s="26">
        <f t="shared" si="25"/>
        <v>0</v>
      </c>
    </row>
    <row r="85" spans="3:9" ht="20.100000000000001" hidden="1" customHeight="1">
      <c r="D85" s="26">
        <f t="shared" si="24"/>
        <v>0</v>
      </c>
      <c r="E85" s="42">
        <f t="shared" si="24"/>
        <v>0</v>
      </c>
      <c r="F85" s="26">
        <f t="shared" si="25"/>
        <v>0</v>
      </c>
      <c r="G85" s="26">
        <f t="shared" si="25"/>
        <v>0</v>
      </c>
      <c r="H85" s="26">
        <f t="shared" si="25"/>
        <v>0</v>
      </c>
      <c r="I85" s="26">
        <f t="shared" si="25"/>
        <v>0</v>
      </c>
    </row>
    <row r="86" spans="3:9" ht="20.100000000000001" hidden="1" customHeight="1">
      <c r="D86" s="26"/>
      <c r="E86" s="26"/>
      <c r="F86" s="26"/>
      <c r="G86" s="26"/>
      <c r="H86" s="26"/>
      <c r="I86" s="26"/>
    </row>
    <row r="87" spans="3:9" ht="20.100000000000001" hidden="1" customHeight="1">
      <c r="C87" s="39" t="s">
        <v>79</v>
      </c>
      <c r="D87" s="26"/>
      <c r="E87" s="26"/>
      <c r="F87" s="26"/>
      <c r="G87" s="26"/>
      <c r="H87" s="26"/>
      <c r="I87" s="26"/>
    </row>
    <row r="88" spans="3:9" ht="20.100000000000001" hidden="1" customHeight="1">
      <c r="D88" s="26">
        <f>D80</f>
        <v>17159.616000000005</v>
      </c>
      <c r="E88" s="26">
        <f t="shared" ref="E88:F88" si="26">E80</f>
        <v>44767.224000000009</v>
      </c>
      <c r="F88" s="26">
        <f t="shared" si="26"/>
        <v>0</v>
      </c>
      <c r="G88" s="26">
        <f t="shared" ref="G88:I93" si="27">IF(G$83=0,G80,G80*$F$83/G$83-$F80)</f>
        <v>0</v>
      </c>
      <c r="H88" s="26">
        <f t="shared" si="27"/>
        <v>0</v>
      </c>
      <c r="I88" s="26">
        <f t="shared" si="27"/>
        <v>0</v>
      </c>
    </row>
    <row r="89" spans="3:9" ht="20.100000000000001" hidden="1" customHeight="1">
      <c r="D89" s="26">
        <f t="shared" ref="D89:F93" si="28">D81</f>
        <v>44767.224000000002</v>
      </c>
      <c r="E89" s="26">
        <f t="shared" si="28"/>
        <v>152771.33699999997</v>
      </c>
      <c r="F89" s="26">
        <f t="shared" si="28"/>
        <v>0</v>
      </c>
      <c r="G89" s="26">
        <f t="shared" si="27"/>
        <v>0</v>
      </c>
      <c r="H89" s="26">
        <f t="shared" si="27"/>
        <v>0</v>
      </c>
      <c r="I89" s="26">
        <f t="shared" si="27"/>
        <v>0</v>
      </c>
    </row>
    <row r="90" spans="3:9" ht="20.100000000000001" hidden="1" customHeight="1">
      <c r="D90" s="26">
        <f t="shared" si="28"/>
        <v>0</v>
      </c>
      <c r="E90" s="26">
        <f t="shared" si="28"/>
        <v>0</v>
      </c>
      <c r="F90" s="26">
        <f t="shared" si="28"/>
        <v>0</v>
      </c>
      <c r="G90" s="26">
        <f t="shared" si="27"/>
        <v>0</v>
      </c>
      <c r="H90" s="26">
        <f t="shared" si="27"/>
        <v>0</v>
      </c>
      <c r="I90" s="26">
        <f t="shared" si="27"/>
        <v>0</v>
      </c>
    </row>
    <row r="91" spans="3:9" ht="20.100000000000001" hidden="1" customHeight="1">
      <c r="D91" s="26">
        <f t="shared" si="28"/>
        <v>0</v>
      </c>
      <c r="E91" s="26">
        <f t="shared" si="28"/>
        <v>0</v>
      </c>
      <c r="F91" s="26">
        <f t="shared" si="28"/>
        <v>0</v>
      </c>
      <c r="G91" s="26">
        <f>IF(G$83=0,G83,G83*$F$83/G$83-$F83)</f>
        <v>0</v>
      </c>
      <c r="H91" s="26">
        <f t="shared" ref="H91:I91" si="29">IF(H$83=0,H83,H83*$F$83/H$83-$F83)</f>
        <v>0</v>
      </c>
      <c r="I91" s="26">
        <f t="shared" si="29"/>
        <v>0</v>
      </c>
    </row>
    <row r="92" spans="3:9" ht="20.100000000000001" hidden="1" customHeight="1">
      <c r="D92" s="26">
        <f t="shared" si="28"/>
        <v>0</v>
      </c>
      <c r="E92" s="26">
        <f t="shared" si="28"/>
        <v>0</v>
      </c>
      <c r="F92" s="26">
        <f t="shared" si="28"/>
        <v>0</v>
      </c>
      <c r="G92" s="26">
        <f t="shared" si="27"/>
        <v>0</v>
      </c>
      <c r="H92" s="26">
        <f t="shared" si="27"/>
        <v>0</v>
      </c>
      <c r="I92" s="26">
        <f t="shared" si="27"/>
        <v>0</v>
      </c>
    </row>
    <row r="93" spans="3:9" ht="20.100000000000001" hidden="1" customHeight="1">
      <c r="D93" s="26">
        <f t="shared" si="28"/>
        <v>0</v>
      </c>
      <c r="E93" s="26">
        <f t="shared" si="28"/>
        <v>0</v>
      </c>
      <c r="F93" s="26">
        <f t="shared" si="28"/>
        <v>0</v>
      </c>
      <c r="G93" s="26">
        <f t="shared" si="27"/>
        <v>0</v>
      </c>
      <c r="H93" s="26">
        <f t="shared" si="27"/>
        <v>0</v>
      </c>
      <c r="I93" s="26">
        <f t="shared" si="27"/>
        <v>0</v>
      </c>
    </row>
    <row r="94" spans="3:9" ht="20.100000000000001" hidden="1" customHeight="1">
      <c r="D94" s="26"/>
      <c r="E94" s="26"/>
      <c r="F94" s="26"/>
      <c r="G94" s="26"/>
      <c r="H94" s="26"/>
      <c r="I94" s="26"/>
    </row>
    <row r="95" spans="3:9" ht="20.100000000000001" hidden="1" customHeight="1">
      <c r="C95" s="39" t="s">
        <v>80</v>
      </c>
      <c r="D95" s="26"/>
      <c r="E95" s="26"/>
      <c r="F95" s="26"/>
      <c r="G95" s="26"/>
      <c r="H95" s="26"/>
      <c r="I95" s="26"/>
    </row>
    <row r="96" spans="3:9" ht="20.100000000000001" hidden="1" customHeight="1">
      <c r="D96" s="26">
        <f>D88</f>
        <v>17159.616000000005</v>
      </c>
      <c r="E96" s="26">
        <f t="shared" ref="E96:G96" si="30">E88</f>
        <v>44767.224000000009</v>
      </c>
      <c r="F96" s="26">
        <f t="shared" si="30"/>
        <v>0</v>
      </c>
      <c r="G96" s="26">
        <f t="shared" si="30"/>
        <v>0</v>
      </c>
      <c r="H96" s="26">
        <f t="shared" ref="H96:I100" si="31">IF(H$90=0,H88,H88*$G$90/H$90-$G88)</f>
        <v>0</v>
      </c>
      <c r="I96" s="26">
        <f t="shared" si="31"/>
        <v>0</v>
      </c>
    </row>
    <row r="97" spans="3:9" ht="20.100000000000001" hidden="1" customHeight="1">
      <c r="D97" s="26">
        <f t="shared" ref="D97:G101" si="32">D89</f>
        <v>44767.224000000002</v>
      </c>
      <c r="E97" s="26">
        <f t="shared" si="32"/>
        <v>152771.33699999997</v>
      </c>
      <c r="F97" s="26">
        <f t="shared" si="32"/>
        <v>0</v>
      </c>
      <c r="G97" s="26">
        <f t="shared" si="32"/>
        <v>0</v>
      </c>
      <c r="H97" s="26">
        <f t="shared" si="31"/>
        <v>0</v>
      </c>
      <c r="I97" s="26">
        <f t="shared" si="31"/>
        <v>0</v>
      </c>
    </row>
    <row r="98" spans="3:9" ht="20.100000000000001" hidden="1" customHeight="1">
      <c r="D98" s="26">
        <f t="shared" si="32"/>
        <v>0</v>
      </c>
      <c r="E98" s="26">
        <f t="shared" si="32"/>
        <v>0</v>
      </c>
      <c r="F98" s="26">
        <f t="shared" si="32"/>
        <v>0</v>
      </c>
      <c r="G98" s="26">
        <f t="shared" si="32"/>
        <v>0</v>
      </c>
      <c r="H98" s="26">
        <f>IF(H$90=0,H90,H90*$G$90/H$90-$G90)</f>
        <v>0</v>
      </c>
      <c r="I98" s="26">
        <f>IF(I$90=0,I90,I90*$G$90/I$90-$G90)</f>
        <v>0</v>
      </c>
    </row>
    <row r="99" spans="3:9" ht="20.100000000000001" hidden="1" customHeight="1">
      <c r="D99" s="26">
        <f t="shared" si="32"/>
        <v>0</v>
      </c>
      <c r="E99" s="26">
        <f t="shared" si="32"/>
        <v>0</v>
      </c>
      <c r="F99" s="26">
        <f t="shared" si="32"/>
        <v>0</v>
      </c>
      <c r="G99" s="26">
        <f t="shared" si="32"/>
        <v>0</v>
      </c>
      <c r="H99" s="26">
        <f t="shared" si="31"/>
        <v>0</v>
      </c>
      <c r="I99" s="26">
        <f t="shared" si="31"/>
        <v>0</v>
      </c>
    </row>
    <row r="100" spans="3:9" ht="20.100000000000001" hidden="1" customHeight="1">
      <c r="D100" s="26">
        <f t="shared" si="32"/>
        <v>0</v>
      </c>
      <c r="E100" s="26">
        <f t="shared" si="32"/>
        <v>0</v>
      </c>
      <c r="F100" s="26">
        <f t="shared" si="32"/>
        <v>0</v>
      </c>
      <c r="G100" s="26">
        <f t="shared" si="32"/>
        <v>0</v>
      </c>
      <c r="H100" s="26">
        <f t="shared" si="31"/>
        <v>0</v>
      </c>
      <c r="I100" s="26">
        <f t="shared" si="31"/>
        <v>0</v>
      </c>
    </row>
    <row r="101" spans="3:9" ht="20.100000000000001" hidden="1" customHeight="1">
      <c r="D101" s="26">
        <f t="shared" si="32"/>
        <v>0</v>
      </c>
      <c r="E101" s="26">
        <f t="shared" si="32"/>
        <v>0</v>
      </c>
      <c r="F101" s="26">
        <f t="shared" si="32"/>
        <v>0</v>
      </c>
      <c r="G101" s="26">
        <f t="shared" si="32"/>
        <v>0</v>
      </c>
      <c r="H101" s="26">
        <f>IF(H$90=0,H93,H93*$G$90/H$90-$G93)</f>
        <v>0</v>
      </c>
      <c r="I101" s="26">
        <f>IF(I$90=0,I93,I93*$G$90/I$90-$G93)</f>
        <v>0</v>
      </c>
    </row>
    <row r="102" spans="3:9" ht="20.100000000000001" hidden="1" customHeight="1">
      <c r="D102" s="26"/>
      <c r="E102" s="26"/>
      <c r="F102" s="26"/>
      <c r="G102" s="26"/>
      <c r="H102" s="26"/>
      <c r="I102" s="26"/>
    </row>
    <row r="103" spans="3:9" ht="20.100000000000001" hidden="1" customHeight="1">
      <c r="C103" s="39" t="s">
        <v>81</v>
      </c>
      <c r="D103" s="26"/>
      <c r="E103" s="26"/>
      <c r="F103" s="26"/>
      <c r="G103" s="26"/>
      <c r="H103" s="26"/>
      <c r="I103" s="26"/>
    </row>
    <row r="104" spans="3:9" ht="20.100000000000001" hidden="1" customHeight="1">
      <c r="D104" s="26">
        <f>D96</f>
        <v>17159.616000000005</v>
      </c>
      <c r="E104" s="26">
        <f t="shared" ref="E104:H104" si="33">E96</f>
        <v>44767.224000000009</v>
      </c>
      <c r="F104" s="26">
        <f t="shared" si="33"/>
        <v>0</v>
      </c>
      <c r="G104" s="26">
        <f t="shared" si="33"/>
        <v>0</v>
      </c>
      <c r="H104" s="26">
        <f t="shared" si="33"/>
        <v>0</v>
      </c>
      <c r="I104" s="26">
        <f>IF(I$97=0,I96,I96*$H$97/I$97-$H96)</f>
        <v>0</v>
      </c>
    </row>
    <row r="105" spans="3:9" ht="20.100000000000001" hidden="1" customHeight="1">
      <c r="D105" s="26">
        <f t="shared" ref="D105:I109" si="34">D97</f>
        <v>44767.224000000002</v>
      </c>
      <c r="E105" s="26">
        <f t="shared" si="34"/>
        <v>152771.33699999997</v>
      </c>
      <c r="F105" s="26">
        <f t="shared" si="34"/>
        <v>0</v>
      </c>
      <c r="G105" s="26">
        <f t="shared" si="34"/>
        <v>0</v>
      </c>
      <c r="H105" s="26">
        <f t="shared" si="34"/>
        <v>0</v>
      </c>
      <c r="I105" s="42">
        <f>IF(I$97=0,I97,I97*$H$97/I$97-$H97)</f>
        <v>0</v>
      </c>
    </row>
    <row r="106" spans="3:9" ht="20.100000000000001" hidden="1" customHeight="1">
      <c r="D106" s="26">
        <f t="shared" si="34"/>
        <v>0</v>
      </c>
      <c r="E106" s="26">
        <f t="shared" si="34"/>
        <v>0</v>
      </c>
      <c r="F106" s="26">
        <f t="shared" si="34"/>
        <v>0</v>
      </c>
      <c r="G106" s="26">
        <f t="shared" si="34"/>
        <v>0</v>
      </c>
      <c r="H106" s="42">
        <f t="shared" si="34"/>
        <v>0</v>
      </c>
      <c r="I106" s="42">
        <f t="shared" si="34"/>
        <v>0</v>
      </c>
    </row>
    <row r="107" spans="3:9" ht="20.100000000000001" hidden="1" customHeight="1">
      <c r="D107" s="26">
        <f t="shared" si="34"/>
        <v>0</v>
      </c>
      <c r="E107" s="26">
        <f t="shared" si="34"/>
        <v>0</v>
      </c>
      <c r="F107" s="26">
        <f t="shared" si="34"/>
        <v>0</v>
      </c>
      <c r="G107" s="42">
        <f t="shared" si="34"/>
        <v>0</v>
      </c>
      <c r="H107" s="42">
        <f t="shared" si="34"/>
        <v>0</v>
      </c>
      <c r="I107" s="42">
        <f t="shared" si="34"/>
        <v>0</v>
      </c>
    </row>
    <row r="108" spans="3:9" ht="20.100000000000001" hidden="1" customHeight="1">
      <c r="D108" s="26">
        <f t="shared" si="34"/>
        <v>0</v>
      </c>
      <c r="E108" s="26">
        <f t="shared" si="34"/>
        <v>0</v>
      </c>
      <c r="F108" s="42">
        <f t="shared" si="34"/>
        <v>0</v>
      </c>
      <c r="G108" s="42">
        <f t="shared" si="34"/>
        <v>0</v>
      </c>
      <c r="H108" s="42">
        <f t="shared" si="34"/>
        <v>0</v>
      </c>
      <c r="I108" s="42">
        <f t="shared" si="34"/>
        <v>0</v>
      </c>
    </row>
    <row r="109" spans="3:9" ht="20.100000000000001" hidden="1" customHeight="1">
      <c r="D109" s="26">
        <f t="shared" si="34"/>
        <v>0</v>
      </c>
      <c r="E109" s="42">
        <f t="shared" si="34"/>
        <v>0</v>
      </c>
      <c r="F109" s="42">
        <f t="shared" si="34"/>
        <v>0</v>
      </c>
      <c r="G109" s="42">
        <f t="shared" si="34"/>
        <v>0</v>
      </c>
      <c r="H109" s="42">
        <f t="shared" si="34"/>
        <v>0</v>
      </c>
      <c r="I109" s="42">
        <f t="shared" si="34"/>
        <v>0</v>
      </c>
    </row>
    <row r="110" spans="3:9" ht="20.100000000000001" hidden="1" customHeight="1">
      <c r="D110" s="26"/>
      <c r="E110" s="26"/>
      <c r="F110" s="26"/>
      <c r="G110" s="26"/>
      <c r="H110" s="26"/>
      <c r="I110" s="26"/>
    </row>
    <row r="111" spans="3:9" ht="20.100000000000001" hidden="1" customHeight="1">
      <c r="C111" s="40" t="s">
        <v>32</v>
      </c>
      <c r="D111" s="40">
        <v>1</v>
      </c>
      <c r="E111" s="40">
        <v>2</v>
      </c>
      <c r="F111" s="40">
        <v>3</v>
      </c>
      <c r="G111" s="40">
        <v>4</v>
      </c>
      <c r="H111" s="40">
        <v>5</v>
      </c>
      <c r="I111" s="40">
        <v>6</v>
      </c>
    </row>
    <row r="112" spans="3:9" ht="20.100000000000001" hidden="1" customHeight="1">
      <c r="C112" s="40" t="s">
        <v>63</v>
      </c>
      <c r="D112" s="32" t="e">
        <f>I36/I104</f>
        <v>#DIV/0!</v>
      </c>
      <c r="E112" s="32">
        <v>-379967.47815314599</v>
      </c>
      <c r="F112" s="32">
        <v>228500.31361054932</v>
      </c>
      <c r="G112" s="32">
        <v>10</v>
      </c>
      <c r="H112" s="32">
        <v>1</v>
      </c>
      <c r="I112" s="32">
        <v>1</v>
      </c>
    </row>
    <row r="113" ht="20.100000000000001" hidden="1" customHeight="1"/>
  </sheetData>
  <scenarios current="0">
    <scenario name="11" count="6" user="Author" comment="创建者 作者 日期 8/21/2009">
      <inputCells r="D54" val="61097.3068102111"/>
      <inputCells r="E54" val="65427.957772603"/>
      <inputCells r="F54" val="1"/>
      <inputCells r="G54" val="1"/>
      <inputCells r="H54" val="1"/>
      <inputCells r="I54" val="1"/>
    </scenario>
  </scenarios>
  <mergeCells count="11">
    <mergeCell ref="M59:N59"/>
    <mergeCell ref="L16:R16"/>
    <mergeCell ref="B34:C34"/>
    <mergeCell ref="B35:C35"/>
    <mergeCell ref="B38:C38"/>
    <mergeCell ref="A1:I1"/>
    <mergeCell ref="L28:M28"/>
    <mergeCell ref="L17:L23"/>
    <mergeCell ref="L24:M24"/>
    <mergeCell ref="L26:M26"/>
    <mergeCell ref="L27:M27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F3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56"/>
  <sheetViews>
    <sheetView topLeftCell="A16" zoomScaleNormal="100" workbookViewId="0">
      <selection activeCell="E46" sqref="E46"/>
    </sheetView>
  </sheetViews>
  <sheetFormatPr defaultRowHeight="20.100000000000001" customHeight="1" outlineLevelRow="1"/>
  <cols>
    <col min="2" max="2" width="8.85546875" customWidth="1"/>
    <col min="3" max="3" width="10.5703125" customWidth="1"/>
    <col min="4" max="5" width="12.7109375" bestFit="1" customWidth="1"/>
    <col min="6" max="6" width="13.28515625" bestFit="1" customWidth="1"/>
    <col min="7" max="9" width="12.71093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21" ht="60" customHeight="1">
      <c r="A1" s="46" t="s">
        <v>67</v>
      </c>
      <c r="B1" s="47"/>
      <c r="C1" s="47"/>
      <c r="D1" s="47"/>
      <c r="E1" s="47"/>
      <c r="F1" s="47"/>
      <c r="G1" s="47"/>
      <c r="H1" s="47"/>
      <c r="I1" s="47"/>
    </row>
    <row r="2" spans="1:21" ht="60" customHeight="1"/>
    <row r="3" spans="1:21" ht="20.100000000000001" customHeight="1" thickBot="1">
      <c r="A3" s="9" t="s">
        <v>1</v>
      </c>
      <c r="K3" t="s">
        <v>86</v>
      </c>
      <c r="L3">
        <v>60</v>
      </c>
    </row>
    <row r="4" spans="1:21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  <c r="K4" t="s">
        <v>87</v>
      </c>
      <c r="L4">
        <v>39.9</v>
      </c>
    </row>
    <row r="5" spans="1:21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1100</v>
      </c>
      <c r="G5" t="s">
        <v>57</v>
      </c>
      <c r="K5" t="s">
        <v>88</v>
      </c>
      <c r="L5">
        <v>57.85</v>
      </c>
    </row>
    <row r="6" spans="1:21" ht="20.100000000000001" customHeight="1" thickTop="1" thickBot="1">
      <c r="B6" s="19">
        <v>100</v>
      </c>
      <c r="C6" s="1" t="s">
        <v>0</v>
      </c>
      <c r="D6" s="3" t="s">
        <v>3</v>
      </c>
      <c r="E6" s="4" t="s">
        <v>28</v>
      </c>
      <c r="F6" s="5">
        <v>1300</v>
      </c>
      <c r="G6" t="s">
        <v>57</v>
      </c>
      <c r="L6" s="48" t="s">
        <v>85</v>
      </c>
      <c r="M6" s="48"/>
      <c r="N6" s="48"/>
      <c r="O6" s="48"/>
      <c r="P6" s="48"/>
      <c r="Q6" s="48"/>
      <c r="R6" s="48"/>
    </row>
    <row r="7" spans="1:21" ht="20.100000000000001" customHeight="1" thickTop="1">
      <c r="L7" s="48" t="s">
        <v>70</v>
      </c>
      <c r="M7">
        <f t="shared" ref="M7:M11" si="0">M8+39.9</f>
        <v>299.39999999999998</v>
      </c>
      <c r="S7" s="39"/>
      <c r="T7" s="39">
        <v>1</v>
      </c>
      <c r="U7" s="39"/>
    </row>
    <row r="8" spans="1:21" ht="20.100000000000001" customHeight="1" thickBot="1">
      <c r="A8" s="9" t="s">
        <v>7</v>
      </c>
      <c r="L8" s="48"/>
      <c r="M8">
        <f t="shared" si="0"/>
        <v>259.5</v>
      </c>
      <c r="S8" s="39">
        <v>1</v>
      </c>
      <c r="T8" s="39"/>
      <c r="U8" s="39"/>
    </row>
    <row r="9" spans="1:21" ht="20.100000000000001" customHeight="1" thickTop="1" thickBot="1">
      <c r="B9" t="s">
        <v>8</v>
      </c>
      <c r="D9" s="6" t="s">
        <v>9</v>
      </c>
      <c r="E9" s="5">
        <v>-463.91699999999992</v>
      </c>
      <c r="F9" t="s">
        <v>17</v>
      </c>
      <c r="L9" s="48"/>
      <c r="M9">
        <f t="shared" si="0"/>
        <v>219.60000000000002</v>
      </c>
      <c r="R9">
        <v>1</v>
      </c>
      <c r="S9" s="39"/>
      <c r="T9" s="39">
        <v>1</v>
      </c>
      <c r="U9" s="39"/>
    </row>
    <row r="10" spans="1:21" ht="20.100000000000001" customHeight="1" thickTop="1" thickBot="1">
      <c r="B10" t="s">
        <v>10</v>
      </c>
      <c r="D10" s="6" t="s">
        <v>11</v>
      </c>
      <c r="E10" s="5">
        <v>10.648</v>
      </c>
      <c r="F10" t="s">
        <v>18</v>
      </c>
      <c r="L10" s="48"/>
      <c r="M10">
        <f t="shared" si="0"/>
        <v>179.70000000000002</v>
      </c>
      <c r="Q10">
        <v>1</v>
      </c>
      <c r="S10" s="39">
        <v>1</v>
      </c>
      <c r="T10" s="39"/>
      <c r="U10" s="39"/>
    </row>
    <row r="11" spans="1:21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  <c r="L11" s="48"/>
      <c r="M11">
        <f t="shared" si="0"/>
        <v>139.80000000000001</v>
      </c>
      <c r="P11">
        <v>1</v>
      </c>
      <c r="R11">
        <v>1</v>
      </c>
      <c r="S11" s="39"/>
      <c r="T11" s="39">
        <v>1</v>
      </c>
      <c r="U11" s="39"/>
    </row>
    <row r="12" spans="1:21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  <c r="L12" s="48"/>
      <c r="M12">
        <f>M13+39.9</f>
        <v>99.9</v>
      </c>
      <c r="O12">
        <v>1</v>
      </c>
      <c r="Q12">
        <v>1</v>
      </c>
      <c r="S12" s="39">
        <v>1</v>
      </c>
      <c r="T12" s="39"/>
      <c r="U12" s="39"/>
    </row>
    <row r="13" spans="1:21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  <c r="L13" s="48"/>
      <c r="M13">
        <v>60</v>
      </c>
      <c r="N13">
        <v>1</v>
      </c>
      <c r="O13">
        <v>1</v>
      </c>
      <c r="P13">
        <v>1</v>
      </c>
      <c r="R13">
        <v>1</v>
      </c>
      <c r="S13" s="39"/>
      <c r="T13" s="39">
        <v>1</v>
      </c>
      <c r="U13" s="39"/>
    </row>
    <row r="14" spans="1:21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  <c r="L14" s="48" t="s">
        <v>75</v>
      </c>
      <c r="M14" s="48"/>
      <c r="N14">
        <v>18</v>
      </c>
      <c r="O14">
        <f>N14+6</f>
        <v>24</v>
      </c>
      <c r="P14">
        <f>O14+6</f>
        <v>30</v>
      </c>
      <c r="Q14">
        <f>P14+6</f>
        <v>36</v>
      </c>
      <c r="R14">
        <f>Q14+6</f>
        <v>42</v>
      </c>
      <c r="S14" s="39">
        <f>R14+6</f>
        <v>48</v>
      </c>
      <c r="T14" s="39">
        <v>52</v>
      </c>
      <c r="U14" s="39"/>
    </row>
    <row r="15" spans="1:21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  <c r="L15" s="26" t="s">
        <v>84</v>
      </c>
      <c r="N15" s="45">
        <v>20</v>
      </c>
      <c r="O15" s="45">
        <f>N15+7</f>
        <v>27</v>
      </c>
      <c r="P15" s="45">
        <f t="shared" ref="P15:T15" si="1">O15+7</f>
        <v>34</v>
      </c>
      <c r="Q15" s="45">
        <f t="shared" si="1"/>
        <v>41</v>
      </c>
      <c r="R15" s="45">
        <f t="shared" si="1"/>
        <v>48</v>
      </c>
      <c r="S15" s="45">
        <f t="shared" si="1"/>
        <v>55</v>
      </c>
      <c r="T15" s="45">
        <f t="shared" si="1"/>
        <v>62</v>
      </c>
    </row>
    <row r="16" spans="1:21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71</v>
      </c>
      <c r="M16" s="48"/>
      <c r="S16" s="39"/>
      <c r="T16" s="39"/>
      <c r="U16" s="39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73</v>
      </c>
      <c r="M17" s="48"/>
      <c r="N17">
        <v>74.81</v>
      </c>
      <c r="O17">
        <v>82.4</v>
      </c>
      <c r="P17">
        <v>78.47</v>
      </c>
      <c r="Q17">
        <v>77.11</v>
      </c>
      <c r="R17">
        <v>77.760000000000005</v>
      </c>
      <c r="S17" s="39">
        <v>77.95</v>
      </c>
      <c r="T17" s="39">
        <v>77.819999999999993</v>
      </c>
      <c r="U17" s="39"/>
    </row>
    <row r="18" spans="1:21" ht="20.100000000000001" customHeight="1" thickTop="1">
      <c r="D18" s="6"/>
      <c r="E18" s="15"/>
      <c r="L18" s="48" t="s">
        <v>74</v>
      </c>
      <c r="M18" s="48"/>
      <c r="N18">
        <v>-298.27999999999997</v>
      </c>
      <c r="O18">
        <v>269.04000000000002</v>
      </c>
      <c r="P18">
        <v>214.1</v>
      </c>
      <c r="Q18">
        <v>515.13</v>
      </c>
      <c r="R18">
        <v>59.37</v>
      </c>
      <c r="S18" s="39">
        <v>388.34</v>
      </c>
      <c r="T18" s="39">
        <v>101.64</v>
      </c>
      <c r="U18" s="39"/>
    </row>
    <row r="19" spans="1:21" ht="20.100000000000001" customHeight="1">
      <c r="D19" s="6"/>
      <c r="E19" s="15"/>
    </row>
    <row r="21" spans="1:21" ht="20.100000000000001" customHeight="1" thickBot="1">
      <c r="A21" s="9" t="s">
        <v>29</v>
      </c>
      <c r="B21" s="8"/>
      <c r="H21" t="s">
        <v>58</v>
      </c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3597.4736842105258</v>
      </c>
      <c r="G22" t="s">
        <v>30</v>
      </c>
      <c r="H22">
        <f>F22*20</f>
        <v>71949.473684210519</v>
      </c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2">$E$16*F5/$E$14</f>
        <v>4946.5263157894733</v>
      </c>
      <c r="G23" t="s">
        <v>30</v>
      </c>
      <c r="H23">
        <f>F23*80</f>
        <v>395722.10526315786</v>
      </c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3</v>
      </c>
      <c r="E24" s="4" t="s">
        <v>6</v>
      </c>
      <c r="F24" s="12">
        <f t="shared" si="2"/>
        <v>5845.894736842105</v>
      </c>
      <c r="G24" t="s">
        <v>30</v>
      </c>
      <c r="H24">
        <f>F24*(E17-B6)</f>
        <v>249327.4105263158</v>
      </c>
    </row>
    <row r="25" spans="1:21" ht="20.100000000000001" customHeight="1" thickTop="1">
      <c r="H25">
        <f>SUM(H22:H24)+E10*10000</f>
        <v>823478.98947368423</v>
      </c>
    </row>
    <row r="26" spans="1:21" ht="20.100000000000001" customHeight="1">
      <c r="A26" s="9" t="s">
        <v>31</v>
      </c>
      <c r="B26" s="8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154451536.84210527</v>
      </c>
      <c r="E29" s="22">
        <f t="shared" ref="E29:I29" si="3">IF(E28&lt;$B$5,$F$22*$B$5/24*(6*($B$5-$B$4)*E28^2-4*E28^3+E28^4/($B$5-$B$4)),$F$22*$B$5/24*(4*($B$5-$B$4)^2*E28-($B$5-$B$4)^3))</f>
        <v>345837136.84210521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L29" s="26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13051301261.629978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42533490931.639961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18791155189.517311</v>
      </c>
      <c r="E31" s="22">
        <f t="shared" ref="E31:I31" si="5">IF(E28&lt;$B$6,$F$24*($E$17-$B$6)/12*(3*($E$17+$B$6)*E28^2-2*E28^3),$F$24*($E$17-$B$6)/24*(6*($E$17+$B$6)*E28^2-4*E28^3+(E28-$B$6)^4/($E$17-$B$6)))</f>
        <v>70863114349.447098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-3209934506.3999996</v>
      </c>
      <c r="E32" s="22">
        <f t="shared" ref="E32:I32" si="6">$E$9*10^4/2*E28^2</f>
        <v>-13788564269.849995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>IF($E$10=0,0,10^4*$E$10*$E$11^3/3*(1-3*($E$11-D28)/(2*$E$11)+($E$11-D28)^3/(2*$E$11^3)))</f>
        <v>10333008734.399994</v>
      </c>
      <c r="E33" s="22">
        <f t="shared" ref="E33:I33" si="7">IF($E$10=0,0,10^4*$E$10*$E$11^3/3*(1-3*($E$11-E28)/(2*$E$11)+($E$11-E28)^3/(2*$E$11^3)))</f>
        <v>40177185307.380005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39119982215.989388</v>
      </c>
      <c r="E35" s="22">
        <f>SUM(E29:E34)</f>
        <v>140131063455.45917</v>
      </c>
      <c r="F35" s="22">
        <f t="shared" ref="F35:I35" si="9">SUM(F29:F34)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M35" t="s">
        <v>62</v>
      </c>
    </row>
    <row r="36" spans="2:15" ht="20.100000000000001" hidden="1" customHeight="1" outlineLevel="1">
      <c r="C36" s="28" t="s">
        <v>52</v>
      </c>
      <c r="D36" s="29" t="e">
        <f>D35/$O$37</f>
        <v>#DIV/0!</v>
      </c>
      <c r="E36" s="29" t="e">
        <f t="shared" ref="E36:I36" si="10">E35/$O$37</f>
        <v>#DIV/0!</v>
      </c>
      <c r="F36" s="29" t="e">
        <f t="shared" si="10"/>
        <v>#DIV/0!</v>
      </c>
      <c r="G36" s="29" t="e">
        <f t="shared" si="10"/>
        <v>#DIV/0!</v>
      </c>
      <c r="H36" s="29" t="e">
        <f t="shared" si="10"/>
        <v>#DIV/0!</v>
      </c>
      <c r="I36" s="29" t="e">
        <f t="shared" si="10"/>
        <v>#DIV/0!</v>
      </c>
      <c r="M36" s="38" t="s">
        <v>55</v>
      </c>
      <c r="N36" s="38"/>
      <c r="O36" s="38"/>
    </row>
    <row r="37" spans="2:15" ht="20.100000000000001" hidden="1" customHeight="1" outlineLevel="1">
      <c r="M37" s="30">
        <v>206000000000</v>
      </c>
      <c r="N37" s="38"/>
      <c r="O37" s="30"/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38"/>
      <c r="N38" s="38"/>
      <c r="O38" s="38"/>
    </row>
    <row r="39" spans="2:15" ht="20.100000000000001" hidden="1" customHeight="1" outlineLevel="1">
      <c r="B39" s="38">
        <v>1</v>
      </c>
      <c r="C39" s="38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1">IF($D$28=0,0,IF(E28&lt;$D$28,1*$D$28^3/3*(1-3*($D$28-E28)/2/$D$28+($D$28-E28)^3/2/$D$28^3),1*$D$28^3/3*(1+3*(E28-$D$28)/2/$D$28)))</f>
        <v>44767.224000000009</v>
      </c>
      <c r="F39" s="23">
        <f t="shared" si="11"/>
        <v>0</v>
      </c>
      <c r="G39" s="23">
        <f t="shared" si="11"/>
        <v>0</v>
      </c>
      <c r="H39" s="23">
        <f t="shared" si="11"/>
        <v>0</v>
      </c>
      <c r="I39" s="23">
        <f t="shared" si="11"/>
        <v>0</v>
      </c>
      <c r="M39" s="31" t="e">
        <f>D39/$O$37</f>
        <v>#DIV/0!</v>
      </c>
      <c r="N39" s="31"/>
      <c r="O39" s="38"/>
    </row>
    <row r="40" spans="2:15" ht="20.100000000000001" hidden="1" customHeight="1" outlineLevel="1">
      <c r="B40" s="38">
        <v>2</v>
      </c>
      <c r="C40" s="38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2">IF($E$28=0,0,IF(E28&lt;$E$28,1*$E$28^3/3*(1-3*($E$28-E28)/2/$E$28+($E$28-E28)^3/2/$E$28^3),1*$E$28^3/3*(1+3*(E28-$E$28)/2/$E$28)))</f>
        <v>152771.33699999997</v>
      </c>
      <c r="F40" s="23">
        <f t="shared" si="12"/>
        <v>0</v>
      </c>
      <c r="G40" s="23">
        <f t="shared" si="12"/>
        <v>0</v>
      </c>
      <c r="H40" s="23">
        <f t="shared" si="12"/>
        <v>0</v>
      </c>
      <c r="I40" s="23">
        <f t="shared" si="12"/>
        <v>0</v>
      </c>
      <c r="M40" s="31" t="e">
        <f>D40/$O$37</f>
        <v>#DIV/0!</v>
      </c>
      <c r="N40" s="31"/>
      <c r="O40" s="38"/>
    </row>
    <row r="41" spans="2:15" ht="20.100000000000001" hidden="1" customHeight="1" outlineLevel="1">
      <c r="B41" s="38">
        <v>3</v>
      </c>
      <c r="C41" s="38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3">IF($F$28=0,0,IF(E28&lt;$F$28,1*$F$28^3/3*(1-3*($F$28-E28)/2/$F$28+($F$28-E28)^3/2/$F$28^3),1*$F$28^3/3*(1+3*(E28-$F$28)/2/$F$28)))</f>
        <v>0</v>
      </c>
      <c r="F41" s="23">
        <f t="shared" si="13"/>
        <v>0</v>
      </c>
      <c r="G41" s="23">
        <f t="shared" si="13"/>
        <v>0</v>
      </c>
      <c r="H41" s="23">
        <f t="shared" si="13"/>
        <v>0</v>
      </c>
      <c r="I41" s="23">
        <f t="shared" si="13"/>
        <v>0</v>
      </c>
    </row>
    <row r="42" spans="2:15" ht="20.100000000000001" hidden="1" customHeight="1" outlineLevel="1">
      <c r="B42" s="38">
        <v>4</v>
      </c>
      <c r="C42" s="38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4">IF($G$28=0,0,IF(E28&lt;$G$28,1*$G$28^3/3*(1-3*($G$28-E28)/2/$G$28+($G$28-E28)^3/2/$G$28^3),1*$G$28^3/3*(1+3*(E28-$G$28)/2/$G$28)))</f>
        <v>0</v>
      </c>
      <c r="F42" s="23">
        <f t="shared" si="14"/>
        <v>0</v>
      </c>
      <c r="G42" s="23">
        <f t="shared" si="14"/>
        <v>0</v>
      </c>
      <c r="H42" s="23">
        <f t="shared" si="14"/>
        <v>0</v>
      </c>
      <c r="I42" s="23">
        <f t="shared" si="14"/>
        <v>0</v>
      </c>
    </row>
    <row r="43" spans="2:15" ht="20.100000000000001" hidden="1" customHeight="1" outlineLevel="1">
      <c r="B43" s="38">
        <v>5</v>
      </c>
      <c r="C43" s="38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5">IF($H$28=0,0,IF(E28&lt;$H$28,1*$H$28^3/3*(1-3*($H$28-E28)/2/$H$28+($H$28-E28)^3/2/$H$28^3),1*$H$28^3/3*(1+3*(E28-$H$28)/2/$H$28)))</f>
        <v>0</v>
      </c>
      <c r="F43" s="23">
        <f t="shared" si="15"/>
        <v>0</v>
      </c>
      <c r="G43" s="23">
        <f t="shared" si="15"/>
        <v>0</v>
      </c>
      <c r="H43" s="23">
        <f t="shared" si="15"/>
        <v>0</v>
      </c>
      <c r="I43" s="23">
        <f t="shared" si="15"/>
        <v>0</v>
      </c>
    </row>
    <row r="44" spans="2:15" ht="20.100000000000001" hidden="1" customHeight="1" outlineLevel="1">
      <c r="B44" s="38">
        <v>6</v>
      </c>
      <c r="C44" s="38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6">IF($I$28=0,0,IF(E28&lt;$I$28,1*$I$28^3/3*(1-3*($I$28-E28)/2/$I$28+($I$28-E28)^3/2/$I$28^3),1*$I$28^3/3*(1+3*(E28-$I$28)/2/$I$28)))</f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>$D$53*D39+$E$53*D40+$F$53*D41+$G$53*D42+$H$53*D43+$I$53*D44-D35</f>
        <v>0</v>
      </c>
      <c r="E47" s="22">
        <f t="shared" ref="E47:I47" si="17">$D$53*E39+$E$53*E40+$F$53*E41+$G$53*E42+$H$53*E43+$I$53*E44-E35</f>
        <v>0</v>
      </c>
      <c r="F47" s="22">
        <f t="shared" si="17"/>
        <v>0</v>
      </c>
      <c r="G47" s="22">
        <f t="shared" si="17"/>
        <v>0</v>
      </c>
      <c r="H47" s="22">
        <f t="shared" si="17"/>
        <v>0</v>
      </c>
      <c r="I47" s="22">
        <f t="shared" si="17"/>
        <v>0</v>
      </c>
    </row>
    <row r="48" spans="2:15" ht="20.100000000000001" customHeight="1">
      <c r="C48" s="43" t="s">
        <v>82</v>
      </c>
      <c r="D48" s="22">
        <f>D47/$D$49</f>
        <v>0</v>
      </c>
      <c r="E48" s="22">
        <f t="shared" ref="E48:I48" si="18">E47/$D$49</f>
        <v>0</v>
      </c>
      <c r="F48" s="22">
        <f t="shared" si="18"/>
        <v>0</v>
      </c>
      <c r="G48" s="22">
        <f t="shared" si="18"/>
        <v>0</v>
      </c>
      <c r="H48" s="22">
        <f t="shared" si="18"/>
        <v>0</v>
      </c>
      <c r="I48" s="22">
        <f t="shared" si="18"/>
        <v>0</v>
      </c>
    </row>
    <row r="49" spans="1:14" ht="20.100000000000001" customHeight="1">
      <c r="C49" s="25" t="s">
        <v>83</v>
      </c>
      <c r="D49" s="44">
        <v>1000000</v>
      </c>
    </row>
    <row r="51" spans="1:14" ht="20.100000000000001" customHeight="1">
      <c r="A51" s="24" t="s">
        <v>48</v>
      </c>
      <c r="B51" s="24"/>
      <c r="C51" s="24"/>
    </row>
    <row r="52" spans="1:14" ht="20.100000000000001" customHeight="1">
      <c r="C52" s="38" t="s">
        <v>32</v>
      </c>
      <c r="D52" s="38">
        <v>1</v>
      </c>
      <c r="E52" s="38">
        <v>2</v>
      </c>
      <c r="F52" s="38">
        <v>3</v>
      </c>
      <c r="G52" s="38">
        <v>4</v>
      </c>
      <c r="H52" s="38">
        <v>5</v>
      </c>
      <c r="I52" s="38">
        <v>6</v>
      </c>
      <c r="L52" t="s">
        <v>93</v>
      </c>
    </row>
    <row r="53" spans="1:14" ht="20.100000000000001" customHeight="1">
      <c r="C53" s="38" t="s">
        <v>63</v>
      </c>
      <c r="D53" s="32">
        <v>-480839.0377836345</v>
      </c>
      <c r="E53" s="32">
        <v>1058162.4507734955</v>
      </c>
      <c r="F53" s="32">
        <v>779518.62552134029</v>
      </c>
      <c r="G53" s="32">
        <v>0</v>
      </c>
      <c r="H53" s="32">
        <v>0</v>
      </c>
      <c r="I53" s="32">
        <v>0</v>
      </c>
      <c r="L53" t="s">
        <v>90</v>
      </c>
      <c r="M53">
        <v>37.200000000000003</v>
      </c>
    </row>
    <row r="54" spans="1:14" ht="20.100000000000001" customHeight="1">
      <c r="L54" t="s">
        <v>91</v>
      </c>
      <c r="M54">
        <v>77.099999999999994</v>
      </c>
    </row>
    <row r="55" spans="1:14" ht="20.100000000000001" customHeight="1">
      <c r="C55" s="36" t="s">
        <v>64</v>
      </c>
      <c r="D55" s="33"/>
      <c r="E55" s="38"/>
      <c r="F55" s="34"/>
      <c r="G55" s="34"/>
      <c r="H55" s="34"/>
      <c r="I55" s="34"/>
      <c r="L55" s="48" t="s">
        <v>74</v>
      </c>
      <c r="M55" s="48"/>
      <c r="N55">
        <v>263.04000000000002</v>
      </c>
    </row>
    <row r="56" spans="1:14" ht="20.100000000000001" customHeight="1">
      <c r="C56" s="7" t="s">
        <v>65</v>
      </c>
      <c r="D56" s="7"/>
      <c r="E56" s="37">
        <f>(($B$5-0)^2*$F$22/2+($B$6-$B$5)*$F$23*($B$6+$B$5)/2+($E$17-$B$6)*$F$24*($E$17+$B$6)/2)/10^4+E9+$E$10*$E$11+$E$12*$E$13-(D53*D28+E53*E28+F53*F28+G53*G28+H53*H28+I53*I28)/10^4</f>
        <v>263.03583856515525</v>
      </c>
      <c r="F56" s="35"/>
      <c r="G56" s="35"/>
      <c r="H56" s="35"/>
      <c r="I56" s="35"/>
      <c r="L56" t="s">
        <v>92</v>
      </c>
      <c r="M56">
        <v>105.8</v>
      </c>
    </row>
  </sheetData>
  <mergeCells count="11">
    <mergeCell ref="L55:M55"/>
    <mergeCell ref="A1:I1"/>
    <mergeCell ref="B34:C34"/>
    <mergeCell ref="B35:C35"/>
    <mergeCell ref="B38:C38"/>
    <mergeCell ref="L6:R6"/>
    <mergeCell ref="L7:L13"/>
    <mergeCell ref="L14:M14"/>
    <mergeCell ref="L16:M16"/>
    <mergeCell ref="L17:M17"/>
    <mergeCell ref="L18:M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tabSelected="1" topLeftCell="A24" workbookViewId="0">
      <selection activeCell="E27" sqref="E27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4" width="12.7109375" bestFit="1" customWidth="1"/>
    <col min="5" max="9" width="11.5703125" bestFit="1" customWidth="1"/>
    <col min="11" max="12" width="10.5703125" bestFit="1" customWidth="1"/>
    <col min="13" max="14" width="11.5703125" bestFit="1" customWidth="1"/>
  </cols>
  <sheetData>
    <row r="1" spans="1:9" ht="61.5">
      <c r="A1" s="54" t="s">
        <v>68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250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1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78.150000000000006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25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75.150000000000006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513</v>
      </c>
      <c r="G21" t="s">
        <v>30</v>
      </c>
      <c r="H21">
        <f>F21*20</f>
        <v>10260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513</v>
      </c>
      <c r="G22" t="s">
        <v>30</v>
      </c>
      <c r="H22">
        <f>F22*(E16-B22)</f>
        <v>28291.950000000004</v>
      </c>
    </row>
    <row r="23" spans="1:13" ht="20.100000000000001" customHeight="1" thickTop="1">
      <c r="H23">
        <f>SUM(H21:H22)+E9*10000</f>
        <v>48551.950000000004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36</v>
      </c>
      <c r="E26" s="19">
        <v>48</v>
      </c>
      <c r="F26" s="19">
        <v>60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21204000</v>
      </c>
      <c r="E27" s="22">
        <f t="shared" si="0"/>
        <v>29412000</v>
      </c>
      <c r="F27" s="22">
        <f t="shared" si="0"/>
        <v>37620000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60</v>
      </c>
      <c r="C28" s="14"/>
      <c r="D28" s="22">
        <f>IF(D26&lt;$B$5,$F$22*($E$16-$B$5)/12*(3*($E$16+$B$5)*D26^2-2*D26^3),$F$22*($E$16-$B$5)/24*(6*($E$16+$B$5)*D26^2-4*D26^3+(D26-$B$5)^4/($E$16-$B$5)))</f>
        <v>653603838.57000029</v>
      </c>
      <c r="E28" s="22">
        <f t="shared" ref="E28:I28" si="1">IF(E26&lt;$B$5,$F$22*($E$16-$B$5)/12*(3*($E$16+$B$5)*E26^2-2*E26^3),$F$22*($E$16-$B$5)/24*(6*($E$16+$B$5)*E26^2-4*E26^3+(E26-$B$5)^4/($E$16-$B$5)))</f>
        <v>1042240978.0800003</v>
      </c>
      <c r="F28" s="22">
        <f t="shared" si="1"/>
        <v>1458990938.2500005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3596400000</v>
      </c>
      <c r="E29" s="22">
        <f t="shared" ref="E29:I29" si="2">$E$8*10^4/2*E26^2</f>
        <v>6393600000</v>
      </c>
      <c r="F29" s="22">
        <f t="shared" si="2"/>
        <v>9990000000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428652000.00000006</v>
      </c>
      <c r="E30" s="22">
        <f t="shared" ref="E30:I30" si="3">IF($E$9=0,0,10^4*$E$9*$E$10^3/3*(1-3*($E$10-E26)/(2*$E$10)+($E$10-E26)^3/(2*$E$10^3)))</f>
        <v>715968000</v>
      </c>
      <c r="F30" s="22">
        <f t="shared" si="3"/>
        <v>1046700000.0000002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4699859838.5700006</v>
      </c>
      <c r="E32" s="22">
        <f>SUM(E27:E31)</f>
        <v>8181220978.0799999</v>
      </c>
      <c r="F32" s="22">
        <f t="shared" ref="F32:I32" si="5">SUM(F27:F31)</f>
        <v>12533310938.25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0.33886784270269099</v>
      </c>
      <c r="E33" s="29">
        <f t="shared" ref="E33:I33" si="6">E32/$O$34</f>
        <v>0.58987986849401386</v>
      </c>
      <c r="F33" s="29">
        <f t="shared" si="6"/>
        <v>0.90367291482017242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27" t="s">
        <v>55</v>
      </c>
      <c r="N33" s="27" t="s">
        <v>56</v>
      </c>
      <c r="O33" s="27" t="s">
        <v>54</v>
      </c>
    </row>
    <row r="34" spans="1:15" ht="20.100000000000001" customHeight="1" outlineLevel="1">
      <c r="M34" s="30">
        <v>206000000000</v>
      </c>
      <c r="N34" s="27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27"/>
      <c r="N35" s="27"/>
      <c r="O35" s="27"/>
    </row>
    <row r="36" spans="1:15" ht="20.100000000000001" customHeight="1" outlineLevel="1">
      <c r="B36" s="27">
        <v>1</v>
      </c>
      <c r="C36" s="27" t="s">
        <v>50</v>
      </c>
      <c r="D36" s="23">
        <f>IF($D$26=0,0,IF(D26&lt;$D$26,1*$D$26^3/3*(1-3*($D$26-D26)/2/$D$26+($D$26-D26)^3/2/$D$26^3),1*$D$26^3/3*(1+3*(D26-$D$26)/2/$D$26)))</f>
        <v>15552</v>
      </c>
      <c r="E36" s="23">
        <f t="shared" ref="E36:I36" si="7">IF($D$26=0,0,IF(E26&lt;$D$26,1*$D$26^3/3*(1-3*($D$26-E26)/2/$D$26+($D$26-E26)^3/2/$D$26^3),1*$D$26^3/3*(1+3*(E26-$D$26)/2/$D$26)))</f>
        <v>23328</v>
      </c>
      <c r="F36" s="23">
        <f t="shared" si="7"/>
        <v>31104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1.1213255013400027E-6</v>
      </c>
      <c r="N36" s="31">
        <f>E36/$O$34</f>
        <v>1.681988252010004E-6</v>
      </c>
      <c r="O36" s="27"/>
    </row>
    <row r="37" spans="1:15" ht="20.100000000000001" customHeight="1" outlineLevel="1">
      <c r="B37" s="27">
        <v>2</v>
      </c>
      <c r="C37" s="27" t="s">
        <v>50</v>
      </c>
      <c r="D37" s="23">
        <f>IF($E$26=0,0,IF(D26&lt;$E$26,1*$E$26^3/3*(1-3*($E$26-D26)/2/$E$26+($E$26-D26)^3/2/$E$26^3),1*$E$26^3/3*(1+3*(D26-$E$26)/2/$E$26)))</f>
        <v>23328</v>
      </c>
      <c r="E37" s="23">
        <f t="shared" ref="E37:I37" si="8">IF($E$26=0,0,IF(E26&lt;$E$26,1*$E$26^3/3*(1-3*($E$26-E26)/2/$E$26+($E$26-E26)^3/2/$E$26^3),1*$E$26^3/3*(1+3*(E26-$E$26)/2/$E$26)))</f>
        <v>36864</v>
      </c>
      <c r="F37" s="23">
        <f t="shared" si="8"/>
        <v>50688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1.681988252010004E-6</v>
      </c>
      <c r="N37" s="31">
        <f>E37/$O$34</f>
        <v>2.6579567439170433E-6</v>
      </c>
      <c r="O37" s="27"/>
    </row>
    <row r="38" spans="1:15" ht="20.100000000000001" customHeight="1" outlineLevel="1">
      <c r="B38" s="27">
        <v>3</v>
      </c>
      <c r="C38" s="27" t="s">
        <v>50</v>
      </c>
      <c r="D38" s="23">
        <f>IF($F$26=0,0,IF(D26&lt;$F$26,1*$F$26^3/3*(1-3*($F$26-D26)/2/$F$26+($F$26-D26)^3/2/$F$26^3),1*$F$26^3/3*(1+3*(D26-$F$26)/2/$F$26)))</f>
        <v>31104.000000000004</v>
      </c>
      <c r="E38" s="23">
        <f t="shared" ref="E38:I38" si="9">IF($F$26=0,0,IF(E26&lt;$F$26,1*$F$26^3/3*(1-3*($F$26-E26)/2/$F$26+($F$26-E26)^3/2/$F$26^3),1*$F$26^3/3*(1+3*(E26-$F$26)/2/$F$26)))</f>
        <v>50688</v>
      </c>
      <c r="F38" s="23">
        <f t="shared" si="9"/>
        <v>72000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27">
        <v>4</v>
      </c>
      <c r="C39" s="27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27">
        <v>5</v>
      </c>
      <c r="C40" s="27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27">
        <v>6</v>
      </c>
      <c r="C41" s="27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17073842293.730698</v>
      </c>
      <c r="E44" s="22">
        <f t="shared" ref="E44:I44" si="13">$D$50*E36+$E$50*E37+$F$50*E38+$G$50*E39+$H$50*E40+$I$50*E41-E32</f>
        <v>27614252561.823814</v>
      </c>
      <c r="F44" s="22">
        <f t="shared" si="13"/>
        <v>38462891925.493546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170738.42293730698</v>
      </c>
      <c r="E45" s="22">
        <f t="shared" ref="E45:H45" si="14">E44/$D$46</f>
        <v>276142.52561823814</v>
      </c>
      <c r="F45" s="22">
        <f t="shared" si="14"/>
        <v>384628.91925493546</v>
      </c>
      <c r="G45" s="22">
        <f t="shared" si="14"/>
        <v>0</v>
      </c>
      <c r="H45" s="22">
        <f t="shared" si="14"/>
        <v>0</v>
      </c>
      <c r="I45" s="22">
        <f t="shared" ref="I45" si="15">I44/$D$49</f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27" t="s">
        <v>32</v>
      </c>
      <c r="D49" s="27">
        <v>1</v>
      </c>
      <c r="E49" s="27">
        <v>2</v>
      </c>
      <c r="F49" s="27">
        <v>3</v>
      </c>
      <c r="G49" s="27">
        <v>4</v>
      </c>
      <c r="H49" s="27">
        <v>5</v>
      </c>
      <c r="I49" s="27">
        <v>6</v>
      </c>
    </row>
    <row r="50" spans="3:9" ht="20.100000000000001" customHeight="1">
      <c r="C50" s="27" t="s">
        <v>63</v>
      </c>
      <c r="D50" s="32">
        <v>-337827.97311580979</v>
      </c>
      <c r="E50" s="32">
        <v>320015.44741727988</v>
      </c>
      <c r="F50" s="32">
        <v>628931.40473403619</v>
      </c>
      <c r="G50" s="32">
        <v>1</v>
      </c>
      <c r="H50" s="32">
        <v>1</v>
      </c>
      <c r="I50" s="32">
        <v>1</v>
      </c>
    </row>
    <row r="52" spans="3:9">
      <c r="C52" s="36" t="s">
        <v>64</v>
      </c>
      <c r="D52" s="33"/>
      <c r="E52" s="27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-3315.4729206652455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topLeftCell="A28" workbookViewId="0">
      <selection activeCell="D44" sqref="D44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9" width="11.5703125" bestFit="1" customWidth="1"/>
    <col min="13" max="14" width="11.5703125" bestFit="1" customWidth="1"/>
  </cols>
  <sheetData>
    <row r="1" spans="1:9" ht="61.5">
      <c r="A1" s="54" t="s">
        <v>69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1100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-463.91699999999992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10.648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E16+5.7</f>
        <v>119.85000000000001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5.7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20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21.36*1.2</f>
        <v>25.631999999999998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114.15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3597.4736842105258</v>
      </c>
      <c r="G21" t="s">
        <v>30</v>
      </c>
      <c r="H21">
        <f>F21*20</f>
        <v>71949.473684210519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4946.5263157894733</v>
      </c>
      <c r="G22" t="s">
        <v>30</v>
      </c>
      <c r="H22">
        <f>F22*(E16-B22)</f>
        <v>465715.45263157896</v>
      </c>
    </row>
    <row r="23" spans="1:13" ht="20.100000000000001" customHeight="1" thickTop="1">
      <c r="H23">
        <f>SUM(H21:H22)+E9*10000</f>
        <v>644144.92631578946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36</v>
      </c>
      <c r="E26" s="19">
        <v>48</v>
      </c>
      <c r="F26" s="19">
        <v>60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148695578.94736841</v>
      </c>
      <c r="E27" s="22">
        <f t="shared" si="0"/>
        <v>206255157.89473683</v>
      </c>
      <c r="F27" s="22">
        <f t="shared" si="0"/>
        <v>263814736.84210524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42</v>
      </c>
      <c r="C28" s="14"/>
      <c r="D28" s="22">
        <f>IF(D26&lt;$B$5,$F$22*($E$16-$B$5)/12*(3*($E$16+$B$5)*D26^2-2*D26^3),$F$22*($E$16-$B$5)/24*(6*($E$16+$B$5)*D26^2-4*D26^3+(D26-$B$5)^4/($E$16-$B$5)))</f>
        <v>16634239817.313684</v>
      </c>
      <c r="E28" s="22">
        <f t="shared" ref="E28:I28" si="1">IF(E26&lt;$B$5,$F$22*($E$16-$B$5)/12*(3*($E$16+$B$5)*E26^2-2*E26^3),$F$22*($E$16-$B$5)/24*(6*($E$16+$B$5)*E26^2-4*E26^3+(E26-$B$5)^4/($E$16-$B$5)))</f>
        <v>27528635924.749474</v>
      </c>
      <c r="F28" s="22">
        <f t="shared" si="1"/>
        <v>39990028352.421059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-3006182159.9999995</v>
      </c>
      <c r="E29" s="22">
        <f t="shared" ref="E29:I29" si="2">$E$8*10^4/2*E26^2</f>
        <v>-5344323839.999999</v>
      </c>
      <c r="F29" s="22">
        <f t="shared" si="2"/>
        <v>-8350505999.9999981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7441546464.0000019</v>
      </c>
      <c r="E30" s="22">
        <f t="shared" ref="E30:I30" si="3">IF($E$9=0,0,10^4*$E$9*$E$10^3/3*(1-3*($E$10-E26)/(2*$E$10)+($E$10-E26)^3/(2*$E$10^3)))</f>
        <v>12738756096.000008</v>
      </c>
      <c r="F30" s="22">
        <f t="shared" si="3"/>
        <v>19137650400.000004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21218299700.261055</v>
      </c>
      <c r="E32" s="22">
        <f>SUM(E27:E31)</f>
        <v>35129323338.644218</v>
      </c>
      <c r="F32" s="22">
        <f t="shared" ref="F32:I32" si="5">SUM(F27:F31)</f>
        <v>51040987489.263168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1.5298752925011354</v>
      </c>
      <c r="E33" s="29">
        <f t="shared" ref="E33:I33" si="6">E32/$O$34</f>
        <v>2.5328836229706972</v>
      </c>
      <c r="F33" s="29">
        <f t="shared" si="6"/>
        <v>3.6801415178296573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38" t="s">
        <v>55</v>
      </c>
      <c r="N33" s="38" t="s">
        <v>56</v>
      </c>
      <c r="O33" s="38" t="s">
        <v>54</v>
      </c>
    </row>
    <row r="34" spans="1:15" ht="20.100000000000001" customHeight="1" outlineLevel="1">
      <c r="M34" s="30">
        <v>206000000000</v>
      </c>
      <c r="N34" s="38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38"/>
      <c r="N35" s="38"/>
      <c r="O35" s="38"/>
    </row>
    <row r="36" spans="1:15" ht="20.100000000000001" customHeight="1" outlineLevel="1">
      <c r="B36" s="38">
        <v>1</v>
      </c>
      <c r="C36" s="38" t="s">
        <v>50</v>
      </c>
      <c r="D36" s="23">
        <f>IF($D$26=0,0,IF(D26&lt;$D$26,1*$D$26^3/3*(1-3*($D$26-D26)/2/$D$26+($D$26-D26)^3/2/$D$26^3),1*$D$26^3/3*(1+3*(D26-$D$26)/2/$D$26)))</f>
        <v>15552</v>
      </c>
      <c r="E36" s="23">
        <f t="shared" ref="E36:I36" si="7">IF($D$26=0,0,IF(E26&lt;$D$26,1*$D$26^3/3*(1-3*($D$26-E26)/2/$D$26+($D$26-E26)^3/2/$D$26^3),1*$D$26^3/3*(1+3*(E26-$D$26)/2/$D$26)))</f>
        <v>23328</v>
      </c>
      <c r="F36" s="23">
        <f t="shared" si="7"/>
        <v>31104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1.1213255013400027E-6</v>
      </c>
      <c r="N36" s="31">
        <f>E36/$O$34</f>
        <v>1.681988252010004E-6</v>
      </c>
      <c r="O36" s="38"/>
    </row>
    <row r="37" spans="1:15" ht="20.100000000000001" customHeight="1" outlineLevel="1">
      <c r="B37" s="38">
        <v>2</v>
      </c>
      <c r="C37" s="38" t="s">
        <v>50</v>
      </c>
      <c r="D37" s="23">
        <f>IF($E$26=0,0,IF(D26&lt;$E$26,1*$E$26^3/3*(1-3*($E$26-D26)/2/$E$26+($E$26-D26)^3/2/$E$26^3),1*$E$26^3/3*(1+3*(D26-$E$26)/2/$E$26)))</f>
        <v>23328</v>
      </c>
      <c r="E37" s="23">
        <f t="shared" ref="E37:I37" si="8">IF($E$26=0,0,IF(E26&lt;$E$26,1*$E$26^3/3*(1-3*($E$26-E26)/2/$E$26+($E$26-E26)^3/2/$E$26^3),1*$E$26^3/3*(1+3*(E26-$E$26)/2/$E$26)))</f>
        <v>36864</v>
      </c>
      <c r="F37" s="23">
        <f t="shared" si="8"/>
        <v>50688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1.681988252010004E-6</v>
      </c>
      <c r="N37" s="31">
        <f>E37/$O$34</f>
        <v>2.6579567439170433E-6</v>
      </c>
      <c r="O37" s="38"/>
    </row>
    <row r="38" spans="1:15" ht="20.100000000000001" customHeight="1" outlineLevel="1">
      <c r="B38" s="38">
        <v>3</v>
      </c>
      <c r="C38" s="38" t="s">
        <v>50</v>
      </c>
      <c r="D38" s="23">
        <f>IF($F$26=0,0,IF(D26&lt;$F$26,1*$F$26^3/3*(1-3*($F$26-D26)/2/$F$26+($F$26-D26)^3/2/$F$26^3),1*$F$26^3/3*(1+3*(D26-$F$26)/2/$F$26)))</f>
        <v>31104.000000000004</v>
      </c>
      <c r="E38" s="23">
        <f t="shared" ref="E38:I38" si="9">IF($F$26=0,0,IF(E26&lt;$F$26,1*$F$26^3/3*(1-3*($F$26-E26)/2/$F$26+($F$26-E26)^3/2/$F$26^3),1*$F$26^3/3*(1+3*(E26-$F$26)/2/$F$26)))</f>
        <v>50688</v>
      </c>
      <c r="F38" s="23">
        <f t="shared" si="9"/>
        <v>72000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38">
        <v>4</v>
      </c>
      <c r="C39" s="38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38">
        <v>5</v>
      </c>
      <c r="C40" s="38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38">
        <v>6</v>
      </c>
      <c r="C41" s="38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-10479938100.311375</v>
      </c>
      <c r="E44" s="22">
        <f t="shared" ref="E44:I44" si="13">$D$50*E36+$E$50*E37+$F$50*E38+$G$50*E39+$H$50*E40+$I$50*E41-E32</f>
        <v>-18324620659.098717</v>
      </c>
      <c r="F44" s="22">
        <f t="shared" si="13"/>
        <v>-28062688302.487846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-104799.38100311374</v>
      </c>
      <c r="E45" s="22">
        <f t="shared" ref="E45:I45" si="14">E44/$D$46</f>
        <v>-183246.20659098716</v>
      </c>
      <c r="F45" s="22">
        <f t="shared" si="14"/>
        <v>-280626.88302487845</v>
      </c>
      <c r="G45" s="22">
        <f t="shared" si="14"/>
        <v>0</v>
      </c>
      <c r="H45" s="22">
        <f t="shared" si="14"/>
        <v>0</v>
      </c>
      <c r="I45" s="22">
        <f t="shared" si="14"/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38" t="s">
        <v>32</v>
      </c>
      <c r="D49" s="38">
        <v>1</v>
      </c>
      <c r="E49" s="38">
        <v>2</v>
      </c>
      <c r="F49" s="38">
        <v>3</v>
      </c>
      <c r="G49" s="38">
        <v>4</v>
      </c>
      <c r="H49" s="38">
        <v>5</v>
      </c>
      <c r="I49" s="38">
        <v>6</v>
      </c>
    </row>
    <row r="50" spans="3:9" ht="20.100000000000001" customHeight="1">
      <c r="C50" s="38" t="s">
        <v>63</v>
      </c>
      <c r="D50" s="32">
        <v>131859.05102854338</v>
      </c>
      <c r="E50" s="32">
        <v>372414.67928471247</v>
      </c>
      <c r="F50" s="32">
        <v>0</v>
      </c>
      <c r="G50" s="32">
        <v>0</v>
      </c>
      <c r="H50" s="32">
        <v>0</v>
      </c>
      <c r="I50" s="32">
        <v>0</v>
      </c>
    </row>
    <row r="52" spans="3:9">
      <c r="C52" s="36" t="s">
        <v>64</v>
      </c>
      <c r="D52" s="33"/>
      <c r="E52" s="38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1745.6986279411508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（工作状态）-80116(high)100m以上</vt:lpstr>
      <vt:lpstr>（非工作状态）-80116(high)100m以上 </vt:lpstr>
      <vt:lpstr>(工作状态)-80116(high)100m以下</vt:lpstr>
      <vt:lpstr>(非工作状态)-80116(high)100m以下 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2018-05-18T09:26:54Z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产品型号">
    <vt:lpwstr>
    </vt:lpwstr>
  </property>
  <property fmtid="{D5CDD505-2E9C-101B-9397-08002B2CF9AE}" pid="3" name="创建日期">
    <vt:lpwstr>2013-11-27</vt:lpwstr>
  </property>
  <property fmtid="{D5CDD505-2E9C-101B-9397-08002B2CF9AE}" pid="4" name="文档编号">
    <vt:lpwstr>YFWD1311-1578</vt:lpwstr>
  </property>
</Properties>
</file>