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!Joint_Zhao_Wei\Amazon\Data\"/>
    </mc:Choice>
  </mc:AlternateContent>
  <xr:revisionPtr revIDLastSave="0" documentId="13_ncr:1_{3C00ACF5-8B6E-413A-9BBD-BB1342AA6BF2}" xr6:coauthVersionLast="46" xr6:coauthVersionMax="46" xr10:uidLastSave="{00000000-0000-0000-0000-000000000000}"/>
  <bookViews>
    <workbookView xWindow="28680" yWindow="-120" windowWidth="29040" windowHeight="15840" activeTab="1" xr2:uid="{E52A90FB-D5BE-2945-92D7-1BF202B13013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2" l="1"/>
  <c r="F54" i="2"/>
  <c r="G53" i="2"/>
  <c r="F53" i="2"/>
  <c r="G51" i="2"/>
  <c r="F51" i="2"/>
  <c r="G50" i="2"/>
  <c r="F50" i="2"/>
  <c r="G48" i="2"/>
  <c r="F48" i="2"/>
  <c r="G47" i="2"/>
  <c r="F47" i="2"/>
  <c r="G45" i="2"/>
  <c r="F45" i="2"/>
  <c r="G44" i="2"/>
  <c r="F44" i="2"/>
  <c r="G42" i="2"/>
  <c r="F42" i="2"/>
  <c r="G41" i="2"/>
  <c r="F41" i="2"/>
  <c r="G39" i="2"/>
  <c r="F39" i="2"/>
  <c r="G38" i="2"/>
  <c r="F38" i="2"/>
  <c r="G36" i="2"/>
  <c r="F36" i="2"/>
  <c r="G35" i="2"/>
  <c r="F35" i="2"/>
  <c r="G33" i="2"/>
  <c r="F33" i="2"/>
  <c r="G32" i="2"/>
  <c r="F32" i="2"/>
  <c r="G30" i="2"/>
  <c r="F30" i="2"/>
  <c r="G29" i="2"/>
  <c r="F29" i="2"/>
  <c r="G27" i="2"/>
  <c r="F27" i="2"/>
  <c r="G26" i="2"/>
  <c r="F26" i="2"/>
  <c r="G24" i="2"/>
  <c r="F24" i="2"/>
  <c r="G23" i="2"/>
  <c r="F23" i="2"/>
  <c r="G21" i="2"/>
  <c r="F21" i="2"/>
  <c r="G20" i="2"/>
  <c r="F20" i="2"/>
  <c r="G18" i="2"/>
  <c r="F18" i="2"/>
  <c r="G17" i="2"/>
  <c r="F17" i="2"/>
  <c r="G15" i="2"/>
  <c r="F15" i="2"/>
  <c r="G14" i="2"/>
  <c r="F14" i="2"/>
  <c r="G12" i="2"/>
  <c r="F12" i="2"/>
  <c r="G11" i="2"/>
  <c r="F11" i="2"/>
  <c r="G9" i="2"/>
  <c r="F9" i="2"/>
  <c r="G8" i="2"/>
  <c r="F8" i="2"/>
  <c r="G6" i="2"/>
  <c r="F6" i="2"/>
  <c r="G5" i="2"/>
  <c r="F5" i="2"/>
  <c r="G2" i="2"/>
  <c r="F2" i="2"/>
  <c r="E54" i="2"/>
  <c r="D54" i="2"/>
  <c r="E53" i="2"/>
  <c r="D53" i="2"/>
  <c r="E51" i="2"/>
  <c r="D51" i="2"/>
  <c r="E50" i="2"/>
  <c r="D50" i="2"/>
  <c r="E48" i="2"/>
  <c r="D48" i="2"/>
  <c r="E47" i="2"/>
  <c r="D47" i="2"/>
  <c r="E45" i="2"/>
  <c r="D45" i="2"/>
  <c r="E44" i="2"/>
  <c r="D44" i="2"/>
  <c r="E42" i="2"/>
  <c r="D42" i="2"/>
  <c r="E41" i="2"/>
  <c r="D41" i="2"/>
  <c r="E39" i="2"/>
  <c r="D39" i="2"/>
  <c r="E38" i="2"/>
  <c r="D38" i="2"/>
  <c r="E36" i="2"/>
  <c r="D36" i="2"/>
  <c r="E35" i="2"/>
  <c r="D35" i="2"/>
  <c r="E33" i="2"/>
  <c r="D33" i="2"/>
  <c r="E32" i="2"/>
  <c r="D32" i="2"/>
  <c r="E30" i="2"/>
  <c r="D30" i="2"/>
  <c r="E29" i="2"/>
  <c r="D29" i="2"/>
  <c r="E27" i="2"/>
  <c r="D27" i="2"/>
  <c r="E26" i="2"/>
  <c r="D26" i="2"/>
  <c r="E24" i="2"/>
  <c r="D24" i="2"/>
  <c r="E23" i="2"/>
  <c r="D23" i="2"/>
  <c r="E21" i="2"/>
  <c r="D21" i="2"/>
  <c r="E20" i="2"/>
  <c r="D20" i="2"/>
  <c r="E18" i="2"/>
  <c r="D18" i="2"/>
  <c r="E17" i="2"/>
  <c r="D17" i="2"/>
  <c r="E15" i="2"/>
  <c r="D15" i="2"/>
  <c r="E14" i="2"/>
  <c r="D14" i="2"/>
  <c r="E12" i="2"/>
  <c r="D12" i="2"/>
  <c r="E11" i="2"/>
  <c r="D11" i="2"/>
  <c r="E9" i="2"/>
  <c r="D9" i="2"/>
  <c r="E8" i="2"/>
  <c r="D8" i="2"/>
  <c r="E6" i="2"/>
  <c r="D6" i="2"/>
  <c r="E5" i="2"/>
  <c r="D5" i="2"/>
  <c r="E2" i="2"/>
  <c r="D2" i="2"/>
  <c r="A54" i="2"/>
  <c r="A53" i="2"/>
  <c r="A51" i="2"/>
  <c r="A50" i="2"/>
  <c r="A48" i="2"/>
  <c r="A47" i="2"/>
  <c r="A45" i="2"/>
  <c r="A44" i="2"/>
  <c r="A42" i="2"/>
  <c r="A41" i="2"/>
  <c r="A39" i="2"/>
  <c r="A38" i="2"/>
  <c r="A36" i="2"/>
  <c r="A35" i="2"/>
  <c r="A33" i="2"/>
  <c r="A32" i="2"/>
  <c r="A30" i="2"/>
  <c r="A29" i="2"/>
  <c r="A27" i="2"/>
  <c r="A26" i="2"/>
  <c r="A24" i="2"/>
  <c r="A23" i="2"/>
  <c r="A21" i="2"/>
  <c r="A20" i="2"/>
  <c r="A18" i="2"/>
  <c r="A17" i="2"/>
  <c r="A15" i="2"/>
  <c r="A14" i="2"/>
  <c r="A12" i="2"/>
  <c r="A11" i="2"/>
  <c r="A9" i="2"/>
  <c r="A8" i="2"/>
  <c r="A6" i="2"/>
  <c r="A5" i="2"/>
  <c r="A3" i="2"/>
  <c r="A2" i="2"/>
  <c r="C54" i="2"/>
  <c r="B54" i="2"/>
  <c r="C53" i="2"/>
  <c r="B53" i="2"/>
  <c r="C51" i="2"/>
  <c r="B51" i="2"/>
  <c r="C50" i="2"/>
  <c r="B50" i="2"/>
  <c r="C48" i="2"/>
  <c r="B48" i="2"/>
  <c r="C47" i="2"/>
  <c r="B47" i="2"/>
  <c r="C45" i="2"/>
  <c r="B45" i="2"/>
  <c r="C44" i="2"/>
  <c r="B44" i="2"/>
  <c r="C42" i="2"/>
  <c r="B42" i="2"/>
  <c r="C41" i="2"/>
  <c r="B41" i="2"/>
  <c r="C39" i="2"/>
  <c r="B39" i="2"/>
  <c r="C38" i="2"/>
  <c r="B38" i="2"/>
  <c r="C36" i="2"/>
  <c r="B36" i="2"/>
  <c r="C35" i="2"/>
  <c r="B35" i="2"/>
  <c r="C33" i="2"/>
  <c r="B33" i="2"/>
  <c r="C32" i="2"/>
  <c r="B32" i="2"/>
  <c r="C30" i="2"/>
  <c r="B30" i="2"/>
  <c r="C29" i="2"/>
  <c r="B29" i="2"/>
  <c r="C27" i="2"/>
  <c r="B27" i="2"/>
  <c r="C26" i="2"/>
  <c r="B26" i="2"/>
  <c r="C24" i="2"/>
  <c r="B24" i="2"/>
  <c r="C23" i="2"/>
  <c r="B23" i="2"/>
  <c r="C21" i="2"/>
  <c r="B21" i="2"/>
  <c r="C20" i="2"/>
  <c r="B20" i="2"/>
  <c r="C18" i="2"/>
  <c r="B18" i="2"/>
  <c r="C17" i="2"/>
  <c r="B17" i="2"/>
  <c r="C15" i="2"/>
  <c r="B15" i="2"/>
  <c r="C14" i="2"/>
  <c r="B14" i="2"/>
  <c r="C12" i="2"/>
  <c r="B12" i="2"/>
  <c r="C11" i="2"/>
  <c r="B11" i="2"/>
  <c r="C9" i="2"/>
  <c r="B9" i="2"/>
  <c r="C8" i="2"/>
  <c r="B8" i="2"/>
  <c r="C6" i="2"/>
  <c r="B6" i="2"/>
  <c r="C5" i="2"/>
  <c r="B5" i="2"/>
  <c r="C2" i="2"/>
  <c r="B2" i="2"/>
  <c r="R6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3" i="1"/>
</calcChain>
</file>

<file path=xl/sharedStrings.xml><?xml version="1.0" encoding="utf-8"?>
<sst xmlns="http://schemas.openxmlformats.org/spreadsheetml/2006/main" count="121" uniqueCount="111">
  <si>
    <t>Apparel</t>
  </si>
  <si>
    <t>Automotive</t>
  </si>
  <si>
    <t>Baby</t>
  </si>
  <si>
    <t>Beauty</t>
  </si>
  <si>
    <t>Books</t>
  </si>
  <si>
    <t>Camera</t>
  </si>
  <si>
    <t>Digital_Ebook_Purchase</t>
  </si>
  <si>
    <t>Digital_Music_Purchase</t>
  </si>
  <si>
    <t>Digital_Software</t>
  </si>
  <si>
    <t>Digital_Video_Download</t>
  </si>
  <si>
    <t>Digital_Video_Games</t>
  </si>
  <si>
    <t>Electronics</t>
  </si>
  <si>
    <t>Furniture</t>
  </si>
  <si>
    <t>Gift_Card</t>
  </si>
  <si>
    <t>Grocery</t>
  </si>
  <si>
    <t>Health_&amp;_Personal_Care</t>
  </si>
  <si>
    <t>Home</t>
  </si>
  <si>
    <t>Home_Entertainment</t>
  </si>
  <si>
    <t>Home_Improvement</t>
  </si>
  <si>
    <t>Jewelry</t>
  </si>
  <si>
    <t>Kitchen</t>
  </si>
  <si>
    <t>Lawn_and_Garden</t>
  </si>
  <si>
    <t>Luggage</t>
  </si>
  <si>
    <t>Major_Appliances</t>
  </si>
  <si>
    <t>Mobile_Apps</t>
  </si>
  <si>
    <t>Mobile_Electronics</t>
  </si>
  <si>
    <t>Music</t>
  </si>
  <si>
    <t>Musical_Instruments</t>
  </si>
  <si>
    <t>Office_Products</t>
  </si>
  <si>
    <t>Outdoors</t>
  </si>
  <si>
    <t>PC</t>
  </si>
  <si>
    <t>Personal_Care_Appliances</t>
  </si>
  <si>
    <t>Pet_Products</t>
  </si>
  <si>
    <t>Shoes</t>
  </si>
  <si>
    <t>Software</t>
  </si>
  <si>
    <t>Sports</t>
  </si>
  <si>
    <t>Tools</t>
  </si>
  <si>
    <t>Toys</t>
  </si>
  <si>
    <t>Video</t>
  </si>
  <si>
    <t>Video_DVD</t>
  </si>
  <si>
    <t>Video_Games</t>
  </si>
  <si>
    <t>Watches</t>
  </si>
  <si>
    <t>Wireless</t>
  </si>
  <si>
    <t>(0.07)</t>
  </si>
  <si>
    <t>(17)</t>
  </si>
  <si>
    <t>(60)</t>
  </si>
  <si>
    <t>(103)</t>
  </si>
  <si>
    <t>(19)</t>
  </si>
  <si>
    <t>(2.11)</t>
  </si>
  <si>
    <t>(62)</t>
  </si>
  <si>
    <t>(105)</t>
  </si>
  <si>
    <t>std_star_rating</t>
  </si>
  <si>
    <t>skew_star_rating</t>
  </si>
  <si>
    <t>9.162**</t>
  </si>
  <si>
    <t>(2.10)</t>
  </si>
  <si>
    <t>0.064***</t>
  </si>
  <si>
    <t>(2.77)</t>
  </si>
  <si>
    <t>0.023*</t>
  </si>
  <si>
    <t>(1.80)</t>
  </si>
  <si>
    <t>3.436***</t>
  </si>
  <si>
    <t>(35.04)</t>
  </si>
  <si>
    <t>3573.000</t>
  </si>
  <si>
    <t>0.242</t>
  </si>
  <si>
    <t>-4.063</t>
  </si>
  <si>
    <t>(-1.35)</t>
  </si>
  <si>
    <t>-0.087***</t>
  </si>
  <si>
    <t>(-5.06)</t>
  </si>
  <si>
    <t>0.033***</t>
  </si>
  <si>
    <t>(3.46)</t>
  </si>
  <si>
    <t>1.615***</t>
  </si>
  <si>
    <t>(20.80)</t>
  </si>
  <si>
    <t>3453.000</t>
  </si>
  <si>
    <t>0.244</t>
  </si>
  <si>
    <t>-1.781</t>
  </si>
  <si>
    <t>(-0.45)</t>
  </si>
  <si>
    <t>-0.316***</t>
  </si>
  <si>
    <t>(-13.70)</t>
  </si>
  <si>
    <t>0.001</t>
  </si>
  <si>
    <t>0.580***</t>
  </si>
  <si>
    <t>(5.37)</t>
  </si>
  <si>
    <t>3332.000</t>
  </si>
  <si>
    <t>0.465</t>
  </si>
  <si>
    <t>12.051*</t>
  </si>
  <si>
    <t>(1.69)</t>
  </si>
  <si>
    <t>0.205***</t>
  </si>
  <si>
    <t>(6.29)</t>
  </si>
  <si>
    <t>0.005</t>
  </si>
  <si>
    <t>(0.29)</t>
  </si>
  <si>
    <t>3.123***</t>
  </si>
  <si>
    <t>(29.96)</t>
  </si>
  <si>
    <t>3557.000</t>
  </si>
  <si>
    <t>0.095</t>
  </si>
  <si>
    <t>-9.995**</t>
  </si>
  <si>
    <t>(-1.97)</t>
  </si>
  <si>
    <t>0.003</t>
  </si>
  <si>
    <t>(0.12)</t>
  </si>
  <si>
    <t>0.029**</t>
  </si>
  <si>
    <t>(2.07)</t>
  </si>
  <si>
    <t>1.178***</t>
  </si>
  <si>
    <t>(11.97)</t>
  </si>
  <si>
    <t>3267.000</t>
  </si>
  <si>
    <t>0.105</t>
  </si>
  <si>
    <t>-1.248</t>
  </si>
  <si>
    <t>(-0.25)</t>
  </si>
  <si>
    <t>-0.427***</t>
  </si>
  <si>
    <t>(-15.06)</t>
  </si>
  <si>
    <t>0.033**</t>
  </si>
  <si>
    <t>0.669***</t>
  </si>
  <si>
    <t>(5.69)</t>
  </si>
  <si>
    <t>2907.000</t>
  </si>
  <si>
    <t>0.452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</si>
</sst>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A447-23FF-4A4C-90C9-3C91A7509747}">
  <dimension ref="A2:AR54"/>
  <sheetViews>
    <sheetView topLeftCell="Q1" workbookViewId="0">
      <selection activeCell="T1" activeCellId="1" sqref="R1:R1048576 T1:T1048576"/>
    </sheetView>
  </sheetViews>
  <sheetFormatPr defaultColWidth="11" defaultRowHeight="15.75" x14ac:dyDescent="0.25"/>
  <cols>
    <col min="1" max="1" width="11.875" bestFit="1" customWidth="1"/>
  </cols>
  <sheetData>
    <row r="2" spans="1:44" x14ac:dyDescent="0.25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s="1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  <c r="J2" t="str">
        <f>"(9)"</f>
        <v>(9)</v>
      </c>
      <c r="K2" t="str">
        <f>"(10)"</f>
        <v>(10)</v>
      </c>
      <c r="L2" t="str">
        <f>"(11)"</f>
        <v>(11)</v>
      </c>
      <c r="M2" t="str">
        <f>"(12)"</f>
        <v>(12)</v>
      </c>
      <c r="N2" t="str">
        <f>"(13)"</f>
        <v>(13)</v>
      </c>
      <c r="O2" s="1" t="str">
        <f>"(14)"</f>
        <v>(14)</v>
      </c>
      <c r="P2" t="str">
        <f>"(15)"</f>
        <v>(15)</v>
      </c>
      <c r="Q2" t="str">
        <f>"(16)"</f>
        <v>(16)</v>
      </c>
      <c r="R2" s="1" t="str">
        <f>"(17)"</f>
        <v>(17)</v>
      </c>
      <c r="S2" t="str">
        <f>"(18)"</f>
        <v>(18)</v>
      </c>
      <c r="T2" s="1" t="str">
        <f>"(19)"</f>
        <v>(19)</v>
      </c>
      <c r="U2" t="str">
        <f>"(20)"</f>
        <v>(20)</v>
      </c>
      <c r="V2" t="str">
        <f>"(21)"</f>
        <v>(21)</v>
      </c>
      <c r="W2" t="str">
        <f>"(22)"</f>
        <v>(22)</v>
      </c>
      <c r="X2" t="str">
        <f>"(23)"</f>
        <v>(23)</v>
      </c>
      <c r="Y2" t="str">
        <f>"(24)"</f>
        <v>(24)</v>
      </c>
      <c r="Z2" t="str">
        <f>"(25)"</f>
        <v>(25)</v>
      </c>
      <c r="AA2" t="str">
        <f>"(26)"</f>
        <v>(26)</v>
      </c>
      <c r="AB2" t="str">
        <f>"(27)"</f>
        <v>(27)</v>
      </c>
      <c r="AC2" t="str">
        <f>"(28)"</f>
        <v>(28)</v>
      </c>
      <c r="AD2" t="str">
        <f>"(29)"</f>
        <v>(29)</v>
      </c>
      <c r="AE2" t="str">
        <f>"(30)"</f>
        <v>(30)</v>
      </c>
      <c r="AF2" t="str">
        <f>"(31)"</f>
        <v>(31)</v>
      </c>
      <c r="AG2" t="str">
        <f>"(32)"</f>
        <v>(32)</v>
      </c>
      <c r="AH2" t="str">
        <f>"(33)"</f>
        <v>(33)</v>
      </c>
      <c r="AI2" t="str">
        <f>"(34)"</f>
        <v>(34)</v>
      </c>
      <c r="AJ2" t="str">
        <f>"(35)"</f>
        <v>(35)</v>
      </c>
      <c r="AK2" t="str">
        <f>"(36)"</f>
        <v>(36)</v>
      </c>
      <c r="AL2" t="str">
        <f>"(37)"</f>
        <v>(37)</v>
      </c>
      <c r="AM2" t="str">
        <f>"(38)"</f>
        <v>(38)</v>
      </c>
      <c r="AN2" t="str">
        <f>"(39)"</f>
        <v>(39)</v>
      </c>
      <c r="AO2" t="str">
        <f>"(40)"</f>
        <v>(40)</v>
      </c>
      <c r="AP2" t="str">
        <f>"(41)"</f>
        <v>(41)</v>
      </c>
      <c r="AQ2" t="str">
        <f>"(42)"</f>
        <v>(42)</v>
      </c>
      <c r="AR2" t="str">
        <f>"(43)"</f>
        <v>(43)</v>
      </c>
    </row>
    <row r="3" spans="1:44" x14ac:dyDescent="0.25">
      <c r="A3" t="str">
        <f>""</f>
        <v/>
      </c>
      <c r="B3" t="s">
        <v>0</v>
      </c>
      <c r="C3" t="s">
        <v>1</v>
      </c>
      <c r="D3" t="s">
        <v>2</v>
      </c>
      <c r="E3" s="1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s="1" t="s">
        <v>13</v>
      </c>
      <c r="P3" t="s">
        <v>14</v>
      </c>
      <c r="Q3" t="s">
        <v>15</v>
      </c>
      <c r="R3" s="1" t="s">
        <v>16</v>
      </c>
      <c r="S3" t="s">
        <v>17</v>
      </c>
      <c r="T3" s="1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</row>
    <row r="5" spans="1:44" x14ac:dyDescent="0.25">
      <c r="A5" t="str">
        <f>"mktrf_l"</f>
        <v>mktrf_l</v>
      </c>
      <c r="B5" t="str">
        <f>"2.620"</f>
        <v>2.620</v>
      </c>
      <c r="C5" t="str">
        <f>"-0.116"</f>
        <v>-0.116</v>
      </c>
      <c r="D5" t="str">
        <f>"2.687"</f>
        <v>2.687</v>
      </c>
      <c r="E5" t="str">
        <f>"5.439"</f>
        <v>5.439</v>
      </c>
      <c r="F5" t="str">
        <f>"-0.419"</f>
        <v>-0.419</v>
      </c>
      <c r="G5" t="str">
        <f>"-0.414"</f>
        <v>-0.414</v>
      </c>
      <c r="H5" t="str">
        <f>"0.119"</f>
        <v>0.119</v>
      </c>
      <c r="I5" t="str">
        <f>"0.280"</f>
        <v>0.280</v>
      </c>
      <c r="J5" t="str">
        <f>"10.635"</f>
        <v>10.635</v>
      </c>
      <c r="K5" t="str">
        <f>"-5.677"</f>
        <v>-5.677</v>
      </c>
      <c r="L5" t="str">
        <f>"0.718"</f>
        <v>0.718</v>
      </c>
      <c r="M5" t="str">
        <f>"-0.946"</f>
        <v>-0.946</v>
      </c>
      <c r="N5" t="str">
        <f>"-6.178"</f>
        <v>-6.178</v>
      </c>
      <c r="O5" t="str">
        <f>"3.286"</f>
        <v>3.286</v>
      </c>
      <c r="P5" t="str">
        <f>"5.062"</f>
        <v>5.062</v>
      </c>
      <c r="Q5" t="str">
        <f>"11.158*"</f>
        <v>11.158*</v>
      </c>
      <c r="R5" t="str">
        <f>"9.162**"</f>
        <v>9.162**</v>
      </c>
      <c r="S5" t="str">
        <f>"2.829"</f>
        <v>2.829</v>
      </c>
      <c r="T5" t="str">
        <f>"12.051*"</f>
        <v>12.051*</v>
      </c>
      <c r="U5" t="str">
        <f>"3.231"</f>
        <v>3.231</v>
      </c>
      <c r="V5" t="str">
        <f>"2.488"</f>
        <v>2.488</v>
      </c>
      <c r="W5" t="str">
        <f>"0.169"</f>
        <v>0.169</v>
      </c>
      <c r="X5" t="str">
        <f>"-1.797"</f>
        <v>-1.797</v>
      </c>
      <c r="Y5" t="str">
        <f>"1.818"</f>
        <v>1.818</v>
      </c>
      <c r="Z5" t="str">
        <f>"-1.654"</f>
        <v>-1.654</v>
      </c>
      <c r="AA5" t="str">
        <f>"-3.820"</f>
        <v>-3.820</v>
      </c>
      <c r="AB5" t="str">
        <f>"-0.568"</f>
        <v>-0.568</v>
      </c>
      <c r="AC5" t="str">
        <f>"-9.756"</f>
        <v>-9.756</v>
      </c>
      <c r="AD5" t="str">
        <f>"-1.690"</f>
        <v>-1.690</v>
      </c>
      <c r="AE5" t="str">
        <f>"-3.612"</f>
        <v>-3.612</v>
      </c>
      <c r="AF5" t="str">
        <f>"-0.449"</f>
        <v>-0.449</v>
      </c>
      <c r="AG5" t="str">
        <f>"8.365"</f>
        <v>8.365</v>
      </c>
      <c r="AH5" t="str">
        <f>"9.781"</f>
        <v>9.781</v>
      </c>
      <c r="AI5" t="str">
        <f>"1.296"</f>
        <v>1.296</v>
      </c>
      <c r="AJ5" t="str">
        <f>"0.084"</f>
        <v>0.084</v>
      </c>
      <c r="AK5" t="str">
        <f>"-7.869"</f>
        <v>-7.869</v>
      </c>
      <c r="AL5" t="str">
        <f>"-6.487**"</f>
        <v>-6.487**</v>
      </c>
      <c r="AM5" t="str">
        <f>"-4.139**"</f>
        <v>-4.139**</v>
      </c>
      <c r="AN5" t="str">
        <f>"3.368"</f>
        <v>3.368</v>
      </c>
      <c r="AO5" t="str">
        <f>"0.125"</f>
        <v>0.125</v>
      </c>
      <c r="AP5" t="str">
        <f>"-1.867"</f>
        <v>-1.867</v>
      </c>
      <c r="AQ5" t="str">
        <f>"0.093"</f>
        <v>0.093</v>
      </c>
      <c r="AR5" t="str">
        <f>"-17.360***"</f>
        <v>-17.360***</v>
      </c>
    </row>
    <row r="6" spans="1:44" x14ac:dyDescent="0.25">
      <c r="A6" t="str">
        <f>""</f>
        <v/>
      </c>
      <c r="B6" t="str">
        <f>"(0.61)"</f>
        <v>(0.61)</v>
      </c>
      <c r="C6" t="str">
        <f>"(-0.01)"</f>
        <v>(-0.01)</v>
      </c>
      <c r="D6" t="str">
        <f>"(0.78)"</f>
        <v>(0.78)</v>
      </c>
      <c r="E6" t="str">
        <f>"(0.93)"</f>
        <v>(0.93)</v>
      </c>
      <c r="F6" t="str">
        <f>"(-1.02)"</f>
        <v>(-1.02)</v>
      </c>
      <c r="G6" t="str">
        <f>"(-0.15)"</f>
        <v>(-0.15)</v>
      </c>
      <c r="H6" t="str">
        <f>"(0.03)"</f>
        <v>(0.03)</v>
      </c>
      <c r="I6" t="str">
        <f>"(0.12)"</f>
        <v>(0.12)</v>
      </c>
      <c r="J6" t="str">
        <f>"(0.71)"</f>
        <v>(0.71)</v>
      </c>
      <c r="K6" t="str">
        <f>"(-0.81)"</f>
        <v>(-0.81)</v>
      </c>
      <c r="L6" t="str">
        <f>"(0.08)"</f>
        <v>(0.08)</v>
      </c>
      <c r="M6" t="str">
        <f>"(-0.36)"</f>
        <v>(-0.36)</v>
      </c>
      <c r="N6" t="str">
        <f>"(-0.81)"</f>
        <v>(-0.81)</v>
      </c>
      <c r="O6" t="str">
        <f>"(0.21)"</f>
        <v>(0.21)</v>
      </c>
      <c r="P6" t="str">
        <f>"(1.07)"</f>
        <v>(1.07)</v>
      </c>
      <c r="Q6" t="str">
        <f>"(1.88)"</f>
        <v>(1.88)</v>
      </c>
      <c r="R6" t="str">
        <f>"(2.10)"</f>
        <v>(2.10)</v>
      </c>
      <c r="S6" t="str">
        <f>"(0.66)"</f>
        <v>(0.66)</v>
      </c>
      <c r="T6" t="str">
        <f>"(1.69)"</f>
        <v>(1.69)</v>
      </c>
      <c r="U6" t="str">
        <f>"(0.56)"</f>
        <v>(0.56)</v>
      </c>
      <c r="V6" t="str">
        <f>"(1.03)"</f>
        <v>(1.03)</v>
      </c>
      <c r="W6" t="str">
        <f>"(0.03)"</f>
        <v>(0.03)</v>
      </c>
      <c r="X6" t="str">
        <f>"(-0.25)"</f>
        <v>(-0.25)</v>
      </c>
      <c r="Y6" t="str">
        <f>"(0.15)"</f>
        <v>(0.15)</v>
      </c>
      <c r="Z6" t="str">
        <f>"(-0.53)"</f>
        <v>(-0.53)</v>
      </c>
      <c r="AA6" t="str">
        <f>"(-0.41)"</f>
        <v>(-0.41)</v>
      </c>
      <c r="AB6" t="str">
        <f>"(-1.01)"</f>
        <v>(-1.01)</v>
      </c>
      <c r="AC6" t="str">
        <f>"(-1.42)"</f>
        <v>(-1.42)</v>
      </c>
      <c r="AD6" t="str">
        <f>"(-0.60)"</f>
        <v>(-0.60)</v>
      </c>
      <c r="AE6" t="str">
        <f>"(-0.52)"</f>
        <v>(-0.52)</v>
      </c>
      <c r="AF6" t="str">
        <f>"(-0.16)"</f>
        <v>(-0.16)</v>
      </c>
      <c r="AG6" t="str">
        <f>"(0.92)"</f>
        <v>(0.92)</v>
      </c>
      <c r="AH6" t="str">
        <f>"(1.35)"</f>
        <v>(1.35)</v>
      </c>
      <c r="AI6" t="str">
        <f>"(0.26)"</f>
        <v>(0.26)</v>
      </c>
      <c r="AJ6" t="str">
        <f>"(0.02)"</f>
        <v>(0.02)</v>
      </c>
      <c r="AK6" t="str">
        <f>"(-1.39)"</f>
        <v>(-1.39)</v>
      </c>
      <c r="AL6" t="str">
        <f>"(-2.00)"</f>
        <v>(-2.00)</v>
      </c>
      <c r="AM6" t="str">
        <f>"(-1.97)"</f>
        <v>(-1.97)</v>
      </c>
      <c r="AN6" t="str">
        <f>"(1.37)"</f>
        <v>(1.37)</v>
      </c>
      <c r="AO6" t="str">
        <f>"(0.14)"</f>
        <v>(0.14)</v>
      </c>
      <c r="AP6" t="str">
        <f>"(-1.09)"</f>
        <v>(-1.09)</v>
      </c>
      <c r="AQ6" t="str">
        <f>"(0.02)"</f>
        <v>(0.02)</v>
      </c>
      <c r="AR6" t="str">
        <f>"(-3.73)"</f>
        <v>(-3.73)</v>
      </c>
    </row>
    <row r="8" spans="1:44" x14ac:dyDescent="0.25">
      <c r="A8" t="str">
        <f>"log_amznvol"</f>
        <v>log_amznvol</v>
      </c>
      <c r="B8" t="str">
        <f>"0.109***"</f>
        <v>0.109***</v>
      </c>
      <c r="C8" t="str">
        <f>"0.188***"</f>
        <v>0.188***</v>
      </c>
      <c r="D8" t="str">
        <f>"0.021"</f>
        <v>0.021</v>
      </c>
      <c r="E8" t="str">
        <f>"-0.015"</f>
        <v>-0.015</v>
      </c>
      <c r="F8" t="str">
        <f>"0.153***"</f>
        <v>0.153***</v>
      </c>
      <c r="G8" t="str">
        <f>"0.052***"</f>
        <v>0.052***</v>
      </c>
      <c r="H8" t="str">
        <f>"0.130***"</f>
        <v>0.130***</v>
      </c>
      <c r="I8" t="str">
        <f>"0.088***"</f>
        <v>0.088***</v>
      </c>
      <c r="J8" t="str">
        <f>"0.216***"</f>
        <v>0.216***</v>
      </c>
      <c r="K8" t="str">
        <f>"0.090***"</f>
        <v>0.090***</v>
      </c>
      <c r="L8" t="str">
        <f>"0.079**"</f>
        <v>0.079**</v>
      </c>
      <c r="M8" t="str">
        <f>"0.153***"</f>
        <v>0.153***</v>
      </c>
      <c r="N8" t="str">
        <f>"0.023"</f>
        <v>0.023</v>
      </c>
      <c r="O8" t="str">
        <f>"0.262***"</f>
        <v>0.262***</v>
      </c>
      <c r="P8" t="str">
        <f>"0.131***"</f>
        <v>0.131***</v>
      </c>
      <c r="Q8" t="str">
        <f>"0.102***"</f>
        <v>0.102***</v>
      </c>
      <c r="R8" t="str">
        <f>"0.064***"</f>
        <v>0.064***</v>
      </c>
      <c r="S8" t="str">
        <f>"0.051**"</f>
        <v>0.051**</v>
      </c>
      <c r="T8" t="str">
        <f>"0.205***"</f>
        <v>0.205***</v>
      </c>
      <c r="U8" t="str">
        <f>"0.131***"</f>
        <v>0.131***</v>
      </c>
      <c r="V8" t="str">
        <f>"0.194***"</f>
        <v>0.194***</v>
      </c>
      <c r="W8" t="str">
        <f>"0.108***"</f>
        <v>0.108***</v>
      </c>
      <c r="X8" t="str">
        <f>"0.130***"</f>
        <v>0.130***</v>
      </c>
      <c r="Y8" t="str">
        <f>"0.010"</f>
        <v>0.010</v>
      </c>
      <c r="Z8" t="str">
        <f>"-0.001"</f>
        <v>-0.001</v>
      </c>
      <c r="AA8" t="str">
        <f>"0.051"</f>
        <v>0.051</v>
      </c>
      <c r="AB8" t="str">
        <f>"0.083***"</f>
        <v>0.083***</v>
      </c>
      <c r="AC8" t="str">
        <f>"0.053"</f>
        <v>0.053</v>
      </c>
      <c r="AD8" t="str">
        <f>"0.204***"</f>
        <v>0.204***</v>
      </c>
      <c r="AE8" t="str">
        <f>"0.127***"</f>
        <v>0.127***</v>
      </c>
      <c r="AF8" t="str">
        <f>"0.206***"</f>
        <v>0.206***</v>
      </c>
      <c r="AG8" t="str">
        <f>"0.083**"</f>
        <v>0.083**</v>
      </c>
      <c r="AH8" t="str">
        <f>"0.066*"</f>
        <v>0.066*</v>
      </c>
      <c r="AI8" t="str">
        <f>"0.031"</f>
        <v>0.031</v>
      </c>
      <c r="AJ8" t="str">
        <f>"0.329***"</f>
        <v>0.329***</v>
      </c>
      <c r="AK8" t="str">
        <f>"0.192***"</f>
        <v>0.192***</v>
      </c>
      <c r="AL8" t="str">
        <f>"0.169***"</f>
        <v>0.169***</v>
      </c>
      <c r="AM8" t="str">
        <f>"0.032**"</f>
        <v>0.032**</v>
      </c>
      <c r="AN8" t="str">
        <f>"0.026"</f>
        <v>0.026</v>
      </c>
      <c r="AO8" t="str">
        <f>"0.211***"</f>
        <v>0.211***</v>
      </c>
      <c r="AP8" t="str">
        <f>"0.071***"</f>
        <v>0.071***</v>
      </c>
      <c r="AQ8" t="str">
        <f>"0.039"</f>
        <v>0.039</v>
      </c>
      <c r="AR8" t="str">
        <f>"0.100***"</f>
        <v>0.100***</v>
      </c>
    </row>
    <row r="9" spans="1:44" x14ac:dyDescent="0.25">
      <c r="A9" t="str">
        <f>""</f>
        <v/>
      </c>
      <c r="B9" t="str">
        <f>"(5.31)"</f>
        <v>(5.31)</v>
      </c>
      <c r="C9" t="str">
        <f>"(4.84)"</f>
        <v>(4.84)</v>
      </c>
      <c r="D9" t="str">
        <f>"(0.95)"</f>
        <v>(0.95)</v>
      </c>
      <c r="E9" t="str">
        <f>"(-0.48)"</f>
        <v>(-0.48)</v>
      </c>
      <c r="F9" t="str">
        <f>"(27.46)"</f>
        <v>(27.46)</v>
      </c>
      <c r="G9" t="str">
        <f>"(3.17)"</f>
        <v>(3.17)</v>
      </c>
      <c r="H9" t="str">
        <f>"(4.54)"</f>
        <v>(4.54)</v>
      </c>
      <c r="I9" t="str">
        <f>"(4.35)"</f>
        <v>(4.35)</v>
      </c>
      <c r="J9" t="str">
        <f>"(4.03)"</f>
        <v>(4.03)</v>
      </c>
      <c r="K9" t="str">
        <f>"(2.77)"</f>
        <v>(2.77)</v>
      </c>
      <c r="L9" t="str">
        <f>"(2.03)"</f>
        <v>(2.03)</v>
      </c>
      <c r="M9" t="str">
        <f>"(8.45)"</f>
        <v>(8.45)</v>
      </c>
      <c r="N9" t="str">
        <f>"(0.68)"</f>
        <v>(0.68)</v>
      </c>
      <c r="O9" t="str">
        <f>"(6.22)"</f>
        <v>(6.22)</v>
      </c>
      <c r="P9" t="str">
        <f>"(5.45)"</f>
        <v>(5.45)</v>
      </c>
      <c r="Q9" t="str">
        <f>"(3.30)"</f>
        <v>(3.30)</v>
      </c>
      <c r="R9" t="str">
        <f>"(2.77)"</f>
        <v>(2.77)</v>
      </c>
      <c r="S9" t="str">
        <f>"(2.13)"</f>
        <v>(2.13)</v>
      </c>
      <c r="T9" t="str">
        <f>"(6.29)"</f>
        <v>(6.29)</v>
      </c>
      <c r="U9" t="str">
        <f>"(4.70)"</f>
        <v>(4.70)</v>
      </c>
      <c r="V9" t="str">
        <f>"(12.47)"</f>
        <v>(12.47)</v>
      </c>
      <c r="W9" t="str">
        <f>"(3.99)"</f>
        <v>(3.99)</v>
      </c>
      <c r="X9" t="str">
        <f>"(3.77)"</f>
        <v>(3.77)</v>
      </c>
      <c r="Y9" t="str">
        <f>"(0.17)"</f>
        <v>(0.17)</v>
      </c>
      <c r="Z9" t="str">
        <f>"(-0.08)"</f>
        <v>(-0.08)</v>
      </c>
      <c r="AA9" t="str">
        <f>"(1.12)"</f>
        <v>(1.12)</v>
      </c>
      <c r="AB9" t="str">
        <f>"(12.38)"</f>
        <v>(12.38)</v>
      </c>
      <c r="AC9" t="str">
        <f>"(1.60)"</f>
        <v>(1.60)</v>
      </c>
      <c r="AD9" t="str">
        <f>"(11.19)"</f>
        <v>(11.19)</v>
      </c>
      <c r="AE9" t="str">
        <f>"(3.71)"</f>
        <v>(3.71)</v>
      </c>
      <c r="AF9" t="str">
        <f>"(11.47)"</f>
        <v>(11.47)</v>
      </c>
      <c r="AG9" t="str">
        <f>"(2.22)"</f>
        <v>(2.22)</v>
      </c>
      <c r="AH9" t="str">
        <f>"(1.92)"</f>
        <v>(1.92)</v>
      </c>
      <c r="AI9" t="str">
        <f>"(1.32)"</f>
        <v>(1.32)</v>
      </c>
      <c r="AJ9" t="str">
        <f>"(14.20)"</f>
        <v>(14.20)</v>
      </c>
      <c r="AK9" t="str">
        <f>"(6.65)"</f>
        <v>(6.65)</v>
      </c>
      <c r="AL9" t="str">
        <f>"(8.71)"</f>
        <v>(8.71)</v>
      </c>
      <c r="AM9" t="str">
        <f>"(2.49)"</f>
        <v>(2.49)</v>
      </c>
      <c r="AN9" t="str">
        <f>"(1.53)"</f>
        <v>(1.53)</v>
      </c>
      <c r="AO9" t="str">
        <f>"(24.24)"</f>
        <v>(24.24)</v>
      </c>
      <c r="AP9" t="str">
        <f>"(5.53)"</f>
        <v>(5.53)</v>
      </c>
      <c r="AQ9" t="str">
        <f>"(1.47)"</f>
        <v>(1.47)</v>
      </c>
      <c r="AR9" t="str">
        <f>"(4.00)"</f>
        <v>(4.00)</v>
      </c>
    </row>
    <row r="11" spans="1:44" x14ac:dyDescent="0.25">
      <c r="A11" t="str">
        <f>"log_helpful"</f>
        <v>log_helpful</v>
      </c>
      <c r="B11" t="str">
        <f>"0.021*"</f>
        <v>0.021*</v>
      </c>
      <c r="C11" t="str">
        <f>"-0.023"</f>
        <v>-0.023</v>
      </c>
      <c r="D11" t="str">
        <f>"0.011"</f>
        <v>0.011</v>
      </c>
      <c r="E11" t="str">
        <f>"0.010"</f>
        <v>0.010</v>
      </c>
      <c r="F11" t="str">
        <f>"-0.065***"</f>
        <v>-0.065***</v>
      </c>
      <c r="G11" t="str">
        <f>"0.028***"</f>
        <v>0.028***</v>
      </c>
      <c r="H11" t="str">
        <f>"-0.145***"</f>
        <v>-0.145***</v>
      </c>
      <c r="I11" t="str">
        <f>"-0.064***"</f>
        <v>-0.064***</v>
      </c>
      <c r="J11" t="str">
        <f>"-0.102***"</f>
        <v>-0.102***</v>
      </c>
      <c r="K11" t="str">
        <f>"-0.133***"</f>
        <v>-0.133***</v>
      </c>
      <c r="L11" t="str">
        <f>"-0.084***"</f>
        <v>-0.084***</v>
      </c>
      <c r="M11" t="str">
        <f>"0.000"</f>
        <v>0.000</v>
      </c>
      <c r="N11" t="str">
        <f>"-0.009"</f>
        <v>-0.009</v>
      </c>
      <c r="O11" t="str">
        <f>"-0.060***"</f>
        <v>-0.060***</v>
      </c>
      <c r="P11" t="str">
        <f>"-0.062***"</f>
        <v>-0.062***</v>
      </c>
      <c r="Q11" t="str">
        <f>"-0.031*"</f>
        <v>-0.031*</v>
      </c>
      <c r="R11" t="str">
        <f>"0.023*"</f>
        <v>0.023*</v>
      </c>
      <c r="S11" t="str">
        <f>"0.042***"</f>
        <v>0.042***</v>
      </c>
      <c r="T11" t="str">
        <f>"0.005"</f>
        <v>0.005</v>
      </c>
      <c r="U11" t="str">
        <f>"-0.079***"</f>
        <v>-0.079***</v>
      </c>
      <c r="V11" t="str">
        <f>"-0.019*"</f>
        <v>-0.019*</v>
      </c>
      <c r="W11" t="str">
        <f>"-0.017"</f>
        <v>-0.017</v>
      </c>
      <c r="X11" t="str">
        <f>"-0.037**"</f>
        <v>-0.037**</v>
      </c>
      <c r="Y11" t="str">
        <f>"-0.016"</f>
        <v>-0.016</v>
      </c>
      <c r="Z11" t="str">
        <f>"-0.023**"</f>
        <v>-0.023**</v>
      </c>
      <c r="AA11" t="str">
        <f>"0.005"</f>
        <v>0.005</v>
      </c>
      <c r="AB11" t="str">
        <f>"-0.037***"</f>
        <v>-0.037***</v>
      </c>
      <c r="AC11" t="str">
        <f>"0.041**"</f>
        <v>0.041**</v>
      </c>
      <c r="AD11" t="str">
        <f>"-0.011"</f>
        <v>-0.011</v>
      </c>
      <c r="AE11" t="str">
        <f>"0.015"</f>
        <v>0.015</v>
      </c>
      <c r="AF11" t="str">
        <f>"0.010"</f>
        <v>0.010</v>
      </c>
      <c r="AG11" t="str">
        <f>"0.002"</f>
        <v>0.002</v>
      </c>
      <c r="AH11" t="str">
        <f>"-0.006"</f>
        <v>-0.006</v>
      </c>
      <c r="AI11" t="str">
        <f>"-0.026*"</f>
        <v>-0.026*</v>
      </c>
      <c r="AJ11" t="str">
        <f>"-0.052***"</f>
        <v>-0.052***</v>
      </c>
      <c r="AK11" t="str">
        <f>"-0.068***"</f>
        <v>-0.068***</v>
      </c>
      <c r="AL11" t="str">
        <f>"-0.065***"</f>
        <v>-0.065***</v>
      </c>
      <c r="AM11" t="str">
        <f>"-0.033***"</f>
        <v>-0.033***</v>
      </c>
      <c r="AN11" t="str">
        <f>"-0.001"</f>
        <v>-0.001</v>
      </c>
      <c r="AO11" t="str">
        <f>"-0.063***"</f>
        <v>-0.063***</v>
      </c>
      <c r="AP11" t="str">
        <f>"-0.092***"</f>
        <v>-0.092***</v>
      </c>
      <c r="AQ11" t="str">
        <f>"0.036**"</f>
        <v>0.036**</v>
      </c>
      <c r="AR11" t="str">
        <f>"0.061***"</f>
        <v>0.061***</v>
      </c>
    </row>
    <row r="12" spans="1:44" x14ac:dyDescent="0.25">
      <c r="A12" t="str">
        <f>""</f>
        <v/>
      </c>
      <c r="B12" t="str">
        <f>"(1.88)"</f>
        <v>(1.88)</v>
      </c>
      <c r="C12" t="str">
        <f>"(-1.14)"</f>
        <v>(-1.14)</v>
      </c>
      <c r="D12" t="str">
        <f>"(1.03)"</f>
        <v>(1.03)</v>
      </c>
      <c r="E12" t="str">
        <f>"(0.63)"</f>
        <v>(0.63)</v>
      </c>
      <c r="F12" t="str">
        <f>"(-12.35)"</f>
        <v>(-12.35)</v>
      </c>
      <c r="G12" t="str">
        <f>"(2.77)"</f>
        <v>(2.77)</v>
      </c>
      <c r="H12" t="str">
        <f>"(-8.59)"</f>
        <v>(-8.59)</v>
      </c>
      <c r="I12" t="str">
        <f>"(-5.06)"</f>
        <v>(-5.06)</v>
      </c>
      <c r="J12" t="str">
        <f>"(-4.56)"</f>
        <v>(-4.56)</v>
      </c>
      <c r="K12" t="str">
        <f>"(-6.07)"</f>
        <v>(-6.07)</v>
      </c>
      <c r="L12" t="str">
        <f>"(-4.31)"</f>
        <v>(-4.31)</v>
      </c>
      <c r="M12" t="str">
        <f>"(0.04)"</f>
        <v>(0.04)</v>
      </c>
      <c r="N12" t="str">
        <f>"(-0.54)"</f>
        <v>(-0.54)</v>
      </c>
      <c r="O12" t="str">
        <f>"(-4.72)"</f>
        <v>(-4.72)</v>
      </c>
      <c r="P12" t="str">
        <f>"(-4.45)"</f>
        <v>(-4.45)</v>
      </c>
      <c r="Q12" t="str">
        <f>"(-1.95)"</f>
        <v>(-1.95)</v>
      </c>
      <c r="R12" t="str">
        <f>"(1.80)"</f>
        <v>(1.80)</v>
      </c>
      <c r="S12" t="str">
        <f>"(3.11)"</f>
        <v>(3.11)</v>
      </c>
      <c r="T12" t="str">
        <f>"(0.29)"</f>
        <v>(0.29)</v>
      </c>
      <c r="U12" t="str">
        <f>"(-4.82)"</f>
        <v>(-4.82)</v>
      </c>
      <c r="V12" t="str">
        <f>"(-1.87)"</f>
        <v>(-1.87)</v>
      </c>
      <c r="W12" t="str">
        <f>"(-1.08)"</f>
        <v>(-1.08)</v>
      </c>
      <c r="X12" t="str">
        <f>"(-2.23)"</f>
        <v>(-2.23)</v>
      </c>
      <c r="Y12" t="str">
        <f>"(-0.65)"</f>
        <v>(-0.65)</v>
      </c>
      <c r="Z12" t="str">
        <f>"(-2.49)"</f>
        <v>(-2.49)</v>
      </c>
      <c r="AA12" t="str">
        <f>"(0.27)"</f>
        <v>(0.27)</v>
      </c>
      <c r="AB12" t="str">
        <f>"(-6.88)"</f>
        <v>(-6.88)</v>
      </c>
      <c r="AC12" t="str">
        <f>"(2.53)"</f>
        <v>(2.53)</v>
      </c>
      <c r="AD12" t="str">
        <f>"(-0.95)"</f>
        <v>(-0.95)</v>
      </c>
      <c r="AE12" t="str">
        <f>"(0.81)"</f>
        <v>(0.81)</v>
      </c>
      <c r="AF12" t="str">
        <f>"(0.85)"</f>
        <v>(0.85)</v>
      </c>
      <c r="AG12" t="str">
        <f>"(0.12)"</f>
        <v>(0.12)</v>
      </c>
      <c r="AH12" t="str">
        <f>"(-0.36)"</f>
        <v>(-0.36)</v>
      </c>
      <c r="AI12" t="str">
        <f>"(-1.82)"</f>
        <v>(-1.82)</v>
      </c>
      <c r="AJ12" t="str">
        <f>"(-3.56)"</f>
        <v>(-3.56)</v>
      </c>
      <c r="AK12" t="str">
        <f>"(-4.87)"</f>
        <v>(-4.87)</v>
      </c>
      <c r="AL12" t="str">
        <f>"(-4.80)"</f>
        <v>(-4.80)</v>
      </c>
      <c r="AM12" t="str">
        <f>"(-3.76)"</f>
        <v>(-3.76)</v>
      </c>
      <c r="AN12" t="str">
        <f>"(-0.12)"</f>
        <v>(-0.12)</v>
      </c>
      <c r="AO12" t="str">
        <f>"(-9.47)"</f>
        <v>(-9.47)</v>
      </c>
      <c r="AP12" t="str">
        <f>"(-12.35)"</f>
        <v>(-12.35)</v>
      </c>
      <c r="AQ12" t="str">
        <f>"(2.44)"</f>
        <v>(2.44)</v>
      </c>
      <c r="AR12" t="str">
        <f>"(4.24)"</f>
        <v>(4.24)</v>
      </c>
    </row>
    <row r="14" spans="1:44" x14ac:dyDescent="0.25">
      <c r="A14" t="str">
        <f>"_cons"</f>
        <v>_cons</v>
      </c>
      <c r="B14" t="str">
        <f>"3.387***"</f>
        <v>3.387***</v>
      </c>
      <c r="C14" t="str">
        <f>"3.265***"</f>
        <v>3.265***</v>
      </c>
      <c r="D14" t="str">
        <f>"3.816***"</f>
        <v>3.816***</v>
      </c>
      <c r="E14" t="str">
        <f>"4.039***"</f>
        <v>4.039***</v>
      </c>
      <c r="F14" t="str">
        <f>"3.655***"</f>
        <v>3.655***</v>
      </c>
      <c r="G14" t="str">
        <f>"3.609***"</f>
        <v>3.609***</v>
      </c>
      <c r="H14" t="str">
        <f>"4.303***"</f>
        <v>4.303***</v>
      </c>
      <c r="I14" t="str">
        <f>"4.392***"</f>
        <v>4.392***</v>
      </c>
      <c r="J14" t="str">
        <f>"3.155***"</f>
        <v>3.155***</v>
      </c>
      <c r="K14" t="str">
        <f>"4.155***"</f>
        <v>4.155***</v>
      </c>
      <c r="L14" t="str">
        <f>"3.872***"</f>
        <v>3.872***</v>
      </c>
      <c r="M14" t="str">
        <f>"3.070***"</f>
        <v>3.070***</v>
      </c>
      <c r="N14" t="str">
        <f>"3.867***"</f>
        <v>3.867***</v>
      </c>
      <c r="O14" t="str">
        <f>"3.649***"</f>
        <v>3.649***</v>
      </c>
      <c r="P14" t="str">
        <f>"4.055***"</f>
        <v>4.055***</v>
      </c>
      <c r="Q14" t="str">
        <f>"3.726***"</f>
        <v>3.726***</v>
      </c>
      <c r="R14" t="str">
        <f>"3.436***"</f>
        <v>3.436***</v>
      </c>
      <c r="S14" t="str">
        <f>"3.277***"</f>
        <v>3.277***</v>
      </c>
      <c r="T14" t="str">
        <f>"3.123***"</f>
        <v>3.123***</v>
      </c>
      <c r="U14" t="str">
        <f>"3.910***"</f>
        <v>3.910***</v>
      </c>
      <c r="V14" t="str">
        <f>"3.094***"</f>
        <v>3.094***</v>
      </c>
      <c r="W14" t="str">
        <f>"3.570***"</f>
        <v>3.570***</v>
      </c>
      <c r="X14" t="str">
        <f>"3.848***"</f>
        <v>3.848***</v>
      </c>
      <c r="Y14" t="str">
        <f>"3.380***"</f>
        <v>3.380***</v>
      </c>
      <c r="Z14" t="str">
        <f>"4.176***"</f>
        <v>4.176***</v>
      </c>
      <c r="AA14" t="str">
        <f>"3.509***"</f>
        <v>3.509***</v>
      </c>
      <c r="AB14" t="str">
        <f>"4.106***"</f>
        <v>4.106***</v>
      </c>
      <c r="AC14" t="str">
        <f>"3.721***"</f>
        <v>3.721***</v>
      </c>
      <c r="AD14" t="str">
        <f>"2.810***"</f>
        <v>2.810***</v>
      </c>
      <c r="AE14" t="str">
        <f>"3.441***"</f>
        <v>3.441***</v>
      </c>
      <c r="AF14" t="str">
        <f>"2.706***"</f>
        <v>2.706***</v>
      </c>
      <c r="AG14" t="str">
        <f>"3.606***"</f>
        <v>3.606***</v>
      </c>
      <c r="AH14" t="str">
        <f>"3.699***"</f>
        <v>3.699***</v>
      </c>
      <c r="AI14" t="str">
        <f>"4.173***"</f>
        <v>4.173***</v>
      </c>
      <c r="AJ14" t="str">
        <f>"2.445***"</f>
        <v>2.445***</v>
      </c>
      <c r="AK14" t="str">
        <f>"3.532***"</f>
        <v>3.532***</v>
      </c>
      <c r="AL14" t="str">
        <f>"3.792***"</f>
        <v>3.792***</v>
      </c>
      <c r="AM14" t="str">
        <f>"4.161***"</f>
        <v>4.161***</v>
      </c>
      <c r="AN14" t="str">
        <f>"4.117***"</f>
        <v>4.117***</v>
      </c>
      <c r="AO14" t="str">
        <f>"3.235***"</f>
        <v>3.235***</v>
      </c>
      <c r="AP14" t="str">
        <f>"4.164***"</f>
        <v>4.164***</v>
      </c>
      <c r="AQ14" t="str">
        <f>"3.759***"</f>
        <v>3.759***</v>
      </c>
      <c r="AR14" t="str">
        <f>"2.814***"</f>
        <v>2.814***</v>
      </c>
    </row>
    <row r="15" spans="1:44" x14ac:dyDescent="0.25">
      <c r="A15" t="str">
        <f>""</f>
        <v/>
      </c>
      <c r="B15" t="str">
        <f>"(38.23)"</f>
        <v>(38.23)</v>
      </c>
      <c r="C15" t="str">
        <f>"(22.02)"</f>
        <v>(22.02)</v>
      </c>
      <c r="D15" t="str">
        <f>"(44.39)"</f>
        <v>(44.39)</v>
      </c>
      <c r="E15" t="str">
        <f>"(32.65)"</f>
        <v>(32.65)</v>
      </c>
      <c r="F15" t="str">
        <f>"(89.15)"</f>
        <v>(89.15)</v>
      </c>
      <c r="G15" t="str">
        <f>"(52.95)"</f>
        <v>(52.95)</v>
      </c>
      <c r="H15" t="str">
        <f>"(25.62)"</f>
        <v>(25.62)</v>
      </c>
      <c r="I15" t="str">
        <f>"(45.25)"</f>
        <v>(45.25)</v>
      </c>
      <c r="J15" t="str">
        <f>"(22.12)"</f>
        <v>(22.12)</v>
      </c>
      <c r="K15" t="str">
        <f>"(36.10)"</f>
        <v>(36.10)</v>
      </c>
      <c r="L15" t="str">
        <f>"(35.95)"</f>
        <v>(35.95)</v>
      </c>
      <c r="M15" t="str">
        <f>"(38.25)"</f>
        <v>(38.25)</v>
      </c>
      <c r="N15" t="str">
        <f>"(34.92)"</f>
        <v>(34.92)</v>
      </c>
      <c r="O15" t="str">
        <f>"(23.36)"</f>
        <v>(23.36)</v>
      </c>
      <c r="P15" t="str">
        <f>"(42.85)"</f>
        <v>(42.85)</v>
      </c>
      <c r="Q15" t="str">
        <f>"(28.68)"</f>
        <v>(28.68)</v>
      </c>
      <c r="R15" t="str">
        <f>"(35.04)"</f>
        <v>(35.04)</v>
      </c>
      <c r="S15" t="str">
        <f>"(40.26)"</f>
        <v>(40.26)</v>
      </c>
      <c r="T15" t="str">
        <f>"(29.96)"</f>
        <v>(29.96)</v>
      </c>
      <c r="U15" t="str">
        <f>"(41.94)"</f>
        <v>(41.94)</v>
      </c>
      <c r="V15" t="str">
        <f>"(42.51)"</f>
        <v>(42.51)</v>
      </c>
      <c r="W15" t="str">
        <f>"(42.08)"</f>
        <v>(42.08)</v>
      </c>
      <c r="X15" t="str">
        <f>"(41.14)"</f>
        <v>(41.14)</v>
      </c>
      <c r="Y15" t="str">
        <f>"(29.58)"</f>
        <v>(29.58)</v>
      </c>
      <c r="Z15" t="str">
        <f>"(31.99)"</f>
        <v>(31.99)</v>
      </c>
      <c r="AA15" t="str">
        <f>"(32.34)"</f>
        <v>(32.34)</v>
      </c>
      <c r="AB15" t="str">
        <f>"(97.23)"</f>
        <v>(97.23)</v>
      </c>
      <c r="AC15" t="str">
        <f>"(36.38)"</f>
        <v>(36.38)</v>
      </c>
      <c r="AD15" t="str">
        <f>"(37.26)"</f>
        <v>(37.26)</v>
      </c>
      <c r="AE15" t="str">
        <f>"(27.06)"</f>
        <v>(27.06)</v>
      </c>
      <c r="AF15" t="str">
        <f>"(31.68)"</f>
        <v>(31.68)</v>
      </c>
      <c r="AG15" t="str">
        <f>"(47.17)"</f>
        <v>(47.17)</v>
      </c>
      <c r="AH15" t="str">
        <f>"(27.29)"</f>
        <v>(27.29)</v>
      </c>
      <c r="AI15" t="str">
        <f>"(41.49)"</f>
        <v>(41.49)</v>
      </c>
      <c r="AJ15" t="str">
        <f>"(30.87)"</f>
        <v>(30.87)</v>
      </c>
      <c r="AK15" t="str">
        <f>"(28.57)"</f>
        <v>(28.57)</v>
      </c>
      <c r="AL15" t="str">
        <f>"(55.35)"</f>
        <v>(55.35)</v>
      </c>
      <c r="AM15" t="str">
        <f>"(76.07)"</f>
        <v>(76.07)</v>
      </c>
      <c r="AN15" t="str">
        <f>"(73.59)"</f>
        <v>(73.59)</v>
      </c>
      <c r="AO15" t="str">
        <f>"(54.23)"</f>
        <v>(54.23)</v>
      </c>
      <c r="AP15" t="str">
        <f>"(69.29)"</f>
        <v>(69.29)</v>
      </c>
      <c r="AQ15" t="str">
        <f>"(39.84)"</f>
        <v>(39.84)</v>
      </c>
      <c r="AR15" t="str">
        <f>"(28.13)"</f>
        <v>(28.13)</v>
      </c>
    </row>
    <row r="17" spans="1:44" x14ac:dyDescent="0.25">
      <c r="A17" t="str">
        <f>"N"</f>
        <v>N</v>
      </c>
      <c r="B17" t="str">
        <f>"3000.000"</f>
        <v>3000.000</v>
      </c>
      <c r="C17" t="str">
        <f>"2698.000"</f>
        <v>2698.000</v>
      </c>
      <c r="D17" t="str">
        <f>"3617.000"</f>
        <v>3617.000</v>
      </c>
      <c r="E17" t="str">
        <f>"3342.000"</f>
        <v>3342.000</v>
      </c>
      <c r="F17" t="str">
        <f>"3806.000"</f>
        <v>3806.000</v>
      </c>
      <c r="G17" t="str">
        <f>"3802.000"</f>
        <v>3802.000</v>
      </c>
      <c r="H17" t="str">
        <f>"1856.000"</f>
        <v>1856.000</v>
      </c>
      <c r="I17" t="str">
        <f>"1877.000"</f>
        <v>1877.000</v>
      </c>
      <c r="J17" t="str">
        <f>"1309.000"</f>
        <v>1309.000</v>
      </c>
      <c r="K17" t="str">
        <f>"2072.000"</f>
        <v>2072.000</v>
      </c>
      <c r="L17" t="str">
        <f>"1501.000"</f>
        <v>1501.000</v>
      </c>
      <c r="M17" t="str">
        <f>"3806.000"</f>
        <v>3806.000</v>
      </c>
      <c r="N17" t="str">
        <f>"2666.000"</f>
        <v>2666.000</v>
      </c>
      <c r="O17" t="str">
        <f>"853.000"</f>
        <v>853.000</v>
      </c>
      <c r="P17" t="str">
        <f>"2878.000"</f>
        <v>2878.000</v>
      </c>
      <c r="Q17" t="str">
        <f>"3375.000"</f>
        <v>3375.000</v>
      </c>
      <c r="R17" t="str">
        <f>"3573.000"</f>
        <v>3573.000</v>
      </c>
      <c r="S17" t="str">
        <f>"3795.000"</f>
        <v>3795.000</v>
      </c>
      <c r="T17" t="str">
        <f>"3557.000"</f>
        <v>3557.000</v>
      </c>
      <c r="U17" t="str">
        <f>"2827.000"</f>
        <v>2827.000</v>
      </c>
      <c r="V17" t="str">
        <f>"3725.000"</f>
        <v>3725.000</v>
      </c>
      <c r="W17" t="str">
        <f>"3672.000"</f>
        <v>3672.000</v>
      </c>
      <c r="X17" t="str">
        <f>"2168.000"</f>
        <v>2168.000</v>
      </c>
      <c r="Y17" t="str">
        <f>"2235.000"</f>
        <v>2235.000</v>
      </c>
      <c r="Z17" t="str">
        <f>"986.000"</f>
        <v>986.000</v>
      </c>
      <c r="AA17" t="str">
        <f>"2324.000"</f>
        <v>2324.000</v>
      </c>
      <c r="AB17" t="str">
        <f>"3806.000"</f>
        <v>3806.000</v>
      </c>
      <c r="AC17" t="str">
        <f>"3001.000"</f>
        <v>3001.000</v>
      </c>
      <c r="AD17" t="str">
        <f>"3806.000"</f>
        <v>3806.000</v>
      </c>
      <c r="AE17" t="str">
        <f>"2910.000"</f>
        <v>2910.000</v>
      </c>
      <c r="AF17" t="str">
        <f>"3805.000"</f>
        <v>3805.000</v>
      </c>
      <c r="AG17" t="str">
        <f>"3077.000"</f>
        <v>3077.000</v>
      </c>
      <c r="AH17" t="str">
        <f>"2947.000"</f>
        <v>2947.000</v>
      </c>
      <c r="AI17" t="str">
        <f>"2809.000"</f>
        <v>2809.000</v>
      </c>
      <c r="AJ17" t="str">
        <f>"3803.000"</f>
        <v>3803.000</v>
      </c>
      <c r="AK17" t="str">
        <f>"3233.000"</f>
        <v>3233.000</v>
      </c>
      <c r="AL17" t="str">
        <f>"3806.000"</f>
        <v>3806.000</v>
      </c>
      <c r="AM17" t="str">
        <f>"3805.000"</f>
        <v>3805.000</v>
      </c>
      <c r="AN17" t="str">
        <f>"3806.000"</f>
        <v>3806.000</v>
      </c>
      <c r="AO17" t="str">
        <f>"3806.000"</f>
        <v>3806.000</v>
      </c>
      <c r="AP17" t="str">
        <f>"3806.000"</f>
        <v>3806.000</v>
      </c>
      <c r="AQ17" t="str">
        <f>"2704.000"</f>
        <v>2704.000</v>
      </c>
      <c r="AR17" t="str">
        <f>"3731.000"</f>
        <v>3731.000</v>
      </c>
    </row>
    <row r="18" spans="1:44" x14ac:dyDescent="0.25">
      <c r="A18" t="str">
        <f>"r2_a"</f>
        <v>r2_a</v>
      </c>
      <c r="B18" t="str">
        <f>"0.112"</f>
        <v>0.112</v>
      </c>
      <c r="C18" t="str">
        <f>"0.183"</f>
        <v>0.183</v>
      </c>
      <c r="D18" t="str">
        <f>"0.284"</f>
        <v>0.284</v>
      </c>
      <c r="E18" t="str">
        <f>"0.090"</f>
        <v>0.090</v>
      </c>
      <c r="F18" t="str">
        <f>"0.873"</f>
        <v>0.873</v>
      </c>
      <c r="G18" t="str">
        <f>"0.230"</f>
        <v>0.230</v>
      </c>
      <c r="H18" t="str">
        <f>"0.491"</f>
        <v>0.491</v>
      </c>
      <c r="I18" t="str">
        <f>"0.351"</f>
        <v>0.351</v>
      </c>
      <c r="J18" t="str">
        <f>"0.237"</f>
        <v>0.237</v>
      </c>
      <c r="K18" t="str">
        <f>"0.180"</f>
        <v>0.180</v>
      </c>
      <c r="L18" t="str">
        <f>"0.106"</f>
        <v>0.106</v>
      </c>
      <c r="M18" t="str">
        <f>"0.346"</f>
        <v>0.346</v>
      </c>
      <c r="N18" t="str">
        <f>"0.088"</f>
        <v>0.088</v>
      </c>
      <c r="O18" t="str">
        <f>"0.520"</f>
        <v>0.520</v>
      </c>
      <c r="P18" t="str">
        <f>"0.153"</f>
        <v>0.153</v>
      </c>
      <c r="Q18" t="str">
        <f>"0.093"</f>
        <v>0.093</v>
      </c>
      <c r="R18" t="str">
        <f>"0.242"</f>
        <v>0.242</v>
      </c>
      <c r="S18" t="str">
        <f>"0.353"</f>
        <v>0.353</v>
      </c>
      <c r="T18" t="str">
        <f>"0.095"</f>
        <v>0.095</v>
      </c>
      <c r="U18" t="str">
        <f>"0.105"</f>
        <v>0.105</v>
      </c>
      <c r="V18" t="str">
        <f>"0.460"</f>
        <v>0.460</v>
      </c>
      <c r="W18" t="str">
        <f>"0.111"</f>
        <v>0.111</v>
      </c>
      <c r="X18" t="str">
        <f>"0.055"</f>
        <v>0.055</v>
      </c>
      <c r="Y18" t="str">
        <f>"0.109"</f>
        <v>0.109</v>
      </c>
      <c r="Z18" t="str">
        <f>"0.665"</f>
        <v>0.665</v>
      </c>
      <c r="AA18" t="str">
        <f>"0.108"</f>
        <v>0.108</v>
      </c>
      <c r="AB18" t="str">
        <f>"0.744"</f>
        <v>0.744</v>
      </c>
      <c r="AC18" t="str">
        <f>"0.072"</f>
        <v>0.072</v>
      </c>
      <c r="AD18" t="str">
        <f>"0.506"</f>
        <v>0.506</v>
      </c>
      <c r="AE18" t="str">
        <f>"0.137"</f>
        <v>0.137</v>
      </c>
      <c r="AF18" t="str">
        <f>"0.414"</f>
        <v>0.414</v>
      </c>
      <c r="AG18" t="str">
        <f>"0.068"</f>
        <v>0.068</v>
      </c>
      <c r="AH18" t="str">
        <f>"0.163"</f>
        <v>0.163</v>
      </c>
      <c r="AI18" t="str">
        <f>"0.043"</f>
        <v>0.043</v>
      </c>
      <c r="AJ18" t="str">
        <f>"0.382"</f>
        <v>0.382</v>
      </c>
      <c r="AK18" t="str">
        <f>"0.180"</f>
        <v>0.180</v>
      </c>
      <c r="AL18" t="str">
        <f>"0.176"</f>
        <v>0.176</v>
      </c>
      <c r="AM18" t="str">
        <f>"0.428"</f>
        <v>0.428</v>
      </c>
      <c r="AN18" t="str">
        <f>"0.151"</f>
        <v>0.151</v>
      </c>
      <c r="AO18" t="str">
        <f>"0.791"</f>
        <v>0.791</v>
      </c>
      <c r="AP18" t="str">
        <f>"0.444"</f>
        <v>0.444</v>
      </c>
      <c r="AQ18" t="str">
        <f>"0.096"</f>
        <v>0.096</v>
      </c>
      <c r="AR18" t="str">
        <f>"0.191"</f>
        <v>0.191</v>
      </c>
    </row>
    <row r="20" spans="1:44" x14ac:dyDescent="0.25">
      <c r="A20" t="str">
        <f>""</f>
        <v/>
      </c>
      <c r="B20" t="str">
        <f>"(44)"</f>
        <v>(44)</v>
      </c>
      <c r="C20" t="str">
        <f>"(45)"</f>
        <v>(45)</v>
      </c>
      <c r="D20" t="str">
        <f>"(46)"</f>
        <v>(46)</v>
      </c>
      <c r="E20" t="str">
        <f>"(47)"</f>
        <v>(47)</v>
      </c>
      <c r="F20" t="str">
        <f>"(48)"</f>
        <v>(48)</v>
      </c>
      <c r="G20" t="str">
        <f>"(49)"</f>
        <v>(49)</v>
      </c>
      <c r="H20" t="str">
        <f>"(50)"</f>
        <v>(50)</v>
      </c>
      <c r="I20" t="str">
        <f>"(51)"</f>
        <v>(51)</v>
      </c>
      <c r="J20" t="str">
        <f>"(52)"</f>
        <v>(52)</v>
      </c>
      <c r="K20" t="str">
        <f>"(53)"</f>
        <v>(53)</v>
      </c>
      <c r="L20" t="str">
        <f>"(54)"</f>
        <v>(54)</v>
      </c>
      <c r="M20" t="str">
        <f>"(55)"</f>
        <v>(55)</v>
      </c>
      <c r="N20" t="str">
        <f>"(56)"</f>
        <v>(56)</v>
      </c>
      <c r="O20" t="str">
        <f>"(57)"</f>
        <v>(57)</v>
      </c>
      <c r="P20" t="str">
        <f>"(58)"</f>
        <v>(58)</v>
      </c>
      <c r="Q20" t="str">
        <f>"(59)"</f>
        <v>(59)</v>
      </c>
      <c r="R20" t="str">
        <f>"(60)"</f>
        <v>(60)</v>
      </c>
      <c r="S20" t="str">
        <f>"(61)"</f>
        <v>(61)</v>
      </c>
      <c r="T20" t="str">
        <f>"(62)"</f>
        <v>(62)</v>
      </c>
      <c r="U20" t="str">
        <f>"(63)"</f>
        <v>(63)</v>
      </c>
      <c r="V20" t="str">
        <f>"(64)"</f>
        <v>(64)</v>
      </c>
      <c r="W20" t="str">
        <f>"(65)"</f>
        <v>(65)</v>
      </c>
      <c r="X20" t="str">
        <f>"(66)"</f>
        <v>(66)</v>
      </c>
      <c r="Y20" t="str">
        <f>"(67)"</f>
        <v>(67)</v>
      </c>
      <c r="Z20" t="str">
        <f>"(68)"</f>
        <v>(68)</v>
      </c>
      <c r="AA20" t="str">
        <f>"(69)"</f>
        <v>(69)</v>
      </c>
      <c r="AB20" t="str">
        <f>"(70)"</f>
        <v>(70)</v>
      </c>
      <c r="AC20" t="str">
        <f>"(71)"</f>
        <v>(71)</v>
      </c>
      <c r="AD20" t="str">
        <f>"(72)"</f>
        <v>(72)</v>
      </c>
      <c r="AE20" t="str">
        <f>"(73)"</f>
        <v>(73)</v>
      </c>
      <c r="AF20" t="str">
        <f>"(74)"</f>
        <v>(74)</v>
      </c>
      <c r="AG20" t="str">
        <f>"(75)"</f>
        <v>(75)</v>
      </c>
      <c r="AH20" t="str">
        <f>"(76)"</f>
        <v>(76)</v>
      </c>
      <c r="AI20" t="str">
        <f>"(77)"</f>
        <v>(77)</v>
      </c>
      <c r="AJ20" t="str">
        <f>"(78)"</f>
        <v>(78)</v>
      </c>
      <c r="AK20" t="str">
        <f>"(79)"</f>
        <v>(79)</v>
      </c>
      <c r="AL20" t="str">
        <f>"(80)"</f>
        <v>(80)</v>
      </c>
      <c r="AM20" t="str">
        <f>"(81)"</f>
        <v>(81)</v>
      </c>
      <c r="AN20" t="str">
        <f>"(82)"</f>
        <v>(82)</v>
      </c>
      <c r="AO20" t="str">
        <f>"(83)"</f>
        <v>(83)</v>
      </c>
      <c r="AP20" t="str">
        <f>"(84)"</f>
        <v>(84)</v>
      </c>
      <c r="AQ20" t="str">
        <f>"(85)"</f>
        <v>(85)</v>
      </c>
      <c r="AR20" t="str">
        <f>"(86)"</f>
        <v>(86)</v>
      </c>
    </row>
    <row r="21" spans="1:44" x14ac:dyDescent="0.25">
      <c r="A21" t="str">
        <f>""</f>
        <v/>
      </c>
      <c r="B21" t="str">
        <f t="shared" ref="B21:AR21" si="0">"std_star_rating"</f>
        <v>std_star_rating</v>
      </c>
      <c r="C21" t="str">
        <f t="shared" si="0"/>
        <v>std_star_rating</v>
      </c>
      <c r="D21" t="str">
        <f t="shared" si="0"/>
        <v>std_star_rating</v>
      </c>
      <c r="E21" t="str">
        <f t="shared" si="0"/>
        <v>std_star_rating</v>
      </c>
      <c r="F21" t="str">
        <f t="shared" si="0"/>
        <v>std_star_rating</v>
      </c>
      <c r="G21" t="str">
        <f t="shared" si="0"/>
        <v>std_star_rating</v>
      </c>
      <c r="H21" t="str">
        <f t="shared" si="0"/>
        <v>std_star_rating</v>
      </c>
      <c r="I21" t="str">
        <f t="shared" si="0"/>
        <v>std_star_rating</v>
      </c>
      <c r="J21" t="str">
        <f t="shared" si="0"/>
        <v>std_star_rating</v>
      </c>
      <c r="K21" t="str">
        <f t="shared" si="0"/>
        <v>std_star_rating</v>
      </c>
      <c r="L21" t="str">
        <f t="shared" si="0"/>
        <v>std_star_rating</v>
      </c>
      <c r="M21" t="str">
        <f t="shared" si="0"/>
        <v>std_star_rating</v>
      </c>
      <c r="N21" t="str">
        <f t="shared" si="0"/>
        <v>std_star_rating</v>
      </c>
      <c r="O21" t="str">
        <f t="shared" si="0"/>
        <v>std_star_rating</v>
      </c>
      <c r="P21" t="str">
        <f t="shared" si="0"/>
        <v>std_star_rating</v>
      </c>
      <c r="Q21" t="str">
        <f t="shared" si="0"/>
        <v>std_star_rating</v>
      </c>
      <c r="R21" t="str">
        <f t="shared" si="0"/>
        <v>std_star_rating</v>
      </c>
      <c r="S21" t="str">
        <f t="shared" si="0"/>
        <v>std_star_rating</v>
      </c>
      <c r="T21" t="str">
        <f t="shared" si="0"/>
        <v>std_star_rating</v>
      </c>
      <c r="U21" t="str">
        <f t="shared" si="0"/>
        <v>std_star_rating</v>
      </c>
      <c r="V21" t="str">
        <f t="shared" si="0"/>
        <v>std_star_rating</v>
      </c>
      <c r="W21" t="str">
        <f t="shared" si="0"/>
        <v>std_star_rating</v>
      </c>
      <c r="X21" t="str">
        <f t="shared" si="0"/>
        <v>std_star_rating</v>
      </c>
      <c r="Y21" t="str">
        <f t="shared" si="0"/>
        <v>std_star_rating</v>
      </c>
      <c r="Z21" t="str">
        <f t="shared" si="0"/>
        <v>std_star_rating</v>
      </c>
      <c r="AA21" t="str">
        <f t="shared" si="0"/>
        <v>std_star_rating</v>
      </c>
      <c r="AB21" t="str">
        <f t="shared" si="0"/>
        <v>std_star_rating</v>
      </c>
      <c r="AC21" t="str">
        <f t="shared" si="0"/>
        <v>std_star_rating</v>
      </c>
      <c r="AD21" t="str">
        <f t="shared" si="0"/>
        <v>std_star_rating</v>
      </c>
      <c r="AE21" t="str">
        <f t="shared" si="0"/>
        <v>std_star_rating</v>
      </c>
      <c r="AF21" t="str">
        <f t="shared" si="0"/>
        <v>std_star_rating</v>
      </c>
      <c r="AG21" t="str">
        <f t="shared" si="0"/>
        <v>std_star_rating</v>
      </c>
      <c r="AH21" t="str">
        <f t="shared" si="0"/>
        <v>std_star_rating</v>
      </c>
      <c r="AI21" t="str">
        <f t="shared" si="0"/>
        <v>std_star_rating</v>
      </c>
      <c r="AJ21" t="str">
        <f t="shared" si="0"/>
        <v>std_star_rating</v>
      </c>
      <c r="AK21" t="str">
        <f t="shared" si="0"/>
        <v>std_star_rating</v>
      </c>
      <c r="AL21" t="str">
        <f t="shared" si="0"/>
        <v>std_star_rating</v>
      </c>
      <c r="AM21" t="str">
        <f t="shared" si="0"/>
        <v>std_star_rating</v>
      </c>
      <c r="AN21" t="str">
        <f t="shared" si="0"/>
        <v>std_star_rating</v>
      </c>
      <c r="AO21" t="str">
        <f t="shared" si="0"/>
        <v>std_star_rating</v>
      </c>
      <c r="AP21" t="str">
        <f t="shared" si="0"/>
        <v>std_star_rating</v>
      </c>
      <c r="AQ21" t="str">
        <f t="shared" si="0"/>
        <v>std_star_rating</v>
      </c>
      <c r="AR21" t="str">
        <f t="shared" si="0"/>
        <v>std_star_rating</v>
      </c>
    </row>
    <row r="23" spans="1:44" x14ac:dyDescent="0.25">
      <c r="A23" t="str">
        <f>"mktrf_l"</f>
        <v>mktrf_l</v>
      </c>
      <c r="B23" t="str">
        <f>"0.295"</f>
        <v>0.295</v>
      </c>
      <c r="C23" t="str">
        <f>"4.440"</f>
        <v>4.440</v>
      </c>
      <c r="D23" t="str">
        <f>"-2.408"</f>
        <v>-2.408</v>
      </c>
      <c r="E23" t="str">
        <f>"2.897"</f>
        <v>2.897</v>
      </c>
      <c r="F23" t="str">
        <f>"0.447"</f>
        <v>0.447</v>
      </c>
      <c r="G23" t="str">
        <f>"5.043**"</f>
        <v>5.043**</v>
      </c>
      <c r="H23" t="str">
        <f>"-0.887"</f>
        <v>-0.887</v>
      </c>
      <c r="I23" t="str">
        <f>"0.004"</f>
        <v>0.004</v>
      </c>
      <c r="J23" t="str">
        <f>"9.976"</f>
        <v>9.976</v>
      </c>
      <c r="K23" t="str">
        <f>"-4.099"</f>
        <v>-4.099</v>
      </c>
      <c r="L23" t="str">
        <f>"-1.844"</f>
        <v>-1.844</v>
      </c>
      <c r="M23" t="str">
        <f>"-1.116"</f>
        <v>-1.116</v>
      </c>
      <c r="N23" t="str">
        <f>"0.742"</f>
        <v>0.742</v>
      </c>
      <c r="O23" t="str">
        <f>"-12.957"</f>
        <v>-12.957</v>
      </c>
      <c r="P23" t="str">
        <f>"2.665"</f>
        <v>2.665</v>
      </c>
      <c r="Q23" t="str">
        <f>"1.463"</f>
        <v>1.463</v>
      </c>
      <c r="R23" t="str">
        <f>"-4.063"</f>
        <v>-4.063</v>
      </c>
      <c r="S23" t="str">
        <f>"3.271"</f>
        <v>3.271</v>
      </c>
      <c r="T23" t="str">
        <f>"-9.995**"</f>
        <v>-9.995**</v>
      </c>
      <c r="U23" t="str">
        <f>"-1.807"</f>
        <v>-1.807</v>
      </c>
      <c r="V23" t="str">
        <f>"-3.161*"</f>
        <v>-3.161*</v>
      </c>
      <c r="W23" t="str">
        <f>"0.917"</f>
        <v>0.917</v>
      </c>
      <c r="X23" t="str">
        <f>"-1.344"</f>
        <v>-1.344</v>
      </c>
      <c r="Y23" t="str">
        <f>"6.244"</f>
        <v>6.244</v>
      </c>
      <c r="Z23" t="str">
        <f>"-1.007"</f>
        <v>-1.007</v>
      </c>
      <c r="AA23" t="str">
        <f>"-6.610"</f>
        <v>-6.610</v>
      </c>
      <c r="AB23" t="str">
        <f>"0.300"</f>
        <v>0.300</v>
      </c>
      <c r="AC23" t="str">
        <f>"0.009"</f>
        <v>0.009</v>
      </c>
      <c r="AD23" t="str">
        <f>"1.282"</f>
        <v>1.282</v>
      </c>
      <c r="AE23" t="str">
        <f>"-3.245"</f>
        <v>-3.245</v>
      </c>
      <c r="AF23" t="str">
        <f>"-0.190"</f>
        <v>-0.190</v>
      </c>
      <c r="AG23" t="str">
        <f>"-4.816"</f>
        <v>-4.816</v>
      </c>
      <c r="AH23" t="str">
        <f>"-0.162"</f>
        <v>-0.162</v>
      </c>
      <c r="AI23" t="str">
        <f>"-3.836"</f>
        <v>-3.836</v>
      </c>
      <c r="AJ23" t="str">
        <f>"-0.297"</f>
        <v>-0.297</v>
      </c>
      <c r="AK23" t="str">
        <f>"2.272"</f>
        <v>2.272</v>
      </c>
      <c r="AL23" t="str">
        <f>"3.523"</f>
        <v>3.523</v>
      </c>
      <c r="AM23" t="str">
        <f>"1.215"</f>
        <v>1.215</v>
      </c>
      <c r="AN23" t="str">
        <f>"-2.384"</f>
        <v>-2.384</v>
      </c>
      <c r="AO23" t="str">
        <f>"-0.244"</f>
        <v>-0.244</v>
      </c>
      <c r="AP23" t="str">
        <f>"1.498"</f>
        <v>1.498</v>
      </c>
      <c r="AQ23" t="str">
        <f>"-2.384"</f>
        <v>-2.384</v>
      </c>
      <c r="AR23" t="str">
        <f>"5.776*"</f>
        <v>5.776*</v>
      </c>
    </row>
    <row r="24" spans="1:44" x14ac:dyDescent="0.25">
      <c r="A24" t="str">
        <f>""</f>
        <v/>
      </c>
      <c r="B24" t="str">
        <f>"(0.08)"</f>
        <v>(0.08)</v>
      </c>
      <c r="C24" t="str">
        <f>"(1.06)"</f>
        <v>(1.06)</v>
      </c>
      <c r="D24" t="str">
        <f>"(-1.15)"</f>
        <v>(-1.15)</v>
      </c>
      <c r="E24" t="str">
        <f>"(0.75)"</f>
        <v>(0.75)</v>
      </c>
      <c r="F24" t="str">
        <f>"(1.27)"</f>
        <v>(1.27)</v>
      </c>
      <c r="G24" t="str">
        <f>"(2.25)"</f>
        <v>(2.25)</v>
      </c>
      <c r="H24" t="str">
        <f>"(-0.54)"</f>
        <v>(-0.54)</v>
      </c>
      <c r="I24" t="str">
        <f>"(0.00)"</f>
        <v>(0.00)</v>
      </c>
      <c r="J24" t="str">
        <f>"(1.10)"</f>
        <v>(1.10)</v>
      </c>
      <c r="K24" t="str">
        <f>"(-0.82)"</f>
        <v>(-0.82)</v>
      </c>
      <c r="L24" t="str">
        <f>"(-0.27)"</f>
        <v>(-0.27)</v>
      </c>
      <c r="M24" t="str">
        <f>"(-0.65)"</f>
        <v>(-0.65)</v>
      </c>
      <c r="N24" t="str">
        <f>"(0.15)"</f>
        <v>(0.15)</v>
      </c>
      <c r="O24" t="str">
        <f>"(-1.27)"</f>
        <v>(-1.27)</v>
      </c>
      <c r="P24" t="str">
        <f>"(0.62)"</f>
        <v>(0.62)</v>
      </c>
      <c r="Q24" t="str">
        <f>"(0.37)"</f>
        <v>(0.37)</v>
      </c>
      <c r="R24" t="str">
        <f>"(-1.35)"</f>
        <v>(-1.35)</v>
      </c>
      <c r="S24" t="str">
        <f>"(1.13)"</f>
        <v>(1.13)</v>
      </c>
      <c r="T24" t="str">
        <f>"(-1.97)"</f>
        <v>(-1.97)</v>
      </c>
      <c r="U24" t="str">
        <f>"(-0.37)"</f>
        <v>(-0.37)</v>
      </c>
      <c r="V24" t="str">
        <f>"(-1.73)"</f>
        <v>(-1.73)</v>
      </c>
      <c r="W24" t="str">
        <f>"(0.21)"</f>
        <v>(0.21)</v>
      </c>
      <c r="X24" t="str">
        <f>"(-0.24)"</f>
        <v>(-0.24)</v>
      </c>
      <c r="Y24" t="str">
        <f>"(0.91)"</f>
        <v>(0.91)</v>
      </c>
      <c r="Z24" t="str">
        <f>"(-0.70)"</f>
        <v>(-0.70)</v>
      </c>
      <c r="AA24" t="str">
        <f>"(-1.22)"</f>
        <v>(-1.22)</v>
      </c>
      <c r="AB24" t="str">
        <f>"(0.53)"</f>
        <v>(0.53)</v>
      </c>
      <c r="AC24" t="str">
        <f>"(0.00)"</f>
        <v>(0.00)</v>
      </c>
      <c r="AD24" t="str">
        <f>"(0.91)"</f>
        <v>(0.91)</v>
      </c>
      <c r="AE24" t="str">
        <f>"(-0.75)"</f>
        <v>(-0.75)</v>
      </c>
      <c r="AF24" t="str">
        <f>"(-0.11)"</f>
        <v>(-0.11)</v>
      </c>
      <c r="AG24" t="str">
        <f>"(-0.79)"</f>
        <v>(-0.79)</v>
      </c>
      <c r="AH24" t="str">
        <f>"(-0.04)"</f>
        <v>(-0.04)</v>
      </c>
      <c r="AI24" t="str">
        <f>"(-0.89)"</f>
        <v>(-0.89)</v>
      </c>
      <c r="AJ24" t="str">
        <f>"(-0.16)"</f>
        <v>(-0.16)</v>
      </c>
      <c r="AK24" t="str">
        <f>"(0.64)"</f>
        <v>(0.64)</v>
      </c>
      <c r="AL24" t="str">
        <f>"(1.26)"</f>
        <v>(1.26)</v>
      </c>
      <c r="AM24" t="str">
        <f>"(0.57)"</f>
        <v>(0.57)</v>
      </c>
      <c r="AN24" t="str">
        <f>"(-1.04)"</f>
        <v>(-1.04)</v>
      </c>
      <c r="AO24" t="str">
        <f>"(-0.39)"</f>
        <v>(-0.39)</v>
      </c>
      <c r="AP24" t="str">
        <f>"(1.39)"</f>
        <v>(1.39)</v>
      </c>
      <c r="AQ24" t="str">
        <f>"(-0.58)"</f>
        <v>(-0.58)</v>
      </c>
      <c r="AR24" t="str">
        <f>"(1.78)"</f>
        <v>(1.78)</v>
      </c>
    </row>
    <row r="26" spans="1:44" x14ac:dyDescent="0.25">
      <c r="A26" t="str">
        <f>"log_amznvol"</f>
        <v>log_amznvol</v>
      </c>
      <c r="B26" t="str">
        <f>"-0.048***"</f>
        <v>-0.048***</v>
      </c>
      <c r="C26" t="str">
        <f>"-0.086***"</f>
        <v>-0.086***</v>
      </c>
      <c r="D26" t="str">
        <f>"-0.044***"</f>
        <v>-0.044***</v>
      </c>
      <c r="E26" t="str">
        <f>"0.035"</f>
        <v>0.035</v>
      </c>
      <c r="F26" t="str">
        <f>"-0.148***"</f>
        <v>-0.148***</v>
      </c>
      <c r="G26" t="str">
        <f>"-0.036**"</f>
        <v>-0.036**</v>
      </c>
      <c r="H26" t="str">
        <f>"-0.132***"</f>
        <v>-0.132***</v>
      </c>
      <c r="I26" t="str">
        <f>"-0.118***"</f>
        <v>-0.118***</v>
      </c>
      <c r="J26" t="str">
        <f>"0.029"</f>
        <v>0.029</v>
      </c>
      <c r="K26" t="str">
        <f>"-0.003"</f>
        <v>-0.003</v>
      </c>
      <c r="L26" t="str">
        <f>"-0.010"</f>
        <v>-0.010</v>
      </c>
      <c r="M26" t="str">
        <f>"-0.080***"</f>
        <v>-0.080***</v>
      </c>
      <c r="N26" t="str">
        <f>"0.010"</f>
        <v>0.010</v>
      </c>
      <c r="O26" t="str">
        <f>"-0.155***"</f>
        <v>-0.155***</v>
      </c>
      <c r="P26" t="str">
        <f>"-0.031"</f>
        <v>-0.031</v>
      </c>
      <c r="Q26" t="str">
        <f>"-0.042*"</f>
        <v>-0.042*</v>
      </c>
      <c r="R26" t="str">
        <f>"-0.087***"</f>
        <v>-0.087***</v>
      </c>
      <c r="S26" t="str">
        <f>"0.028*"</f>
        <v>0.028*</v>
      </c>
      <c r="T26" t="str">
        <f>"0.003"</f>
        <v>0.003</v>
      </c>
      <c r="U26" t="str">
        <f>"0.007"</f>
        <v>0.007</v>
      </c>
      <c r="V26" t="str">
        <f>"-0.090***"</f>
        <v>-0.090***</v>
      </c>
      <c r="W26" t="str">
        <f>"0.011"</f>
        <v>0.011</v>
      </c>
      <c r="X26" t="str">
        <f>"0.010"</f>
        <v>0.010</v>
      </c>
      <c r="Y26" t="str">
        <f>"0.145***"</f>
        <v>0.145***</v>
      </c>
      <c r="Z26" t="str">
        <f>"0.002"</f>
        <v>0.002</v>
      </c>
      <c r="AA26" t="str">
        <f>"0.030"</f>
        <v>0.030</v>
      </c>
      <c r="AB26" t="str">
        <f>"-0.084***"</f>
        <v>-0.084***</v>
      </c>
      <c r="AC26" t="str">
        <f>"0.028"</f>
        <v>0.028</v>
      </c>
      <c r="AD26" t="str">
        <f>"-0.108***"</f>
        <v>-0.108***</v>
      </c>
      <c r="AE26" t="str">
        <f>"-0.029"</f>
        <v>-0.029</v>
      </c>
      <c r="AF26" t="str">
        <f>"-0.082***"</f>
        <v>-0.082***</v>
      </c>
      <c r="AG26" t="str">
        <f>"-0.005"</f>
        <v>-0.005</v>
      </c>
      <c r="AH26" t="str">
        <f>"-0.009"</f>
        <v>-0.009</v>
      </c>
      <c r="AI26" t="str">
        <f>"0.012"</f>
        <v>0.012</v>
      </c>
      <c r="AJ26" t="str">
        <f>"-0.075***"</f>
        <v>-0.075***</v>
      </c>
      <c r="AK26" t="str">
        <f>"-0.034*"</f>
        <v>-0.034*</v>
      </c>
      <c r="AL26" t="str">
        <f>"-0.097***"</f>
        <v>-0.097***</v>
      </c>
      <c r="AM26" t="str">
        <f>"-0.002"</f>
        <v>-0.002</v>
      </c>
      <c r="AN26" t="str">
        <f>"-0.030*"</f>
        <v>-0.030*</v>
      </c>
      <c r="AO26" t="str">
        <f>"-0.148***"</f>
        <v>-0.148***</v>
      </c>
      <c r="AP26" t="str">
        <f>"-0.056***"</f>
        <v>-0.056***</v>
      </c>
      <c r="AQ26" t="str">
        <f>"0.004"</f>
        <v>0.004</v>
      </c>
      <c r="AR26" t="str">
        <f>"0.003"</f>
        <v>0.003</v>
      </c>
    </row>
    <row r="27" spans="1:44" x14ac:dyDescent="0.25">
      <c r="A27" t="str">
        <f>""</f>
        <v/>
      </c>
      <c r="B27" t="str">
        <f>"(-2.78)"</f>
        <v>(-2.78)</v>
      </c>
      <c r="C27" t="str">
        <f>"(-3.61)"</f>
        <v>(-3.61)</v>
      </c>
      <c r="D27" t="str">
        <f>"(-3.16)"</f>
        <v>(-3.16)</v>
      </c>
      <c r="E27" t="str">
        <f>"(1.54)"</f>
        <v>(1.54)</v>
      </c>
      <c r="F27" t="str">
        <f>"(-31.02)"</f>
        <v>(-31.02)</v>
      </c>
      <c r="G27" t="str">
        <f>"(-2.56)"</f>
        <v>(-2.56)</v>
      </c>
      <c r="H27" t="str">
        <f>"(-9.20)"</f>
        <v>(-9.20)</v>
      </c>
      <c r="I27" t="str">
        <f>"(-7.10)"</f>
        <v>(-7.10)</v>
      </c>
      <c r="J27" t="str">
        <f>"(0.84)"</f>
        <v>(0.84)</v>
      </c>
      <c r="K27" t="str">
        <f>"(-0.14)"</f>
        <v>(-0.14)</v>
      </c>
      <c r="L27" t="str">
        <f>"(-0.32)"</f>
        <v>(-0.32)</v>
      </c>
      <c r="M27" t="str">
        <f>"(-6.73)"</f>
        <v>(-6.73)</v>
      </c>
      <c r="N27" t="str">
        <f>"(0.39)"</f>
        <v>(0.39)</v>
      </c>
      <c r="O27" t="str">
        <f>"(-5.77)"</f>
        <v>(-5.77)</v>
      </c>
      <c r="P27" t="str">
        <f>"(-1.27)"</f>
        <v>(-1.27)</v>
      </c>
      <c r="Q27" t="str">
        <f>"(-1.78)"</f>
        <v>(-1.78)</v>
      </c>
      <c r="R27" t="str">
        <f>"(-5.06)"</f>
        <v>(-5.06)</v>
      </c>
      <c r="S27" t="str">
        <f>"(1.65)"</f>
        <v>(1.65)</v>
      </c>
      <c r="T27" t="str">
        <f>"(0.12)"</f>
        <v>(0.12)</v>
      </c>
      <c r="U27" t="str">
        <f>"(0.28)"</f>
        <v>(0.28)</v>
      </c>
      <c r="V27" t="str">
        <f>"(-7.62)"</f>
        <v>(-7.62)</v>
      </c>
      <c r="W27" t="str">
        <f>"(0.50)"</f>
        <v>(0.50)</v>
      </c>
      <c r="X27" t="str">
        <f>"(0.33)"</f>
        <v>(0.33)</v>
      </c>
      <c r="Y27" t="str">
        <f>"(3.54)"</f>
        <v>(3.54)</v>
      </c>
      <c r="Z27" t="str">
        <f>"(0.25)"</f>
        <v>(0.25)</v>
      </c>
      <c r="AA27" t="str">
        <f>"(1.01)"</f>
        <v>(1.01)</v>
      </c>
      <c r="AB27" t="str">
        <f>"(-12.30)"</f>
        <v>(-12.30)</v>
      </c>
      <c r="AC27" t="str">
        <f>"(1.13)"</f>
        <v>(1.13)</v>
      </c>
      <c r="AD27" t="str">
        <f>"(-11.58)"</f>
        <v>(-11.58)</v>
      </c>
      <c r="AE27" t="str">
        <f>"(-1.21)"</f>
        <v>(-1.21)</v>
      </c>
      <c r="AF27" t="str">
        <f>"(-7.05)"</f>
        <v>(-7.05)</v>
      </c>
      <c r="AG27" t="str">
        <f>"(-0.18)"</f>
        <v>(-0.18)</v>
      </c>
      <c r="AH27" t="str">
        <f>"(-0.37)"</f>
        <v>(-0.37)</v>
      </c>
      <c r="AI27" t="str">
        <f>"(0.52)"</f>
        <v>(0.52)</v>
      </c>
      <c r="AJ27" t="str">
        <f>"(-6.92)"</f>
        <v>(-6.92)</v>
      </c>
      <c r="AK27" t="str">
        <f>"(-1.78)"</f>
        <v>(-1.78)</v>
      </c>
      <c r="AL27" t="str">
        <f>"(-5.72)"</f>
        <v>(-5.72)</v>
      </c>
      <c r="AM27" t="str">
        <f>"(-0.18)"</f>
        <v>(-0.18)</v>
      </c>
      <c r="AN27" t="str">
        <f>"(-1.88)"</f>
        <v>(-1.88)</v>
      </c>
      <c r="AO27" t="str">
        <f>"(-23.54)"</f>
        <v>(-23.54)</v>
      </c>
      <c r="AP27" t="str">
        <f>"(-6.87)"</f>
        <v>(-6.87)</v>
      </c>
      <c r="AQ27" t="str">
        <f>"(0.18)"</f>
        <v>(0.18)</v>
      </c>
      <c r="AR27" t="str">
        <f>"(0.17)"</f>
        <v>(0.17)</v>
      </c>
    </row>
    <row r="29" spans="1:44" x14ac:dyDescent="0.25">
      <c r="A29" t="str">
        <f>"log_helpful"</f>
        <v>log_helpful</v>
      </c>
      <c r="B29" t="str">
        <f>"0.004"</f>
        <v>0.004</v>
      </c>
      <c r="C29" t="str">
        <f>"0.023*"</f>
        <v>0.023*</v>
      </c>
      <c r="D29" t="str">
        <f>"0.015**"</f>
        <v>0.015**</v>
      </c>
      <c r="E29" t="str">
        <f>"-0.015"</f>
        <v>-0.015</v>
      </c>
      <c r="F29" t="str">
        <f>"0.069***"</f>
        <v>0.069***</v>
      </c>
      <c r="G29" t="str">
        <f>"-0.010"</f>
        <v>-0.010</v>
      </c>
      <c r="H29" t="str">
        <f>"0.077***"</f>
        <v>0.077***</v>
      </c>
      <c r="I29" t="str">
        <f>"0.079***"</f>
        <v>0.079***</v>
      </c>
      <c r="J29" t="str">
        <f>"0.071***"</f>
        <v>0.071***</v>
      </c>
      <c r="K29" t="str">
        <f>"0.126***"</f>
        <v>0.126***</v>
      </c>
      <c r="L29" t="str">
        <f>"0.045***"</f>
        <v>0.045***</v>
      </c>
      <c r="M29" t="str">
        <f>"0.010"</f>
        <v>0.010</v>
      </c>
      <c r="N29" t="str">
        <f>"0.027**"</f>
        <v>0.027**</v>
      </c>
      <c r="O29" t="str">
        <f>"0.047***"</f>
        <v>0.047***</v>
      </c>
      <c r="P29" t="str">
        <f>"0.052***"</f>
        <v>0.052***</v>
      </c>
      <c r="Q29" t="str">
        <f>"0.012"</f>
        <v>0.012</v>
      </c>
      <c r="R29" t="str">
        <f>"0.033***"</f>
        <v>0.033***</v>
      </c>
      <c r="S29" t="str">
        <f>"-0.007"</f>
        <v>-0.007</v>
      </c>
      <c r="T29" t="str">
        <f>"0.029**"</f>
        <v>0.029**</v>
      </c>
      <c r="U29" t="str">
        <f>"0.040***"</f>
        <v>0.040***</v>
      </c>
      <c r="V29" t="str">
        <f>"0.003"</f>
        <v>0.003</v>
      </c>
      <c r="W29" t="str">
        <f>"0.012"</f>
        <v>0.012</v>
      </c>
      <c r="X29" t="str">
        <f>"0.045***"</f>
        <v>0.045***</v>
      </c>
      <c r="Y29" t="str">
        <f>"-0.030*"</f>
        <v>-0.030*</v>
      </c>
      <c r="Z29" t="str">
        <f>"0.015***"</f>
        <v>0.015***</v>
      </c>
      <c r="AA29" t="str">
        <f>"0.022*"</f>
        <v>0.022*</v>
      </c>
      <c r="AB29" t="str">
        <f>"0.045***"</f>
        <v>0.045***</v>
      </c>
      <c r="AC29" t="str">
        <f>"0.001"</f>
        <v>0.001</v>
      </c>
      <c r="AD29" t="str">
        <f>"0.011*"</f>
        <v>0.011*</v>
      </c>
      <c r="AE29" t="str">
        <f>"-0.001"</f>
        <v>-0.001</v>
      </c>
      <c r="AF29" t="str">
        <f>"0.003"</f>
        <v>0.003</v>
      </c>
      <c r="AG29" t="str">
        <f>"0.020"</f>
        <v>0.020</v>
      </c>
      <c r="AH29" t="str">
        <f>"0.040***"</f>
        <v>0.040***</v>
      </c>
      <c r="AI29" t="str">
        <f>"0.027**"</f>
        <v>0.027**</v>
      </c>
      <c r="AJ29" t="str">
        <f>"0.019***"</f>
        <v>0.019***</v>
      </c>
      <c r="AK29" t="str">
        <f>"0.014"</f>
        <v>0.014</v>
      </c>
      <c r="AL29" t="str">
        <f>"0.046***"</f>
        <v>0.046***</v>
      </c>
      <c r="AM29" t="str">
        <f>"0.051***"</f>
        <v>0.051***</v>
      </c>
      <c r="AN29" t="str">
        <f>"0.005"</f>
        <v>0.005</v>
      </c>
      <c r="AO29" t="str">
        <f>"0.050***"</f>
        <v>0.050***</v>
      </c>
      <c r="AP29" t="str">
        <f>"0.048***"</f>
        <v>0.048***</v>
      </c>
      <c r="AQ29" t="str">
        <f>"-0.033***"</f>
        <v>-0.033***</v>
      </c>
      <c r="AR29" t="str">
        <f>"0.002"</f>
        <v>0.002</v>
      </c>
    </row>
    <row r="30" spans="1:44" x14ac:dyDescent="0.25">
      <c r="A30" t="str">
        <f>""</f>
        <v/>
      </c>
      <c r="B30" t="str">
        <f>"(0.40)"</f>
        <v>(0.40)</v>
      </c>
      <c r="C30" t="str">
        <f>"(1.79)"</f>
        <v>(1.79)</v>
      </c>
      <c r="D30" t="str">
        <f>"(2.16)"</f>
        <v>(2.16)</v>
      </c>
      <c r="E30" t="str">
        <f>"(-1.27)"</f>
        <v>(-1.27)</v>
      </c>
      <c r="F30" t="str">
        <f>"(15.28)"</f>
        <v>(15.28)</v>
      </c>
      <c r="G30" t="str">
        <f>"(-1.13)"</f>
        <v>(-1.13)</v>
      </c>
      <c r="H30" t="str">
        <f>"(9.25)"</f>
        <v>(9.25)</v>
      </c>
      <c r="I30" t="str">
        <f>"(7.52)"</f>
        <v>(7.52)</v>
      </c>
      <c r="J30" t="str">
        <f>"(5.36)"</f>
        <v>(5.36)</v>
      </c>
      <c r="K30" t="str">
        <f>"(7.94)"</f>
        <v>(7.94)</v>
      </c>
      <c r="L30" t="str">
        <f>"(3.00)"</f>
        <v>(3.00)</v>
      </c>
      <c r="M30" t="str">
        <f>"(1.44)"</f>
        <v>(1.44)</v>
      </c>
      <c r="N30" t="str">
        <f>"(2.18)"</f>
        <v>(2.18)</v>
      </c>
      <c r="O30" t="str">
        <f>"(5.90)"</f>
        <v>(5.90)</v>
      </c>
      <c r="P30" t="str">
        <f>"(3.71)"</f>
        <v>(3.71)</v>
      </c>
      <c r="Q30" t="str">
        <f>"(0.99)"</f>
        <v>(0.99)</v>
      </c>
      <c r="R30" t="str">
        <f>"(3.46)"</f>
        <v>(3.46)</v>
      </c>
      <c r="S30" t="str">
        <f>"(-0.77)"</f>
        <v>(-0.77)</v>
      </c>
      <c r="T30" t="str">
        <f>"(2.07)"</f>
        <v>(2.07)</v>
      </c>
      <c r="U30" t="str">
        <f>"(2.83)"</f>
        <v>(2.83)</v>
      </c>
      <c r="V30" t="str">
        <f>"(0.38)"</f>
        <v>(0.38)</v>
      </c>
      <c r="W30" t="str">
        <f>"(0.94)"</f>
        <v>(0.94)</v>
      </c>
      <c r="X30" t="str">
        <f>"(3.32)"</f>
        <v>(3.32)</v>
      </c>
      <c r="Y30" t="str">
        <f>"(-1.94)"</f>
        <v>(-1.94)</v>
      </c>
      <c r="Z30" t="str">
        <f>"(3.56)"</f>
        <v>(3.56)</v>
      </c>
      <c r="AA30" t="str">
        <f>"(1.79)"</f>
        <v>(1.79)</v>
      </c>
      <c r="AB30" t="str">
        <f>"(8.23)"</f>
        <v>(8.23)</v>
      </c>
      <c r="AC30" t="str">
        <f>"(0.09)"</f>
        <v>(0.09)</v>
      </c>
      <c r="AD30" t="str">
        <f>"(1.86)"</f>
        <v>(1.86)</v>
      </c>
      <c r="AE30" t="str">
        <f>"(-0.11)"</f>
        <v>(-0.11)</v>
      </c>
      <c r="AF30" t="str">
        <f>"(0.39)"</f>
        <v>(0.39)</v>
      </c>
      <c r="AG30" t="str">
        <f>"(1.53)"</f>
        <v>(1.53)</v>
      </c>
      <c r="AH30" t="str">
        <f>"(3.47)"</f>
        <v>(3.47)</v>
      </c>
      <c r="AI30" t="str">
        <f>"(2.01)"</f>
        <v>(2.01)</v>
      </c>
      <c r="AJ30" t="str">
        <f>"(2.90)"</f>
        <v>(2.90)</v>
      </c>
      <c r="AK30" t="str">
        <f>"(1.31)"</f>
        <v>(1.31)</v>
      </c>
      <c r="AL30" t="str">
        <f>"(3.95)"</f>
        <v>(3.95)</v>
      </c>
      <c r="AM30" t="str">
        <f>"(5.67)"</f>
        <v>(5.67)</v>
      </c>
      <c r="AN30" t="str">
        <f>"(0.51)"</f>
        <v>(0.51)</v>
      </c>
      <c r="AO30" t="str">
        <f>"(10.37)"</f>
        <v>(10.37)</v>
      </c>
      <c r="AP30" t="str">
        <f>"(10.17)"</f>
        <v>(10.17)</v>
      </c>
      <c r="AQ30" t="str">
        <f>"(-2.64)"</f>
        <v>(-2.64)</v>
      </c>
      <c r="AR30" t="str">
        <f>"(0.17)"</f>
        <v>(0.17)</v>
      </c>
    </row>
    <row r="32" spans="1:44" x14ac:dyDescent="0.25">
      <c r="A32" t="str">
        <f>"_cons"</f>
        <v>_cons</v>
      </c>
      <c r="B32" t="str">
        <f>"1.526***"</f>
        <v>1.526***</v>
      </c>
      <c r="C32" t="str">
        <f>"1.631***"</f>
        <v>1.631***</v>
      </c>
      <c r="D32" t="str">
        <f>"1.486***"</f>
        <v>1.486***</v>
      </c>
      <c r="E32" t="str">
        <f>"1.264***"</f>
        <v>1.264***</v>
      </c>
      <c r="F32" t="str">
        <f>"1.700***"</f>
        <v>1.700***</v>
      </c>
      <c r="G32" t="str">
        <f>"1.530***"</f>
        <v>1.530***</v>
      </c>
      <c r="H32" t="str">
        <f>"1.565***"</f>
        <v>1.565***</v>
      </c>
      <c r="I32" t="str">
        <f>"1.201***"</f>
        <v>1.201***</v>
      </c>
      <c r="J32" t="str">
        <f>"1.182***"</f>
        <v>1.182***</v>
      </c>
      <c r="K32" t="str">
        <f>"0.722***"</f>
        <v>0.722***</v>
      </c>
      <c r="L32" t="str">
        <f>"1.293***"</f>
        <v>1.293***</v>
      </c>
      <c r="M32" t="str">
        <f>"1.755***"</f>
        <v>1.755***</v>
      </c>
      <c r="N32" t="str">
        <f>"1.157***"</f>
        <v>1.157***</v>
      </c>
      <c r="O32" t="str">
        <f>"1.440***"</f>
        <v>1.440***</v>
      </c>
      <c r="P32" t="str">
        <f>"1.011***"</f>
        <v>1.011***</v>
      </c>
      <c r="Q32" t="str">
        <f>"1.497***"</f>
        <v>1.497***</v>
      </c>
      <c r="R32" t="str">
        <f>"1.615***"</f>
        <v>1.615***</v>
      </c>
      <c r="S32" t="str">
        <f>"1.409***"</f>
        <v>1.409***</v>
      </c>
      <c r="T32" t="str">
        <f>"1.178***"</f>
        <v>1.178***</v>
      </c>
      <c r="U32" t="str">
        <f>"1.045***"</f>
        <v>1.045***</v>
      </c>
      <c r="V32" t="str">
        <f>"1.857***"</f>
        <v>1.857***</v>
      </c>
      <c r="W32" t="str">
        <f>"1.280***"</f>
        <v>1.280***</v>
      </c>
      <c r="X32" t="str">
        <f>"0.981***"</f>
        <v>0.981***</v>
      </c>
      <c r="Y32" t="str">
        <f>"1.323***"</f>
        <v>1.323***</v>
      </c>
      <c r="Z32" t="str">
        <f>"1.226***"</f>
        <v>1.226***</v>
      </c>
      <c r="AA32" t="str">
        <f>"1.302***"</f>
        <v>1.302***</v>
      </c>
      <c r="AB32" t="str">
        <f>"1.286***"</f>
        <v>1.286***</v>
      </c>
      <c r="AC32" t="str">
        <f>"1.092***"</f>
        <v>1.092***</v>
      </c>
      <c r="AD32" t="str">
        <f>"1.938***"</f>
        <v>1.938***</v>
      </c>
      <c r="AE32" t="str">
        <f>"1.378***"</f>
        <v>1.378***</v>
      </c>
      <c r="AF32" t="str">
        <f>"1.860***"</f>
        <v>1.860***</v>
      </c>
      <c r="AG32" t="str">
        <f>"1.369***"</f>
        <v>1.369***</v>
      </c>
      <c r="AH32" t="str">
        <f>"1.162***"</f>
        <v>1.162***</v>
      </c>
      <c r="AI32" t="str">
        <f>"0.961***"</f>
        <v>0.961***</v>
      </c>
      <c r="AJ32" t="str">
        <f>"1.781***"</f>
        <v>1.781***</v>
      </c>
      <c r="AK32" t="str">
        <f>"1.416***"</f>
        <v>1.416***</v>
      </c>
      <c r="AL32" t="str">
        <f>"1.384***"</f>
        <v>1.384***</v>
      </c>
      <c r="AM32" t="str">
        <f>"0.942***"</f>
        <v>0.942***</v>
      </c>
      <c r="AN32" t="str">
        <f>"1.265***"</f>
        <v>1.265***</v>
      </c>
      <c r="AO32" t="str">
        <f>"1.844***"</f>
        <v>1.844***</v>
      </c>
      <c r="AP32" t="str">
        <f>"1.335***"</f>
        <v>1.335***</v>
      </c>
      <c r="AQ32" t="str">
        <f>"1.397***"</f>
        <v>1.397***</v>
      </c>
      <c r="AR32" t="str">
        <f>"1.428***"</f>
        <v>1.428***</v>
      </c>
    </row>
    <row r="33" spans="1:44" x14ac:dyDescent="0.25">
      <c r="A33" t="str">
        <f>""</f>
        <v/>
      </c>
      <c r="B33" t="str">
        <f>"(20.29)"</f>
        <v>(20.29)</v>
      </c>
      <c r="C33" t="str">
        <f>"(16.01)"</f>
        <v>(16.01)</v>
      </c>
      <c r="D33" t="str">
        <f>"(25.33)"</f>
        <v>(25.33)</v>
      </c>
      <c r="E33" t="str">
        <f>"(12.96)"</f>
        <v>(12.96)</v>
      </c>
      <c r="F33" t="str">
        <f>"(48.38)"</f>
        <v>(48.38)</v>
      </c>
      <c r="G33" t="str">
        <f>"(25.80)"</f>
        <v>(25.80)</v>
      </c>
      <c r="H33" t="str">
        <f>"(18.21)"</f>
        <v>(18.21)</v>
      </c>
      <c r="I33" t="str">
        <f>"(14.89)"</f>
        <v>(14.89)</v>
      </c>
      <c r="J33" t="str">
        <f>"(11.69)"</f>
        <v>(11.69)</v>
      </c>
      <c r="K33" t="str">
        <f>"(8.40)"</f>
        <v>(8.40)</v>
      </c>
      <c r="L33" t="str">
        <f>"(14.58)"</f>
        <v>(14.58)</v>
      </c>
      <c r="M33" t="str">
        <f>"(33.33)"</f>
        <v>(33.33)</v>
      </c>
      <c r="N33" t="str">
        <f>"(12.29)"</f>
        <v>(12.29)</v>
      </c>
      <c r="O33" t="str">
        <f>"(13.40)"</f>
        <v>(13.40)</v>
      </c>
      <c r="P33" t="str">
        <f>"(9.89)"</f>
        <v>(9.89)</v>
      </c>
      <c r="Q33" t="str">
        <f>"(13.93)"</f>
        <v>(13.93)</v>
      </c>
      <c r="R33" t="str">
        <f>"(20.80)"</f>
        <v>(20.80)</v>
      </c>
      <c r="S33" t="str">
        <f>"(23.37)"</f>
        <v>(23.37)</v>
      </c>
      <c r="T33" t="str">
        <f>"(11.97)"</f>
        <v>(11.97)</v>
      </c>
      <c r="U33" t="str">
        <f>"(11.72)"</f>
        <v>(11.72)</v>
      </c>
      <c r="V33" t="str">
        <f>"(33.34)"</f>
        <v>(33.34)</v>
      </c>
      <c r="W33" t="str">
        <f>"(16.79)"</f>
        <v>(16.79)</v>
      </c>
      <c r="X33" t="str">
        <f>"(10.77)"</f>
        <v>(10.77)</v>
      </c>
      <c r="Y33" t="str">
        <f>"(13.77)"</f>
        <v>(13.77)</v>
      </c>
      <c r="Z33" t="str">
        <f>"(20.31)"</f>
        <v>(20.31)</v>
      </c>
      <c r="AA33" t="str">
        <f>"(16.24)"</f>
        <v>(16.24)</v>
      </c>
      <c r="AB33" t="str">
        <f>"(29.88)"</f>
        <v>(29.88)</v>
      </c>
      <c r="AC33" t="str">
        <f>"(12.50)"</f>
        <v>(12.50)</v>
      </c>
      <c r="AD33" t="str">
        <f>"(48.68)"</f>
        <v>(48.68)</v>
      </c>
      <c r="AE33" t="str">
        <f>"(14.38)"</f>
        <v>(14.38)</v>
      </c>
      <c r="AF33" t="str">
        <f>"(33.03)"</f>
        <v>(33.03)</v>
      </c>
      <c r="AG33" t="str">
        <f>"(19.75)"</f>
        <v>(19.75)</v>
      </c>
      <c r="AH33" t="str">
        <f>"(11.40)"</f>
        <v>(11.40)</v>
      </c>
      <c r="AI33" t="str">
        <f>"(9.81)"</f>
        <v>(9.81)</v>
      </c>
      <c r="AJ33" t="str">
        <f>"(47.60)"</f>
        <v>(47.60)</v>
      </c>
      <c r="AK33" t="str">
        <f>"(16.13)"</f>
        <v>(16.13)</v>
      </c>
      <c r="AL33" t="str">
        <f>"(22.84)"</f>
        <v>(22.84)</v>
      </c>
      <c r="AM33" t="str">
        <f>"(16.67)"</f>
        <v>(16.67)</v>
      </c>
      <c r="AN33" t="str">
        <f>"(24.23)"</f>
        <v>(24.23)</v>
      </c>
      <c r="AO33" t="str">
        <f>"(42.79)"</f>
        <v>(42.79)</v>
      </c>
      <c r="AP33" t="str">
        <f>"(35.23)"</f>
        <v>(35.23)</v>
      </c>
      <c r="AQ33" t="str">
        <f>"(16.84)"</f>
        <v>(16.84)</v>
      </c>
      <c r="AR33" t="str">
        <f>"(18.19)"</f>
        <v>(18.19)</v>
      </c>
    </row>
    <row r="35" spans="1:44" x14ac:dyDescent="0.25">
      <c r="A35" t="str">
        <f>"N"</f>
        <v>N</v>
      </c>
      <c r="B35" t="str">
        <f>"2980.000"</f>
        <v>2980.000</v>
      </c>
      <c r="C35" t="str">
        <f>"2432.000"</f>
        <v>2432.000</v>
      </c>
      <c r="D35" t="str">
        <f>"3515.000"</f>
        <v>3515.000</v>
      </c>
      <c r="E35" t="str">
        <f>"3150.000"</f>
        <v>3150.000</v>
      </c>
      <c r="F35" t="str">
        <f>"3806.000"</f>
        <v>3806.000</v>
      </c>
      <c r="G35" t="str">
        <f>"3788.000"</f>
        <v>3788.000</v>
      </c>
      <c r="H35" t="str">
        <f>"1830.000"</f>
        <v>1830.000</v>
      </c>
      <c r="I35" t="str">
        <f>"1864.000"</f>
        <v>1864.000</v>
      </c>
      <c r="J35" t="str">
        <f>"1210.000"</f>
        <v>1210.000</v>
      </c>
      <c r="K35" t="str">
        <f>"2046.000"</f>
        <v>2046.000</v>
      </c>
      <c r="L35" t="str">
        <f>"1484.000"</f>
        <v>1484.000</v>
      </c>
      <c r="M35" t="str">
        <f>"3805.000"</f>
        <v>3805.000</v>
      </c>
      <c r="N35" t="str">
        <f>"2445.000"</f>
        <v>2445.000</v>
      </c>
      <c r="O35" t="str">
        <f>"785.000"</f>
        <v>785.000</v>
      </c>
      <c r="P35" t="str">
        <f>"2747.000"</f>
        <v>2747.000</v>
      </c>
      <c r="Q35" t="str">
        <f>"3127.000"</f>
        <v>3127.000</v>
      </c>
      <c r="R35" t="str">
        <f>"3453.000"</f>
        <v>3453.000</v>
      </c>
      <c r="S35" t="str">
        <f>"3764.000"</f>
        <v>3764.000</v>
      </c>
      <c r="T35" t="str">
        <f>"3267.000"</f>
        <v>3267.000</v>
      </c>
      <c r="U35" t="str">
        <f>"2737.000"</f>
        <v>2737.000</v>
      </c>
      <c r="V35" t="str">
        <f>"3722.000"</f>
        <v>3722.000</v>
      </c>
      <c r="W35" t="str">
        <f>"3535.000"</f>
        <v>3535.000</v>
      </c>
      <c r="X35" t="str">
        <f>"2006.000"</f>
        <v>2006.000</v>
      </c>
      <c r="Y35" t="str">
        <f>"1861.000"</f>
        <v>1861.000</v>
      </c>
      <c r="Z35" t="str">
        <f>"986.000"</f>
        <v>986.000</v>
      </c>
      <c r="AA35" t="str">
        <f>"2082.000"</f>
        <v>2082.000</v>
      </c>
      <c r="AB35" t="str">
        <f>"3806.000"</f>
        <v>3806.000</v>
      </c>
      <c r="AC35" t="str">
        <f>"2714.000"</f>
        <v>2714.000</v>
      </c>
      <c r="AD35" t="str">
        <f>"3802.000"</f>
        <v>3802.000</v>
      </c>
      <c r="AE35" t="str">
        <f>"2639.000"</f>
        <v>2639.000</v>
      </c>
      <c r="AF35" t="str">
        <f>"3801.000"</f>
        <v>3801.000</v>
      </c>
      <c r="AG35" t="str">
        <f>"2681.000"</f>
        <v>2681.000</v>
      </c>
      <c r="AH35" t="str">
        <f>"2720.000"</f>
        <v>2720.000</v>
      </c>
      <c r="AI35" t="str">
        <f>"2723.000"</f>
        <v>2723.000</v>
      </c>
      <c r="AJ35" t="str">
        <f>"3796.000"</f>
        <v>3796.000</v>
      </c>
      <c r="AK35" t="str">
        <f>"2976.000"</f>
        <v>2976.000</v>
      </c>
      <c r="AL35" t="str">
        <f>"3802.000"</f>
        <v>3802.000</v>
      </c>
      <c r="AM35" t="str">
        <f>"3802.000"</f>
        <v>3802.000</v>
      </c>
      <c r="AN35" t="str">
        <f>"3806.000"</f>
        <v>3806.000</v>
      </c>
      <c r="AO35" t="str">
        <f>"3806.000"</f>
        <v>3806.000</v>
      </c>
      <c r="AP35" t="str">
        <f>"3806.000"</f>
        <v>3806.000</v>
      </c>
      <c r="AQ35" t="str">
        <f>"2572.000"</f>
        <v>2572.000</v>
      </c>
      <c r="AR35" t="str">
        <f>"3626.000"</f>
        <v>3626.000</v>
      </c>
    </row>
    <row r="36" spans="1:44" x14ac:dyDescent="0.25">
      <c r="A36" t="str">
        <f>"r2_a"</f>
        <v>r2_a</v>
      </c>
      <c r="B36" t="str">
        <f>"0.113"</f>
        <v>0.113</v>
      </c>
      <c r="C36" t="str">
        <f>"0.113"</f>
        <v>0.113</v>
      </c>
      <c r="D36" t="str">
        <f>"0.372"</f>
        <v>0.372</v>
      </c>
      <c r="E36" t="str">
        <f>"0.083"</f>
        <v>0.083</v>
      </c>
      <c r="F36" t="str">
        <f>"0.863"</f>
        <v>0.863</v>
      </c>
      <c r="G36" t="str">
        <f>"0.188"</f>
        <v>0.188</v>
      </c>
      <c r="H36" t="str">
        <f>"0.677"</f>
        <v>0.677</v>
      </c>
      <c r="I36" t="str">
        <f>"0.405"</f>
        <v>0.405</v>
      </c>
      <c r="J36" t="str">
        <f>"0.160"</f>
        <v>0.160</v>
      </c>
      <c r="K36" t="str">
        <f>"0.138"</f>
        <v>0.138</v>
      </c>
      <c r="L36" t="str">
        <f>"0.112"</f>
        <v>0.112</v>
      </c>
      <c r="M36" t="str">
        <f>"0.176"</f>
        <v>0.176</v>
      </c>
      <c r="N36" t="str">
        <f>"0.060"</f>
        <v>0.060</v>
      </c>
      <c r="O36" t="str">
        <f>"0.326"</f>
        <v>0.326</v>
      </c>
      <c r="P36" t="str">
        <f>"0.323"</f>
        <v>0.323</v>
      </c>
      <c r="Q36" t="str">
        <f>"0.069"</f>
        <v>0.069</v>
      </c>
      <c r="R36" t="str">
        <f>"0.244"</f>
        <v>0.244</v>
      </c>
      <c r="S36" t="str">
        <f>"0.203"</f>
        <v>0.203</v>
      </c>
      <c r="T36" t="str">
        <f>"0.105"</f>
        <v>0.105</v>
      </c>
      <c r="U36" t="str">
        <f>"0.076"</f>
        <v>0.076</v>
      </c>
      <c r="V36" t="str">
        <f>"0.355"</f>
        <v>0.355</v>
      </c>
      <c r="W36" t="str">
        <f>"0.115"</f>
        <v>0.115</v>
      </c>
      <c r="X36" t="str">
        <f>"0.088"</f>
        <v>0.088</v>
      </c>
      <c r="Y36" t="str">
        <f>"0.138"</f>
        <v>0.138</v>
      </c>
      <c r="Z36" t="str">
        <f>"0.722"</f>
        <v>0.722</v>
      </c>
      <c r="AA36" t="str">
        <f>"0.096"</f>
        <v>0.096</v>
      </c>
      <c r="AB36" t="str">
        <f>"0.701"</f>
        <v>0.701</v>
      </c>
      <c r="AC36" t="str">
        <f>"0.119"</f>
        <v>0.119</v>
      </c>
      <c r="AD36" t="str">
        <f>"0.328"</f>
        <v>0.328</v>
      </c>
      <c r="AE36" t="str">
        <f>"0.100"</f>
        <v>0.100</v>
      </c>
      <c r="AF36" t="str">
        <f>"0.257"</f>
        <v>0.257</v>
      </c>
      <c r="AG36" t="str">
        <f>"0.069"</f>
        <v>0.069</v>
      </c>
      <c r="AH36" t="str">
        <f>"0.116"</f>
        <v>0.116</v>
      </c>
      <c r="AI36" t="str">
        <f>"0.100"</f>
        <v>0.100</v>
      </c>
      <c r="AJ36" t="str">
        <f>"0.167"</f>
        <v>0.167</v>
      </c>
      <c r="AK36" t="str">
        <f>"0.166"</f>
        <v>0.166</v>
      </c>
      <c r="AL36" t="str">
        <f>"0.151"</f>
        <v>0.151</v>
      </c>
      <c r="AM36" t="str">
        <f>"0.318"</f>
        <v>0.318</v>
      </c>
      <c r="AN36" t="str">
        <f>"0.089"</f>
        <v>0.089</v>
      </c>
      <c r="AO36" t="str">
        <f>"0.755"</f>
        <v>0.755</v>
      </c>
      <c r="AP36" t="str">
        <f>"0.280"</f>
        <v>0.280</v>
      </c>
      <c r="AQ36" t="str">
        <f>"0.148"</f>
        <v>0.148</v>
      </c>
      <c r="AR36" t="str">
        <f>"0.128"</f>
        <v>0.128</v>
      </c>
    </row>
    <row r="38" spans="1:44" x14ac:dyDescent="0.25">
      <c r="A38" t="str">
        <f>""</f>
        <v/>
      </c>
      <c r="B38" t="str">
        <f>"(87)"</f>
        <v>(87)</v>
      </c>
      <c r="C38" t="str">
        <f>"(88)"</f>
        <v>(88)</v>
      </c>
      <c r="D38" t="str">
        <f>"(89)"</f>
        <v>(89)</v>
      </c>
      <c r="E38" t="str">
        <f>"(90)"</f>
        <v>(90)</v>
      </c>
      <c r="F38" t="str">
        <f>"(91)"</f>
        <v>(91)</v>
      </c>
      <c r="G38" t="str">
        <f>"(92)"</f>
        <v>(92)</v>
      </c>
      <c r="H38" t="str">
        <f>"(93)"</f>
        <v>(93)</v>
      </c>
      <c r="I38" t="str">
        <f>"(94)"</f>
        <v>(94)</v>
      </c>
      <c r="J38" t="str">
        <f>"(95)"</f>
        <v>(95)</v>
      </c>
      <c r="K38" t="str">
        <f>"(96)"</f>
        <v>(96)</v>
      </c>
      <c r="L38" t="str">
        <f>"(97)"</f>
        <v>(97)</v>
      </c>
      <c r="M38" t="str">
        <f>"(98)"</f>
        <v>(98)</v>
      </c>
      <c r="N38" t="str">
        <f>"(99)"</f>
        <v>(99)</v>
      </c>
      <c r="O38" t="str">
        <f>"(100)"</f>
        <v>(100)</v>
      </c>
      <c r="P38" t="str">
        <f>"(101)"</f>
        <v>(101)</v>
      </c>
      <c r="Q38" t="str">
        <f>"(102)"</f>
        <v>(102)</v>
      </c>
      <c r="R38" t="str">
        <f>"(103)"</f>
        <v>(103)</v>
      </c>
      <c r="S38" t="str">
        <f>"(104)"</f>
        <v>(104)</v>
      </c>
      <c r="T38" t="str">
        <f>"(105)"</f>
        <v>(105)</v>
      </c>
      <c r="U38" t="str">
        <f>"(106)"</f>
        <v>(106)</v>
      </c>
      <c r="V38" t="str">
        <f>"(107)"</f>
        <v>(107)</v>
      </c>
      <c r="W38" t="str">
        <f>"(108)"</f>
        <v>(108)</v>
      </c>
      <c r="X38" t="str">
        <f>"(109)"</f>
        <v>(109)</v>
      </c>
      <c r="Y38" t="str">
        <f>"(110)"</f>
        <v>(110)</v>
      </c>
      <c r="Z38" t="str">
        <f>"(111)"</f>
        <v>(111)</v>
      </c>
      <c r="AA38" t="str">
        <f>"(112)"</f>
        <v>(112)</v>
      </c>
      <c r="AB38" t="str">
        <f>"(113)"</f>
        <v>(113)</v>
      </c>
      <c r="AC38" t="str">
        <f>"(114)"</f>
        <v>(114)</v>
      </c>
      <c r="AD38" t="str">
        <f>"(115)"</f>
        <v>(115)</v>
      </c>
      <c r="AE38" t="str">
        <f>"(116)"</f>
        <v>(116)</v>
      </c>
      <c r="AF38" t="str">
        <f>"(117)"</f>
        <v>(117)</v>
      </c>
      <c r="AG38" t="str">
        <f>"(118)"</f>
        <v>(118)</v>
      </c>
      <c r="AH38" t="str">
        <f>"(119)"</f>
        <v>(119)</v>
      </c>
      <c r="AI38" t="str">
        <f>"(120)"</f>
        <v>(120)</v>
      </c>
      <c r="AJ38" t="str">
        <f>"(121)"</f>
        <v>(121)</v>
      </c>
      <c r="AK38" t="str">
        <f>"(122)"</f>
        <v>(122)</v>
      </c>
      <c r="AL38" t="str">
        <f>"(123)"</f>
        <v>(123)</v>
      </c>
      <c r="AM38" t="str">
        <f>"(124)"</f>
        <v>(124)</v>
      </c>
      <c r="AN38" t="str">
        <f>"(125)"</f>
        <v>(125)</v>
      </c>
      <c r="AO38" t="str">
        <f>"(126)"</f>
        <v>(126)</v>
      </c>
      <c r="AP38" t="str">
        <f>"(127)"</f>
        <v>(127)</v>
      </c>
      <c r="AQ38" t="str">
        <f>"(128)"</f>
        <v>(128)</v>
      </c>
      <c r="AR38" t="str">
        <f>"(129)"</f>
        <v>(129)</v>
      </c>
    </row>
    <row r="39" spans="1:44" x14ac:dyDescent="0.25">
      <c r="A39" t="str">
        <f>""</f>
        <v/>
      </c>
      <c r="B39" t="str">
        <f t="shared" ref="B39:AR39" si="1">"skew_star_rating"</f>
        <v>skew_star_rating</v>
      </c>
      <c r="C39" t="str">
        <f t="shared" si="1"/>
        <v>skew_star_rating</v>
      </c>
      <c r="D39" t="str">
        <f t="shared" si="1"/>
        <v>skew_star_rating</v>
      </c>
      <c r="E39" t="str">
        <f t="shared" si="1"/>
        <v>skew_star_rating</v>
      </c>
      <c r="F39" t="str">
        <f t="shared" si="1"/>
        <v>skew_star_rating</v>
      </c>
      <c r="G39" t="str">
        <f t="shared" si="1"/>
        <v>skew_star_rating</v>
      </c>
      <c r="H39" t="str">
        <f t="shared" si="1"/>
        <v>skew_star_rating</v>
      </c>
      <c r="I39" t="str">
        <f t="shared" si="1"/>
        <v>skew_star_rating</v>
      </c>
      <c r="J39" t="str">
        <f t="shared" si="1"/>
        <v>skew_star_rating</v>
      </c>
      <c r="K39" t="str">
        <f t="shared" si="1"/>
        <v>skew_star_rating</v>
      </c>
      <c r="L39" t="str">
        <f t="shared" si="1"/>
        <v>skew_star_rating</v>
      </c>
      <c r="M39" t="str">
        <f t="shared" si="1"/>
        <v>skew_star_rating</v>
      </c>
      <c r="N39" t="str">
        <f t="shared" si="1"/>
        <v>skew_star_rating</v>
      </c>
      <c r="O39" t="str">
        <f t="shared" si="1"/>
        <v>skew_star_rating</v>
      </c>
      <c r="P39" t="str">
        <f t="shared" si="1"/>
        <v>skew_star_rating</v>
      </c>
      <c r="Q39" t="str">
        <f t="shared" si="1"/>
        <v>skew_star_rating</v>
      </c>
      <c r="R39" t="str">
        <f t="shared" si="1"/>
        <v>skew_star_rating</v>
      </c>
      <c r="S39" t="str">
        <f t="shared" si="1"/>
        <v>skew_star_rating</v>
      </c>
      <c r="T39" t="str">
        <f t="shared" si="1"/>
        <v>skew_star_rating</v>
      </c>
      <c r="U39" t="str">
        <f t="shared" si="1"/>
        <v>skew_star_rating</v>
      </c>
      <c r="V39" t="str">
        <f t="shared" si="1"/>
        <v>skew_star_rating</v>
      </c>
      <c r="W39" t="str">
        <f t="shared" si="1"/>
        <v>skew_star_rating</v>
      </c>
      <c r="X39" t="str">
        <f t="shared" si="1"/>
        <v>skew_star_rating</v>
      </c>
      <c r="Y39" t="str">
        <f t="shared" si="1"/>
        <v>skew_star_rating</v>
      </c>
      <c r="Z39" t="str">
        <f t="shared" si="1"/>
        <v>skew_star_rating</v>
      </c>
      <c r="AA39" t="str">
        <f t="shared" si="1"/>
        <v>skew_star_rating</v>
      </c>
      <c r="AB39" t="str">
        <f t="shared" si="1"/>
        <v>skew_star_rating</v>
      </c>
      <c r="AC39" t="str">
        <f t="shared" si="1"/>
        <v>skew_star_rating</v>
      </c>
      <c r="AD39" t="str">
        <f t="shared" si="1"/>
        <v>skew_star_rating</v>
      </c>
      <c r="AE39" t="str">
        <f t="shared" si="1"/>
        <v>skew_star_rating</v>
      </c>
      <c r="AF39" t="str">
        <f t="shared" si="1"/>
        <v>skew_star_rating</v>
      </c>
      <c r="AG39" t="str">
        <f t="shared" si="1"/>
        <v>skew_star_rating</v>
      </c>
      <c r="AH39" t="str">
        <f t="shared" si="1"/>
        <v>skew_star_rating</v>
      </c>
      <c r="AI39" t="str">
        <f t="shared" si="1"/>
        <v>skew_star_rating</v>
      </c>
      <c r="AJ39" t="str">
        <f t="shared" si="1"/>
        <v>skew_star_rating</v>
      </c>
      <c r="AK39" t="str">
        <f t="shared" si="1"/>
        <v>skew_star_rating</v>
      </c>
      <c r="AL39" t="str">
        <f t="shared" si="1"/>
        <v>skew_star_rating</v>
      </c>
      <c r="AM39" t="str">
        <f t="shared" si="1"/>
        <v>skew_star_rating</v>
      </c>
      <c r="AN39" t="str">
        <f t="shared" si="1"/>
        <v>skew_star_rating</v>
      </c>
      <c r="AO39" t="str">
        <f t="shared" si="1"/>
        <v>skew_star_rating</v>
      </c>
      <c r="AP39" t="str">
        <f t="shared" si="1"/>
        <v>skew_star_rating</v>
      </c>
      <c r="AQ39" t="str">
        <f t="shared" si="1"/>
        <v>skew_star_rating</v>
      </c>
      <c r="AR39" t="str">
        <f t="shared" si="1"/>
        <v>skew_star_rating</v>
      </c>
    </row>
    <row r="41" spans="1:44" x14ac:dyDescent="0.25">
      <c r="A41" t="str">
        <f>"mktrf_l"</f>
        <v>mktrf_l</v>
      </c>
      <c r="B41" t="str">
        <f>"-5.540"</f>
        <v>-5.540</v>
      </c>
      <c r="C41" t="str">
        <f>"-2.598"</f>
        <v>-2.598</v>
      </c>
      <c r="D41" t="str">
        <f>"-2.945"</f>
        <v>-2.945</v>
      </c>
      <c r="E41" t="str">
        <f>"-2.597"</f>
        <v>-2.597</v>
      </c>
      <c r="F41" t="str">
        <f>"0.518"</f>
        <v>0.518</v>
      </c>
      <c r="G41" t="str">
        <f>"-2.931"</f>
        <v>-2.931</v>
      </c>
      <c r="H41" t="str">
        <f>"-0.257"</f>
        <v>-0.257</v>
      </c>
      <c r="I41" t="str">
        <f>"0.197"</f>
        <v>0.197</v>
      </c>
      <c r="J41" t="str">
        <f>"12.316"</f>
        <v>12.316</v>
      </c>
      <c r="K41" t="str">
        <f>"5.197"</f>
        <v>5.197</v>
      </c>
      <c r="L41" t="str">
        <f>"3.056"</f>
        <v>3.056</v>
      </c>
      <c r="M41" t="str">
        <f>"1.001"</f>
        <v>1.001</v>
      </c>
      <c r="N41" t="str">
        <f>"2.648"</f>
        <v>2.648</v>
      </c>
      <c r="O41" t="str">
        <f>"17.856"</f>
        <v>17.856</v>
      </c>
      <c r="P41" t="str">
        <f>"-3.231"</f>
        <v>-3.231</v>
      </c>
      <c r="Q41" t="str">
        <f>"-2.057"</f>
        <v>-2.057</v>
      </c>
      <c r="R41" t="str">
        <f>"-1.781"</f>
        <v>-1.781</v>
      </c>
      <c r="S41" t="str">
        <f>"0.585"</f>
        <v>0.585</v>
      </c>
      <c r="T41" t="str">
        <f>"-1.248"</f>
        <v>-1.248</v>
      </c>
      <c r="U41" t="str">
        <f>"0.614"</f>
        <v>0.614</v>
      </c>
      <c r="V41" t="str">
        <f>"-2.979"</f>
        <v>-2.979</v>
      </c>
      <c r="W41" t="str">
        <f>"-1.383"</f>
        <v>-1.383</v>
      </c>
      <c r="X41" t="str">
        <f>"8.461"</f>
        <v>8.461</v>
      </c>
      <c r="Y41" t="str">
        <f>"0.437"</f>
        <v>0.437</v>
      </c>
      <c r="Z41" t="str">
        <f>"1.561"</f>
        <v>1.561</v>
      </c>
      <c r="AA41" t="str">
        <f>"14.808**"</f>
        <v>14.808**</v>
      </c>
      <c r="AB41" t="str">
        <f>"0.937"</f>
        <v>0.937</v>
      </c>
      <c r="AC41" t="str">
        <f>"1.918"</f>
        <v>1.918</v>
      </c>
      <c r="AD41" t="str">
        <f>"0.565"</f>
        <v>0.565</v>
      </c>
      <c r="AE41" t="str">
        <f>"-2.916"</f>
        <v>-2.916</v>
      </c>
      <c r="AF41" t="str">
        <f>"-3.481"</f>
        <v>-3.481</v>
      </c>
      <c r="AG41" t="str">
        <f>"-6.105"</f>
        <v>-6.105</v>
      </c>
      <c r="AH41" t="str">
        <f>"0.315"</f>
        <v>0.315</v>
      </c>
      <c r="AI41" t="str">
        <f>"-0.714"</f>
        <v>-0.714</v>
      </c>
      <c r="AJ41" t="str">
        <f>"0.824"</f>
        <v>0.824</v>
      </c>
      <c r="AK41" t="str">
        <f>"5.163"</f>
        <v>5.163</v>
      </c>
      <c r="AL41" t="str">
        <f>"6.787"</f>
        <v>6.787</v>
      </c>
      <c r="AM41" t="str">
        <f>"6.897**"</f>
        <v>6.897**</v>
      </c>
      <c r="AN41" t="str">
        <f>"-4.369"</f>
        <v>-4.369</v>
      </c>
      <c r="AO41" t="str">
        <f>"-0.302"</f>
        <v>-0.302</v>
      </c>
      <c r="AP41" t="str">
        <f>"2.850"</f>
        <v>2.850</v>
      </c>
      <c r="AQ41" t="str">
        <f>"0.489"</f>
        <v>0.489</v>
      </c>
      <c r="AR41" t="str">
        <f>"10.036**"</f>
        <v>10.036**</v>
      </c>
    </row>
    <row r="42" spans="1:44" x14ac:dyDescent="0.25">
      <c r="A42" t="str">
        <f>""</f>
        <v/>
      </c>
      <c r="B42" t="str">
        <f>"(-1.11)"</f>
        <v>(-1.11)</v>
      </c>
      <c r="C42" t="str">
        <f>"(-0.57)"</f>
        <v>(-0.57)</v>
      </c>
      <c r="D42" t="str">
        <f>"(-0.80)"</f>
        <v>(-0.80)</v>
      </c>
      <c r="E42" t="str">
        <f>"(-0.56)"</f>
        <v>(-0.56)</v>
      </c>
      <c r="F42" t="str">
        <f>"(0.65)"</f>
        <v>(0.65)</v>
      </c>
      <c r="G42" t="str">
        <f>"(-0.78)"</f>
        <v>(-0.78)</v>
      </c>
      <c r="H42" t="str">
        <f>"(-0.07)"</f>
        <v>(-0.07)</v>
      </c>
      <c r="I42" t="str">
        <f>"(0.04)"</f>
        <v>(0.04)</v>
      </c>
      <c r="J42" t="str">
        <f>"(0.96)"</f>
        <v>(0.96)</v>
      </c>
      <c r="K42" t="str">
        <f>"(0.77)"</f>
        <v>(0.77)</v>
      </c>
      <c r="L42" t="str">
        <f>"(0.34)"</f>
        <v>(0.34)</v>
      </c>
      <c r="M42" t="str">
        <f>"(0.31)"</f>
        <v>(0.31)</v>
      </c>
      <c r="N42" t="str">
        <f>"(0.47)"</f>
        <v>(0.47)</v>
      </c>
      <c r="O42" t="str">
        <f>"(0.71)"</f>
        <v>(0.71)</v>
      </c>
      <c r="P42" t="str">
        <f>"(-0.68)"</f>
        <v>(-0.68)</v>
      </c>
      <c r="Q42" t="str">
        <f>"(-0.46)"</f>
        <v>(-0.46)</v>
      </c>
      <c r="R42" t="str">
        <f>"(-0.45)"</f>
        <v>(-0.45)</v>
      </c>
      <c r="S42" t="str">
        <f>"(0.13)"</f>
        <v>(0.13)</v>
      </c>
      <c r="T42" t="str">
        <f>"(-0.25)"</f>
        <v>(-0.25)</v>
      </c>
      <c r="U42" t="str">
        <f>"(0.12)"</f>
        <v>(0.12)</v>
      </c>
      <c r="V42" t="str">
        <f>"(-0.92)"</f>
        <v>(-0.92)</v>
      </c>
      <c r="W42" t="str">
        <f>"(-0.28)"</f>
        <v>(-0.28)</v>
      </c>
      <c r="X42" t="str">
        <f>"(1.31)"</f>
        <v>(1.31)</v>
      </c>
      <c r="Y42" t="str">
        <f>"(0.05)"</f>
        <v>(0.05)</v>
      </c>
      <c r="Z42" t="str">
        <f>"(0.38)"</f>
        <v>(0.38)</v>
      </c>
      <c r="AA42" t="str">
        <f>"(2.23)"</f>
        <v>(2.23)</v>
      </c>
      <c r="AB42" t="str">
        <f>"(0.67)"</f>
        <v>(0.67)</v>
      </c>
      <c r="AC42" t="str">
        <f>"(0.35)"</f>
        <v>(0.35)</v>
      </c>
      <c r="AD42" t="str">
        <f>"(0.18)"</f>
        <v>(0.18)</v>
      </c>
      <c r="AE42" t="str">
        <f>"(-0.67)"</f>
        <v>(-0.67)</v>
      </c>
      <c r="AF42" t="str">
        <f>"(-1.06)"</f>
        <v>(-1.06)</v>
      </c>
      <c r="AG42" t="str">
        <f>"(-0.88)"</f>
        <v>(-0.88)</v>
      </c>
      <c r="AH42" t="str">
        <f>"(0.07)"</f>
        <v>(0.07)</v>
      </c>
      <c r="AI42" t="str">
        <f>"(-0.16)"</f>
        <v>(-0.16)</v>
      </c>
      <c r="AJ42" t="str">
        <f>"(0.19)"</f>
        <v>(0.19)</v>
      </c>
      <c r="AK42" t="str">
        <f>"(1.23)"</f>
        <v>(1.23)</v>
      </c>
      <c r="AL42" t="str">
        <f>"(1.49)"</f>
        <v>(1.49)</v>
      </c>
      <c r="AM42" t="str">
        <f>"(2.02)"</f>
        <v>(2.02)</v>
      </c>
      <c r="AN42" t="str">
        <f>"(-0.86)"</f>
        <v>(-0.86)</v>
      </c>
      <c r="AO42" t="str">
        <f>"(-0.21)"</f>
        <v>(-0.21)</v>
      </c>
      <c r="AP42" t="str">
        <f>"(1.19)"</f>
        <v>(1.19)</v>
      </c>
      <c r="AQ42" t="str">
        <f>"(0.10)"</f>
        <v>(0.10)</v>
      </c>
      <c r="AR42" t="str">
        <f>"(2.55)"</f>
        <v>(2.55)</v>
      </c>
    </row>
    <row r="44" spans="1:44" x14ac:dyDescent="0.25">
      <c r="A44" t="str">
        <f>"log_amznvol"</f>
        <v>log_amznvol</v>
      </c>
      <c r="B44" t="str">
        <f>"-0.319***"</f>
        <v>-0.319***</v>
      </c>
      <c r="C44" t="str">
        <f>"-0.405***"</f>
        <v>-0.405***</v>
      </c>
      <c r="D44" t="str">
        <f>"-0.161***"</f>
        <v>-0.161***</v>
      </c>
      <c r="E44" t="str">
        <f>"-0.295***"</f>
        <v>-0.295***</v>
      </c>
      <c r="F44" t="str">
        <f>"-0.305***"</f>
        <v>-0.305***</v>
      </c>
      <c r="G44" t="str">
        <f>"-0.196***"</f>
        <v>-0.196***</v>
      </c>
      <c r="H44" t="str">
        <f>"-0.186***"</f>
        <v>-0.186***</v>
      </c>
      <c r="I44" t="str">
        <f>"-0.327***"</f>
        <v>-0.327***</v>
      </c>
      <c r="J44" t="str">
        <f>"-0.405***"</f>
        <v>-0.405***</v>
      </c>
      <c r="K44" t="str">
        <f>"-0.305***"</f>
        <v>-0.305***</v>
      </c>
      <c r="L44" t="str">
        <f>"-0.254***"</f>
        <v>-0.254***</v>
      </c>
      <c r="M44" t="str">
        <f>"-0.294***"</f>
        <v>-0.294***</v>
      </c>
      <c r="N44" t="str">
        <f>"-0.426***"</f>
        <v>-0.426***</v>
      </c>
      <c r="O44" t="str">
        <f>"-0.521***"</f>
        <v>-0.521***</v>
      </c>
      <c r="P44" t="str">
        <f>"-0.354***"</f>
        <v>-0.354***</v>
      </c>
      <c r="Q44" t="str">
        <f>"-0.263***"</f>
        <v>-0.263***</v>
      </c>
      <c r="R44" t="str">
        <f>"-0.316***"</f>
        <v>-0.316***</v>
      </c>
      <c r="S44" t="str">
        <f>"-0.298***"</f>
        <v>-0.298***</v>
      </c>
      <c r="T44" t="str">
        <f>"-0.427***"</f>
        <v>-0.427***</v>
      </c>
      <c r="U44" t="str">
        <f>"-0.320***"</f>
        <v>-0.320***</v>
      </c>
      <c r="V44" t="str">
        <f>"-0.395***"</f>
        <v>-0.395***</v>
      </c>
      <c r="W44" t="str">
        <f>"-0.365***"</f>
        <v>-0.365***</v>
      </c>
      <c r="X44" t="str">
        <f>"-0.504***"</f>
        <v>-0.504***</v>
      </c>
      <c r="Y44" t="str">
        <f>"-0.116**"</f>
        <v>-0.116**</v>
      </c>
      <c r="Z44" t="str">
        <f>"-0.019"</f>
        <v>-0.019</v>
      </c>
      <c r="AA44" t="str">
        <f>"-0.372***"</f>
        <v>-0.372***</v>
      </c>
      <c r="AB44" t="str">
        <f>"-0.229***"</f>
        <v>-0.229***</v>
      </c>
      <c r="AC44" t="str">
        <f>"-0.363***"</f>
        <v>-0.363***</v>
      </c>
      <c r="AD44" t="str">
        <f>"-0.327***"</f>
        <v>-0.327***</v>
      </c>
      <c r="AE44" t="str">
        <f>"-0.337***"</f>
        <v>-0.337***</v>
      </c>
      <c r="AF44" t="str">
        <f>"-0.344***"</f>
        <v>-0.344***</v>
      </c>
      <c r="AG44" t="str">
        <f>"-0.252***"</f>
        <v>-0.252***</v>
      </c>
      <c r="AH44" t="str">
        <f>"-0.260***"</f>
        <v>-0.260***</v>
      </c>
      <c r="AI44" t="str">
        <f>"-0.276***"</f>
        <v>-0.276***</v>
      </c>
      <c r="AJ44" t="str">
        <f>"-0.407***"</f>
        <v>-0.407***</v>
      </c>
      <c r="AK44" t="str">
        <f>"-0.266***"</f>
        <v>-0.266***</v>
      </c>
      <c r="AL44" t="str">
        <f>"-0.457***"</f>
        <v>-0.457***</v>
      </c>
      <c r="AM44" t="str">
        <f>"-0.192***"</f>
        <v>-0.192***</v>
      </c>
      <c r="AN44" t="str">
        <f>"-0.192***"</f>
        <v>-0.192***</v>
      </c>
      <c r="AO44" t="str">
        <f>"-0.391***"</f>
        <v>-0.391***</v>
      </c>
      <c r="AP44" t="str">
        <f>"-0.147***"</f>
        <v>-0.147***</v>
      </c>
      <c r="AQ44" t="str">
        <f>"-0.341***"</f>
        <v>-0.341***</v>
      </c>
      <c r="AR44" t="str">
        <f>"-0.231***"</f>
        <v>-0.231***</v>
      </c>
    </row>
    <row r="45" spans="1:44" x14ac:dyDescent="0.25">
      <c r="A45" t="str">
        <f>""</f>
        <v/>
      </c>
      <c r="B45" t="str">
        <f>"(-12.26)"</f>
        <v>(-12.26)</v>
      </c>
      <c r="C45" t="str">
        <f>"(-14.27)"</f>
        <v>(-14.27)</v>
      </c>
      <c r="D45" t="str">
        <f>"(-6.52)"</f>
        <v>(-6.52)</v>
      </c>
      <c r="E45" t="str">
        <f>"(-10.44)"</f>
        <v>(-10.44)</v>
      </c>
      <c r="F45" t="str">
        <f>"(-28.32)"</f>
        <v>(-28.32)</v>
      </c>
      <c r="G45" t="str">
        <f>"(-8.32)"</f>
        <v>(-8.32)</v>
      </c>
      <c r="H45" t="str">
        <f>"(-5.81)"</f>
        <v>(-5.81)</v>
      </c>
      <c r="I45" t="str">
        <f>"(-7.33)"</f>
        <v>(-7.33)</v>
      </c>
      <c r="J45" t="str">
        <f>"(-7.99)"</f>
        <v>(-7.99)</v>
      </c>
      <c r="K45" t="str">
        <f>"(-9.15)"</f>
        <v>(-9.15)</v>
      </c>
      <c r="L45" t="str">
        <f>"(-6.07)"</f>
        <v>(-6.07)</v>
      </c>
      <c r="M45" t="str">
        <f>"(-13.16)"</f>
        <v>(-13.16)</v>
      </c>
      <c r="N45" t="str">
        <f>"(-12.40)"</f>
        <v>(-12.40)</v>
      </c>
      <c r="O45" t="str">
        <f>"(-8.03)"</f>
        <v>(-8.03)</v>
      </c>
      <c r="P45" t="str">
        <f>"(-11.45)"</f>
        <v>(-11.45)</v>
      </c>
      <c r="Q45" t="str">
        <f>"(-9.59)"</f>
        <v>(-9.59)</v>
      </c>
      <c r="R45" t="str">
        <f>"(-13.70)"</f>
        <v>(-13.70)</v>
      </c>
      <c r="S45" t="str">
        <f>"(-11.11)"</f>
        <v>(-11.11)</v>
      </c>
      <c r="T45" t="str">
        <f>"(-15.06)"</f>
        <v>(-15.06)</v>
      </c>
      <c r="U45" t="str">
        <f>"(-10.27)"</f>
        <v>(-10.27)</v>
      </c>
      <c r="V45" t="str">
        <f>"(-18.84)"</f>
        <v>(-18.84)</v>
      </c>
      <c r="W45" t="str">
        <f>"(-13.55)"</f>
        <v>(-13.55)</v>
      </c>
      <c r="X45" t="str">
        <f>"(-12.83)"</f>
        <v>(-12.83)</v>
      </c>
      <c r="Y45" t="str">
        <f>"(-2.02)"</f>
        <v>(-2.02)</v>
      </c>
      <c r="Z45" t="str">
        <f>"(-0.76)"</f>
        <v>(-0.76)</v>
      </c>
      <c r="AA45" t="str">
        <f>"(-8.98)"</f>
        <v>(-8.98)</v>
      </c>
      <c r="AB45" t="str">
        <f>"(-13.61)"</f>
        <v>(-13.61)</v>
      </c>
      <c r="AC45" t="str">
        <f>"(-11.06)"</f>
        <v>(-11.06)</v>
      </c>
      <c r="AD45" t="str">
        <f>"(-15.25)"</f>
        <v>(-15.25)</v>
      </c>
      <c r="AE45" t="str">
        <f>"(-13.40)"</f>
        <v>(-13.40)</v>
      </c>
      <c r="AF45" t="str">
        <f>"(-15.47)"</f>
        <v>(-15.47)</v>
      </c>
      <c r="AG45" t="str">
        <f>"(-6.77)"</f>
        <v>(-6.77)</v>
      </c>
      <c r="AH45" t="str">
        <f>"(-9.30)"</f>
        <v>(-9.30)</v>
      </c>
      <c r="AI45" t="str">
        <f>"(-10.74)"</f>
        <v>(-10.74)</v>
      </c>
      <c r="AJ45" t="str">
        <f>"(-15.51)"</f>
        <v>(-15.51)</v>
      </c>
      <c r="AK45" t="str">
        <f>"(-11.21)"</f>
        <v>(-11.21)</v>
      </c>
      <c r="AL45" t="str">
        <f>"(-16.49)"</f>
        <v>(-16.49)</v>
      </c>
      <c r="AM45" t="str">
        <f>"(-8.93)"</f>
        <v>(-8.93)</v>
      </c>
      <c r="AN45" t="str">
        <f>"(-5.44)"</f>
        <v>(-5.44)</v>
      </c>
      <c r="AO45" t="str">
        <f>"(-26.80)"</f>
        <v>(-26.80)</v>
      </c>
      <c r="AP45" t="str">
        <f>"(-7.98)"</f>
        <v>(-7.98)</v>
      </c>
      <c r="AQ45" t="str">
        <f>"(-11.93)"</f>
        <v>(-11.93)</v>
      </c>
      <c r="AR45" t="str">
        <f>"(-9.84)"</f>
        <v>(-9.84)</v>
      </c>
    </row>
    <row r="47" spans="1:44" x14ac:dyDescent="0.25">
      <c r="A47" t="str">
        <f>"log_helpful"</f>
        <v>log_helpful</v>
      </c>
      <c r="B47" t="str">
        <f>"-0.013"</f>
        <v>-0.013</v>
      </c>
      <c r="C47" t="str">
        <f>"0.024"</f>
        <v>0.024</v>
      </c>
      <c r="D47" t="str">
        <f>"-0.005"</f>
        <v>-0.005</v>
      </c>
      <c r="E47" t="str">
        <f>"0.029*"</f>
        <v>0.029*</v>
      </c>
      <c r="F47" t="str">
        <f>"0.120***"</f>
        <v>0.120***</v>
      </c>
      <c r="G47" t="str">
        <f>"-0.048***"</f>
        <v>-0.048***</v>
      </c>
      <c r="H47" t="str">
        <f>"0.106***"</f>
        <v>0.106***</v>
      </c>
      <c r="I47" t="str">
        <f>"0.182***"</f>
        <v>0.182***</v>
      </c>
      <c r="J47" t="str">
        <f>"0.064***"</f>
        <v>0.064***</v>
      </c>
      <c r="K47" t="str">
        <f>"0.100***"</f>
        <v>0.100***</v>
      </c>
      <c r="L47" t="str">
        <f>"0.091***"</f>
        <v>0.091***</v>
      </c>
      <c r="M47" t="str">
        <f>"0.000"</f>
        <v>0.000</v>
      </c>
      <c r="N47" t="str">
        <f>"0.027*"</f>
        <v>0.027*</v>
      </c>
      <c r="O47" t="str">
        <f>"0.106***"</f>
        <v>0.106***</v>
      </c>
      <c r="P47" t="str">
        <f>"0.011"</f>
        <v>0.011</v>
      </c>
      <c r="Q47" t="str">
        <f>"-0.009"</f>
        <v>-0.009</v>
      </c>
      <c r="R47" t="str">
        <f>"0.001"</f>
        <v>0.001</v>
      </c>
      <c r="S47" t="str">
        <f>"-0.032**"</f>
        <v>-0.032**</v>
      </c>
      <c r="T47" t="str">
        <f>"0.033**"</f>
        <v>0.033**</v>
      </c>
      <c r="U47" t="str">
        <f>"0.005"</f>
        <v>0.005</v>
      </c>
      <c r="V47" t="str">
        <f>"0.034**"</f>
        <v>0.034**</v>
      </c>
      <c r="W47" t="str">
        <f>"-0.012"</f>
        <v>-0.012</v>
      </c>
      <c r="X47" t="str">
        <f>"-0.018"</f>
        <v>-0.018</v>
      </c>
      <c r="Y47" t="str">
        <f>"0.032"</f>
        <v>0.032</v>
      </c>
      <c r="Z47" t="str">
        <f>"0.032**"</f>
        <v>0.032**</v>
      </c>
      <c r="AA47" t="str">
        <f>"0.036**"</f>
        <v>0.036**</v>
      </c>
      <c r="AB47" t="str">
        <f>"0.087***"</f>
        <v>0.087***</v>
      </c>
      <c r="AC47" t="str">
        <f>"-0.038**"</f>
        <v>-0.038**</v>
      </c>
      <c r="AD47" t="str">
        <f>"0.013"</f>
        <v>0.013</v>
      </c>
      <c r="AE47" t="str">
        <f>"-0.011"</f>
        <v>-0.011</v>
      </c>
      <c r="AF47" t="str">
        <f>"-0.012"</f>
        <v>-0.012</v>
      </c>
      <c r="AG47" t="str">
        <f>"0.014"</f>
        <v>0.014</v>
      </c>
      <c r="AH47" t="str">
        <f>"0.013"</f>
        <v>0.013</v>
      </c>
      <c r="AI47" t="str">
        <f>"-0.005"</f>
        <v>-0.005</v>
      </c>
      <c r="AJ47" t="str">
        <f>"0.060***"</f>
        <v>0.060***</v>
      </c>
      <c r="AK47" t="str">
        <f>"0.025*"</f>
        <v>0.025*</v>
      </c>
      <c r="AL47" t="str">
        <f>"0.054***"</f>
        <v>0.054***</v>
      </c>
      <c r="AM47" t="str">
        <f>"0.033**"</f>
        <v>0.033**</v>
      </c>
      <c r="AN47" t="str">
        <f>"0.017"</f>
        <v>0.017</v>
      </c>
      <c r="AO47" t="str">
        <f>"0.109***"</f>
        <v>0.109***</v>
      </c>
      <c r="AP47" t="str">
        <f>"0.122***"</f>
        <v>0.122***</v>
      </c>
      <c r="AQ47" t="str">
        <f>"0.056***"</f>
        <v>0.056***</v>
      </c>
      <c r="AR47" t="str">
        <f>"-0.051***"</f>
        <v>-0.051***</v>
      </c>
    </row>
    <row r="48" spans="1:44" x14ac:dyDescent="0.25">
      <c r="A48" t="str">
        <f>""</f>
        <v/>
      </c>
      <c r="B48" t="str">
        <f>"(-0.97)"</f>
        <v>(-0.97)</v>
      </c>
      <c r="C48" t="str">
        <f>"(1.49)"</f>
        <v>(1.49)</v>
      </c>
      <c r="D48" t="str">
        <f>"(-0.38)"</f>
        <v>(-0.38)</v>
      </c>
      <c r="E48" t="str">
        <f>"(1.81)"</f>
        <v>(1.81)</v>
      </c>
      <c r="F48" t="str">
        <f>"(11.83)"</f>
        <v>(11.83)</v>
      </c>
      <c r="G48" t="str">
        <f>"(-3.28)"</f>
        <v>(-3.28)</v>
      </c>
      <c r="H48" t="str">
        <f>"(5.71)"</f>
        <v>(5.71)</v>
      </c>
      <c r="I48" t="str">
        <f>"(6.47)"</f>
        <v>(6.47)</v>
      </c>
      <c r="J48" t="str">
        <f>"(3.43)"</f>
        <v>(3.43)</v>
      </c>
      <c r="K48" t="str">
        <f>"(4.41)"</f>
        <v>(4.41)</v>
      </c>
      <c r="L48" t="str">
        <f>"(4.75)"</f>
        <v>(4.75)</v>
      </c>
      <c r="M48" t="str">
        <f>"(0.03)"</f>
        <v>(0.03)</v>
      </c>
      <c r="N48" t="str">
        <f>"(1.67)"</f>
        <v>(1.67)</v>
      </c>
      <c r="O48" t="str">
        <f>"(5.48)"</f>
        <v>(5.48)</v>
      </c>
      <c r="P48" t="str">
        <f>"(0.63)"</f>
        <v>(0.63)</v>
      </c>
      <c r="Q48" t="str">
        <f>"(-0.53)"</f>
        <v>(-0.53)</v>
      </c>
      <c r="R48" t="str">
        <f>"(0.07)"</f>
        <v>(0.07)</v>
      </c>
      <c r="S48" t="str">
        <f>"(-2.28)"</f>
        <v>(-2.28)</v>
      </c>
      <c r="T48" t="str">
        <f>"(2.11)"</f>
        <v>(2.11)</v>
      </c>
      <c r="U48" t="str">
        <f>"(0.29)"</f>
        <v>(0.29)</v>
      </c>
      <c r="V48" t="str">
        <f>"(2.51)"</f>
        <v>(2.51)</v>
      </c>
      <c r="W48" t="str">
        <f>"(-0.80)"</f>
        <v>(-0.80)</v>
      </c>
      <c r="X48" t="str">
        <f>"(-1.07)"</f>
        <v>(-1.07)</v>
      </c>
      <c r="Y48" t="str">
        <f>"(1.54)"</f>
        <v>(1.54)</v>
      </c>
      <c r="Z48" t="str">
        <f>"(2.55)"</f>
        <v>(2.55)</v>
      </c>
      <c r="AA48" t="str">
        <f>"(2.26)"</f>
        <v>(2.26)</v>
      </c>
      <c r="AB48" t="str">
        <f>"(6.52)"</f>
        <v>(6.52)</v>
      </c>
      <c r="AC48" t="str">
        <f>"(-2.10)"</f>
        <v>(-2.10)</v>
      </c>
      <c r="AD48" t="str">
        <f>"(0.96)"</f>
        <v>(0.96)</v>
      </c>
      <c r="AE48" t="str">
        <f>"(-0.69)"</f>
        <v>(-0.69)</v>
      </c>
      <c r="AF48" t="str">
        <f>"(-0.85)"</f>
        <v>(-0.85)</v>
      </c>
      <c r="AG48" t="str">
        <f>"(0.88)"</f>
        <v>(0.88)</v>
      </c>
      <c r="AH48" t="str">
        <f>"(0.90)"</f>
        <v>(0.90)</v>
      </c>
      <c r="AI48" t="str">
        <f>"(-0.31)"</f>
        <v>(-0.31)</v>
      </c>
      <c r="AJ48" t="str">
        <f>"(3.78)"</f>
        <v>(3.78)</v>
      </c>
      <c r="AK48" t="str">
        <f>"(1.84)"</f>
        <v>(1.84)</v>
      </c>
      <c r="AL48" t="str">
        <f>"(2.82)"</f>
        <v>(2.82)</v>
      </c>
      <c r="AM48" t="str">
        <f>"(2.14)"</f>
        <v>(2.14)</v>
      </c>
      <c r="AN48" t="str">
        <f>"(0.83)"</f>
        <v>(0.83)</v>
      </c>
      <c r="AO48" t="str">
        <f>"(9.78)"</f>
        <v>(9.78)</v>
      </c>
      <c r="AP48" t="str">
        <f>"(11.69)"</f>
        <v>(11.69)</v>
      </c>
      <c r="AQ48" t="str">
        <f>"(3.24)"</f>
        <v>(3.24)</v>
      </c>
      <c r="AR48" t="str">
        <f>"(-3.76)"</f>
        <v>(-3.76)</v>
      </c>
    </row>
    <row r="50" spans="1:44" x14ac:dyDescent="0.25">
      <c r="A50" t="str">
        <f>"_cons"</f>
        <v>_cons</v>
      </c>
      <c r="B50" t="str">
        <f>"0.467***"</f>
        <v>0.467***</v>
      </c>
      <c r="C50" t="str">
        <f>"0.679***"</f>
        <v>0.679***</v>
      </c>
      <c r="D50" t="str">
        <f>"-0.341***"</f>
        <v>-0.341***</v>
      </c>
      <c r="E50" t="str">
        <f>"0.055"</f>
        <v>0.055</v>
      </c>
      <c r="F50" t="str">
        <f>"-0.328***"</f>
        <v>-0.328***</v>
      </c>
      <c r="G50" t="str">
        <f>"-0.013"</f>
        <v>-0.013</v>
      </c>
      <c r="H50" t="str">
        <f>"-0.861***"</f>
        <v>-0.861***</v>
      </c>
      <c r="I50" t="str">
        <f>"-1.631***"</f>
        <v>-1.631***</v>
      </c>
      <c r="J50" t="str">
        <f>"0.520***"</f>
        <v>0.520***</v>
      </c>
      <c r="K50" t="str">
        <f>"-0.115"</f>
        <v>-0.115</v>
      </c>
      <c r="L50" t="str">
        <f>"-0.326***"</f>
        <v>-0.326***</v>
      </c>
      <c r="M50" t="str">
        <f>"0.482***"</f>
        <v>0.482***</v>
      </c>
      <c r="N50" t="str">
        <f>"0.549***"</f>
        <v>0.549***</v>
      </c>
      <c r="O50" t="str">
        <f>"-1.199***"</f>
        <v>-1.199***</v>
      </c>
      <c r="P50" t="str">
        <f>"0.179"</f>
        <v>0.179</v>
      </c>
      <c r="Q50" t="str">
        <f>"0.215"</f>
        <v>0.215</v>
      </c>
      <c r="R50" t="str">
        <f>"0.580***"</f>
        <v>0.580***</v>
      </c>
      <c r="S50" t="str">
        <f>"0.545***"</f>
        <v>0.545***</v>
      </c>
      <c r="T50" t="str">
        <f>"0.669***"</f>
        <v>0.669***</v>
      </c>
      <c r="U50" t="str">
        <f>"0.179"</f>
        <v>0.179</v>
      </c>
      <c r="V50" t="str">
        <f>"0.673***"</f>
        <v>0.673***</v>
      </c>
      <c r="W50" t="str">
        <f>"0.628***"</f>
        <v>0.628***</v>
      </c>
      <c r="X50" t="str">
        <f>"0.697***"</f>
        <v>0.697***</v>
      </c>
      <c r="Y50" t="str">
        <f>"-0.252*"</f>
        <v>-0.252*</v>
      </c>
      <c r="Z50" t="str">
        <f>"-1.287***"</f>
        <v>-1.287***</v>
      </c>
      <c r="AA50" t="str">
        <f>"0.281**"</f>
        <v>0.281**</v>
      </c>
      <c r="AB50" t="str">
        <f>"-1.017***"</f>
        <v>-1.017***</v>
      </c>
      <c r="AC50" t="str">
        <f>"0.393***"</f>
        <v>0.393***</v>
      </c>
      <c r="AD50" t="str">
        <f>"0.631***"</f>
        <v>0.631***</v>
      </c>
      <c r="AE50" t="str">
        <f>"0.405***"</f>
        <v>0.405***</v>
      </c>
      <c r="AF50" t="str">
        <f>"0.882***"</f>
        <v>0.882***</v>
      </c>
      <c r="AG50" t="str">
        <f>"-0.254***"</f>
        <v>-0.254***</v>
      </c>
      <c r="AH50" t="str">
        <f>"0.017"</f>
        <v>0.017</v>
      </c>
      <c r="AI50" t="str">
        <f>"0.115"</f>
        <v>0.115</v>
      </c>
      <c r="AJ50" t="str">
        <f>"0.736***"</f>
        <v>0.736***</v>
      </c>
      <c r="AK50" t="str">
        <f>"0.020"</f>
        <v>0.020</v>
      </c>
      <c r="AL50" t="str">
        <f>"0.261***"</f>
        <v>0.261***</v>
      </c>
      <c r="AM50" t="str">
        <f>"-0.545***"</f>
        <v>-0.545***</v>
      </c>
      <c r="AN50" t="str">
        <f>"-0.825***"</f>
        <v>-0.825***</v>
      </c>
      <c r="AO50" t="str">
        <f>"0.315***"</f>
        <v>0.315***</v>
      </c>
      <c r="AP50" t="str">
        <f>"-1.140***"</f>
        <v>-1.140***</v>
      </c>
      <c r="AQ50" t="str">
        <f>"-0.081"</f>
        <v>-0.081</v>
      </c>
      <c r="AR50" t="str">
        <f>"0.803***"</f>
        <v>0.803***</v>
      </c>
    </row>
    <row r="51" spans="1:44" x14ac:dyDescent="0.25">
      <c r="A51" t="str">
        <f>""</f>
        <v/>
      </c>
      <c r="B51" t="str">
        <f>"(4.08)"</f>
        <v>(4.08)</v>
      </c>
      <c r="C51" t="str">
        <f>"(5.48)"</f>
        <v>(5.48)</v>
      </c>
      <c r="D51" t="str">
        <f>"(-3.22)"</f>
        <v>(-3.22)</v>
      </c>
      <c r="E51" t="str">
        <f>"(0.43)"</f>
        <v>(0.43)</v>
      </c>
      <c r="F51" t="str">
        <f>"(-4.14)"</f>
        <v>(-4.14)</v>
      </c>
      <c r="G51" t="str">
        <f>"(-0.13)"</f>
        <v>(-0.13)</v>
      </c>
      <c r="H51" t="str">
        <f>"(-4.49)"</f>
        <v>(-4.49)</v>
      </c>
      <c r="I51" t="str">
        <f>"(-7.53)"</f>
        <v>(-7.53)</v>
      </c>
      <c r="J51" t="str">
        <f>"(3.37)"</f>
        <v>(3.37)</v>
      </c>
      <c r="K51" t="str">
        <f>"(-0.89)"</f>
        <v>(-0.89)</v>
      </c>
      <c r="L51" t="str">
        <f>"(-2.59)"</f>
        <v>(-2.59)</v>
      </c>
      <c r="M51" t="str">
        <f>"(4.79)"</f>
        <v>(4.79)</v>
      </c>
      <c r="N51" t="str">
        <f>"(4.29)"</f>
        <v>(4.29)</v>
      </c>
      <c r="O51" t="str">
        <f>"(-4.50)"</f>
        <v>(-4.50)</v>
      </c>
      <c r="P51" t="str">
        <f>"(1.29)"</f>
        <v>(1.29)</v>
      </c>
      <c r="Q51" t="str">
        <f>"(1.62)"</f>
        <v>(1.62)</v>
      </c>
      <c r="R51" t="str">
        <f>"(5.37)"</f>
        <v>(5.37)</v>
      </c>
      <c r="S51" t="str">
        <f>"(5.58)"</f>
        <v>(5.58)</v>
      </c>
      <c r="T51" t="str">
        <f>"(5.69)"</f>
        <v>(5.69)</v>
      </c>
      <c r="U51" t="str">
        <f>"(1.58)"</f>
        <v>(1.58)</v>
      </c>
      <c r="V51" t="str">
        <f>"(6.76)"</f>
        <v>(6.76)</v>
      </c>
      <c r="W51" t="str">
        <f>"(6.31)"</f>
        <v>(6.31)</v>
      </c>
      <c r="X51" t="str">
        <f>"(5.49)"</f>
        <v>(5.49)</v>
      </c>
      <c r="Y51" t="str">
        <f>"(-1.66)"</f>
        <v>(-1.66)</v>
      </c>
      <c r="Z51" t="str">
        <f>"(-7.42)"</f>
        <v>(-7.42)</v>
      </c>
      <c r="AA51" t="str">
        <f>"(2.40)"</f>
        <v>(2.40)</v>
      </c>
      <c r="AB51" t="str">
        <f>"(-9.62)"</f>
        <v>(-9.62)</v>
      </c>
      <c r="AC51" t="str">
        <f>"(3.23)"</f>
        <v>(3.23)</v>
      </c>
      <c r="AD51" t="str">
        <f>"(6.91)"</f>
        <v>(6.91)</v>
      </c>
      <c r="AE51" t="str">
        <f>"(3.76)"</f>
        <v>(3.76)</v>
      </c>
      <c r="AF51" t="str">
        <f>"(8.10)"</f>
        <v>(8.10)</v>
      </c>
      <c r="AG51" t="str">
        <f>"(-2.70)"</f>
        <v>(-2.70)</v>
      </c>
      <c r="AH51" t="str">
        <f>"(0.14)"</f>
        <v>(0.14)</v>
      </c>
      <c r="AI51" t="str">
        <f>"(1.03)"</f>
        <v>(1.03)</v>
      </c>
      <c r="AJ51" t="str">
        <f>"(8.12)"</f>
        <v>(8.12)</v>
      </c>
      <c r="AK51" t="str">
        <f>"(0.18)"</f>
        <v>(0.18)</v>
      </c>
      <c r="AL51" t="str">
        <f>"(2.59)"</f>
        <v>(2.59)</v>
      </c>
      <c r="AM51" t="str">
        <f>"(-5.68)"</f>
        <v>(-5.68)</v>
      </c>
      <c r="AN51" t="str">
        <f>"(-7.17)"</f>
        <v>(-7.17)</v>
      </c>
      <c r="AO51" t="str">
        <f>"(3.16)"</f>
        <v>(3.16)</v>
      </c>
      <c r="AP51" t="str">
        <f>"(-13.33)"</f>
        <v>(-13.33)</v>
      </c>
      <c r="AQ51" t="str">
        <f>"(-0.73)"</f>
        <v>(-0.73)</v>
      </c>
      <c r="AR51" t="str">
        <f>"(7.48)"</f>
        <v>(7.48)</v>
      </c>
    </row>
    <row r="53" spans="1:44" x14ac:dyDescent="0.25">
      <c r="A53" t="str">
        <f>"N"</f>
        <v>N</v>
      </c>
      <c r="B53" t="str">
        <f>"2925.000"</f>
        <v>2925.000</v>
      </c>
      <c r="C53" t="str">
        <f>"2306.000"</f>
        <v>2306.000</v>
      </c>
      <c r="D53" t="str">
        <f>"3461.000"</f>
        <v>3461.000</v>
      </c>
      <c r="E53" t="str">
        <f>"3004.000"</f>
        <v>3004.000</v>
      </c>
      <c r="F53" t="str">
        <f>"3806.000"</f>
        <v>3806.000</v>
      </c>
      <c r="G53" t="str">
        <f>"3765.000"</f>
        <v>3765.000</v>
      </c>
      <c r="H53" t="str">
        <f>"1827.000"</f>
        <v>1827.000</v>
      </c>
      <c r="I53" t="str">
        <f>"1863.000"</f>
        <v>1863.000</v>
      </c>
      <c r="J53" t="str">
        <f>"1119.000"</f>
        <v>1119.000</v>
      </c>
      <c r="K53" t="str">
        <f>"1957.000"</f>
        <v>1957.000</v>
      </c>
      <c r="L53" t="str">
        <f>"1432.000"</f>
        <v>1432.000</v>
      </c>
      <c r="M53" t="str">
        <f>"3800.000"</f>
        <v>3800.000</v>
      </c>
      <c r="N53" t="str">
        <f>"2259.000"</f>
        <v>2259.000</v>
      </c>
      <c r="O53" t="str">
        <f>"760.000"</f>
        <v>760.000</v>
      </c>
      <c r="P53" t="str">
        <f>"2534.000"</f>
        <v>2534.000</v>
      </c>
      <c r="Q53" t="str">
        <f>"2948.000"</f>
        <v>2948.000</v>
      </c>
      <c r="R53" t="str">
        <f>"3332.000"</f>
        <v>3332.000</v>
      </c>
      <c r="S53" t="str">
        <f>"3702.000"</f>
        <v>3702.000</v>
      </c>
      <c r="T53" t="str">
        <f>"2907.000"</f>
        <v>2907.000</v>
      </c>
      <c r="U53" t="str">
        <f>"2561.000"</f>
        <v>2561.000</v>
      </c>
      <c r="V53" t="str">
        <f>"3711.000"</f>
        <v>3711.000</v>
      </c>
      <c r="W53" t="str">
        <f>"3302.000"</f>
        <v>3302.000</v>
      </c>
      <c r="X53" t="str">
        <f>"1861.000"</f>
        <v>1861.000</v>
      </c>
      <c r="Y53" t="str">
        <f>"1598.000"</f>
        <v>1598.000</v>
      </c>
      <c r="Z53" t="str">
        <f>"986.000"</f>
        <v>986.000</v>
      </c>
      <c r="AA53" t="str">
        <f>"1922.000"</f>
        <v>1922.000</v>
      </c>
      <c r="AB53" t="str">
        <f>"3806.000"</f>
        <v>3806.000</v>
      </c>
      <c r="AC53" t="str">
        <f>"2541.000"</f>
        <v>2541.000</v>
      </c>
      <c r="AD53" t="str">
        <f>"3801.000"</f>
        <v>3801.000</v>
      </c>
      <c r="AE53" t="str">
        <f>"2447.000"</f>
        <v>2447.000</v>
      </c>
      <c r="AF53" t="str">
        <f>"3786.000"</f>
        <v>3786.000</v>
      </c>
      <c r="AG53" t="str">
        <f>"2358.000"</f>
        <v>2358.000</v>
      </c>
      <c r="AH53" t="str">
        <f>"2561.000"</f>
        <v>2561.000</v>
      </c>
      <c r="AI53" t="str">
        <f>"2553.000"</f>
        <v>2553.000</v>
      </c>
      <c r="AJ53" t="str">
        <f>"3781.000"</f>
        <v>3781.000</v>
      </c>
      <c r="AK53" t="str">
        <f>"2847.000"</f>
        <v>2847.000</v>
      </c>
      <c r="AL53" t="str">
        <f>"3779.000"</f>
        <v>3779.000</v>
      </c>
      <c r="AM53" t="str">
        <f>"3761.000"</f>
        <v>3761.000</v>
      </c>
      <c r="AN53" t="str">
        <f>"3804.000"</f>
        <v>3804.000</v>
      </c>
      <c r="AO53" t="str">
        <f>"3806.000"</f>
        <v>3806.000</v>
      </c>
      <c r="AP53" t="str">
        <f>"3805.000"</f>
        <v>3805.000</v>
      </c>
      <c r="AQ53" t="str">
        <f>"2431.000"</f>
        <v>2431.000</v>
      </c>
      <c r="AR53" t="str">
        <f>"3484.000"</f>
        <v>3484.000</v>
      </c>
    </row>
    <row r="54" spans="1:44" x14ac:dyDescent="0.25">
      <c r="A54" t="str">
        <f>"r2_a"</f>
        <v>r2_a</v>
      </c>
      <c r="B54" t="str">
        <f>"0.161"</f>
        <v>0.161</v>
      </c>
      <c r="C54" t="str">
        <f>"0.476"</f>
        <v>0.476</v>
      </c>
      <c r="D54" t="str">
        <f>"0.378"</f>
        <v>0.378</v>
      </c>
      <c r="E54" t="str">
        <f>"0.384"</f>
        <v>0.384</v>
      </c>
      <c r="F54" t="str">
        <f>"0.894"</f>
        <v>0.894</v>
      </c>
      <c r="G54" t="str">
        <f>"0.251"</f>
        <v>0.251</v>
      </c>
      <c r="H54" t="str">
        <f>"0.592"</f>
        <v>0.592</v>
      </c>
      <c r="I54" t="str">
        <f>"0.477"</f>
        <v>0.477</v>
      </c>
      <c r="J54" t="str">
        <f>"0.359"</f>
        <v>0.359</v>
      </c>
      <c r="K54" t="str">
        <f>"0.397"</f>
        <v>0.397</v>
      </c>
      <c r="L54" t="str">
        <f>"0.246"</f>
        <v>0.246</v>
      </c>
      <c r="M54" t="str">
        <f>"0.374"</f>
        <v>0.374</v>
      </c>
      <c r="N54" t="str">
        <f>"0.342"</f>
        <v>0.342</v>
      </c>
      <c r="O54" t="str">
        <f>"0.550"</f>
        <v>0.550</v>
      </c>
      <c r="P54" t="str">
        <f>"0.275"</f>
        <v>0.275</v>
      </c>
      <c r="Q54" t="str">
        <f>"0.345"</f>
        <v>0.345</v>
      </c>
      <c r="R54" t="str">
        <f>"0.465"</f>
        <v>0.465</v>
      </c>
      <c r="S54" t="str">
        <f>"0.426"</f>
        <v>0.426</v>
      </c>
      <c r="T54" t="str">
        <f>"0.452"</f>
        <v>0.452</v>
      </c>
      <c r="U54" t="str">
        <f>"0.359"</f>
        <v>0.359</v>
      </c>
      <c r="V54" t="str">
        <f>"0.483"</f>
        <v>0.483</v>
      </c>
      <c r="W54" t="str">
        <f>"0.357"</f>
        <v>0.357</v>
      </c>
      <c r="X54" t="str">
        <f>"0.357"</f>
        <v>0.357</v>
      </c>
      <c r="Y54" t="str">
        <f>"0.291"</f>
        <v>0.291</v>
      </c>
      <c r="Z54" t="str">
        <f>"0.696"</f>
        <v>0.696</v>
      </c>
      <c r="AA54" t="str">
        <f>"0.174"</f>
        <v>0.174</v>
      </c>
      <c r="AB54" t="str">
        <f>"0.758"</f>
        <v>0.758</v>
      </c>
      <c r="AC54" t="str">
        <f>"0.385"</f>
        <v>0.385</v>
      </c>
      <c r="AD54" t="str">
        <f>"0.545"</f>
        <v>0.545</v>
      </c>
      <c r="AE54" t="str">
        <f>"0.475"</f>
        <v>0.475</v>
      </c>
      <c r="AF54" t="str">
        <f>"0.453"</f>
        <v>0.453</v>
      </c>
      <c r="AG54" t="str">
        <f>"0.215"</f>
        <v>0.215</v>
      </c>
      <c r="AH54" t="str">
        <f>"0.373"</f>
        <v>0.373</v>
      </c>
      <c r="AI54" t="str">
        <f>"0.334"</f>
        <v>0.334</v>
      </c>
      <c r="AJ54" t="str">
        <f>"0.396"</f>
        <v>0.396</v>
      </c>
      <c r="AK54" t="str">
        <f>"0.452"</f>
        <v>0.452</v>
      </c>
      <c r="AL54" t="str">
        <f>"0.288"</f>
        <v>0.288</v>
      </c>
      <c r="AM54" t="str">
        <f>"0.339"</f>
        <v>0.339</v>
      </c>
      <c r="AN54" t="str">
        <f>"0.169"</f>
        <v>0.169</v>
      </c>
      <c r="AO54" t="str">
        <f>"0.858"</f>
        <v>0.858</v>
      </c>
      <c r="AP54" t="str">
        <f>"0.444"</f>
        <v>0.444</v>
      </c>
      <c r="AQ54" t="str">
        <f>"0.291"</f>
        <v>0.291</v>
      </c>
      <c r="AR54" t="str">
        <f>"0.332"</f>
        <v>0.332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0B14-63F0-4C42-B543-B74657705EEE}">
  <dimension ref="A2:I54"/>
  <sheetViews>
    <sheetView tabSelected="1" workbookViewId="0">
      <selection activeCell="J8" sqref="J8"/>
    </sheetView>
  </sheetViews>
  <sheetFormatPr defaultRowHeight="15.75" x14ac:dyDescent="0.25"/>
  <cols>
    <col min="1" max="1" width="11.875" bestFit="1" customWidth="1"/>
    <col min="2" max="3" width="11"/>
  </cols>
  <sheetData>
    <row r="2" spans="1:9" x14ac:dyDescent="0.25">
      <c r="A2" t="str">
        <f>""</f>
        <v/>
      </c>
      <c r="B2" t="str">
        <f>"(3)"</f>
        <v>(3)</v>
      </c>
      <c r="C2" s="1" t="str">
        <f>"(4)"</f>
        <v>(4)</v>
      </c>
      <c r="D2" t="str">
        <f>"(15)"</f>
        <v>(15)</v>
      </c>
      <c r="E2" t="str">
        <f>"(16)"</f>
        <v>(16)</v>
      </c>
      <c r="F2" t="str">
        <f>"(32)"</f>
        <v>(32)</v>
      </c>
      <c r="G2" t="str">
        <f>"(33)"</f>
        <v>(33)</v>
      </c>
      <c r="H2" s="1" t="s">
        <v>44</v>
      </c>
      <c r="I2" s="1" t="s">
        <v>47</v>
      </c>
    </row>
    <row r="3" spans="1:9" x14ac:dyDescent="0.25">
      <c r="A3" t="str">
        <f>""</f>
        <v/>
      </c>
      <c r="B3" t="s">
        <v>2</v>
      </c>
      <c r="C3" s="1" t="s">
        <v>3</v>
      </c>
      <c r="D3" t="s">
        <v>14</v>
      </c>
      <c r="E3" t="s">
        <v>15</v>
      </c>
      <c r="F3" t="s">
        <v>31</v>
      </c>
      <c r="G3" t="s">
        <v>32</v>
      </c>
      <c r="H3" s="1" t="s">
        <v>16</v>
      </c>
      <c r="I3" s="1" t="s">
        <v>18</v>
      </c>
    </row>
    <row r="5" spans="1:9" x14ac:dyDescent="0.25">
      <c r="A5" t="str">
        <f>"mktrf_l"</f>
        <v>mktrf_l</v>
      </c>
      <c r="B5" t="str">
        <f>"2.687"</f>
        <v>2.687</v>
      </c>
      <c r="C5" t="str">
        <f>"5.439"</f>
        <v>5.439</v>
      </c>
      <c r="D5" t="str">
        <f>"5.062"</f>
        <v>5.062</v>
      </c>
      <c r="E5" t="str">
        <f>"11.158*"</f>
        <v>11.158*</v>
      </c>
      <c r="F5" t="str">
        <f>"8.365"</f>
        <v>8.365</v>
      </c>
      <c r="G5" t="str">
        <f>"9.781"</f>
        <v>9.781</v>
      </c>
      <c r="H5" t="s">
        <v>53</v>
      </c>
      <c r="I5" t="s">
        <v>82</v>
      </c>
    </row>
    <row r="6" spans="1:9" x14ac:dyDescent="0.25">
      <c r="A6" t="str">
        <f>""</f>
        <v/>
      </c>
      <c r="B6" t="str">
        <f>"(0.78)"</f>
        <v>(0.78)</v>
      </c>
      <c r="C6" t="str">
        <f>"(0.93)"</f>
        <v>(0.93)</v>
      </c>
      <c r="D6" t="str">
        <f>"(1.07)"</f>
        <v>(1.07)</v>
      </c>
      <c r="E6" t="str">
        <f>"(1.88)"</f>
        <v>(1.88)</v>
      </c>
      <c r="F6" t="str">
        <f>"(0.92)"</f>
        <v>(0.92)</v>
      </c>
      <c r="G6" t="str">
        <f>"(1.35)"</f>
        <v>(1.35)</v>
      </c>
      <c r="H6" t="s">
        <v>54</v>
      </c>
      <c r="I6" t="s">
        <v>83</v>
      </c>
    </row>
    <row r="8" spans="1:9" x14ac:dyDescent="0.25">
      <c r="A8" t="str">
        <f>"log_amznvol"</f>
        <v>log_amznvol</v>
      </c>
      <c r="B8" t="str">
        <f>"0.021"</f>
        <v>0.021</v>
      </c>
      <c r="C8" t="str">
        <f>"-0.015"</f>
        <v>-0.015</v>
      </c>
      <c r="D8" t="str">
        <f>"0.131***"</f>
        <v>0.131***</v>
      </c>
      <c r="E8" t="str">
        <f>"0.102***"</f>
        <v>0.102***</v>
      </c>
      <c r="F8" t="str">
        <f>"0.083**"</f>
        <v>0.083**</v>
      </c>
      <c r="G8" t="str">
        <f>"0.066*"</f>
        <v>0.066*</v>
      </c>
      <c r="H8" t="s">
        <v>55</v>
      </c>
      <c r="I8" t="s">
        <v>84</v>
      </c>
    </row>
    <row r="9" spans="1:9" x14ac:dyDescent="0.25">
      <c r="A9" t="str">
        <f>""</f>
        <v/>
      </c>
      <c r="B9" t="str">
        <f>"(0.95)"</f>
        <v>(0.95)</v>
      </c>
      <c r="C9" t="str">
        <f>"(-0.48)"</f>
        <v>(-0.48)</v>
      </c>
      <c r="D9" t="str">
        <f>"(5.45)"</f>
        <v>(5.45)</v>
      </c>
      <c r="E9" t="str">
        <f>"(3.30)"</f>
        <v>(3.30)</v>
      </c>
      <c r="F9" t="str">
        <f>"(2.22)"</f>
        <v>(2.22)</v>
      </c>
      <c r="G9" t="str">
        <f>"(1.92)"</f>
        <v>(1.92)</v>
      </c>
      <c r="H9" t="s">
        <v>56</v>
      </c>
      <c r="I9" t="s">
        <v>85</v>
      </c>
    </row>
    <row r="11" spans="1:9" x14ac:dyDescent="0.25">
      <c r="A11" t="str">
        <f>"log_helpful"</f>
        <v>log_helpful</v>
      </c>
      <c r="B11" t="str">
        <f>"0.011"</f>
        <v>0.011</v>
      </c>
      <c r="C11" t="str">
        <f>"0.010"</f>
        <v>0.010</v>
      </c>
      <c r="D11" t="str">
        <f>"-0.062***"</f>
        <v>-0.062***</v>
      </c>
      <c r="E11" t="str">
        <f>"-0.031*"</f>
        <v>-0.031*</v>
      </c>
      <c r="F11" t="str">
        <f>"0.002"</f>
        <v>0.002</v>
      </c>
      <c r="G11" t="str">
        <f>"-0.006"</f>
        <v>-0.006</v>
      </c>
      <c r="H11" t="s">
        <v>57</v>
      </c>
      <c r="I11" t="s">
        <v>86</v>
      </c>
    </row>
    <row r="12" spans="1:9" x14ac:dyDescent="0.25">
      <c r="A12" t="str">
        <f>""</f>
        <v/>
      </c>
      <c r="B12" t="str">
        <f>"(1.03)"</f>
        <v>(1.03)</v>
      </c>
      <c r="C12" t="str">
        <f>"(0.63)"</f>
        <v>(0.63)</v>
      </c>
      <c r="D12" t="str">
        <f>"(-4.45)"</f>
        <v>(-4.45)</v>
      </c>
      <c r="E12" t="str">
        <f>"(-1.95)"</f>
        <v>(-1.95)</v>
      </c>
      <c r="F12" t="str">
        <f>"(0.12)"</f>
        <v>(0.12)</v>
      </c>
      <c r="G12" t="str">
        <f>"(-0.36)"</f>
        <v>(-0.36)</v>
      </c>
      <c r="H12" t="s">
        <v>58</v>
      </c>
      <c r="I12" t="s">
        <v>87</v>
      </c>
    </row>
    <row r="14" spans="1:9" x14ac:dyDescent="0.25">
      <c r="A14" t="str">
        <f>"_cons"</f>
        <v>_cons</v>
      </c>
      <c r="B14" t="str">
        <f>"3.816***"</f>
        <v>3.816***</v>
      </c>
      <c r="C14" t="str">
        <f>"4.039***"</f>
        <v>4.039***</v>
      </c>
      <c r="D14" t="str">
        <f>"4.055***"</f>
        <v>4.055***</v>
      </c>
      <c r="E14" t="str">
        <f>"3.726***"</f>
        <v>3.726***</v>
      </c>
      <c r="F14" t="str">
        <f>"3.606***"</f>
        <v>3.606***</v>
      </c>
      <c r="G14" t="str">
        <f>"3.699***"</f>
        <v>3.699***</v>
      </c>
      <c r="H14" t="s">
        <v>59</v>
      </c>
      <c r="I14" t="s">
        <v>88</v>
      </c>
    </row>
    <row r="15" spans="1:9" x14ac:dyDescent="0.25">
      <c r="A15" t="str">
        <f>""</f>
        <v/>
      </c>
      <c r="B15" t="str">
        <f>"(44.39)"</f>
        <v>(44.39)</v>
      </c>
      <c r="C15" t="str">
        <f>"(32.65)"</f>
        <v>(32.65)</v>
      </c>
      <c r="D15" t="str">
        <f>"(42.85)"</f>
        <v>(42.85)</v>
      </c>
      <c r="E15" t="str">
        <f>"(28.68)"</f>
        <v>(28.68)</v>
      </c>
      <c r="F15" t="str">
        <f>"(47.17)"</f>
        <v>(47.17)</v>
      </c>
      <c r="G15" t="str">
        <f>"(27.29)"</f>
        <v>(27.29)</v>
      </c>
      <c r="H15" t="s">
        <v>60</v>
      </c>
      <c r="I15" t="s">
        <v>89</v>
      </c>
    </row>
    <row r="17" spans="1:9" x14ac:dyDescent="0.25">
      <c r="A17" t="str">
        <f>"N"</f>
        <v>N</v>
      </c>
      <c r="B17" t="str">
        <f>"3617.000"</f>
        <v>3617.000</v>
      </c>
      <c r="C17" t="str">
        <f>"3342.000"</f>
        <v>3342.000</v>
      </c>
      <c r="D17" t="str">
        <f>"2878.000"</f>
        <v>2878.000</v>
      </c>
      <c r="E17" t="str">
        <f>"3375.000"</f>
        <v>3375.000</v>
      </c>
      <c r="F17" t="str">
        <f>"3077.000"</f>
        <v>3077.000</v>
      </c>
      <c r="G17" t="str">
        <f>"2947.000"</f>
        <v>2947.000</v>
      </c>
      <c r="H17" t="s">
        <v>61</v>
      </c>
      <c r="I17" t="s">
        <v>90</v>
      </c>
    </row>
    <row r="18" spans="1:9" x14ac:dyDescent="0.25">
      <c r="A18" t="str">
        <f>"r2_a"</f>
        <v>r2_a</v>
      </c>
      <c r="B18" t="str">
        <f>"0.284"</f>
        <v>0.284</v>
      </c>
      <c r="C18" t="str">
        <f>"0.090"</f>
        <v>0.090</v>
      </c>
      <c r="D18" t="str">
        <f>"0.153"</f>
        <v>0.153</v>
      </c>
      <c r="E18" t="str">
        <f>"0.093"</f>
        <v>0.093</v>
      </c>
      <c r="F18" t="str">
        <f>"0.068"</f>
        <v>0.068</v>
      </c>
      <c r="G18" t="str">
        <f>"0.163"</f>
        <v>0.163</v>
      </c>
      <c r="H18" t="s">
        <v>62</v>
      </c>
      <c r="I18" t="s">
        <v>91</v>
      </c>
    </row>
    <row r="20" spans="1:9" x14ac:dyDescent="0.25">
      <c r="A20" t="str">
        <f>""</f>
        <v/>
      </c>
      <c r="B20" t="str">
        <f>"(46)"</f>
        <v>(46)</v>
      </c>
      <c r="C20" t="str">
        <f>"(47)"</f>
        <v>(47)</v>
      </c>
      <c r="D20" t="str">
        <f>"(58)"</f>
        <v>(58)</v>
      </c>
      <c r="E20" t="str">
        <f>"(59)"</f>
        <v>(59)</v>
      </c>
      <c r="F20" t="str">
        <f>"(75)"</f>
        <v>(75)</v>
      </c>
      <c r="G20" t="str">
        <f>"(76)"</f>
        <v>(76)</v>
      </c>
      <c r="H20" t="s">
        <v>45</v>
      </c>
      <c r="I20" t="s">
        <v>49</v>
      </c>
    </row>
    <row r="21" spans="1:9" x14ac:dyDescent="0.25">
      <c r="A21" t="str">
        <f>""</f>
        <v/>
      </c>
      <c r="B21" t="str">
        <f t="shared" ref="B21:G21" si="0">"std_star_rating"</f>
        <v>std_star_rating</v>
      </c>
      <c r="C21" t="str">
        <f t="shared" si="0"/>
        <v>std_star_rating</v>
      </c>
      <c r="D21" t="str">
        <f t="shared" si="0"/>
        <v>std_star_rating</v>
      </c>
      <c r="E21" t="str">
        <f t="shared" si="0"/>
        <v>std_star_rating</v>
      </c>
      <c r="F21" t="str">
        <f t="shared" si="0"/>
        <v>std_star_rating</v>
      </c>
      <c r="G21" t="str">
        <f t="shared" si="0"/>
        <v>std_star_rating</v>
      </c>
      <c r="H21" t="s">
        <v>51</v>
      </c>
      <c r="I21" t="s">
        <v>51</v>
      </c>
    </row>
    <row r="23" spans="1:9" x14ac:dyDescent="0.25">
      <c r="A23" t="str">
        <f>"mktrf_l"</f>
        <v>mktrf_l</v>
      </c>
      <c r="B23" t="str">
        <f>"-2.408"</f>
        <v>-2.408</v>
      </c>
      <c r="C23" t="str">
        <f>"2.897"</f>
        <v>2.897</v>
      </c>
      <c r="D23" t="str">
        <f>"2.665"</f>
        <v>2.665</v>
      </c>
      <c r="E23" t="str">
        <f>"1.463"</f>
        <v>1.463</v>
      </c>
      <c r="F23" t="str">
        <f>"-4.816"</f>
        <v>-4.816</v>
      </c>
      <c r="G23" t="str">
        <f>"-0.162"</f>
        <v>-0.162</v>
      </c>
      <c r="H23" t="s">
        <v>63</v>
      </c>
      <c r="I23" t="s">
        <v>92</v>
      </c>
    </row>
    <row r="24" spans="1:9" x14ac:dyDescent="0.25">
      <c r="A24" t="str">
        <f>""</f>
        <v/>
      </c>
      <c r="B24" t="str">
        <f>"(-1.15)"</f>
        <v>(-1.15)</v>
      </c>
      <c r="C24" t="str">
        <f>"(0.75)"</f>
        <v>(0.75)</v>
      </c>
      <c r="D24" t="str">
        <f>"(0.62)"</f>
        <v>(0.62)</v>
      </c>
      <c r="E24" t="str">
        <f>"(0.37)"</f>
        <v>(0.37)</v>
      </c>
      <c r="F24" t="str">
        <f>"(-0.79)"</f>
        <v>(-0.79)</v>
      </c>
      <c r="G24" t="str">
        <f>"(-0.04)"</f>
        <v>(-0.04)</v>
      </c>
      <c r="H24" t="s">
        <v>64</v>
      </c>
      <c r="I24" t="s">
        <v>93</v>
      </c>
    </row>
    <row r="26" spans="1:9" x14ac:dyDescent="0.25">
      <c r="A26" t="str">
        <f>"log_amznvol"</f>
        <v>log_amznvol</v>
      </c>
      <c r="B26" t="str">
        <f>"-0.044***"</f>
        <v>-0.044***</v>
      </c>
      <c r="C26" t="str">
        <f>"0.035"</f>
        <v>0.035</v>
      </c>
      <c r="D26" t="str">
        <f>"-0.031"</f>
        <v>-0.031</v>
      </c>
      <c r="E26" t="str">
        <f>"-0.042*"</f>
        <v>-0.042*</v>
      </c>
      <c r="F26" t="str">
        <f>"-0.005"</f>
        <v>-0.005</v>
      </c>
      <c r="G26" t="str">
        <f>"-0.009"</f>
        <v>-0.009</v>
      </c>
      <c r="H26" t="s">
        <v>65</v>
      </c>
      <c r="I26" t="s">
        <v>94</v>
      </c>
    </row>
    <row r="27" spans="1:9" x14ac:dyDescent="0.25">
      <c r="A27" t="str">
        <f>""</f>
        <v/>
      </c>
      <c r="B27" t="str">
        <f>"(-3.16)"</f>
        <v>(-3.16)</v>
      </c>
      <c r="C27" t="str">
        <f>"(1.54)"</f>
        <v>(1.54)</v>
      </c>
      <c r="D27" t="str">
        <f>"(-1.27)"</f>
        <v>(-1.27)</v>
      </c>
      <c r="E27" t="str">
        <f>"(-1.78)"</f>
        <v>(-1.78)</v>
      </c>
      <c r="F27" t="str">
        <f>"(-0.18)"</f>
        <v>(-0.18)</v>
      </c>
      <c r="G27" t="str">
        <f>"(-0.37)"</f>
        <v>(-0.37)</v>
      </c>
      <c r="H27" t="s">
        <v>66</v>
      </c>
      <c r="I27" t="s">
        <v>95</v>
      </c>
    </row>
    <row r="29" spans="1:9" x14ac:dyDescent="0.25">
      <c r="A29" t="str">
        <f>"log_helpful"</f>
        <v>log_helpful</v>
      </c>
      <c r="B29" t="str">
        <f>"0.015**"</f>
        <v>0.015**</v>
      </c>
      <c r="C29" t="str">
        <f>"-0.015"</f>
        <v>-0.015</v>
      </c>
      <c r="D29" t="str">
        <f>"0.052***"</f>
        <v>0.052***</v>
      </c>
      <c r="E29" t="str">
        <f>"0.012"</f>
        <v>0.012</v>
      </c>
      <c r="F29" t="str">
        <f>"0.020"</f>
        <v>0.020</v>
      </c>
      <c r="G29" t="str">
        <f>"0.040***"</f>
        <v>0.040***</v>
      </c>
      <c r="H29" t="s">
        <v>67</v>
      </c>
      <c r="I29" t="s">
        <v>96</v>
      </c>
    </row>
    <row r="30" spans="1:9" x14ac:dyDescent="0.25">
      <c r="A30" t="str">
        <f>""</f>
        <v/>
      </c>
      <c r="B30" t="str">
        <f>"(2.16)"</f>
        <v>(2.16)</v>
      </c>
      <c r="C30" t="str">
        <f>"(-1.27)"</f>
        <v>(-1.27)</v>
      </c>
      <c r="D30" t="str">
        <f>"(3.71)"</f>
        <v>(3.71)</v>
      </c>
      <c r="E30" t="str">
        <f>"(0.99)"</f>
        <v>(0.99)</v>
      </c>
      <c r="F30" t="str">
        <f>"(1.53)"</f>
        <v>(1.53)</v>
      </c>
      <c r="G30" t="str">
        <f>"(3.47)"</f>
        <v>(3.47)</v>
      </c>
      <c r="H30" t="s">
        <v>68</v>
      </c>
      <c r="I30" t="s">
        <v>97</v>
      </c>
    </row>
    <row r="32" spans="1:9" x14ac:dyDescent="0.25">
      <c r="A32" t="str">
        <f>"_cons"</f>
        <v>_cons</v>
      </c>
      <c r="B32" t="str">
        <f>"1.486***"</f>
        <v>1.486***</v>
      </c>
      <c r="C32" t="str">
        <f>"1.264***"</f>
        <v>1.264***</v>
      </c>
      <c r="D32" t="str">
        <f>"1.011***"</f>
        <v>1.011***</v>
      </c>
      <c r="E32" t="str">
        <f>"1.497***"</f>
        <v>1.497***</v>
      </c>
      <c r="F32" t="str">
        <f>"1.369***"</f>
        <v>1.369***</v>
      </c>
      <c r="G32" t="str">
        <f>"1.162***"</f>
        <v>1.162***</v>
      </c>
      <c r="H32" t="s">
        <v>69</v>
      </c>
      <c r="I32" t="s">
        <v>98</v>
      </c>
    </row>
    <row r="33" spans="1:9" x14ac:dyDescent="0.25">
      <c r="A33" t="str">
        <f>""</f>
        <v/>
      </c>
      <c r="B33" t="str">
        <f>"(25.33)"</f>
        <v>(25.33)</v>
      </c>
      <c r="C33" t="str">
        <f>"(12.96)"</f>
        <v>(12.96)</v>
      </c>
      <c r="D33" t="str">
        <f>"(9.89)"</f>
        <v>(9.89)</v>
      </c>
      <c r="E33" t="str">
        <f>"(13.93)"</f>
        <v>(13.93)</v>
      </c>
      <c r="F33" t="str">
        <f>"(19.75)"</f>
        <v>(19.75)</v>
      </c>
      <c r="G33" t="str">
        <f>"(11.40)"</f>
        <v>(11.40)</v>
      </c>
      <c r="H33" t="s">
        <v>70</v>
      </c>
      <c r="I33" t="s">
        <v>99</v>
      </c>
    </row>
    <row r="35" spans="1:9" x14ac:dyDescent="0.25">
      <c r="A35" t="str">
        <f>"N"</f>
        <v>N</v>
      </c>
      <c r="B35" t="str">
        <f>"3515.000"</f>
        <v>3515.000</v>
      </c>
      <c r="C35" t="str">
        <f>"3150.000"</f>
        <v>3150.000</v>
      </c>
      <c r="D35" t="str">
        <f>"2747.000"</f>
        <v>2747.000</v>
      </c>
      <c r="E35" t="str">
        <f>"3127.000"</f>
        <v>3127.000</v>
      </c>
      <c r="F35" t="str">
        <f>"2681.000"</f>
        <v>2681.000</v>
      </c>
      <c r="G35" t="str">
        <f>"2720.000"</f>
        <v>2720.000</v>
      </c>
      <c r="H35" t="s">
        <v>71</v>
      </c>
      <c r="I35" t="s">
        <v>100</v>
      </c>
    </row>
    <row r="36" spans="1:9" x14ac:dyDescent="0.25">
      <c r="A36" t="str">
        <f>"r2_a"</f>
        <v>r2_a</v>
      </c>
      <c r="B36" t="str">
        <f>"0.372"</f>
        <v>0.372</v>
      </c>
      <c r="C36" t="str">
        <f>"0.083"</f>
        <v>0.083</v>
      </c>
      <c r="D36" t="str">
        <f>"0.323"</f>
        <v>0.323</v>
      </c>
      <c r="E36" t="str">
        <f>"0.069"</f>
        <v>0.069</v>
      </c>
      <c r="F36" t="str">
        <f>"0.069"</f>
        <v>0.069</v>
      </c>
      <c r="G36" t="str">
        <f>"0.116"</f>
        <v>0.116</v>
      </c>
      <c r="H36" t="s">
        <v>72</v>
      </c>
      <c r="I36" t="s">
        <v>101</v>
      </c>
    </row>
    <row r="38" spans="1:9" x14ac:dyDescent="0.25">
      <c r="A38" t="str">
        <f>""</f>
        <v/>
      </c>
      <c r="B38" t="str">
        <f>"(89)"</f>
        <v>(89)</v>
      </c>
      <c r="C38" t="str">
        <f>"(90)"</f>
        <v>(90)</v>
      </c>
      <c r="D38" t="str">
        <f>"(101)"</f>
        <v>(101)</v>
      </c>
      <c r="E38" t="str">
        <f>"(102)"</f>
        <v>(102)</v>
      </c>
      <c r="F38" t="str">
        <f>"(118)"</f>
        <v>(118)</v>
      </c>
      <c r="G38" t="str">
        <f>"(119)"</f>
        <v>(119)</v>
      </c>
      <c r="H38" t="s">
        <v>46</v>
      </c>
      <c r="I38" t="s">
        <v>50</v>
      </c>
    </row>
    <row r="39" spans="1:9" x14ac:dyDescent="0.25">
      <c r="A39" t="str">
        <f>""</f>
        <v/>
      </c>
      <c r="B39" t="str">
        <f t="shared" ref="B39:G39" si="1">"skew_star_rating"</f>
        <v>skew_star_rating</v>
      </c>
      <c r="C39" t="str">
        <f t="shared" si="1"/>
        <v>skew_star_rating</v>
      </c>
      <c r="D39" t="str">
        <f t="shared" si="1"/>
        <v>skew_star_rating</v>
      </c>
      <c r="E39" t="str">
        <f t="shared" si="1"/>
        <v>skew_star_rating</v>
      </c>
      <c r="F39" t="str">
        <f t="shared" si="1"/>
        <v>skew_star_rating</v>
      </c>
      <c r="G39" t="str">
        <f t="shared" si="1"/>
        <v>skew_star_rating</v>
      </c>
      <c r="H39" t="s">
        <v>52</v>
      </c>
      <c r="I39" t="s">
        <v>52</v>
      </c>
    </row>
    <row r="41" spans="1:9" x14ac:dyDescent="0.25">
      <c r="A41" t="str">
        <f>"mktrf_l"</f>
        <v>mktrf_l</v>
      </c>
      <c r="B41" t="str">
        <f>"-2.945"</f>
        <v>-2.945</v>
      </c>
      <c r="C41" t="str">
        <f>"-2.597"</f>
        <v>-2.597</v>
      </c>
      <c r="D41" t="str">
        <f>"-3.231"</f>
        <v>-3.231</v>
      </c>
      <c r="E41" t="str">
        <f>"-2.057"</f>
        <v>-2.057</v>
      </c>
      <c r="F41" t="str">
        <f>"-6.105"</f>
        <v>-6.105</v>
      </c>
      <c r="G41" t="str">
        <f>"0.315"</f>
        <v>0.315</v>
      </c>
      <c r="H41" t="s">
        <v>73</v>
      </c>
      <c r="I41" t="s">
        <v>102</v>
      </c>
    </row>
    <row r="42" spans="1:9" x14ac:dyDescent="0.25">
      <c r="A42" t="str">
        <f>""</f>
        <v/>
      </c>
      <c r="B42" t="str">
        <f>"(-0.80)"</f>
        <v>(-0.80)</v>
      </c>
      <c r="C42" t="str">
        <f>"(-0.56)"</f>
        <v>(-0.56)</v>
      </c>
      <c r="D42" t="str">
        <f>"(-0.68)"</f>
        <v>(-0.68)</v>
      </c>
      <c r="E42" t="str">
        <f>"(-0.46)"</f>
        <v>(-0.46)</v>
      </c>
      <c r="F42" t="str">
        <f>"(-0.88)"</f>
        <v>(-0.88)</v>
      </c>
      <c r="G42" t="str">
        <f>"(0.07)"</f>
        <v>(0.07)</v>
      </c>
      <c r="H42" t="s">
        <v>74</v>
      </c>
      <c r="I42" t="s">
        <v>103</v>
      </c>
    </row>
    <row r="44" spans="1:9" x14ac:dyDescent="0.25">
      <c r="A44" t="str">
        <f>"log_amznvol"</f>
        <v>log_amznvol</v>
      </c>
      <c r="B44" t="str">
        <f>"-0.161***"</f>
        <v>-0.161***</v>
      </c>
      <c r="C44" t="str">
        <f>"-0.295***"</f>
        <v>-0.295***</v>
      </c>
      <c r="D44" t="str">
        <f>"-0.354***"</f>
        <v>-0.354***</v>
      </c>
      <c r="E44" t="str">
        <f>"-0.263***"</f>
        <v>-0.263***</v>
      </c>
      <c r="F44" t="str">
        <f>"-0.252***"</f>
        <v>-0.252***</v>
      </c>
      <c r="G44" t="str">
        <f>"-0.260***"</f>
        <v>-0.260***</v>
      </c>
      <c r="H44" t="s">
        <v>75</v>
      </c>
      <c r="I44" t="s">
        <v>104</v>
      </c>
    </row>
    <row r="45" spans="1:9" x14ac:dyDescent="0.25">
      <c r="A45" t="str">
        <f>""</f>
        <v/>
      </c>
      <c r="B45" t="str">
        <f>"(-6.52)"</f>
        <v>(-6.52)</v>
      </c>
      <c r="C45" t="str">
        <f>"(-10.44)"</f>
        <v>(-10.44)</v>
      </c>
      <c r="D45" t="str">
        <f>"(-11.45)"</f>
        <v>(-11.45)</v>
      </c>
      <c r="E45" t="str">
        <f>"(-9.59)"</f>
        <v>(-9.59)</v>
      </c>
      <c r="F45" t="str">
        <f>"(-6.77)"</f>
        <v>(-6.77)</v>
      </c>
      <c r="G45" t="str">
        <f>"(-9.30)"</f>
        <v>(-9.30)</v>
      </c>
      <c r="H45" t="s">
        <v>76</v>
      </c>
      <c r="I45" t="s">
        <v>105</v>
      </c>
    </row>
    <row r="47" spans="1:9" x14ac:dyDescent="0.25">
      <c r="A47" t="str">
        <f>"log_helpful"</f>
        <v>log_helpful</v>
      </c>
      <c r="B47" t="str">
        <f>"-0.005"</f>
        <v>-0.005</v>
      </c>
      <c r="C47" t="str">
        <f>"0.029*"</f>
        <v>0.029*</v>
      </c>
      <c r="D47" t="str">
        <f>"0.011"</f>
        <v>0.011</v>
      </c>
      <c r="E47" t="str">
        <f>"-0.009"</f>
        <v>-0.009</v>
      </c>
      <c r="F47" t="str">
        <f>"0.014"</f>
        <v>0.014</v>
      </c>
      <c r="G47" t="str">
        <f>"0.013"</f>
        <v>0.013</v>
      </c>
      <c r="H47" t="s">
        <v>77</v>
      </c>
      <c r="I47" t="s">
        <v>106</v>
      </c>
    </row>
    <row r="48" spans="1:9" x14ac:dyDescent="0.25">
      <c r="A48" t="str">
        <f>""</f>
        <v/>
      </c>
      <c r="B48" t="str">
        <f>"(-0.38)"</f>
        <v>(-0.38)</v>
      </c>
      <c r="C48" t="str">
        <f>"(1.81)"</f>
        <v>(1.81)</v>
      </c>
      <c r="D48" t="str">
        <f>"(0.63)"</f>
        <v>(0.63)</v>
      </c>
      <c r="E48" t="str">
        <f>"(-0.53)"</f>
        <v>(-0.53)</v>
      </c>
      <c r="F48" t="str">
        <f>"(0.88)"</f>
        <v>(0.88)</v>
      </c>
      <c r="G48" t="str">
        <f>"(0.90)"</f>
        <v>(0.90)</v>
      </c>
      <c r="H48" t="s">
        <v>43</v>
      </c>
      <c r="I48" t="s">
        <v>48</v>
      </c>
    </row>
    <row r="50" spans="1:9" x14ac:dyDescent="0.25">
      <c r="A50" t="str">
        <f>"_cons"</f>
        <v>_cons</v>
      </c>
      <c r="B50" t="str">
        <f>"-0.341***"</f>
        <v>-0.341***</v>
      </c>
      <c r="C50" t="str">
        <f>"0.055"</f>
        <v>0.055</v>
      </c>
      <c r="D50" t="str">
        <f>"0.179"</f>
        <v>0.179</v>
      </c>
      <c r="E50" t="str">
        <f>"0.215"</f>
        <v>0.215</v>
      </c>
      <c r="F50" t="str">
        <f>"-0.254***"</f>
        <v>-0.254***</v>
      </c>
      <c r="G50" t="str">
        <f>"0.017"</f>
        <v>0.017</v>
      </c>
      <c r="H50" t="s">
        <v>78</v>
      </c>
      <c r="I50" t="s">
        <v>107</v>
      </c>
    </row>
    <row r="51" spans="1:9" x14ac:dyDescent="0.25">
      <c r="A51" t="str">
        <f>""</f>
        <v/>
      </c>
      <c r="B51" t="str">
        <f>"(-3.22)"</f>
        <v>(-3.22)</v>
      </c>
      <c r="C51" t="str">
        <f>"(0.43)"</f>
        <v>(0.43)</v>
      </c>
      <c r="D51" t="str">
        <f>"(1.29)"</f>
        <v>(1.29)</v>
      </c>
      <c r="E51" t="str">
        <f>"(1.62)"</f>
        <v>(1.62)</v>
      </c>
      <c r="F51" t="str">
        <f>"(-2.70)"</f>
        <v>(-2.70)</v>
      </c>
      <c r="G51" t="str">
        <f>"(0.14)"</f>
        <v>(0.14)</v>
      </c>
      <c r="H51" t="s">
        <v>79</v>
      </c>
      <c r="I51" t="s">
        <v>108</v>
      </c>
    </row>
    <row r="53" spans="1:9" x14ac:dyDescent="0.25">
      <c r="A53" t="str">
        <f>"N"</f>
        <v>N</v>
      </c>
      <c r="B53" t="str">
        <f>"3461.000"</f>
        <v>3461.000</v>
      </c>
      <c r="C53" t="str">
        <f>"3004.000"</f>
        <v>3004.000</v>
      </c>
      <c r="D53" t="str">
        <f>"2534.000"</f>
        <v>2534.000</v>
      </c>
      <c r="E53" t="str">
        <f>"2948.000"</f>
        <v>2948.000</v>
      </c>
      <c r="F53" t="str">
        <f>"2358.000"</f>
        <v>2358.000</v>
      </c>
      <c r="G53" t="str">
        <f>"2561.000"</f>
        <v>2561.000</v>
      </c>
      <c r="H53" t="s">
        <v>80</v>
      </c>
      <c r="I53" t="s">
        <v>109</v>
      </c>
    </row>
    <row r="54" spans="1:9" x14ac:dyDescent="0.25">
      <c r="A54" t="str">
        <f>"r2_a"</f>
        <v>r2_a</v>
      </c>
      <c r="B54" t="str">
        <f>"0.378"</f>
        <v>0.378</v>
      </c>
      <c r="C54" t="str">
        <f>"0.384"</f>
        <v>0.384</v>
      </c>
      <c r="D54" t="str">
        <f>"0.275"</f>
        <v>0.275</v>
      </c>
      <c r="E54" t="str">
        <f>"0.345"</f>
        <v>0.345</v>
      </c>
      <c r="F54" t="str">
        <f>"0.215"</f>
        <v>0.215</v>
      </c>
      <c r="G54" t="str">
        <f>"0.373"</f>
        <v>0.373</v>
      </c>
      <c r="H54" t="s">
        <v>81</v>
      </c>
      <c r="I5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Yanhui</cp:lastModifiedBy>
  <dcterms:created xsi:type="dcterms:W3CDTF">2021-03-13T06:13:30Z</dcterms:created>
  <dcterms:modified xsi:type="dcterms:W3CDTF">2021-03-14T04:22:14Z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{9E8680A5-7301-4729-BD6C-601F89D3D3B3}</vt:lpwstr>
  </property>
</Properties>
</file>