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4695" tabRatio="598" activeTab="8"/>
  </bookViews>
  <sheets>
    <sheet name="Direcc" sheetId="7" r:id="rId1"/>
    <sheet name="Gestión" sheetId="8" r:id="rId2"/>
    <sheet name="Mercadot" sheetId="9" r:id="rId3"/>
    <sheet name="Econ" sheetId="10" r:id="rId4"/>
    <sheet name="Contab" sheetId="11" r:id="rId5"/>
    <sheet name="Infocomunicaciones" sheetId="12" r:id="rId6"/>
    <sheet name="Def y Seg-1" sheetId="13" r:id="rId7"/>
    <sheet name="Def y Seg-2" sheetId="15" r:id="rId8"/>
    <sheet name="Tec-Prod." sheetId="16" r:id="rId9"/>
    <sheet name="Cap. Hum" sheetId="17" r:id="rId10"/>
    <sheet name="Organiz" sheetId="18" r:id="rId11"/>
  </sheets>
  <definedNames>
    <definedName name="_xlnm.Print_Area" localSheetId="9">'Cap. Hum'!$B$2:$R$39</definedName>
    <definedName name="_xlnm.Print_Area" localSheetId="4">Contab!$B$2:$R$32</definedName>
    <definedName name="_xlnm.Print_Area" localSheetId="6">'Def y Seg-1'!$B$2:$R$58</definedName>
    <definedName name="_xlnm.Print_Area" localSheetId="7">'Def y Seg-2'!$B$2:$R$60</definedName>
    <definedName name="_xlnm.Print_Area" localSheetId="0">Direcc!$B$2:$R$42</definedName>
    <definedName name="_xlnm.Print_Area" localSheetId="3">Econ!$B$2:$R$33</definedName>
    <definedName name="_xlnm.Print_Area" localSheetId="1">Gestión!$B$2:$R$33</definedName>
    <definedName name="_xlnm.Print_Area" localSheetId="5">Infocomunicaciones!$B$2:$R$40</definedName>
    <definedName name="_xlnm.Print_Area" localSheetId="2">Mercadot!$B$2:$R$41</definedName>
    <definedName name="_xlnm.Print_Area" localSheetId="10">Organiz!$B$2:$R$31</definedName>
    <definedName name="_xlnm.Print_Area" localSheetId="8">'Tec-Prod.'!$B$2:$T$47</definedName>
  </definedNames>
  <calcPr calcId="162913"/>
</workbook>
</file>

<file path=xl/calcChain.xml><?xml version="1.0" encoding="utf-8"?>
<calcChain xmlns="http://schemas.openxmlformats.org/spreadsheetml/2006/main">
  <c r="D11" i="16" l="1"/>
  <c r="L11" i="16" s="1"/>
  <c r="F11" i="16"/>
  <c r="Q53" i="15" l="1"/>
  <c r="Q44" i="15"/>
  <c r="S24" i="16"/>
  <c r="Q31" i="17"/>
  <c r="O31" i="17"/>
  <c r="F31" i="17"/>
  <c r="O25" i="17"/>
  <c r="O34" i="17" s="1"/>
  <c r="F25" i="17"/>
  <c r="O19" i="17"/>
  <c r="F19" i="17"/>
  <c r="J30" i="17"/>
  <c r="M30" i="17" s="1"/>
  <c r="N30" i="17" s="1"/>
  <c r="R30" i="17" s="1"/>
  <c r="J24" i="17"/>
  <c r="L24" i="17" s="1"/>
  <c r="J18" i="17"/>
  <c r="L18" i="17" s="1"/>
  <c r="J12" i="17"/>
  <c r="M12" i="17" s="1"/>
  <c r="O13" i="17"/>
  <c r="Q13" i="17"/>
  <c r="F13" i="17"/>
  <c r="O22" i="18"/>
  <c r="F22" i="18"/>
  <c r="J21" i="18"/>
  <c r="K21" i="18" s="1"/>
  <c r="K22" i="18" s="1"/>
  <c r="Q17" i="18"/>
  <c r="Q26" i="18" s="1"/>
  <c r="O17" i="18"/>
  <c r="F17" i="18"/>
  <c r="J16" i="18"/>
  <c r="K16" i="18" s="1"/>
  <c r="K17" i="18" s="1"/>
  <c r="Q12" i="18"/>
  <c r="O12" i="18"/>
  <c r="O26" i="18" s="1"/>
  <c r="F12" i="18"/>
  <c r="F26" i="18" s="1"/>
  <c r="J11" i="18"/>
  <c r="J12" i="18" s="1"/>
  <c r="J29" i="17"/>
  <c r="J31" i="17" s="1"/>
  <c r="J23" i="17"/>
  <c r="K23" i="17" s="1"/>
  <c r="K25" i="17" s="1"/>
  <c r="J17" i="17"/>
  <c r="K17" i="17" s="1"/>
  <c r="K19" i="17" s="1"/>
  <c r="J11" i="17"/>
  <c r="K11" i="17" s="1"/>
  <c r="K13" i="17" s="1"/>
  <c r="K33" i="16"/>
  <c r="O33" i="16" s="1"/>
  <c r="N33" i="16"/>
  <c r="Q34" i="16"/>
  <c r="G34" i="16"/>
  <c r="Q19" i="16"/>
  <c r="S19" i="16"/>
  <c r="G19" i="16"/>
  <c r="K18" i="16"/>
  <c r="O18" i="16" s="1"/>
  <c r="P18" i="16" s="1"/>
  <c r="T18" i="16" s="1"/>
  <c r="K12" i="16"/>
  <c r="O12" i="16" s="1"/>
  <c r="Q13" i="16"/>
  <c r="S13" i="16"/>
  <c r="G13" i="16"/>
  <c r="S39" i="16"/>
  <c r="Q39" i="16"/>
  <c r="G39" i="16"/>
  <c r="K38" i="16"/>
  <c r="K39" i="16" s="1"/>
  <c r="R38" i="16" s="1"/>
  <c r="R39" i="16" s="1"/>
  <c r="K32" i="16"/>
  <c r="M32" i="16" s="1"/>
  <c r="M34" i="16" s="1"/>
  <c r="Q29" i="16"/>
  <c r="G29" i="16"/>
  <c r="K28" i="16"/>
  <c r="Q24" i="16"/>
  <c r="G24" i="16"/>
  <c r="K23" i="16"/>
  <c r="K24" i="16" s="1"/>
  <c r="R23" i="16" s="1"/>
  <c r="K17" i="16"/>
  <c r="K19" i="16" s="1"/>
  <c r="R17" i="16" s="1"/>
  <c r="R19" i="16" s="1"/>
  <c r="K11" i="16"/>
  <c r="M11" i="16" s="1"/>
  <c r="Q55" i="15"/>
  <c r="R37" i="15"/>
  <c r="O38" i="15"/>
  <c r="F38" i="15"/>
  <c r="J48" i="15"/>
  <c r="M48" i="15" s="1"/>
  <c r="K48" i="15"/>
  <c r="L48" i="15" s="1"/>
  <c r="H49" i="15"/>
  <c r="O49" i="15"/>
  <c r="F49" i="15"/>
  <c r="J37" i="15"/>
  <c r="M37" i="15" s="1"/>
  <c r="N37" i="15" s="1"/>
  <c r="L37" i="15"/>
  <c r="H33" i="15"/>
  <c r="O33" i="15"/>
  <c r="F33" i="15"/>
  <c r="J31" i="15"/>
  <c r="M31" i="15" s="1"/>
  <c r="N31" i="15" s="1"/>
  <c r="R31" i="15" s="1"/>
  <c r="K31" i="15"/>
  <c r="J32" i="15"/>
  <c r="M32" i="15" s="1"/>
  <c r="N32" i="15" s="1"/>
  <c r="R32" i="15" s="1"/>
  <c r="J25" i="15"/>
  <c r="K25" i="15" s="1"/>
  <c r="H26" i="15"/>
  <c r="O26" i="15"/>
  <c r="F26" i="15"/>
  <c r="J18" i="15"/>
  <c r="M18" i="15" s="1"/>
  <c r="N18" i="15" s="1"/>
  <c r="R18" i="15" s="1"/>
  <c r="K18" i="15"/>
  <c r="J19" i="15"/>
  <c r="M19" i="15" s="1"/>
  <c r="N19" i="15" s="1"/>
  <c r="R19" i="15" s="1"/>
  <c r="H20" i="15"/>
  <c r="O20" i="15"/>
  <c r="F20" i="15"/>
  <c r="J12" i="15"/>
  <c r="M12" i="15" s="1"/>
  <c r="K12" i="15"/>
  <c r="H13" i="15"/>
  <c r="H55" i="15" s="1"/>
  <c r="O13" i="15"/>
  <c r="F13" i="15"/>
  <c r="O53" i="15"/>
  <c r="F53" i="15"/>
  <c r="J52" i="15"/>
  <c r="K52" i="15" s="1"/>
  <c r="K53" i="15" s="1"/>
  <c r="F51" i="13"/>
  <c r="R49" i="13"/>
  <c r="J49" i="13"/>
  <c r="M49" i="13" s="1"/>
  <c r="N49" i="13" s="1"/>
  <c r="J50" i="13"/>
  <c r="K50" i="13"/>
  <c r="J44" i="13"/>
  <c r="M44" i="13" s="1"/>
  <c r="N44" i="13" s="1"/>
  <c r="R44" i="13" s="1"/>
  <c r="J37" i="13"/>
  <c r="M37" i="13" s="1"/>
  <c r="K37" i="13"/>
  <c r="L37" i="13" s="1"/>
  <c r="H51" i="13"/>
  <c r="O51" i="13"/>
  <c r="H45" i="13"/>
  <c r="O45" i="13"/>
  <c r="F45" i="13"/>
  <c r="H38" i="13"/>
  <c r="O38" i="13"/>
  <c r="F38" i="13"/>
  <c r="J32" i="13"/>
  <c r="M32" i="13" s="1"/>
  <c r="H33" i="13"/>
  <c r="O33" i="13"/>
  <c r="F33" i="13"/>
  <c r="R25" i="13"/>
  <c r="J25" i="13"/>
  <c r="M25" i="13" s="1"/>
  <c r="N25" i="13" s="1"/>
  <c r="K25" i="13"/>
  <c r="L25" i="13"/>
  <c r="J26" i="13"/>
  <c r="H27" i="13"/>
  <c r="O27" i="13"/>
  <c r="Q27" i="13"/>
  <c r="F27" i="13"/>
  <c r="H20" i="13"/>
  <c r="H53" i="13" s="1"/>
  <c r="O20" i="13"/>
  <c r="F20" i="13"/>
  <c r="J18" i="13"/>
  <c r="K18" i="13"/>
  <c r="J19" i="13"/>
  <c r="O13" i="13"/>
  <c r="O53" i="13" s="1"/>
  <c r="Q13" i="13"/>
  <c r="Q53" i="13" s="1"/>
  <c r="F13" i="13"/>
  <c r="F53" i="13" s="1"/>
  <c r="J12" i="13"/>
  <c r="L12" i="13" l="1"/>
  <c r="K49" i="13"/>
  <c r="L49" i="13" s="1"/>
  <c r="Q42" i="16"/>
  <c r="J25" i="17"/>
  <c r="P23" i="17" s="1"/>
  <c r="P25" i="17" s="1"/>
  <c r="M12" i="13"/>
  <c r="N12" i="13" s="1"/>
  <c r="R12" i="13" s="1"/>
  <c r="N12" i="15"/>
  <c r="R12" i="15" s="1"/>
  <c r="M17" i="16"/>
  <c r="M19" i="16" s="1"/>
  <c r="L50" i="13"/>
  <c r="L18" i="15"/>
  <c r="L31" i="15"/>
  <c r="R24" i="16"/>
  <c r="K34" i="16"/>
  <c r="R32" i="16" s="1"/>
  <c r="R34" i="16" s="1"/>
  <c r="P11" i="18"/>
  <c r="J19" i="17"/>
  <c r="P17" i="17" s="1"/>
  <c r="P19" i="17" s="1"/>
  <c r="S42" i="16"/>
  <c r="Q34" i="17"/>
  <c r="M24" i="17"/>
  <c r="N24" i="17" s="1"/>
  <c r="R24" i="17" s="1"/>
  <c r="M18" i="17"/>
  <c r="N18" i="17" s="1"/>
  <c r="R18" i="17" s="1"/>
  <c r="F34" i="17"/>
  <c r="L12" i="17"/>
  <c r="J13" i="17"/>
  <c r="L30" i="17"/>
  <c r="N12" i="17"/>
  <c r="R12" i="17" s="1"/>
  <c r="K11" i="18"/>
  <c r="L11" i="18" s="1"/>
  <c r="L12" i="18" s="1"/>
  <c r="M11" i="18"/>
  <c r="M12" i="18" s="1"/>
  <c r="P12" i="18"/>
  <c r="L16" i="18"/>
  <c r="L17" i="18" s="1"/>
  <c r="L21" i="18"/>
  <c r="L22" i="18" s="1"/>
  <c r="M16" i="18"/>
  <c r="M17" i="18" s="1"/>
  <c r="J17" i="18"/>
  <c r="M21" i="18"/>
  <c r="M22" i="18" s="1"/>
  <c r="J22" i="18"/>
  <c r="L11" i="17"/>
  <c r="L13" i="17" s="1"/>
  <c r="M29" i="17"/>
  <c r="M31" i="17" s="1"/>
  <c r="M11" i="17"/>
  <c r="M13" i="17" s="1"/>
  <c r="L17" i="17"/>
  <c r="L19" i="17" s="1"/>
  <c r="L23" i="17"/>
  <c r="L25" i="17" s="1"/>
  <c r="K29" i="17"/>
  <c r="K31" i="17" s="1"/>
  <c r="M17" i="17"/>
  <c r="M19" i="17" s="1"/>
  <c r="M23" i="17"/>
  <c r="M25" i="17" s="1"/>
  <c r="P33" i="16"/>
  <c r="N18" i="16"/>
  <c r="N19" i="16" s="1"/>
  <c r="M13" i="16"/>
  <c r="K13" i="16"/>
  <c r="N12" i="16"/>
  <c r="P12" i="16"/>
  <c r="M38" i="16"/>
  <c r="G42" i="16"/>
  <c r="M23" i="16"/>
  <c r="M24" i="16" s="1"/>
  <c r="O38" i="16"/>
  <c r="O39" i="16" s="1"/>
  <c r="N11" i="16"/>
  <c r="O11" i="16"/>
  <c r="O13" i="16" s="1"/>
  <c r="N17" i="16"/>
  <c r="M28" i="16"/>
  <c r="M29" i="16" s="1"/>
  <c r="N32" i="16"/>
  <c r="N34" i="16" s="1"/>
  <c r="O17" i="16"/>
  <c r="O19" i="16" s="1"/>
  <c r="O23" i="16"/>
  <c r="O24" i="16" s="1"/>
  <c r="O32" i="16"/>
  <c r="O34" i="16" s="1"/>
  <c r="O28" i="16"/>
  <c r="O29" i="16" s="1"/>
  <c r="K29" i="16"/>
  <c r="N48" i="15"/>
  <c r="K32" i="15"/>
  <c r="L32" i="15"/>
  <c r="M25" i="15"/>
  <c r="N25" i="15" s="1"/>
  <c r="R25" i="15" s="1"/>
  <c r="L25" i="15"/>
  <c r="K19" i="15"/>
  <c r="L19" i="15" s="1"/>
  <c r="L12" i="15"/>
  <c r="L52" i="15"/>
  <c r="L53" i="15" s="1"/>
  <c r="J53" i="15"/>
  <c r="M50" i="13"/>
  <c r="N50" i="13" s="1"/>
  <c r="R50" i="13" s="1"/>
  <c r="K44" i="13"/>
  <c r="L44" i="13" s="1"/>
  <c r="N37" i="13"/>
  <c r="R37" i="13" s="1"/>
  <c r="K32" i="13"/>
  <c r="L32" i="13" s="1"/>
  <c r="N32" i="13"/>
  <c r="R32" i="13" s="1"/>
  <c r="M26" i="13"/>
  <c r="N26" i="13" s="1"/>
  <c r="R26" i="13" s="1"/>
  <c r="L26" i="13"/>
  <c r="K26" i="13"/>
  <c r="L18" i="13"/>
  <c r="M19" i="13"/>
  <c r="N19" i="13" s="1"/>
  <c r="R19" i="13" s="1"/>
  <c r="L19" i="13"/>
  <c r="M18" i="13"/>
  <c r="N18" i="13" s="1"/>
  <c r="R18" i="13" s="1"/>
  <c r="K19" i="13"/>
  <c r="M34" i="17" l="1"/>
  <c r="R48" i="15"/>
  <c r="J26" i="18"/>
  <c r="P16" i="18"/>
  <c r="P17" i="18" s="1"/>
  <c r="P26" i="18"/>
  <c r="T27" i="18"/>
  <c r="U27" i="18" s="1"/>
  <c r="O42" i="16"/>
  <c r="R11" i="16"/>
  <c r="V42" i="16"/>
  <c r="W42" i="16" s="1"/>
  <c r="T33" i="16"/>
  <c r="M26" i="18"/>
  <c r="P11" i="17"/>
  <c r="J34" i="17"/>
  <c r="T35" i="17"/>
  <c r="U35" i="17" s="1"/>
  <c r="P11" i="16"/>
  <c r="P13" i="16" s="1"/>
  <c r="P28" i="16"/>
  <c r="P29" i="16" s="1"/>
  <c r="N13" i="16"/>
  <c r="L26" i="18"/>
  <c r="K12" i="18"/>
  <c r="K26" i="18" s="1"/>
  <c r="N11" i="18"/>
  <c r="N12" i="18" s="1"/>
  <c r="N21" i="18"/>
  <c r="R21" i="18" s="1"/>
  <c r="R22" i="18" s="1"/>
  <c r="N16" i="18"/>
  <c r="N23" i="17"/>
  <c r="N25" i="17" s="1"/>
  <c r="N11" i="17"/>
  <c r="N13" i="17" s="1"/>
  <c r="N17" i="17"/>
  <c r="N29" i="17"/>
  <c r="N31" i="17" s="1"/>
  <c r="K34" i="17"/>
  <c r="L29" i="17"/>
  <c r="P23" i="16"/>
  <c r="N23" i="16"/>
  <c r="N24" i="16" s="1"/>
  <c r="T12" i="16"/>
  <c r="M39" i="16"/>
  <c r="N38" i="16"/>
  <c r="N39" i="16" s="1"/>
  <c r="P32" i="16"/>
  <c r="T32" i="16" s="1"/>
  <c r="T34" i="16" s="1"/>
  <c r="M42" i="16"/>
  <c r="K42" i="16"/>
  <c r="P38" i="16"/>
  <c r="N28" i="16"/>
  <c r="N29" i="16" s="1"/>
  <c r="P24" i="16"/>
  <c r="T23" i="16"/>
  <c r="T24" i="16" s="1"/>
  <c r="P17" i="16"/>
  <c r="P19" i="16" s="1"/>
  <c r="T28" i="16"/>
  <c r="T29" i="16" s="1"/>
  <c r="N52" i="15"/>
  <c r="N53" i="15" s="1"/>
  <c r="R52" i="15"/>
  <c r="R53" i="15" s="1"/>
  <c r="R17" i="17" l="1"/>
  <c r="R19" i="17" s="1"/>
  <c r="N19" i="17"/>
  <c r="N34" i="17" s="1"/>
  <c r="L31" i="17"/>
  <c r="L34" i="17" s="1"/>
  <c r="P34" i="16"/>
  <c r="R11" i="18"/>
  <c r="R12" i="18" s="1"/>
  <c r="R23" i="17"/>
  <c r="R25" i="17" s="1"/>
  <c r="P13" i="17"/>
  <c r="P34" i="17" s="1"/>
  <c r="N22" i="18"/>
  <c r="R16" i="18"/>
  <c r="R17" i="18" s="1"/>
  <c r="N17" i="18"/>
  <c r="N26" i="18" s="1"/>
  <c r="R29" i="17"/>
  <c r="R31" i="17" s="1"/>
  <c r="R11" i="17"/>
  <c r="R13" i="17" s="1"/>
  <c r="N42" i="16"/>
  <c r="R13" i="16"/>
  <c r="R42" i="16" s="1"/>
  <c r="P39" i="16"/>
  <c r="T38" i="16"/>
  <c r="T39" i="16" s="1"/>
  <c r="T17" i="16"/>
  <c r="T19" i="16" s="1"/>
  <c r="T11" i="16"/>
  <c r="T13" i="16" s="1"/>
  <c r="R26" i="18" l="1"/>
  <c r="T42" i="16"/>
  <c r="R34" i="17"/>
  <c r="P42" i="16"/>
  <c r="J47" i="15" l="1"/>
  <c r="J49" i="15" s="1"/>
  <c r="O44" i="15"/>
  <c r="O55" i="15" s="1"/>
  <c r="F44" i="15"/>
  <c r="F55" i="15" s="1"/>
  <c r="J43" i="15"/>
  <c r="J36" i="15"/>
  <c r="J30" i="15"/>
  <c r="J24" i="15"/>
  <c r="J17" i="15"/>
  <c r="J20" i="15" s="1"/>
  <c r="J11" i="15"/>
  <c r="J13" i="15" s="1"/>
  <c r="J48" i="13"/>
  <c r="J51" i="13" s="1"/>
  <c r="J43" i="13"/>
  <c r="J45" i="13" s="1"/>
  <c r="J36" i="13"/>
  <c r="J31" i="13"/>
  <c r="J33" i="13" s="1"/>
  <c r="P31" i="13" s="1"/>
  <c r="P33" i="13" s="1"/>
  <c r="J24" i="13"/>
  <c r="J17" i="13"/>
  <c r="J11" i="13"/>
  <c r="J13" i="13" s="1"/>
  <c r="J30" i="12"/>
  <c r="M30" i="12" s="1"/>
  <c r="K30" i="15" l="1"/>
  <c r="K33" i="15" s="1"/>
  <c r="J33" i="15"/>
  <c r="K36" i="15"/>
  <c r="K38" i="15" s="1"/>
  <c r="J38" i="15"/>
  <c r="P11" i="13"/>
  <c r="P13" i="13" s="1"/>
  <c r="M47" i="15"/>
  <c r="M49" i="15" s="1"/>
  <c r="N47" i="15"/>
  <c r="N49" i="15" s="1"/>
  <c r="K47" i="15"/>
  <c r="K49" i="15" s="1"/>
  <c r="K43" i="15"/>
  <c r="K44" i="15" s="1"/>
  <c r="L36" i="15"/>
  <c r="L38" i="15" s="1"/>
  <c r="K24" i="15"/>
  <c r="K26" i="15" s="1"/>
  <c r="J26" i="15"/>
  <c r="J55" i="15" s="1"/>
  <c r="K11" i="15"/>
  <c r="K13" i="15" s="1"/>
  <c r="M11" i="15"/>
  <c r="M13" i="15" s="1"/>
  <c r="K36" i="13"/>
  <c r="K38" i="13" s="1"/>
  <c r="J38" i="13"/>
  <c r="P36" i="13" s="1"/>
  <c r="P38" i="13" s="1"/>
  <c r="K24" i="13"/>
  <c r="K27" i="13" s="1"/>
  <c r="J27" i="13"/>
  <c r="K17" i="13"/>
  <c r="K20" i="13" s="1"/>
  <c r="J20" i="13"/>
  <c r="P17" i="13" s="1"/>
  <c r="R47" i="15"/>
  <c r="R49" i="15" s="1"/>
  <c r="L11" i="15"/>
  <c r="L13" i="15" s="1"/>
  <c r="K17" i="15"/>
  <c r="K20" i="15" s="1"/>
  <c r="L24" i="15"/>
  <c r="L26" i="15" s="1"/>
  <c r="N11" i="15"/>
  <c r="M17" i="15"/>
  <c r="M20" i="15" s="1"/>
  <c r="M24" i="15"/>
  <c r="M26" i="15" s="1"/>
  <c r="L30" i="15"/>
  <c r="L33" i="15" s="1"/>
  <c r="M36" i="15"/>
  <c r="M38" i="15" s="1"/>
  <c r="M43" i="15"/>
  <c r="M44" i="15" s="1"/>
  <c r="J44" i="15"/>
  <c r="M30" i="15"/>
  <c r="M33" i="15" s="1"/>
  <c r="N36" i="15"/>
  <c r="N38" i="15" s="1"/>
  <c r="N30" i="15"/>
  <c r="N33" i="15" s="1"/>
  <c r="K48" i="13"/>
  <c r="K51" i="13" s="1"/>
  <c r="M48" i="13"/>
  <c r="M51" i="13" s="1"/>
  <c r="K43" i="13"/>
  <c r="K45" i="13" s="1"/>
  <c r="M43" i="13"/>
  <c r="M45" i="13" s="1"/>
  <c r="M31" i="13"/>
  <c r="M33" i="13" s="1"/>
  <c r="K11" i="13"/>
  <c r="M11" i="13"/>
  <c r="M13" i="13" s="1"/>
  <c r="M53" i="13" s="1"/>
  <c r="L17" i="13"/>
  <c r="L20" i="13" s="1"/>
  <c r="L24" i="13"/>
  <c r="L27" i="13" s="1"/>
  <c r="K31" i="13"/>
  <c r="K33" i="13" s="1"/>
  <c r="L36" i="13"/>
  <c r="L38" i="13" s="1"/>
  <c r="M17" i="13"/>
  <c r="M20" i="13" s="1"/>
  <c r="M24" i="13"/>
  <c r="M27" i="13" s="1"/>
  <c r="M36" i="13"/>
  <c r="M38" i="13" s="1"/>
  <c r="N30" i="12"/>
  <c r="R30" i="12" s="1"/>
  <c r="K30" i="12"/>
  <c r="L30" i="12" s="1"/>
  <c r="Q31" i="12"/>
  <c r="O31" i="12"/>
  <c r="F31" i="12"/>
  <c r="J31" i="12"/>
  <c r="O27" i="12"/>
  <c r="F27" i="12"/>
  <c r="J26" i="12"/>
  <c r="K26" i="12" s="1"/>
  <c r="L26" i="12" s="1"/>
  <c r="Q22" i="12"/>
  <c r="O22" i="12"/>
  <c r="F22" i="12"/>
  <c r="J21" i="12"/>
  <c r="M21" i="12" s="1"/>
  <c r="M22" i="12" s="1"/>
  <c r="O17" i="12"/>
  <c r="F17" i="12"/>
  <c r="J16" i="12"/>
  <c r="Q12" i="12"/>
  <c r="O12" i="12"/>
  <c r="O35" i="12" s="1"/>
  <c r="F12" i="12"/>
  <c r="J11" i="12"/>
  <c r="F23" i="11"/>
  <c r="J22" i="11"/>
  <c r="O12" i="11"/>
  <c r="O27" i="11" s="1"/>
  <c r="Q12" i="11"/>
  <c r="O23" i="11"/>
  <c r="M22" i="11"/>
  <c r="N22" i="11" s="1"/>
  <c r="R22" i="11" s="1"/>
  <c r="L22" i="11"/>
  <c r="J21" i="11"/>
  <c r="J23" i="11" s="1"/>
  <c r="I24" i="10"/>
  <c r="I28" i="10" s="1"/>
  <c r="O24" i="10"/>
  <c r="Q24" i="10"/>
  <c r="F24" i="10"/>
  <c r="J23" i="10"/>
  <c r="M23" i="10" s="1"/>
  <c r="J17" i="8"/>
  <c r="Q17" i="11"/>
  <c r="Q27" i="11" s="1"/>
  <c r="O17" i="11"/>
  <c r="F17" i="11"/>
  <c r="J16" i="11"/>
  <c r="J17" i="11" s="1"/>
  <c r="P16" i="11" s="1"/>
  <c r="P17" i="11" s="1"/>
  <c r="F12" i="11"/>
  <c r="F27" i="11" s="1"/>
  <c r="J11" i="11"/>
  <c r="K11" i="11" s="1"/>
  <c r="K12" i="11" s="1"/>
  <c r="J22" i="10"/>
  <c r="J21" i="10"/>
  <c r="K21" i="10" s="1"/>
  <c r="Q17" i="10"/>
  <c r="O17" i="10"/>
  <c r="F17" i="10"/>
  <c r="J16" i="10"/>
  <c r="J17" i="10" s="1"/>
  <c r="P16" i="10" s="1"/>
  <c r="P17" i="10" s="1"/>
  <c r="Q12" i="10"/>
  <c r="O12" i="10"/>
  <c r="O28" i="10" s="1"/>
  <c r="F12" i="10"/>
  <c r="F28" i="10" s="1"/>
  <c r="J11" i="10"/>
  <c r="I28" i="9"/>
  <c r="I36" i="9" s="1"/>
  <c r="O28" i="9"/>
  <c r="F28" i="9"/>
  <c r="J27" i="9"/>
  <c r="K27" i="9" s="1"/>
  <c r="J31" i="9"/>
  <c r="J26" i="9"/>
  <c r="J28" i="9" s="1"/>
  <c r="J21" i="9"/>
  <c r="P21" i="9" s="1"/>
  <c r="J16" i="9"/>
  <c r="P16" i="9" s="1"/>
  <c r="J11" i="9"/>
  <c r="P11" i="9" s="1"/>
  <c r="O24" i="8"/>
  <c r="Q24" i="8"/>
  <c r="F24" i="8"/>
  <c r="J23" i="8"/>
  <c r="K23" i="8" s="1"/>
  <c r="J22" i="8"/>
  <c r="J24" i="8" s="1"/>
  <c r="O18" i="8"/>
  <c r="F18" i="8"/>
  <c r="I33" i="7"/>
  <c r="I37" i="7" s="1"/>
  <c r="O33" i="7"/>
  <c r="Q33" i="7"/>
  <c r="F33" i="7"/>
  <c r="L23" i="8" l="1"/>
  <c r="K24" i="8"/>
  <c r="J53" i="13"/>
  <c r="L23" i="10"/>
  <c r="M55" i="15"/>
  <c r="N13" i="15"/>
  <c r="N23" i="8"/>
  <c r="R23" i="8" s="1"/>
  <c r="M22" i="10"/>
  <c r="N22" i="10" s="1"/>
  <c r="R22" i="10" s="1"/>
  <c r="N23" i="10"/>
  <c r="L11" i="13"/>
  <c r="L13" i="13" s="1"/>
  <c r="K13" i="13"/>
  <c r="K53" i="13" s="1"/>
  <c r="K55" i="15"/>
  <c r="K22" i="10"/>
  <c r="K24" i="10" s="1"/>
  <c r="J24" i="10"/>
  <c r="P21" i="10" s="1"/>
  <c r="P24" i="10" s="1"/>
  <c r="F35" i="12"/>
  <c r="N17" i="15"/>
  <c r="N20" i="15" s="1"/>
  <c r="L43" i="15"/>
  <c r="L44" i="15" s="1"/>
  <c r="T58" i="13"/>
  <c r="U58" i="13" s="1"/>
  <c r="Q35" i="12"/>
  <c r="Q28" i="10"/>
  <c r="L47" i="15"/>
  <c r="L49" i="15" s="1"/>
  <c r="N43" i="15"/>
  <c r="N44" i="15" s="1"/>
  <c r="L48" i="13"/>
  <c r="L51" i="13" s="1"/>
  <c r="N48" i="13"/>
  <c r="N51" i="13" s="1"/>
  <c r="P20" i="13"/>
  <c r="P53" i="13" s="1"/>
  <c r="P24" i="13"/>
  <c r="P27" i="13" s="1"/>
  <c r="R43" i="15"/>
  <c r="R44" i="15" s="1"/>
  <c r="R36" i="15"/>
  <c r="R38" i="15" s="1"/>
  <c r="N24" i="15"/>
  <c r="N26" i="15" s="1"/>
  <c r="L17" i="15"/>
  <c r="L20" i="15" s="1"/>
  <c r="L55" i="15" s="1"/>
  <c r="R17" i="15"/>
  <c r="R20" i="15" s="1"/>
  <c r="R30" i="15"/>
  <c r="R33" i="15" s="1"/>
  <c r="R11" i="15"/>
  <c r="R13" i="15" s="1"/>
  <c r="N31" i="13"/>
  <c r="N33" i="13" s="1"/>
  <c r="N43" i="13"/>
  <c r="N45" i="13" s="1"/>
  <c r="L43" i="13"/>
  <c r="L45" i="13" s="1"/>
  <c r="N36" i="13"/>
  <c r="N38" i="13" s="1"/>
  <c r="N17" i="13"/>
  <c r="N20" i="13" s="1"/>
  <c r="L31" i="13"/>
  <c r="L33" i="13" s="1"/>
  <c r="N11" i="13"/>
  <c r="N13" i="13" s="1"/>
  <c r="N24" i="13"/>
  <c r="N27" i="13" s="1"/>
  <c r="J27" i="12"/>
  <c r="L31" i="12"/>
  <c r="M26" i="12"/>
  <c r="M27" i="12" s="1"/>
  <c r="M31" i="12"/>
  <c r="K27" i="12"/>
  <c r="N21" i="12"/>
  <c r="N22" i="12" s="1"/>
  <c r="J22" i="12"/>
  <c r="P21" i="12" s="1"/>
  <c r="R21" i="12" s="1"/>
  <c r="R22" i="12" s="1"/>
  <c r="K21" i="12"/>
  <c r="L21" i="12" s="1"/>
  <c r="L22" i="12" s="1"/>
  <c r="P22" i="12"/>
  <c r="J17" i="12"/>
  <c r="K16" i="12"/>
  <c r="L16" i="12" s="1"/>
  <c r="L17" i="12" s="1"/>
  <c r="M16" i="12"/>
  <c r="M17" i="12" s="1"/>
  <c r="J12" i="12"/>
  <c r="K11" i="12"/>
  <c r="L11" i="12" s="1"/>
  <c r="L12" i="12" s="1"/>
  <c r="M11" i="12"/>
  <c r="M12" i="12" s="1"/>
  <c r="M35" i="12" s="1"/>
  <c r="K31" i="12"/>
  <c r="L27" i="12"/>
  <c r="M21" i="11"/>
  <c r="M23" i="11" s="1"/>
  <c r="K16" i="11"/>
  <c r="L16" i="11" s="1"/>
  <c r="L17" i="11" s="1"/>
  <c r="M16" i="11"/>
  <c r="M17" i="11" s="1"/>
  <c r="K21" i="11"/>
  <c r="M21" i="10"/>
  <c r="M24" i="10" s="1"/>
  <c r="K16" i="10"/>
  <c r="L16" i="10" s="1"/>
  <c r="L17" i="10" s="1"/>
  <c r="M16" i="10"/>
  <c r="M17" i="10" s="1"/>
  <c r="L11" i="11"/>
  <c r="L12" i="11" s="1"/>
  <c r="M11" i="11"/>
  <c r="M12" i="11" s="1"/>
  <c r="M27" i="11" s="1"/>
  <c r="J12" i="11"/>
  <c r="N16" i="11"/>
  <c r="M11" i="10"/>
  <c r="M12" i="10" s="1"/>
  <c r="M28" i="10" s="1"/>
  <c r="J12" i="10"/>
  <c r="K11" i="10"/>
  <c r="K12" i="10" s="1"/>
  <c r="L21" i="10"/>
  <c r="M27" i="9"/>
  <c r="N27" i="9" s="1"/>
  <c r="R27" i="9" s="1"/>
  <c r="L27" i="9"/>
  <c r="L17" i="8"/>
  <c r="M17" i="8"/>
  <c r="O32" i="9"/>
  <c r="F32" i="9"/>
  <c r="J32" i="9"/>
  <c r="K26" i="9"/>
  <c r="K28" i="9" s="1"/>
  <c r="O22" i="9"/>
  <c r="F22" i="9"/>
  <c r="P22" i="9"/>
  <c r="Q17" i="9"/>
  <c r="O17" i="9"/>
  <c r="F17" i="9"/>
  <c r="P17" i="9"/>
  <c r="K16" i="9"/>
  <c r="Q12" i="9"/>
  <c r="Q36" i="9" s="1"/>
  <c r="O12" i="9"/>
  <c r="G12" i="9"/>
  <c r="G36" i="9" s="1"/>
  <c r="F12" i="9"/>
  <c r="P12" i="9"/>
  <c r="P36" i="9" s="1"/>
  <c r="J31" i="7"/>
  <c r="K31" i="7" s="1"/>
  <c r="M32" i="7"/>
  <c r="L32" i="7"/>
  <c r="J16" i="8"/>
  <c r="J18" i="8" s="1"/>
  <c r="Q12" i="8"/>
  <c r="Q28" i="8" s="1"/>
  <c r="O12" i="8"/>
  <c r="O28" i="8" s="1"/>
  <c r="F12" i="8"/>
  <c r="F28" i="8" s="1"/>
  <c r="J11" i="8"/>
  <c r="J12" i="8" s="1"/>
  <c r="J28" i="8" s="1"/>
  <c r="L35" i="12" l="1"/>
  <c r="N53" i="13"/>
  <c r="L53" i="13"/>
  <c r="N55" i="15"/>
  <c r="N21" i="10"/>
  <c r="R21" i="10" s="1"/>
  <c r="S30" i="8"/>
  <c r="T30" i="8" s="1"/>
  <c r="P16" i="8"/>
  <c r="P18" i="8" s="1"/>
  <c r="P28" i="8" s="1"/>
  <c r="F36" i="9"/>
  <c r="K17" i="12"/>
  <c r="P11" i="12"/>
  <c r="P12" i="12" s="1"/>
  <c r="P35" i="12" s="1"/>
  <c r="T37" i="12"/>
  <c r="U37" i="12" s="1"/>
  <c r="J35" i="12"/>
  <c r="R17" i="13"/>
  <c r="N24" i="10"/>
  <c r="R23" i="10"/>
  <c r="T29" i="11"/>
  <c r="U29" i="11" s="1"/>
  <c r="J27" i="11"/>
  <c r="P11" i="11"/>
  <c r="P12" i="11" s="1"/>
  <c r="P27" i="11" s="1"/>
  <c r="O36" i="9"/>
  <c r="S29" i="10"/>
  <c r="T29" i="10" s="1"/>
  <c r="P11" i="10"/>
  <c r="P12" i="10" s="1"/>
  <c r="P28" i="10" s="1"/>
  <c r="J28" i="10"/>
  <c r="R48" i="13"/>
  <c r="R51" i="13" s="1"/>
  <c r="R36" i="13"/>
  <c r="R38" i="13" s="1"/>
  <c r="R24" i="15"/>
  <c r="R31" i="13"/>
  <c r="R33" i="13" s="1"/>
  <c r="R43" i="13"/>
  <c r="R45" i="13" s="1"/>
  <c r="R11" i="13"/>
  <c r="R13" i="13" s="1"/>
  <c r="R20" i="13"/>
  <c r="R24" i="13"/>
  <c r="R27" i="13" s="1"/>
  <c r="K12" i="12"/>
  <c r="K35" i="12" s="1"/>
  <c r="N26" i="12"/>
  <c r="R26" i="12" s="1"/>
  <c r="R27" i="12" s="1"/>
  <c r="K22" i="12"/>
  <c r="N16" i="12"/>
  <c r="N11" i="12"/>
  <c r="N31" i="12"/>
  <c r="R31" i="12"/>
  <c r="N21" i="11"/>
  <c r="K17" i="11"/>
  <c r="K27" i="11" s="1"/>
  <c r="N11" i="11"/>
  <c r="R11" i="11" s="1"/>
  <c r="R12" i="11" s="1"/>
  <c r="N23" i="11"/>
  <c r="R21" i="11"/>
  <c r="R23" i="11" s="1"/>
  <c r="L21" i="11"/>
  <c r="L23" i="11" s="1"/>
  <c r="L27" i="11" s="1"/>
  <c r="K23" i="11"/>
  <c r="R24" i="10"/>
  <c r="N16" i="10"/>
  <c r="N17" i="10" s="1"/>
  <c r="K17" i="10"/>
  <c r="K28" i="10" s="1"/>
  <c r="N17" i="8"/>
  <c r="N11" i="10"/>
  <c r="N12" i="10" s="1"/>
  <c r="N28" i="10" s="1"/>
  <c r="N12" i="11"/>
  <c r="N27" i="11" s="1"/>
  <c r="R16" i="11"/>
  <c r="R17" i="11" s="1"/>
  <c r="N17" i="11"/>
  <c r="R11" i="10"/>
  <c r="R12" i="10" s="1"/>
  <c r="L11" i="10"/>
  <c r="L12" i="10" s="1"/>
  <c r="L22" i="10"/>
  <c r="L24" i="10" s="1"/>
  <c r="R16" i="10"/>
  <c r="R17" i="10" s="1"/>
  <c r="J17" i="9"/>
  <c r="M26" i="9"/>
  <c r="M28" i="9" s="1"/>
  <c r="M16" i="9"/>
  <c r="M17" i="9" s="1"/>
  <c r="L26" i="9"/>
  <c r="L28" i="9" s="1"/>
  <c r="K17" i="9"/>
  <c r="L16" i="9"/>
  <c r="L17" i="9" s="1"/>
  <c r="K11" i="9"/>
  <c r="K12" i="9" s="1"/>
  <c r="K36" i="9" s="1"/>
  <c r="K21" i="9"/>
  <c r="K22" i="9" s="1"/>
  <c r="K31" i="9"/>
  <c r="K32" i="9" s="1"/>
  <c r="M11" i="9"/>
  <c r="M12" i="9" s="1"/>
  <c r="M36" i="9" s="1"/>
  <c r="J12" i="9"/>
  <c r="M21" i="9"/>
  <c r="M22" i="9" s="1"/>
  <c r="J22" i="9"/>
  <c r="L31" i="7"/>
  <c r="M31" i="7"/>
  <c r="N31" i="7" s="1"/>
  <c r="R31" i="7" s="1"/>
  <c r="N32" i="7"/>
  <c r="R32" i="7" s="1"/>
  <c r="M11" i="8"/>
  <c r="N11" i="8" s="1"/>
  <c r="N12" i="8" s="1"/>
  <c r="N16" i="8"/>
  <c r="N22" i="8"/>
  <c r="N24" i="8" s="1"/>
  <c r="K16" i="8"/>
  <c r="K18" i="8" s="1"/>
  <c r="M16" i="8"/>
  <c r="M18" i="8" s="1"/>
  <c r="K11" i="8"/>
  <c r="K12" i="8" s="1"/>
  <c r="K28" i="8" s="1"/>
  <c r="J11" i="7"/>
  <c r="P11" i="7" s="1"/>
  <c r="P12" i="7" s="1"/>
  <c r="O27" i="7"/>
  <c r="O22" i="7"/>
  <c r="Q22" i="7"/>
  <c r="O17" i="7"/>
  <c r="Q17" i="7"/>
  <c r="J30" i="7"/>
  <c r="J33" i="7" s="1"/>
  <c r="J26" i="7"/>
  <c r="J21" i="7"/>
  <c r="P21" i="7" s="1"/>
  <c r="J16" i="7"/>
  <c r="P16" i="7" s="1"/>
  <c r="P17" i="7" s="1"/>
  <c r="G12" i="7"/>
  <c r="G37" i="7" s="1"/>
  <c r="O12" i="7"/>
  <c r="O37" i="7" s="1"/>
  <c r="Q12" i="7"/>
  <c r="Q37" i="7" s="1"/>
  <c r="L28" i="10" l="1"/>
  <c r="J17" i="7"/>
  <c r="T37" i="9"/>
  <c r="U37" i="9" s="1"/>
  <c r="J36" i="9"/>
  <c r="R53" i="13"/>
  <c r="R27" i="11"/>
  <c r="R28" i="10"/>
  <c r="R26" i="15"/>
  <c r="R55" i="15" s="1"/>
  <c r="N27" i="12"/>
  <c r="R16" i="12"/>
  <c r="R17" i="12" s="1"/>
  <c r="N17" i="12"/>
  <c r="R11" i="12"/>
  <c r="R12" i="12" s="1"/>
  <c r="R35" i="12" s="1"/>
  <c r="N12" i="12"/>
  <c r="N35" i="12" s="1"/>
  <c r="N18" i="8"/>
  <c r="N28" i="8" s="1"/>
  <c r="R17" i="8"/>
  <c r="N21" i="9"/>
  <c r="N22" i="9" s="1"/>
  <c r="K21" i="7"/>
  <c r="K22" i="7" s="1"/>
  <c r="P22" i="7"/>
  <c r="P37" i="7" s="1"/>
  <c r="K26" i="7"/>
  <c r="K27" i="7" s="1"/>
  <c r="P26" i="7"/>
  <c r="P27" i="7" s="1"/>
  <c r="N26" i="9"/>
  <c r="N31" i="9"/>
  <c r="R31" i="9" s="1"/>
  <c r="R32" i="9" s="1"/>
  <c r="N16" i="9"/>
  <c r="N17" i="9" s="1"/>
  <c r="R21" i="9"/>
  <c r="R22" i="9" s="1"/>
  <c r="N11" i="9"/>
  <c r="L31" i="9"/>
  <c r="L32" i="9" s="1"/>
  <c r="L21" i="9"/>
  <c r="L22" i="9" s="1"/>
  <c r="L11" i="9"/>
  <c r="L12" i="9" s="1"/>
  <c r="L36" i="9" s="1"/>
  <c r="L16" i="8"/>
  <c r="L18" i="8" s="1"/>
  <c r="J27" i="7"/>
  <c r="M30" i="7"/>
  <c r="M33" i="7" s="1"/>
  <c r="K30" i="7"/>
  <c r="K33" i="7" s="1"/>
  <c r="L11" i="8"/>
  <c r="L12" i="8" s="1"/>
  <c r="M12" i="8"/>
  <c r="M28" i="8" s="1"/>
  <c r="R11" i="8"/>
  <c r="R12" i="8" s="1"/>
  <c r="R22" i="8"/>
  <c r="R24" i="8" s="1"/>
  <c r="L22" i="8"/>
  <c r="L24" i="8" s="1"/>
  <c r="R16" i="8"/>
  <c r="M26" i="7"/>
  <c r="M27" i="7" s="1"/>
  <c r="J22" i="7"/>
  <c r="M11" i="7"/>
  <c r="M12" i="7" s="1"/>
  <c r="K11" i="7"/>
  <c r="K12" i="7" s="1"/>
  <c r="L26" i="7"/>
  <c r="L27" i="7" s="1"/>
  <c r="M21" i="7"/>
  <c r="M22" i="7" s="1"/>
  <c r="M16" i="7"/>
  <c r="M17" i="7" s="1"/>
  <c r="K16" i="7"/>
  <c r="K17" i="7" s="1"/>
  <c r="F22" i="7"/>
  <c r="F17" i="7"/>
  <c r="K37" i="7" l="1"/>
  <c r="M37" i="7"/>
  <c r="L28" i="8"/>
  <c r="R26" i="9"/>
  <c r="R28" i="9" s="1"/>
  <c r="N28" i="9"/>
  <c r="R18" i="8"/>
  <c r="R28" i="8" s="1"/>
  <c r="L21" i="7"/>
  <c r="L22" i="7" s="1"/>
  <c r="N32" i="9"/>
  <c r="R16" i="9"/>
  <c r="R17" i="9" s="1"/>
  <c r="N12" i="9"/>
  <c r="R11" i="9"/>
  <c r="R12" i="9" s="1"/>
  <c r="N16" i="7"/>
  <c r="N17" i="7" s="1"/>
  <c r="L30" i="7"/>
  <c r="L33" i="7" s="1"/>
  <c r="N30" i="7"/>
  <c r="N33" i="7" s="1"/>
  <c r="L16" i="7"/>
  <c r="L17" i="7" s="1"/>
  <c r="N26" i="7"/>
  <c r="R26" i="7" s="1"/>
  <c r="R27" i="7" s="1"/>
  <c r="N21" i="7"/>
  <c r="L11" i="7"/>
  <c r="N11" i="7"/>
  <c r="R11" i="7" s="1"/>
  <c r="R12" i="7" s="1"/>
  <c r="N36" i="9" l="1"/>
  <c r="R36" i="9"/>
  <c r="R16" i="7"/>
  <c r="R17" i="7" s="1"/>
  <c r="R37" i="7" s="1"/>
  <c r="R30" i="7"/>
  <c r="R33" i="7" s="1"/>
  <c r="N27" i="7"/>
  <c r="R21" i="7"/>
  <c r="R22" i="7" s="1"/>
  <c r="N22" i="7"/>
  <c r="F27" i="7"/>
  <c r="F12" i="7"/>
  <c r="F37" i="7" s="1"/>
  <c r="J12" i="7" l="1"/>
  <c r="T38" i="7" l="1"/>
  <c r="S38" i="7"/>
  <c r="J37" i="7"/>
  <c r="L12" i="7"/>
  <c r="L37" i="7" s="1"/>
  <c r="N12" i="7" l="1"/>
  <c r="N37" i="7" s="1"/>
</calcChain>
</file>

<file path=xl/sharedStrings.xml><?xml version="1.0" encoding="utf-8"?>
<sst xmlns="http://schemas.openxmlformats.org/spreadsheetml/2006/main" count="653" uniqueCount="160">
  <si>
    <t>Total</t>
  </si>
  <si>
    <t>Nómina por Trabajador</t>
  </si>
  <si>
    <t>Trabajador / Reporte</t>
  </si>
  <si>
    <t>Días</t>
  </si>
  <si>
    <t>Horas</t>
  </si>
  <si>
    <t>Básico</t>
  </si>
  <si>
    <t>C.L.A</t>
  </si>
  <si>
    <t>SubTotal</t>
  </si>
  <si>
    <t>No Documento:_________________</t>
  </si>
  <si>
    <t>No Nómina:_________________</t>
  </si>
  <si>
    <t>No Cheque:_______________</t>
  </si>
  <si>
    <t xml:space="preserve">         Fecha:________________ </t>
  </si>
  <si>
    <t>Eureka</t>
  </si>
  <si>
    <t>Sistema de Gestión de Recursos Humanos</t>
  </si>
  <si>
    <t>Empresa: GEOCUBA PINAR DEL RIO</t>
  </si>
  <si>
    <t>Código: 7984</t>
  </si>
  <si>
    <t>Total Acumulado</t>
  </si>
  <si>
    <t>Firma: ____________________</t>
  </si>
  <si>
    <t>Pág 1</t>
  </si>
  <si>
    <t>Año: 2020</t>
  </si>
  <si>
    <r>
      <t xml:space="preserve">Elaborado por: </t>
    </r>
    <r>
      <rPr>
        <u/>
        <sz val="11"/>
        <color theme="1"/>
        <rFont val="Calibri"/>
        <family val="2"/>
        <scheme val="minor"/>
      </rPr>
      <t>Marlen Torres González</t>
    </r>
  </si>
  <si>
    <t>Jefe Grupo Contabilidad</t>
  </si>
  <si>
    <t xml:space="preserve">    Director Empresa</t>
  </si>
  <si>
    <r>
      <t>Revisado por: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Maria Luisa Sotre Rodríguez</t>
    </r>
  </si>
  <si>
    <t>Director Capital Humano</t>
  </si>
  <si>
    <t>Director Económico</t>
  </si>
  <si>
    <r>
      <t xml:space="preserve">Aprobado por: </t>
    </r>
    <r>
      <rPr>
        <u/>
        <sz val="11"/>
        <color theme="1"/>
        <rFont val="Calibri"/>
        <family val="2"/>
        <scheme val="minor"/>
      </rPr>
      <t>Jesiel Cue Regalado</t>
    </r>
  </si>
  <si>
    <r>
      <t>Contabilizado por: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Ricardo Morejón Ruiz</t>
    </r>
  </si>
  <si>
    <t>Mes: 12</t>
  </si>
  <si>
    <t>Master</t>
  </si>
  <si>
    <t>Anticipo</t>
  </si>
  <si>
    <t>Desc y Ret.</t>
  </si>
  <si>
    <t>I.I.P</t>
  </si>
  <si>
    <t>H.E</t>
  </si>
  <si>
    <t>Salario</t>
  </si>
  <si>
    <t>Jessiel Cue Regalado</t>
  </si>
  <si>
    <t>CI:71083005440</t>
  </si>
  <si>
    <t xml:space="preserve">Nómina de salario </t>
  </si>
  <si>
    <t>Anabel Rodríguez Vera</t>
  </si>
  <si>
    <t>CI:72091904754</t>
  </si>
  <si>
    <t>Anabel Hernández Hidalgo</t>
  </si>
  <si>
    <t>CI:85101501619</t>
  </si>
  <si>
    <t>Anibal Valdes Llende</t>
  </si>
  <si>
    <t>CI:63051705200</t>
  </si>
  <si>
    <t>Laidel Rodríguez Delgado</t>
  </si>
  <si>
    <t>CI:78010601466</t>
  </si>
  <si>
    <t>Gleydis Arteaga Martin</t>
  </si>
  <si>
    <t>CI:82092601674</t>
  </si>
  <si>
    <t>Horario Irregular</t>
  </si>
  <si>
    <t>Reporte de vacaciones</t>
  </si>
  <si>
    <t>Zuleyka M Pérez Aizpurua</t>
  </si>
  <si>
    <t>CI:72032704579</t>
  </si>
  <si>
    <t xml:space="preserve">Raciel Ernesto Abreu Alvarez </t>
  </si>
  <si>
    <t>CI:68072632548</t>
  </si>
  <si>
    <t>Milena Gonzalez Pereda</t>
  </si>
  <si>
    <t>CI:83082203059</t>
  </si>
  <si>
    <t>Oscar Cruz Reyes</t>
  </si>
  <si>
    <t>CI:84031001869</t>
  </si>
  <si>
    <t>Cesar L Ross Benitez</t>
  </si>
  <si>
    <t>CI:76061200689</t>
  </si>
  <si>
    <t>Unidad: Agencia GEOCUBA Gráfica/ Area: Dirección</t>
  </si>
  <si>
    <t>Unidad: Agencia GEOCUBA Gráfica/ Area: Gestión</t>
  </si>
  <si>
    <t>Lisandra Acosta Hernández</t>
  </si>
  <si>
    <t>CI:87101802039</t>
  </si>
  <si>
    <t>Enfer. Mas de 3 días(60%)</t>
  </si>
  <si>
    <t>Lic. Matern.(Anticipada)</t>
  </si>
  <si>
    <t>6 semanas</t>
  </si>
  <si>
    <t>Unidad: Agencia GEOCUBA Gráfica/ Area: Mercadotecnia</t>
  </si>
  <si>
    <t>Laura Díaz Hernández</t>
  </si>
  <si>
    <t>Lic. Maternidad</t>
  </si>
  <si>
    <t>CI:87071402492</t>
  </si>
  <si>
    <t>Unidad: Agencia GEOCUBA Gráfica/ Area: Economia</t>
  </si>
  <si>
    <t>Unidad: Agencia GEOCUBA Gráfica/ Area: Contabilidad</t>
  </si>
  <si>
    <t>Ricardo Morejón Ruiz</t>
  </si>
  <si>
    <t>CI:65081506309</t>
  </si>
  <si>
    <t>Yasmila Suarez Martínez</t>
  </si>
  <si>
    <t>CI:83020501611</t>
  </si>
  <si>
    <t>Leovaldo Valdéz Mendivia</t>
  </si>
  <si>
    <t>CI:78092801327</t>
  </si>
  <si>
    <t>Marlen Torres González</t>
  </si>
  <si>
    <t>CI:73061603458</t>
  </si>
  <si>
    <t>Arnerys Pérez Ramirez</t>
  </si>
  <si>
    <t>CI:91021822573</t>
  </si>
  <si>
    <t>Ciralina León Arteaga</t>
  </si>
  <si>
    <t>CI:66102805750</t>
  </si>
  <si>
    <t>Unidad: Agencia GEOCUBA Gráfica/ Area: Infocomunicaciones</t>
  </si>
  <si>
    <t>Mario Michel Concepción Milanés</t>
  </si>
  <si>
    <t>CI:85010523863</t>
  </si>
  <si>
    <t>Pedro Frank Cadenas del Llano</t>
  </si>
  <si>
    <t>CI:88041800342</t>
  </si>
  <si>
    <t>Camilo Alberto Hernández Valdés</t>
  </si>
  <si>
    <t>CI:89102815009</t>
  </si>
  <si>
    <t>Leandro José Capdesuñer</t>
  </si>
  <si>
    <t>CI:88070800280</t>
  </si>
  <si>
    <t>Dayron Guelmes González</t>
  </si>
  <si>
    <t>CI:85091706703</t>
  </si>
  <si>
    <t>Unidad: Agencia GEOCUBA Gráfica/ Area: Defensa y Seguridad</t>
  </si>
  <si>
    <t>Julio Muñoz Caro</t>
  </si>
  <si>
    <t>CI:66013105366</t>
  </si>
  <si>
    <t>Pedro Barrios Gutierrez</t>
  </si>
  <si>
    <t>CI:51051927068</t>
  </si>
  <si>
    <t>Ramiro Alberto Peña Mariño</t>
  </si>
  <si>
    <t>CI:64071100704</t>
  </si>
  <si>
    <t>Armando Gutierrez Barrios</t>
  </si>
  <si>
    <t>CI:64110610323</t>
  </si>
  <si>
    <t>Evelio Rivera Iglesias</t>
  </si>
  <si>
    <t>CI:63092506704</t>
  </si>
  <si>
    <t>Felipe Guzmán Gálvez</t>
  </si>
  <si>
    <t>CI:44082304489</t>
  </si>
  <si>
    <t>Pedro Perdigón Fuentes</t>
  </si>
  <si>
    <t>CI:55081704608</t>
  </si>
  <si>
    <t>María Elena Martínez Salazar</t>
  </si>
  <si>
    <t>CI:77112901034</t>
  </si>
  <si>
    <t>Livan Monduy Díaz</t>
  </si>
  <si>
    <t>CI:78121201181</t>
  </si>
  <si>
    <t>Camilo Acosta Hernández</t>
  </si>
  <si>
    <t>CI:61031707983</t>
  </si>
  <si>
    <t>Carlos Luis García del Pino</t>
  </si>
  <si>
    <t>CI:82060600448</t>
  </si>
  <si>
    <t>Hildeliza Leyva Ruiz</t>
  </si>
  <si>
    <t>CI:61122205331</t>
  </si>
  <si>
    <t>María Caridad Salazar Valdés</t>
  </si>
  <si>
    <t>CI:76101500672</t>
  </si>
  <si>
    <t>Eider Gilbert Terrero</t>
  </si>
  <si>
    <t>CI:74021012048</t>
  </si>
  <si>
    <t>Días Feriados</t>
  </si>
  <si>
    <t>Nocturnidad</t>
  </si>
  <si>
    <t>CI:86110502095</t>
  </si>
  <si>
    <t>Oreimys Rodriguez Reyes</t>
  </si>
  <si>
    <t>Unidad: Agencia GEOCUBA Gráfica/ Area: Técnico -Productivo</t>
  </si>
  <si>
    <t>Isaac Osmani Porra Serrano</t>
  </si>
  <si>
    <t>CI:61021005135</t>
  </si>
  <si>
    <t>Rosario de la Incera Díaz</t>
  </si>
  <si>
    <t>CI:61041104682</t>
  </si>
  <si>
    <t>Yulieski Nuñez Pérez</t>
  </si>
  <si>
    <t>CI:84041901786</t>
  </si>
  <si>
    <t>CI:5612080689</t>
  </si>
  <si>
    <t>Ada de la C. Rodriguez Leal</t>
  </si>
  <si>
    <t>Sariel Hernández Baz</t>
  </si>
  <si>
    <t>CI:79060300548</t>
  </si>
  <si>
    <t>José Raúl Gómez Vento</t>
  </si>
  <si>
    <t>CI:76112600647</t>
  </si>
  <si>
    <t>Unidad: Agencia GEOCUBA Gráfica/ Area: Capital Humano</t>
  </si>
  <si>
    <t>Unidad: Agencia GEOCUBA Gráfica/ Area: Organización</t>
  </si>
  <si>
    <t>Daylet Pérez Cordero</t>
  </si>
  <si>
    <t>CI:76063003793</t>
  </si>
  <si>
    <t>Marina Sarmiento Gato</t>
  </si>
  <si>
    <t>CI:65061804397</t>
  </si>
  <si>
    <t>Mileidys González Rivera</t>
  </si>
  <si>
    <t>CI:69050204857</t>
  </si>
  <si>
    <t>María Luisa Sotre Rodriguez</t>
  </si>
  <si>
    <t>CI:68042505548</t>
  </si>
  <si>
    <t>Fidelina Morejón Alvarez</t>
  </si>
  <si>
    <t>CI:67042422558</t>
  </si>
  <si>
    <t>Arianna Rodríguez García</t>
  </si>
  <si>
    <t>CI:95041123432</t>
  </si>
  <si>
    <t>Yazmín Martínez Fábregas</t>
  </si>
  <si>
    <t>CI:74062601416</t>
  </si>
  <si>
    <t>tarifa horaria</t>
  </si>
  <si>
    <t>dias 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</si>
</sst>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/>
    <xf numFmtId="0" fontId="0" fillId="0" borderId="0" xfId="0" applyFill="1" applyBorder="1"/>
    <xf numFmtId="2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2"/>
  <sheetViews>
    <sheetView zoomScaleNormal="100" workbookViewId="0">
      <selection activeCell="B2" sqref="B2:R42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8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14" t="s">
        <v>18</v>
      </c>
    </row>
    <row r="3" spans="2:18" ht="12" customHeight="1" x14ac:dyDescent="0.4">
      <c r="B3" s="6"/>
      <c r="K3" s="50" t="s">
        <v>15</v>
      </c>
      <c r="L3" s="50"/>
    </row>
    <row r="4" spans="2:18" x14ac:dyDescent="0.25">
      <c r="B4" s="51" t="s">
        <v>60</v>
      </c>
      <c r="C4" s="51"/>
      <c r="D4" s="51"/>
      <c r="E4" s="51"/>
      <c r="F4" s="51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8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8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53" t="s">
        <v>2</v>
      </c>
      <c r="C8" s="53"/>
      <c r="D8" s="29" t="s">
        <v>3</v>
      </c>
      <c r="E8" s="29" t="s">
        <v>4</v>
      </c>
      <c r="F8" s="29" t="s">
        <v>5</v>
      </c>
      <c r="G8" s="29" t="s">
        <v>29</v>
      </c>
      <c r="H8" s="29" t="s">
        <v>6</v>
      </c>
      <c r="I8" s="29" t="s">
        <v>33</v>
      </c>
      <c r="J8" s="29" t="s">
        <v>7</v>
      </c>
      <c r="K8" s="29">
        <v>9.09</v>
      </c>
      <c r="L8" s="29" t="s">
        <v>7</v>
      </c>
      <c r="M8" s="30">
        <v>0.05</v>
      </c>
      <c r="N8" s="29" t="s">
        <v>7</v>
      </c>
      <c r="O8" s="29" t="s">
        <v>30</v>
      </c>
      <c r="P8" s="29" t="s">
        <v>32</v>
      </c>
      <c r="Q8" s="29" t="s">
        <v>31</v>
      </c>
      <c r="R8" s="29" t="s">
        <v>0</v>
      </c>
    </row>
    <row r="9" spans="2:18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8" ht="17.25" customHeight="1" x14ac:dyDescent="0.25">
      <c r="B10" t="s">
        <v>35</v>
      </c>
      <c r="F10" t="s">
        <v>36</v>
      </c>
      <c r="H10" s="4"/>
      <c r="I10" s="4"/>
    </row>
    <row r="11" spans="2:18" ht="16.5" customHeight="1" x14ac:dyDescent="0.25">
      <c r="B11" t="s">
        <v>37</v>
      </c>
      <c r="D11" s="39">
        <v>24</v>
      </c>
      <c r="E11" s="47">
        <v>190.6</v>
      </c>
      <c r="F11" s="4">
        <v>6310</v>
      </c>
      <c r="G11" s="4">
        <v>440</v>
      </c>
      <c r="H11" s="4"/>
      <c r="I11" s="4"/>
      <c r="J11" s="4">
        <f>F11+G11+H11+I11</f>
        <v>6750</v>
      </c>
      <c r="K11" s="4">
        <f>J11*0.0909</f>
        <v>613.57499999999993</v>
      </c>
      <c r="L11" s="4">
        <f>SUM(J11:K11)</f>
        <v>7363.5749999999998</v>
      </c>
      <c r="M11" s="4">
        <f>J11*0.05</f>
        <v>337.5</v>
      </c>
      <c r="N11" s="4">
        <f>J11-M11</f>
        <v>6412.5</v>
      </c>
      <c r="O11" s="4">
        <v>1000</v>
      </c>
      <c r="P11" s="4">
        <f>(J11-3260)*0.03</f>
        <v>104.7</v>
      </c>
      <c r="Q11" s="4">
        <v>321.73</v>
      </c>
      <c r="R11" s="4">
        <f>N11-O11-P11-Q11</f>
        <v>4986.07</v>
      </c>
    </row>
    <row r="12" spans="2:18" ht="16.5" customHeight="1" x14ac:dyDescent="0.25">
      <c r="F12" s="5">
        <f>SUM(F11:F11)</f>
        <v>6310</v>
      </c>
      <c r="G12" s="18">
        <f t="shared" ref="G12" si="0">SUM(G11:G11)</f>
        <v>440</v>
      </c>
      <c r="H12" s="18"/>
      <c r="I12" s="18"/>
      <c r="J12" s="18">
        <f>SUM(J11:J11)</f>
        <v>6750</v>
      </c>
      <c r="K12" s="18">
        <f>SUM(K11:K11)</f>
        <v>613.57499999999993</v>
      </c>
      <c r="L12" s="18">
        <f>SUM(L11:L11)</f>
        <v>7363.5749999999998</v>
      </c>
      <c r="M12" s="18">
        <f>SUM(M11:M11)</f>
        <v>337.5</v>
      </c>
      <c r="N12" s="18">
        <f>SUM(N11:N11)</f>
        <v>6412.5</v>
      </c>
      <c r="O12" s="18">
        <f t="shared" ref="O12:Q12" si="1">SUM(O11:O11)</f>
        <v>1000</v>
      </c>
      <c r="P12" s="18">
        <f t="shared" si="1"/>
        <v>104.7</v>
      </c>
      <c r="Q12" s="18">
        <f t="shared" si="1"/>
        <v>321.73</v>
      </c>
      <c r="R12" s="18">
        <f>SUM(R11:R11)</f>
        <v>4986.07</v>
      </c>
    </row>
    <row r="13" spans="2:18" ht="1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5" t="s">
        <v>17</v>
      </c>
      <c r="O13" s="55"/>
      <c r="P13" s="55"/>
      <c r="Q13" s="55"/>
      <c r="R13" s="55"/>
    </row>
    <row r="14" spans="2:18" ht="8.25" customHeight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ht="16.5" customHeight="1" x14ac:dyDescent="0.25">
      <c r="B15" t="s">
        <v>38</v>
      </c>
      <c r="F15" t="s">
        <v>39</v>
      </c>
    </row>
    <row r="16" spans="2:18" ht="15.75" customHeight="1" x14ac:dyDescent="0.25">
      <c r="B16" t="s">
        <v>37</v>
      </c>
      <c r="D16" s="22">
        <v>24</v>
      </c>
      <c r="E16" s="34">
        <v>190.6</v>
      </c>
      <c r="F16" s="4">
        <v>6060</v>
      </c>
      <c r="G16" s="4"/>
      <c r="H16" s="4"/>
      <c r="I16" s="4"/>
      <c r="J16" s="4">
        <f>F16+G16+H16+I16</f>
        <v>6060</v>
      </c>
      <c r="K16" s="4">
        <f>J16*0.0909</f>
        <v>550.85399999999993</v>
      </c>
      <c r="L16" s="4">
        <f>SUM(J16:K16)</f>
        <v>6610.8540000000003</v>
      </c>
      <c r="M16" s="4">
        <f>J16*0.05</f>
        <v>303</v>
      </c>
      <c r="N16" s="4">
        <f>J16-M16</f>
        <v>5757</v>
      </c>
      <c r="O16" s="4">
        <v>1000</v>
      </c>
      <c r="P16" s="4">
        <f>(J16-3260)*0.03</f>
        <v>84</v>
      </c>
      <c r="Q16" s="4">
        <v>197</v>
      </c>
      <c r="R16" s="4">
        <f>N16-O16-P16-Q16</f>
        <v>4476</v>
      </c>
    </row>
    <row r="17" spans="2:18" ht="16.5" customHeight="1" x14ac:dyDescent="0.25">
      <c r="F17" s="5">
        <f>SUM(F16:F16)</f>
        <v>6060</v>
      </c>
      <c r="G17" s="18"/>
      <c r="H17" s="18"/>
      <c r="I17" s="18"/>
      <c r="J17" s="18">
        <f t="shared" ref="J17:R17" si="2">SUM(J16:J16)</f>
        <v>6060</v>
      </c>
      <c r="K17" s="18">
        <f t="shared" si="2"/>
        <v>550.85399999999993</v>
      </c>
      <c r="L17" s="18">
        <f t="shared" si="2"/>
        <v>6610.8540000000003</v>
      </c>
      <c r="M17" s="18">
        <f t="shared" si="2"/>
        <v>303</v>
      </c>
      <c r="N17" s="18">
        <f t="shared" si="2"/>
        <v>5757</v>
      </c>
      <c r="O17" s="18">
        <f t="shared" si="2"/>
        <v>1000</v>
      </c>
      <c r="P17" s="18">
        <f t="shared" si="2"/>
        <v>84</v>
      </c>
      <c r="Q17" s="18">
        <f t="shared" si="2"/>
        <v>197</v>
      </c>
      <c r="R17" s="18">
        <f t="shared" si="2"/>
        <v>4476</v>
      </c>
    </row>
    <row r="18" spans="2:18" ht="16.5" customHeight="1" x14ac:dyDescent="0.25">
      <c r="B18" s="2"/>
      <c r="C18" s="2"/>
      <c r="D18" s="2"/>
      <c r="E18" s="2"/>
      <c r="F18" s="2"/>
      <c r="G18" s="2"/>
      <c r="H18" s="10"/>
      <c r="I18" s="10"/>
      <c r="J18" s="2"/>
      <c r="K18" s="2"/>
      <c r="L18" s="2"/>
      <c r="M18" s="2"/>
      <c r="N18" s="55" t="s">
        <v>17</v>
      </c>
      <c r="O18" s="55"/>
      <c r="P18" s="55"/>
      <c r="Q18" s="55"/>
      <c r="R18" s="55"/>
    </row>
    <row r="19" spans="2:18" ht="8.25" customHeight="1" thickBot="1" x14ac:dyDescent="0.3">
      <c r="B19" s="9"/>
      <c r="C19" s="9"/>
      <c r="D19" s="9"/>
      <c r="E19" s="9"/>
      <c r="F19" s="9"/>
      <c r="G19" s="9"/>
      <c r="H19" s="20"/>
      <c r="I19" s="20"/>
      <c r="J19" s="9"/>
      <c r="K19" s="9"/>
      <c r="L19" s="9"/>
      <c r="M19" s="9"/>
      <c r="N19" s="9"/>
      <c r="O19" s="9"/>
      <c r="P19" s="9"/>
      <c r="Q19" s="9"/>
      <c r="R19" s="9"/>
    </row>
    <row r="20" spans="2:18" ht="14.25" customHeight="1" x14ac:dyDescent="0.25">
      <c r="B20" t="s">
        <v>40</v>
      </c>
      <c r="F20" t="s">
        <v>41</v>
      </c>
      <c r="H20" s="16"/>
      <c r="I20" s="28"/>
    </row>
    <row r="21" spans="2:18" ht="16.5" customHeight="1" x14ac:dyDescent="0.25">
      <c r="B21" t="s">
        <v>37</v>
      </c>
      <c r="D21" s="27">
        <v>21</v>
      </c>
      <c r="E21" s="4">
        <v>166.77507</v>
      </c>
      <c r="F21" s="23">
        <v>3858.75</v>
      </c>
      <c r="G21" s="23"/>
      <c r="H21" s="23"/>
      <c r="I21" s="23"/>
      <c r="J21" s="4">
        <f>F21+G21+H21+I21</f>
        <v>3858.75</v>
      </c>
      <c r="K21" s="4">
        <f>J21*0.0909</f>
        <v>350.76037499999995</v>
      </c>
      <c r="L21" s="4">
        <f>SUM(J21:K21)</f>
        <v>4209.5103749999998</v>
      </c>
      <c r="M21" s="4">
        <f>J21*0.05</f>
        <v>192.9375</v>
      </c>
      <c r="N21" s="4">
        <f>J21-M21</f>
        <v>3665.8125</v>
      </c>
      <c r="O21" s="4">
        <v>1000</v>
      </c>
      <c r="P21" s="4">
        <f>(J21-3260)*0.03+0.01</f>
        <v>17.9725</v>
      </c>
      <c r="Q21" s="4">
        <v>501.96</v>
      </c>
      <c r="R21" s="4">
        <f>N21-O21-P21-Q21</f>
        <v>2145.88</v>
      </c>
    </row>
    <row r="22" spans="2:18" ht="19.5" customHeight="1" x14ac:dyDescent="0.25">
      <c r="D22" s="22"/>
      <c r="E22" s="22"/>
      <c r="F22" s="18">
        <f>SUM(F21:F21)</f>
        <v>3858.75</v>
      </c>
      <c r="G22" s="18"/>
      <c r="H22" s="18"/>
      <c r="I22" s="18"/>
      <c r="J22" s="18">
        <f t="shared" ref="J22:R22" si="3">SUM(J21:J21)</f>
        <v>3858.75</v>
      </c>
      <c r="K22" s="18">
        <f t="shared" si="3"/>
        <v>350.76037499999995</v>
      </c>
      <c r="L22" s="18">
        <f t="shared" si="3"/>
        <v>4209.5103749999998</v>
      </c>
      <c r="M22" s="18">
        <f t="shared" si="3"/>
        <v>192.9375</v>
      </c>
      <c r="N22" s="18">
        <f t="shared" si="3"/>
        <v>3665.8125</v>
      </c>
      <c r="O22" s="18">
        <f t="shared" si="3"/>
        <v>1000</v>
      </c>
      <c r="P22" s="18">
        <f t="shared" si="3"/>
        <v>17.9725</v>
      </c>
      <c r="Q22" s="18">
        <f t="shared" si="3"/>
        <v>501.96</v>
      </c>
      <c r="R22" s="18">
        <f t="shared" si="3"/>
        <v>2145.88</v>
      </c>
    </row>
    <row r="23" spans="2:18" ht="15" customHeight="1" x14ac:dyDescent="0.25">
      <c r="N23" s="55" t="s">
        <v>17</v>
      </c>
      <c r="O23" s="55"/>
      <c r="P23" s="55"/>
      <c r="Q23" s="55"/>
      <c r="R23" s="55"/>
    </row>
    <row r="24" spans="2:18" ht="9.75" customHeight="1" thickBot="1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 ht="16.5" customHeight="1" x14ac:dyDescent="0.25">
      <c r="B25" s="2" t="s">
        <v>42</v>
      </c>
      <c r="C25" s="2"/>
      <c r="D25" s="2"/>
      <c r="E25" s="2"/>
      <c r="F25" s="2" t="s">
        <v>43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ht="16.5" customHeight="1" x14ac:dyDescent="0.25">
      <c r="B26" t="s">
        <v>37</v>
      </c>
      <c r="D26" s="10">
        <v>17</v>
      </c>
      <c r="E26" s="17">
        <v>135.00838999999999</v>
      </c>
      <c r="F26" s="17">
        <v>3265.42</v>
      </c>
      <c r="G26" s="19"/>
      <c r="H26" s="19"/>
      <c r="I26" s="19"/>
      <c r="J26" s="4">
        <f>F26+G26+H26+I26</f>
        <v>3265.42</v>
      </c>
      <c r="K26" s="4">
        <f>J26*0.0909</f>
        <v>296.82667800000002</v>
      </c>
      <c r="L26" s="4">
        <f>SUM(J26:K26)</f>
        <v>3562.246678</v>
      </c>
      <c r="M26" s="4">
        <f>J26*0.05</f>
        <v>163.27100000000002</v>
      </c>
      <c r="N26" s="4">
        <f>J26-M26</f>
        <v>3102.1489999999999</v>
      </c>
      <c r="O26" s="4">
        <v>1000</v>
      </c>
      <c r="P26" s="4">
        <f>(J26-3260)*0.03</f>
        <v>0.16260000000000219</v>
      </c>
      <c r="Q26" s="4"/>
      <c r="R26" s="4">
        <f>N26-O26-P26-Q26</f>
        <v>2101.9863999999998</v>
      </c>
    </row>
    <row r="27" spans="2:18" ht="18.75" customHeight="1" x14ac:dyDescent="0.25">
      <c r="B27" s="2"/>
      <c r="C27" s="2"/>
      <c r="D27" s="2"/>
      <c r="E27" s="2"/>
      <c r="F27" s="5">
        <f>SUM(F26:F26)</f>
        <v>3265.42</v>
      </c>
      <c r="G27" s="18"/>
      <c r="H27" s="18"/>
      <c r="I27" s="18"/>
      <c r="J27" s="18">
        <f t="shared" ref="J27:R27" si="4">SUM(J26:J26)</f>
        <v>3265.42</v>
      </c>
      <c r="K27" s="18">
        <f t="shared" si="4"/>
        <v>296.82667800000002</v>
      </c>
      <c r="L27" s="18">
        <f t="shared" si="4"/>
        <v>3562.246678</v>
      </c>
      <c r="M27" s="18">
        <f t="shared" si="4"/>
        <v>163.27100000000002</v>
      </c>
      <c r="N27" s="18">
        <f t="shared" si="4"/>
        <v>3102.1489999999999</v>
      </c>
      <c r="O27" s="18">
        <f t="shared" si="4"/>
        <v>1000</v>
      </c>
      <c r="P27" s="18">
        <f t="shared" si="4"/>
        <v>0.16260000000000219</v>
      </c>
      <c r="Q27" s="18"/>
      <c r="R27" s="18">
        <f t="shared" si="4"/>
        <v>2101.9863999999998</v>
      </c>
    </row>
    <row r="28" spans="2:18" ht="16.5" customHeight="1" thickBot="1" x14ac:dyDescent="0.3">
      <c r="B28" s="11"/>
      <c r="C28" s="11"/>
      <c r="D28" s="9"/>
      <c r="E28" s="9"/>
      <c r="F28" s="9"/>
      <c r="G28" s="9"/>
      <c r="H28" s="9"/>
      <c r="I28" s="9"/>
      <c r="J28" s="9"/>
      <c r="K28" s="9"/>
      <c r="L28" s="9"/>
      <c r="M28" s="9"/>
      <c r="N28" s="56" t="s">
        <v>17</v>
      </c>
      <c r="O28" s="56"/>
      <c r="P28" s="56"/>
      <c r="Q28" s="56"/>
      <c r="R28" s="56"/>
    </row>
    <row r="29" spans="2:18" ht="14.25" customHeight="1" x14ac:dyDescent="0.25">
      <c r="B29" t="s">
        <v>44</v>
      </c>
      <c r="F29" t="s">
        <v>45</v>
      </c>
      <c r="R29" s="2"/>
    </row>
    <row r="30" spans="2:18" ht="15.75" customHeight="1" x14ac:dyDescent="0.25">
      <c r="B30" t="s">
        <v>37</v>
      </c>
      <c r="D30" s="24">
        <v>12</v>
      </c>
      <c r="E30" s="24">
        <v>95.300039999999996</v>
      </c>
      <c r="F30" s="23">
        <v>1210</v>
      </c>
      <c r="G30" s="23"/>
      <c r="H30" s="23"/>
      <c r="I30" s="23"/>
      <c r="J30" s="4">
        <f>F30+G30+H30+I30</f>
        <v>1210</v>
      </c>
      <c r="K30" s="4">
        <f>J30*0.0909</f>
        <v>109.98899999999999</v>
      </c>
      <c r="L30" s="4">
        <f>SUM(J30:K30)</f>
        <v>1319.989</v>
      </c>
      <c r="M30" s="4">
        <f>J30*0.05</f>
        <v>60.5</v>
      </c>
      <c r="N30" s="4">
        <f>J30-M30</f>
        <v>1149.5</v>
      </c>
      <c r="O30" s="4">
        <v>1000</v>
      </c>
      <c r="P30" s="4"/>
      <c r="Q30" s="4"/>
      <c r="R30" s="4">
        <f>N30-O30-P30-Q30</f>
        <v>149.5</v>
      </c>
    </row>
    <row r="31" spans="2:18" ht="16.5" customHeight="1" x14ac:dyDescent="0.25">
      <c r="B31" t="s">
        <v>48</v>
      </c>
      <c r="F31" s="18"/>
      <c r="G31" s="18"/>
      <c r="H31" s="18"/>
      <c r="I31" s="23">
        <v>500.89</v>
      </c>
      <c r="J31" s="4">
        <f>F31+G31+H31+I31</f>
        <v>500.89</v>
      </c>
      <c r="K31" s="4">
        <f>J31*0.0909</f>
        <v>45.530900999999993</v>
      </c>
      <c r="L31" s="4">
        <f t="shared" ref="L31:L32" si="5">SUM(J31:K31)</f>
        <v>546.42090099999996</v>
      </c>
      <c r="M31" s="4">
        <f t="shared" ref="M31:M32" si="6">J31*0.05</f>
        <v>25.044499999999999</v>
      </c>
      <c r="N31" s="4">
        <f t="shared" ref="N31:N32" si="7">J31-M31</f>
        <v>475.84550000000002</v>
      </c>
      <c r="O31" s="18"/>
      <c r="P31" s="18"/>
      <c r="Q31" s="18"/>
      <c r="R31" s="4">
        <f t="shared" ref="R31:R32" si="8">N31-O31-P31-Q31</f>
        <v>475.84550000000002</v>
      </c>
    </row>
    <row r="32" spans="2:18" ht="15.75" customHeight="1" x14ac:dyDescent="0.25">
      <c r="B32" s="2" t="s">
        <v>49</v>
      </c>
      <c r="C32" s="2"/>
      <c r="D32" s="10">
        <v>12</v>
      </c>
      <c r="E32" s="10">
        <v>95.300039999999996</v>
      </c>
      <c r="F32" s="18">
        <v>514.54999999999995</v>
      </c>
      <c r="G32" s="18"/>
      <c r="H32" s="18"/>
      <c r="I32" s="18"/>
      <c r="J32" s="2">
        <v>514.54999999999995</v>
      </c>
      <c r="K32" s="4"/>
      <c r="L32" s="4">
        <f t="shared" si="5"/>
        <v>514.54999999999995</v>
      </c>
      <c r="M32" s="4">
        <f t="shared" si="6"/>
        <v>25.727499999999999</v>
      </c>
      <c r="N32" s="4">
        <f t="shared" si="7"/>
        <v>488.82249999999993</v>
      </c>
      <c r="O32" s="35"/>
      <c r="Q32" s="4">
        <v>200</v>
      </c>
      <c r="R32" s="4">
        <f t="shared" si="8"/>
        <v>288.82249999999993</v>
      </c>
    </row>
    <row r="33" spans="1:20" ht="19.5" customHeight="1" x14ac:dyDescent="0.25">
      <c r="B33" s="2"/>
      <c r="C33" s="2"/>
      <c r="D33" s="2"/>
      <c r="E33" s="2"/>
      <c r="F33" s="18">
        <f>SUM(F30:F32)</f>
        <v>1724.55</v>
      </c>
      <c r="G33" s="18"/>
      <c r="H33" s="18"/>
      <c r="I33" s="18">
        <f t="shared" ref="I33:R33" si="9">SUM(I30:I32)</f>
        <v>500.89</v>
      </c>
      <c r="J33" s="18">
        <f t="shared" si="9"/>
        <v>2225.4399999999996</v>
      </c>
      <c r="K33" s="18">
        <f t="shared" si="9"/>
        <v>155.51990099999998</v>
      </c>
      <c r="L33" s="18">
        <f t="shared" si="9"/>
        <v>2380.9599010000002</v>
      </c>
      <c r="M33" s="18">
        <f t="shared" si="9"/>
        <v>111.27199999999999</v>
      </c>
      <c r="N33" s="18">
        <f t="shared" si="9"/>
        <v>2114.1679999999997</v>
      </c>
      <c r="O33" s="18">
        <f t="shared" si="9"/>
        <v>1000</v>
      </c>
      <c r="P33" s="18"/>
      <c r="Q33" s="18">
        <f t="shared" si="9"/>
        <v>200</v>
      </c>
      <c r="R33" s="18">
        <f t="shared" si="9"/>
        <v>914.16799999999989</v>
      </c>
    </row>
    <row r="34" spans="1:20" ht="16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5" t="s">
        <v>17</v>
      </c>
      <c r="O34" s="55"/>
      <c r="P34" s="55"/>
      <c r="Q34" s="55"/>
      <c r="R34" s="55"/>
    </row>
    <row r="35" spans="1:20" ht="6.75" customHeight="1" thickBot="1" x14ac:dyDescent="0.3">
      <c r="B35" s="11"/>
      <c r="C35" s="11"/>
      <c r="D35" s="9"/>
      <c r="E35" s="9"/>
      <c r="F35" s="9"/>
      <c r="G35" s="9"/>
      <c r="H35" s="9"/>
      <c r="I35" s="9"/>
      <c r="J35" s="9"/>
      <c r="K35" s="9"/>
      <c r="L35" s="9"/>
      <c r="M35" s="9"/>
      <c r="N35" s="56"/>
      <c r="O35" s="56"/>
      <c r="P35" s="56"/>
      <c r="Q35" s="56"/>
      <c r="R35" s="56"/>
    </row>
    <row r="36" spans="1:20" ht="12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2"/>
      <c r="O36" s="2"/>
      <c r="P36" s="2"/>
      <c r="Q36" s="2"/>
      <c r="R36" s="2"/>
    </row>
    <row r="37" spans="1:20" ht="18.75" customHeight="1" x14ac:dyDescent="0.25">
      <c r="B37" s="13" t="s">
        <v>16</v>
      </c>
      <c r="F37" s="15">
        <f>F12+F17+F22+F27+F33</f>
        <v>21218.719999999998</v>
      </c>
      <c r="G37" s="15">
        <f t="shared" ref="G37:Q37" si="10">G12+G17+G22+G27+G33</f>
        <v>440</v>
      </c>
      <c r="H37" s="15"/>
      <c r="I37" s="15">
        <f t="shared" si="10"/>
        <v>500.89</v>
      </c>
      <c r="J37" s="15">
        <f t="shared" si="10"/>
        <v>22159.609999999997</v>
      </c>
      <c r="K37" s="15">
        <f t="shared" si="10"/>
        <v>1967.5359539999997</v>
      </c>
      <c r="L37" s="15">
        <f t="shared" si="10"/>
        <v>24127.145954</v>
      </c>
      <c r="M37" s="15">
        <f t="shared" si="10"/>
        <v>1107.9804999999999</v>
      </c>
      <c r="N37" s="15">
        <f t="shared" si="10"/>
        <v>21051.629500000003</v>
      </c>
      <c r="O37" s="15">
        <f t="shared" si="10"/>
        <v>5000</v>
      </c>
      <c r="P37" s="15">
        <f>P12+P17+P22+P27+P33-0.01</f>
        <v>206.82509999999999</v>
      </c>
      <c r="Q37" s="15">
        <f t="shared" si="10"/>
        <v>1220.69</v>
      </c>
      <c r="R37" s="15">
        <f>R12+R17+R22+R27+R33+0.01</f>
        <v>14624.1144</v>
      </c>
    </row>
    <row r="38" spans="1:20" ht="18.75" customHeight="1" x14ac:dyDescent="0.25">
      <c r="B38" s="13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35">
        <f>J12+J17+J22+J27-13040</f>
        <v>6894.1699999999983</v>
      </c>
      <c r="T38" s="35">
        <f>(J12+J22+J17+J27-13040)*0.03</f>
        <v>206.82509999999994</v>
      </c>
    </row>
    <row r="39" spans="1:20" ht="12.75" customHeight="1" x14ac:dyDescent="0.25">
      <c r="B39" s="8" t="s">
        <v>20</v>
      </c>
      <c r="C39" s="26"/>
      <c r="D39" s="26"/>
      <c r="E39" s="26"/>
      <c r="F39" s="26"/>
      <c r="L39" s="1" t="s">
        <v>23</v>
      </c>
    </row>
    <row r="40" spans="1:20" x14ac:dyDescent="0.25">
      <c r="C40" s="49" t="s">
        <v>21</v>
      </c>
      <c r="D40" s="49"/>
      <c r="E40" s="49"/>
      <c r="M40" s="49" t="s">
        <v>24</v>
      </c>
      <c r="N40" s="49"/>
      <c r="O40" s="49"/>
      <c r="P40" s="28"/>
      <c r="Q40" s="28"/>
    </row>
    <row r="41" spans="1:20" ht="14.25" customHeight="1" x14ac:dyDescent="0.25">
      <c r="B41" s="1" t="s">
        <v>26</v>
      </c>
      <c r="L41" s="1" t="s">
        <v>27</v>
      </c>
    </row>
    <row r="42" spans="1:20" x14ac:dyDescent="0.25">
      <c r="C42" s="52" t="s">
        <v>22</v>
      </c>
      <c r="D42" s="52"/>
      <c r="E42" s="52"/>
      <c r="F42" s="52"/>
      <c r="N42" s="52" t="s">
        <v>25</v>
      </c>
      <c r="O42" s="52"/>
      <c r="P42" s="52"/>
      <c r="Q42" s="52"/>
      <c r="R42" s="52"/>
    </row>
  </sheetData>
  <mergeCells count="17">
    <mergeCell ref="C42:F42"/>
    <mergeCell ref="N42:R42"/>
    <mergeCell ref="B8:C8"/>
    <mergeCell ref="J5:M5"/>
    <mergeCell ref="N5:R5"/>
    <mergeCell ref="N13:R13"/>
    <mergeCell ref="N18:R18"/>
    <mergeCell ref="N23:R23"/>
    <mergeCell ref="N28:R28"/>
    <mergeCell ref="N34:R34"/>
    <mergeCell ref="N35:R35"/>
    <mergeCell ref="E5:F5"/>
    <mergeCell ref="J2:N2"/>
    <mergeCell ref="K3:L3"/>
    <mergeCell ref="B4:F4"/>
    <mergeCell ref="C40:E40"/>
    <mergeCell ref="M40:O40"/>
  </mergeCells>
  <pageMargins left="0.59055118110236227" right="0.15748031496062992" top="0.15748031496062992" bottom="0.15748031496062992" header="0.15748031496062992" footer="0.15748031496062992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zoomScaleNormal="100" workbookViewId="0">
      <selection activeCell="B2" sqref="B2:R39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8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41" t="s">
        <v>18</v>
      </c>
    </row>
    <row r="3" spans="2:18" ht="12" customHeight="1" x14ac:dyDescent="0.4">
      <c r="B3" s="6"/>
      <c r="K3" s="50" t="s">
        <v>15</v>
      </c>
      <c r="L3" s="50"/>
    </row>
    <row r="4" spans="2:18" x14ac:dyDescent="0.25">
      <c r="B4" s="8" t="s">
        <v>142</v>
      </c>
      <c r="C4" s="8"/>
      <c r="D4" s="8"/>
      <c r="E4" s="8"/>
      <c r="F4" s="8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8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8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53" t="s">
        <v>2</v>
      </c>
      <c r="C8" s="53"/>
      <c r="D8" s="40" t="s">
        <v>3</v>
      </c>
      <c r="E8" s="40" t="s">
        <v>4</v>
      </c>
      <c r="F8" s="40" t="s">
        <v>5</v>
      </c>
      <c r="G8" s="40" t="s">
        <v>29</v>
      </c>
      <c r="H8" s="40" t="s">
        <v>6</v>
      </c>
      <c r="I8" s="40" t="s">
        <v>33</v>
      </c>
      <c r="J8" s="40" t="s">
        <v>7</v>
      </c>
      <c r="K8" s="40">
        <v>9.09</v>
      </c>
      <c r="L8" s="40" t="s">
        <v>7</v>
      </c>
      <c r="M8" s="30">
        <v>0.05</v>
      </c>
      <c r="N8" s="40" t="s">
        <v>7</v>
      </c>
      <c r="O8" s="40" t="s">
        <v>30</v>
      </c>
      <c r="P8" s="40" t="s">
        <v>32</v>
      </c>
      <c r="Q8" s="40" t="s">
        <v>31</v>
      </c>
      <c r="R8" s="40" t="s">
        <v>0</v>
      </c>
    </row>
    <row r="9" spans="2:18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8" ht="15" customHeight="1" x14ac:dyDescent="0.25">
      <c r="B10" t="s">
        <v>150</v>
      </c>
      <c r="F10" t="s">
        <v>151</v>
      </c>
      <c r="H10" s="4"/>
      <c r="I10" s="4"/>
    </row>
    <row r="11" spans="2:18" ht="16.5" customHeight="1" x14ac:dyDescent="0.25">
      <c r="B11" t="s">
        <v>37</v>
      </c>
      <c r="D11">
        <v>24</v>
      </c>
      <c r="E11" s="34">
        <v>190.6</v>
      </c>
      <c r="F11" s="4">
        <v>5810</v>
      </c>
      <c r="G11" s="4"/>
      <c r="H11" s="4"/>
      <c r="I11" s="4"/>
      <c r="J11" s="4">
        <f>SUM(F11:I11)</f>
        <v>5810</v>
      </c>
      <c r="K11" s="4">
        <f>J11*0.0909</f>
        <v>528.12900000000002</v>
      </c>
      <c r="L11" s="4">
        <f>SUM(J11:K11)</f>
        <v>6338.1289999999999</v>
      </c>
      <c r="M11" s="4">
        <f>J11*0.05</f>
        <v>290.5</v>
      </c>
      <c r="N11" s="4">
        <f>J11-M11</f>
        <v>5519.5</v>
      </c>
      <c r="O11" s="4">
        <v>1000</v>
      </c>
      <c r="P11" s="4">
        <f>(J13-3260)*0.03</f>
        <v>124.11060000000001</v>
      </c>
      <c r="Q11" s="4">
        <v>26</v>
      </c>
      <c r="R11" s="4">
        <f>N11-O11-P11-Q11</f>
        <v>4369.3894</v>
      </c>
    </row>
    <row r="12" spans="2:18" ht="16.5" customHeight="1" x14ac:dyDescent="0.25">
      <c r="B12" s="2" t="s">
        <v>49</v>
      </c>
      <c r="D12">
        <v>15</v>
      </c>
      <c r="E12" s="34"/>
      <c r="F12" s="4">
        <v>1587.02</v>
      </c>
      <c r="G12" s="4"/>
      <c r="H12" s="4"/>
      <c r="I12" s="4"/>
      <c r="J12" s="4">
        <f>SUM(F12:I12)</f>
        <v>1587.02</v>
      </c>
      <c r="K12" s="4"/>
      <c r="L12" s="4">
        <f>SUM(J12:K12)</f>
        <v>1587.02</v>
      </c>
      <c r="M12" s="4">
        <f>J12*0.05</f>
        <v>79.350999999999999</v>
      </c>
      <c r="N12" s="4">
        <f>J12-M12</f>
        <v>1507.6689999999999</v>
      </c>
      <c r="O12" s="4"/>
      <c r="P12" s="4"/>
      <c r="Q12" s="4"/>
      <c r="R12" s="4">
        <f>N12-O12-P12-Q12</f>
        <v>1507.6689999999999</v>
      </c>
    </row>
    <row r="13" spans="2:18" ht="16.5" customHeight="1" x14ac:dyDescent="0.25">
      <c r="F13" s="18">
        <f>SUM(F11:F12)</f>
        <v>7397.02</v>
      </c>
      <c r="G13" s="18"/>
      <c r="H13" s="18"/>
      <c r="I13" s="18"/>
      <c r="J13" s="18">
        <f t="shared" ref="J13:R13" si="0">SUM(J11:J12)</f>
        <v>7397.02</v>
      </c>
      <c r="K13" s="18">
        <f t="shared" si="0"/>
        <v>528.12900000000002</v>
      </c>
      <c r="L13" s="18">
        <f t="shared" si="0"/>
        <v>7925.1489999999994</v>
      </c>
      <c r="M13" s="18">
        <f t="shared" si="0"/>
        <v>369.851</v>
      </c>
      <c r="N13" s="18">
        <f t="shared" si="0"/>
        <v>7027.1689999999999</v>
      </c>
      <c r="O13" s="18">
        <f t="shared" si="0"/>
        <v>1000</v>
      </c>
      <c r="P13" s="18">
        <f t="shared" si="0"/>
        <v>124.11060000000001</v>
      </c>
      <c r="Q13" s="18">
        <f t="shared" si="0"/>
        <v>26</v>
      </c>
      <c r="R13" s="18">
        <f t="shared" si="0"/>
        <v>5877.0583999999999</v>
      </c>
    </row>
    <row r="14" spans="2:18" ht="1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5" t="s">
        <v>17</v>
      </c>
      <c r="O14" s="55"/>
      <c r="P14" s="55"/>
      <c r="Q14" s="55"/>
      <c r="R14" s="55"/>
    </row>
    <row r="15" spans="2:18" ht="8.25" customHeight="1" thickBot="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 ht="16.5" customHeight="1" x14ac:dyDescent="0.25">
      <c r="B16" t="s">
        <v>152</v>
      </c>
      <c r="F16" t="s">
        <v>153</v>
      </c>
    </row>
    <row r="17" spans="2:18" ht="15.75" customHeight="1" x14ac:dyDescent="0.25">
      <c r="B17" t="s">
        <v>37</v>
      </c>
      <c r="D17" s="39">
        <v>17</v>
      </c>
      <c r="E17" s="34">
        <v>135.01</v>
      </c>
      <c r="F17" s="4">
        <v>3123.75</v>
      </c>
      <c r="G17" s="4"/>
      <c r="H17" s="4"/>
      <c r="I17" s="4"/>
      <c r="J17" s="4">
        <f>SUM(F17:I17)</f>
        <v>3123.75</v>
      </c>
      <c r="K17" s="4">
        <f>J17*0.0909</f>
        <v>283.94887499999999</v>
      </c>
      <c r="L17" s="4">
        <f>SUM(J17:K17)</f>
        <v>3407.698875</v>
      </c>
      <c r="M17" s="4">
        <f>J17*0.05</f>
        <v>156.1875</v>
      </c>
      <c r="N17" s="4">
        <f>J17-M17</f>
        <v>2967.5625</v>
      </c>
      <c r="O17" s="4">
        <v>1000</v>
      </c>
      <c r="P17" s="4">
        <f>(J19-3260)*0.03</f>
        <v>20.767199999999992</v>
      </c>
      <c r="Q17" s="4"/>
      <c r="R17" s="4">
        <f>N17-O17-P17-Q17</f>
        <v>1946.7953</v>
      </c>
    </row>
    <row r="18" spans="2:18" ht="15.75" customHeight="1" x14ac:dyDescent="0.25">
      <c r="B18" s="2" t="s">
        <v>49</v>
      </c>
      <c r="D18" s="39">
        <v>12</v>
      </c>
      <c r="E18" s="34"/>
      <c r="F18" s="4">
        <v>828.49</v>
      </c>
      <c r="G18" s="4"/>
      <c r="H18" s="4"/>
      <c r="I18" s="4"/>
      <c r="J18" s="4">
        <f>SUM(F18:I18)</f>
        <v>828.49</v>
      </c>
      <c r="K18" s="4"/>
      <c r="L18" s="4">
        <f>SUM(J18:K18)</f>
        <v>828.49</v>
      </c>
      <c r="M18" s="4">
        <f>J18*0.05</f>
        <v>41.424500000000002</v>
      </c>
      <c r="N18" s="4">
        <f>J18-M18</f>
        <v>787.06550000000004</v>
      </c>
      <c r="O18" s="4"/>
      <c r="P18" s="4"/>
      <c r="Q18" s="4"/>
      <c r="R18" s="4">
        <f>N18-O18-P18-Q18</f>
        <v>787.06550000000004</v>
      </c>
    </row>
    <row r="19" spans="2:18" ht="16.5" customHeight="1" x14ac:dyDescent="0.25">
      <c r="F19" s="18">
        <f>SUM(F17:F18)</f>
        <v>3952.24</v>
      </c>
      <c r="G19" s="18"/>
      <c r="H19" s="18"/>
      <c r="I19" s="18"/>
      <c r="J19" s="18">
        <f t="shared" ref="J19:R19" si="1">SUM(J17:J18)</f>
        <v>3952.24</v>
      </c>
      <c r="K19" s="18">
        <f t="shared" si="1"/>
        <v>283.94887499999999</v>
      </c>
      <c r="L19" s="18">
        <f t="shared" si="1"/>
        <v>4236.1888749999998</v>
      </c>
      <c r="M19" s="18">
        <f t="shared" si="1"/>
        <v>197.61199999999999</v>
      </c>
      <c r="N19" s="18">
        <f t="shared" si="1"/>
        <v>3754.6280000000002</v>
      </c>
      <c r="O19" s="18">
        <f t="shared" si="1"/>
        <v>1000</v>
      </c>
      <c r="P19" s="18">
        <f t="shared" si="1"/>
        <v>20.767199999999992</v>
      </c>
      <c r="Q19" s="18"/>
      <c r="R19" s="18">
        <f t="shared" si="1"/>
        <v>2733.8607999999999</v>
      </c>
    </row>
    <row r="20" spans="2:18" ht="16.5" customHeight="1" x14ac:dyDescent="0.25">
      <c r="B20" s="2"/>
      <c r="C20" s="2"/>
      <c r="D20" s="2"/>
      <c r="E20" s="2"/>
      <c r="F20" s="2"/>
      <c r="G20" s="2"/>
      <c r="H20" s="10"/>
      <c r="I20" s="10"/>
      <c r="J20" s="2"/>
      <c r="K20" s="2"/>
      <c r="L20" s="2"/>
      <c r="M20" s="2"/>
      <c r="N20" s="55" t="s">
        <v>17</v>
      </c>
      <c r="O20" s="55"/>
      <c r="P20" s="55"/>
      <c r="Q20" s="55"/>
      <c r="R20" s="55"/>
    </row>
    <row r="21" spans="2:18" ht="8.25" customHeight="1" thickBot="1" x14ac:dyDescent="0.3">
      <c r="B21" s="9"/>
      <c r="C21" s="9"/>
      <c r="D21" s="9"/>
      <c r="E21" s="9"/>
      <c r="F21" s="9"/>
      <c r="G21" s="9"/>
      <c r="H21" s="20"/>
      <c r="I21" s="20"/>
      <c r="J21" s="9"/>
      <c r="K21" s="9"/>
      <c r="L21" s="9"/>
      <c r="M21" s="9"/>
      <c r="N21" s="9"/>
      <c r="O21" s="9"/>
      <c r="P21" s="9"/>
      <c r="Q21" s="9"/>
      <c r="R21" s="9"/>
    </row>
    <row r="22" spans="2:18" ht="14.25" customHeight="1" x14ac:dyDescent="0.25">
      <c r="B22" t="s">
        <v>154</v>
      </c>
      <c r="F22" t="s">
        <v>155</v>
      </c>
      <c r="H22" s="39"/>
      <c r="I22" s="39"/>
    </row>
    <row r="23" spans="2:18" ht="16.5" customHeight="1" x14ac:dyDescent="0.25">
      <c r="B23" t="s">
        <v>37</v>
      </c>
      <c r="D23" s="39">
        <v>17</v>
      </c>
      <c r="E23" s="4">
        <v>135.01</v>
      </c>
      <c r="F23" s="23">
        <v>3123.75</v>
      </c>
      <c r="G23" s="23"/>
      <c r="H23" s="23"/>
      <c r="I23" s="23"/>
      <c r="J23" s="4">
        <f>SUM(F23:I23)</f>
        <v>3123.75</v>
      </c>
      <c r="K23" s="4">
        <f>J23*0.0909</f>
        <v>283.94887499999999</v>
      </c>
      <c r="L23" s="4">
        <f>SUM(J23:K23)</f>
        <v>3407.698875</v>
      </c>
      <c r="M23" s="4">
        <f>J23*0.05</f>
        <v>156.1875</v>
      </c>
      <c r="N23" s="4">
        <f>J23-M23</f>
        <v>2967.5625</v>
      </c>
      <c r="O23" s="4">
        <v>1000</v>
      </c>
      <c r="P23" s="4">
        <f>(J25-3260)*0.03</f>
        <v>15.277199999999993</v>
      </c>
      <c r="Q23" s="4"/>
      <c r="R23" s="4">
        <f>N23-O23-P23-Q23</f>
        <v>1952.2853</v>
      </c>
    </row>
    <row r="24" spans="2:18" ht="16.5" customHeight="1" x14ac:dyDescent="0.25">
      <c r="B24" s="2" t="s">
        <v>49</v>
      </c>
      <c r="D24" s="39">
        <v>10</v>
      </c>
      <c r="E24" s="4"/>
      <c r="F24" s="23">
        <v>645.49</v>
      </c>
      <c r="G24" s="23"/>
      <c r="H24" s="23"/>
      <c r="I24" s="23"/>
      <c r="J24" s="4">
        <f>SUM(F24:I24)</f>
        <v>645.49</v>
      </c>
      <c r="K24" s="4"/>
      <c r="L24" s="4">
        <f>SUM(J24:K24)</f>
        <v>645.49</v>
      </c>
      <c r="M24" s="4">
        <f>J24*0.05</f>
        <v>32.274500000000003</v>
      </c>
      <c r="N24" s="4">
        <f>J24-M24</f>
        <v>613.21550000000002</v>
      </c>
      <c r="O24" s="4"/>
      <c r="P24" s="4"/>
      <c r="Q24" s="4"/>
      <c r="R24" s="4">
        <f>N24-O24-P24-Q24</f>
        <v>613.21550000000002</v>
      </c>
    </row>
    <row r="25" spans="2:18" ht="19.5" customHeight="1" x14ac:dyDescent="0.25">
      <c r="D25" s="39"/>
      <c r="E25" s="39"/>
      <c r="F25" s="18">
        <f>SUM(F23:F24)</f>
        <v>3769.24</v>
      </c>
      <c r="G25" s="18"/>
      <c r="H25" s="18"/>
      <c r="I25" s="18"/>
      <c r="J25" s="18">
        <f t="shared" ref="J25:R25" si="2">SUM(J23:J24)</f>
        <v>3769.24</v>
      </c>
      <c r="K25" s="18">
        <f t="shared" si="2"/>
        <v>283.94887499999999</v>
      </c>
      <c r="L25" s="18">
        <f t="shared" si="2"/>
        <v>4053.1888749999998</v>
      </c>
      <c r="M25" s="18">
        <f t="shared" si="2"/>
        <v>188.46199999999999</v>
      </c>
      <c r="N25" s="18">
        <f t="shared" si="2"/>
        <v>3580.7780000000002</v>
      </c>
      <c r="O25" s="18">
        <f t="shared" si="2"/>
        <v>1000</v>
      </c>
      <c r="P25" s="18">
        <f t="shared" si="2"/>
        <v>15.277199999999993</v>
      </c>
      <c r="Q25" s="18"/>
      <c r="R25" s="18">
        <f t="shared" si="2"/>
        <v>2565.5007999999998</v>
      </c>
    </row>
    <row r="26" spans="2:18" ht="18.75" customHeight="1" x14ac:dyDescent="0.25">
      <c r="N26" s="55" t="s">
        <v>17</v>
      </c>
      <c r="O26" s="55"/>
      <c r="P26" s="55"/>
      <c r="Q26" s="55"/>
      <c r="R26" s="55"/>
    </row>
    <row r="27" spans="2:18" ht="9.75" customHeight="1" thickBot="1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2:18" ht="16.5" customHeight="1" x14ac:dyDescent="0.25">
      <c r="B28" s="2" t="s">
        <v>156</v>
      </c>
      <c r="C28" s="2"/>
      <c r="D28" s="2"/>
      <c r="E28" s="2"/>
      <c r="F28" s="2" t="s">
        <v>157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 ht="16.5" customHeight="1" x14ac:dyDescent="0.25">
      <c r="B29" t="s">
        <v>37</v>
      </c>
      <c r="D29" s="10">
        <v>14</v>
      </c>
      <c r="E29" s="17">
        <v>111.18</v>
      </c>
      <c r="F29" s="17">
        <v>2572.5</v>
      </c>
      <c r="G29" s="19"/>
      <c r="H29" s="19"/>
      <c r="I29" s="19"/>
      <c r="J29" s="4">
        <f>SUM(F29:I29)</f>
        <v>2572.5</v>
      </c>
      <c r="K29" s="4">
        <f>J29*0.0909</f>
        <v>233.84025</v>
      </c>
      <c r="L29" s="4">
        <f>SUM(J29:K29)</f>
        <v>2806.3402500000002</v>
      </c>
      <c r="M29" s="4">
        <f>J29*0.05</f>
        <v>128.625</v>
      </c>
      <c r="N29" s="4">
        <f>J29-M29</f>
        <v>2443.875</v>
      </c>
      <c r="O29" s="4">
        <v>1000</v>
      </c>
      <c r="P29" s="4"/>
      <c r="Q29" s="4">
        <v>419.55</v>
      </c>
      <c r="R29" s="4">
        <f>N29-O29-P29-Q29</f>
        <v>1024.325</v>
      </c>
    </row>
    <row r="30" spans="2:18" ht="16.5" customHeight="1" x14ac:dyDescent="0.25">
      <c r="B30" s="2" t="s">
        <v>49</v>
      </c>
      <c r="D30" s="10">
        <v>3</v>
      </c>
      <c r="E30" s="17"/>
      <c r="F30" s="17">
        <v>209.38</v>
      </c>
      <c r="G30" s="19"/>
      <c r="H30" s="19"/>
      <c r="I30" s="19"/>
      <c r="J30" s="4">
        <f>SUM(F30:I30)</f>
        <v>209.38</v>
      </c>
      <c r="K30" s="4"/>
      <c r="L30" s="4">
        <f>SUM(J30:K30)</f>
        <v>209.38</v>
      </c>
      <c r="M30" s="4">
        <f>J30*0.05</f>
        <v>10.469000000000001</v>
      </c>
      <c r="N30" s="4">
        <f>J30-M30</f>
        <v>198.911</v>
      </c>
      <c r="O30" s="4"/>
      <c r="P30" s="4"/>
      <c r="Q30" s="4"/>
      <c r="R30" s="4">
        <f>N30-O30-P30-Q30</f>
        <v>198.911</v>
      </c>
    </row>
    <row r="31" spans="2:18" ht="18.75" customHeight="1" x14ac:dyDescent="0.25">
      <c r="B31" s="2"/>
      <c r="C31" s="2"/>
      <c r="D31" s="2"/>
      <c r="E31" s="2"/>
      <c r="F31" s="18">
        <f>SUM(F29:F30)</f>
        <v>2781.88</v>
      </c>
      <c r="G31" s="18"/>
      <c r="H31" s="18"/>
      <c r="I31" s="18"/>
      <c r="J31" s="18">
        <f t="shared" ref="J31:O31" si="3">SUM(J29:J30)</f>
        <v>2781.88</v>
      </c>
      <c r="K31" s="18">
        <f t="shared" si="3"/>
        <v>233.84025</v>
      </c>
      <c r="L31" s="18">
        <f t="shared" si="3"/>
        <v>3015.7202500000003</v>
      </c>
      <c r="M31" s="18">
        <f t="shared" si="3"/>
        <v>139.09399999999999</v>
      </c>
      <c r="N31" s="18">
        <f t="shared" si="3"/>
        <v>2642.7860000000001</v>
      </c>
      <c r="O31" s="18">
        <f t="shared" si="3"/>
        <v>1000</v>
      </c>
      <c r="P31" s="18"/>
      <c r="Q31" s="18">
        <f t="shared" ref="Q31" si="4">SUM(Q29:Q30)</f>
        <v>419.55</v>
      </c>
      <c r="R31" s="18">
        <f>SUM(R29:R30)</f>
        <v>1223.2360000000001</v>
      </c>
    </row>
    <row r="32" spans="2:18" ht="19.5" customHeight="1" thickBot="1" x14ac:dyDescent="0.3">
      <c r="B32" s="11"/>
      <c r="C32" s="11"/>
      <c r="D32" s="9"/>
      <c r="E32" s="9"/>
      <c r="F32" s="9"/>
      <c r="G32" s="9"/>
      <c r="H32" s="9"/>
      <c r="I32" s="9"/>
      <c r="J32" s="9"/>
      <c r="K32" s="9"/>
      <c r="L32" s="9"/>
      <c r="M32" s="9"/>
      <c r="N32" s="56" t="s">
        <v>17</v>
      </c>
      <c r="O32" s="56"/>
      <c r="P32" s="56"/>
      <c r="Q32" s="56"/>
      <c r="R32" s="56"/>
    </row>
    <row r="33" spans="2:21" ht="4.5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  <c r="N33" s="2"/>
      <c r="O33" s="2"/>
      <c r="P33" s="2"/>
      <c r="Q33" s="2"/>
      <c r="R33" s="2"/>
    </row>
    <row r="34" spans="2:21" ht="18.75" customHeight="1" x14ac:dyDescent="0.25">
      <c r="B34" s="13" t="s">
        <v>16</v>
      </c>
      <c r="F34" s="15">
        <f>F13+F19+F25+F31</f>
        <v>17900.38</v>
      </c>
      <c r="G34" s="15"/>
      <c r="H34" s="15"/>
      <c r="I34" s="15"/>
      <c r="J34" s="15">
        <f>J13+J19+J25+J31</f>
        <v>17900.38</v>
      </c>
      <c r="K34" s="15">
        <f>K13+K19+K25+K31</f>
        <v>1329.867</v>
      </c>
      <c r="L34" s="15">
        <f>L13+L19+L25+L31</f>
        <v>19230.246999999999</v>
      </c>
      <c r="M34" s="15">
        <f>M13+M19+M25+M31-0.01</f>
        <v>895.00900000000001</v>
      </c>
      <c r="N34" s="15">
        <f>N13+N19+N25+N31+0.01</f>
        <v>17005.370999999999</v>
      </c>
      <c r="O34" s="15">
        <f>O13+O19+O25+O31</f>
        <v>4000</v>
      </c>
      <c r="P34" s="15">
        <f>P13+P19+P25+P31</f>
        <v>160.155</v>
      </c>
      <c r="Q34" s="15">
        <f>Q13+Q19+Q25+Q31</f>
        <v>445.55</v>
      </c>
      <c r="R34" s="15">
        <f>R13+R19+R25+R31</f>
        <v>12399.656000000001</v>
      </c>
    </row>
    <row r="35" spans="2:21" ht="18.75" customHeight="1" x14ac:dyDescent="0.25">
      <c r="B35" s="13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T35" s="35">
        <f>J13+J19+J25-9780</f>
        <v>5338.5</v>
      </c>
      <c r="U35" s="35">
        <f>T35*0.03</f>
        <v>160.155</v>
      </c>
    </row>
    <row r="36" spans="2:21" ht="12.75" customHeight="1" x14ac:dyDescent="0.25">
      <c r="B36" s="8" t="s">
        <v>20</v>
      </c>
      <c r="C36" s="26"/>
      <c r="D36" s="26"/>
      <c r="E36" s="26"/>
      <c r="F36" s="26"/>
      <c r="L36" s="1" t="s">
        <v>23</v>
      </c>
    </row>
    <row r="37" spans="2:21" x14ac:dyDescent="0.25">
      <c r="C37" s="49" t="s">
        <v>21</v>
      </c>
      <c r="D37" s="49"/>
      <c r="E37" s="49"/>
      <c r="M37" s="49" t="s">
        <v>24</v>
      </c>
      <c r="N37" s="49"/>
      <c r="O37" s="49"/>
      <c r="P37" s="39"/>
      <c r="Q37" s="39"/>
    </row>
    <row r="38" spans="2:21" ht="14.25" customHeight="1" x14ac:dyDescent="0.25">
      <c r="B38" s="1" t="s">
        <v>26</v>
      </c>
      <c r="L38" s="1" t="s">
        <v>27</v>
      </c>
    </row>
    <row r="39" spans="2:21" x14ac:dyDescent="0.25">
      <c r="C39" s="52" t="s">
        <v>22</v>
      </c>
      <c r="D39" s="52"/>
      <c r="E39" s="52"/>
      <c r="F39" s="52"/>
      <c r="N39" s="52" t="s">
        <v>25</v>
      </c>
      <c r="O39" s="52"/>
      <c r="P39" s="52"/>
      <c r="Q39" s="52"/>
      <c r="R39" s="52"/>
    </row>
  </sheetData>
  <mergeCells count="14">
    <mergeCell ref="B8:C8"/>
    <mergeCell ref="J2:N2"/>
    <mergeCell ref="K3:L3"/>
    <mergeCell ref="E5:F5"/>
    <mergeCell ref="J5:M5"/>
    <mergeCell ref="N5:R5"/>
    <mergeCell ref="C39:F39"/>
    <mergeCell ref="N39:R39"/>
    <mergeCell ref="N14:R14"/>
    <mergeCell ref="N20:R20"/>
    <mergeCell ref="N26:R26"/>
    <mergeCell ref="N32:R32"/>
    <mergeCell ref="C37:E37"/>
    <mergeCell ref="M37:O37"/>
  </mergeCells>
  <pageMargins left="0.59055118110236227" right="0.15748031496062992" top="0.15748031496062992" bottom="0.15748031496062992" header="0.15748031496062992" footer="0.15748031496062992"/>
  <pageSetup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1"/>
  <sheetViews>
    <sheetView zoomScaleNormal="100" workbookViewId="0">
      <selection activeCell="B2" sqref="B2:R31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8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41" t="s">
        <v>18</v>
      </c>
    </row>
    <row r="3" spans="2:18" ht="12" customHeight="1" x14ac:dyDescent="0.4">
      <c r="B3" s="6"/>
      <c r="K3" s="50" t="s">
        <v>15</v>
      </c>
      <c r="L3" s="50"/>
    </row>
    <row r="4" spans="2:18" x14ac:dyDescent="0.25">
      <c r="B4" s="8" t="s">
        <v>143</v>
      </c>
      <c r="C4" s="8"/>
      <c r="D4" s="8"/>
      <c r="E4" s="8"/>
      <c r="F4" s="8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8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8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53" t="s">
        <v>2</v>
      </c>
      <c r="C8" s="53"/>
      <c r="D8" s="40" t="s">
        <v>3</v>
      </c>
      <c r="E8" s="40" t="s">
        <v>4</v>
      </c>
      <c r="F8" s="40" t="s">
        <v>5</v>
      </c>
      <c r="G8" s="40" t="s">
        <v>29</v>
      </c>
      <c r="H8" s="40" t="s">
        <v>6</v>
      </c>
      <c r="I8" s="40" t="s">
        <v>33</v>
      </c>
      <c r="J8" s="40" t="s">
        <v>7</v>
      </c>
      <c r="K8" s="40">
        <v>9.09</v>
      </c>
      <c r="L8" s="40" t="s">
        <v>7</v>
      </c>
      <c r="M8" s="30">
        <v>0.05</v>
      </c>
      <c r="N8" s="40" t="s">
        <v>7</v>
      </c>
      <c r="O8" s="40" t="s">
        <v>30</v>
      </c>
      <c r="P8" s="40" t="s">
        <v>32</v>
      </c>
      <c r="Q8" s="40" t="s">
        <v>31</v>
      </c>
      <c r="R8" s="40" t="s">
        <v>0</v>
      </c>
    </row>
    <row r="9" spans="2:18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8" ht="15" customHeight="1" x14ac:dyDescent="0.25">
      <c r="B10" t="s">
        <v>144</v>
      </c>
      <c r="F10" t="s">
        <v>145</v>
      </c>
      <c r="H10" s="4"/>
      <c r="I10" s="4"/>
    </row>
    <row r="11" spans="2:18" ht="16.5" customHeight="1" x14ac:dyDescent="0.25">
      <c r="B11" t="s">
        <v>37</v>
      </c>
      <c r="D11" s="45">
        <v>15</v>
      </c>
      <c r="E11" s="34">
        <v>119.13</v>
      </c>
      <c r="F11" s="4">
        <v>3475</v>
      </c>
      <c r="G11" s="4"/>
      <c r="H11" s="4"/>
      <c r="I11" s="4"/>
      <c r="J11" s="4">
        <f>SUM(F11:I11)</f>
        <v>3475</v>
      </c>
      <c r="K11" s="4">
        <f>J11*0.0909</f>
        <v>315.8775</v>
      </c>
      <c r="L11" s="4">
        <f>SUM(J11:K11)</f>
        <v>3790.8775000000001</v>
      </c>
      <c r="M11" s="4">
        <f>J11*0.05</f>
        <v>173.75</v>
      </c>
      <c r="N11" s="4">
        <f>J11-M11</f>
        <v>3301.25</v>
      </c>
      <c r="O11" s="4">
        <v>1000</v>
      </c>
      <c r="P11" s="4">
        <f>(J12-3260)*0.03</f>
        <v>6.45</v>
      </c>
      <c r="Q11" s="4">
        <v>390.7</v>
      </c>
      <c r="R11" s="4">
        <f>N11-O11-P11-Q11</f>
        <v>1904.1000000000001</v>
      </c>
    </row>
    <row r="12" spans="2:18" ht="16.5" customHeight="1" x14ac:dyDescent="0.25">
      <c r="F12" s="18">
        <f>SUM(F11:F11)</f>
        <v>3475</v>
      </c>
      <c r="G12" s="18"/>
      <c r="H12" s="18"/>
      <c r="I12" s="18"/>
      <c r="J12" s="18">
        <f>SUM(J11:J11)</f>
        <v>3475</v>
      </c>
      <c r="K12" s="18">
        <f>SUM(K11:K11)</f>
        <v>315.8775</v>
      </c>
      <c r="L12" s="18">
        <f>SUM(L11:L11)</f>
        <v>3790.8775000000001</v>
      </c>
      <c r="M12" s="18">
        <f>SUM(M11:M11)</f>
        <v>173.75</v>
      </c>
      <c r="N12" s="18">
        <f>SUM(N11:N11)</f>
        <v>3301.25</v>
      </c>
      <c r="O12" s="18">
        <f t="shared" ref="O12:R12" si="0">SUM(O11:O11)</f>
        <v>1000</v>
      </c>
      <c r="P12" s="18">
        <f t="shared" si="0"/>
        <v>6.45</v>
      </c>
      <c r="Q12" s="18">
        <f t="shared" si="0"/>
        <v>390.7</v>
      </c>
      <c r="R12" s="18">
        <f t="shared" si="0"/>
        <v>1904.1000000000001</v>
      </c>
    </row>
    <row r="13" spans="2:18" ht="1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5" t="s">
        <v>17</v>
      </c>
      <c r="O13" s="55"/>
      <c r="P13" s="55"/>
      <c r="Q13" s="55"/>
      <c r="R13" s="55"/>
    </row>
    <row r="14" spans="2:18" ht="8.25" customHeight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ht="16.5" customHeight="1" x14ac:dyDescent="0.25">
      <c r="B15" t="s">
        <v>146</v>
      </c>
      <c r="F15" t="s">
        <v>147</v>
      </c>
    </row>
    <row r="16" spans="2:18" ht="15.75" customHeight="1" x14ac:dyDescent="0.25">
      <c r="B16" t="s">
        <v>37</v>
      </c>
      <c r="D16" s="39">
        <v>20</v>
      </c>
      <c r="E16" s="34">
        <v>158.83000000000001</v>
      </c>
      <c r="F16" s="4">
        <v>3675</v>
      </c>
      <c r="G16" s="4"/>
      <c r="H16" s="4"/>
      <c r="I16" s="4"/>
      <c r="J16" s="4">
        <f>SUM(F16:I16)</f>
        <v>3675</v>
      </c>
      <c r="K16" s="4">
        <f>J16*0.0909</f>
        <v>334.0575</v>
      </c>
      <c r="L16" s="4">
        <f>SUM(J16:K16)</f>
        <v>4009.0574999999999</v>
      </c>
      <c r="M16" s="4">
        <f>J16*0.05</f>
        <v>183.75</v>
      </c>
      <c r="N16" s="4">
        <f>J16-M16</f>
        <v>3491.25</v>
      </c>
      <c r="O16" s="4">
        <v>1000</v>
      </c>
      <c r="P16" s="4">
        <f>(J17-3260)*0.03</f>
        <v>12.45</v>
      </c>
      <c r="Q16" s="4">
        <v>22.7</v>
      </c>
      <c r="R16" s="4">
        <f>N16-O16-P16-Q16</f>
        <v>2456.1000000000004</v>
      </c>
    </row>
    <row r="17" spans="2:21" ht="16.5" customHeight="1" x14ac:dyDescent="0.25">
      <c r="F17" s="18">
        <f>SUM(F16:F16)</f>
        <v>3675</v>
      </c>
      <c r="G17" s="18"/>
      <c r="H17" s="18"/>
      <c r="I17" s="18"/>
      <c r="J17" s="18">
        <f t="shared" ref="J17:R17" si="1">SUM(J16:J16)</f>
        <v>3675</v>
      </c>
      <c r="K17" s="18">
        <f t="shared" si="1"/>
        <v>334.0575</v>
      </c>
      <c r="L17" s="18">
        <f t="shared" si="1"/>
        <v>4009.0574999999999</v>
      </c>
      <c r="M17" s="18">
        <f t="shared" si="1"/>
        <v>183.75</v>
      </c>
      <c r="N17" s="18">
        <f t="shared" si="1"/>
        <v>3491.25</v>
      </c>
      <c r="O17" s="18">
        <f t="shared" si="1"/>
        <v>1000</v>
      </c>
      <c r="P17" s="18">
        <f t="shared" si="1"/>
        <v>12.45</v>
      </c>
      <c r="Q17" s="18">
        <f t="shared" si="1"/>
        <v>22.7</v>
      </c>
      <c r="R17" s="18">
        <f t="shared" si="1"/>
        <v>2456.1000000000004</v>
      </c>
    </row>
    <row r="18" spans="2:21" ht="16.5" customHeight="1" x14ac:dyDescent="0.25">
      <c r="B18" s="2"/>
      <c r="C18" s="2"/>
      <c r="D18" s="2"/>
      <c r="E18" s="2"/>
      <c r="F18" s="2"/>
      <c r="G18" s="2"/>
      <c r="H18" s="10"/>
      <c r="I18" s="10"/>
      <c r="J18" s="2"/>
      <c r="K18" s="2"/>
      <c r="L18" s="2"/>
      <c r="M18" s="2"/>
      <c r="N18" s="55" t="s">
        <v>17</v>
      </c>
      <c r="O18" s="55"/>
      <c r="P18" s="55"/>
      <c r="Q18" s="55"/>
      <c r="R18" s="55"/>
    </row>
    <row r="19" spans="2:21" ht="8.25" customHeight="1" thickBot="1" x14ac:dyDescent="0.3">
      <c r="B19" s="9"/>
      <c r="C19" s="9"/>
      <c r="D19" s="9"/>
      <c r="E19" s="9"/>
      <c r="F19" s="9"/>
      <c r="G19" s="9"/>
      <c r="H19" s="20"/>
      <c r="I19" s="20"/>
      <c r="J19" s="9"/>
      <c r="K19" s="9"/>
      <c r="L19" s="9"/>
      <c r="M19" s="9"/>
      <c r="N19" s="9"/>
      <c r="O19" s="9"/>
      <c r="P19" s="9"/>
      <c r="Q19" s="9"/>
      <c r="R19" s="9"/>
    </row>
    <row r="20" spans="2:21" ht="14.25" customHeight="1" x14ac:dyDescent="0.25">
      <c r="B20" t="s">
        <v>148</v>
      </c>
      <c r="F20" t="s">
        <v>149</v>
      </c>
      <c r="H20" s="39"/>
      <c r="I20" s="39"/>
    </row>
    <row r="21" spans="2:21" ht="16.5" customHeight="1" x14ac:dyDescent="0.25">
      <c r="B21" t="s">
        <v>37</v>
      </c>
      <c r="D21" s="39">
        <v>15</v>
      </c>
      <c r="E21" s="4">
        <v>119.13</v>
      </c>
      <c r="F21" s="23">
        <v>2631.25</v>
      </c>
      <c r="G21" s="23"/>
      <c r="H21" s="23"/>
      <c r="I21" s="23"/>
      <c r="J21" s="4">
        <f>SUM(F21:I21)</f>
        <v>2631.25</v>
      </c>
      <c r="K21" s="4">
        <f>J21*0.0909</f>
        <v>239.18062499999999</v>
      </c>
      <c r="L21" s="4">
        <f>SUM(J21:K21)</f>
        <v>2870.430625</v>
      </c>
      <c r="M21" s="4">
        <f>J21*0.05</f>
        <v>131.5625</v>
      </c>
      <c r="N21" s="4">
        <f>J21-M21</f>
        <v>2499.6875</v>
      </c>
      <c r="O21" s="4">
        <v>1000</v>
      </c>
      <c r="P21" s="4"/>
      <c r="Q21" s="4"/>
      <c r="R21" s="4">
        <f>N21-O21-P21-Q21</f>
        <v>1499.6875</v>
      </c>
    </row>
    <row r="22" spans="2:21" ht="19.5" customHeight="1" x14ac:dyDescent="0.25">
      <c r="D22" s="39"/>
      <c r="E22" s="39"/>
      <c r="F22" s="18">
        <f>SUM(F21:F21)</f>
        <v>2631.25</v>
      </c>
      <c r="G22" s="18"/>
      <c r="H22" s="18"/>
      <c r="I22" s="18"/>
      <c r="J22" s="18">
        <f t="shared" ref="J22:R22" si="2">SUM(J21:J21)</f>
        <v>2631.25</v>
      </c>
      <c r="K22" s="18">
        <f t="shared" si="2"/>
        <v>239.18062499999999</v>
      </c>
      <c r="L22" s="18">
        <f t="shared" si="2"/>
        <v>2870.430625</v>
      </c>
      <c r="M22" s="18">
        <f t="shared" si="2"/>
        <v>131.5625</v>
      </c>
      <c r="N22" s="18">
        <f t="shared" si="2"/>
        <v>2499.6875</v>
      </c>
      <c r="O22" s="18">
        <f t="shared" si="2"/>
        <v>1000</v>
      </c>
      <c r="P22" s="18"/>
      <c r="Q22" s="18"/>
      <c r="R22" s="18">
        <f t="shared" si="2"/>
        <v>1499.6875</v>
      </c>
    </row>
    <row r="23" spans="2:21" ht="18.75" customHeight="1" x14ac:dyDescent="0.25">
      <c r="N23" s="55" t="s">
        <v>17</v>
      </c>
      <c r="O23" s="55"/>
      <c r="P23" s="55"/>
      <c r="Q23" s="55"/>
      <c r="R23" s="55"/>
    </row>
    <row r="24" spans="2:21" ht="9.75" customHeight="1" thickBot="1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21" ht="4.5" customHeight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2"/>
      <c r="O25" s="2"/>
      <c r="P25" s="2"/>
      <c r="Q25" s="2"/>
      <c r="R25" s="2"/>
    </row>
    <row r="26" spans="2:21" ht="18.75" customHeight="1" x14ac:dyDescent="0.25">
      <c r="B26" s="13" t="s">
        <v>16</v>
      </c>
      <c r="F26" s="15">
        <f>F12+F17+F22</f>
        <v>9781.25</v>
      </c>
      <c r="G26" s="15"/>
      <c r="H26" s="15"/>
      <c r="I26" s="15"/>
      <c r="J26" s="15">
        <f t="shared" ref="J26:Q26" si="3">J12+J17+J22</f>
        <v>9781.25</v>
      </c>
      <c r="K26" s="15">
        <f t="shared" si="3"/>
        <v>889.11562499999991</v>
      </c>
      <c r="L26" s="15">
        <f t="shared" si="3"/>
        <v>10670.365624999999</v>
      </c>
      <c r="M26" s="15">
        <f t="shared" si="3"/>
        <v>489.0625</v>
      </c>
      <c r="N26" s="15">
        <f t="shared" si="3"/>
        <v>9292.1875</v>
      </c>
      <c r="O26" s="15">
        <f t="shared" si="3"/>
        <v>3000</v>
      </c>
      <c r="P26" s="15">
        <f t="shared" si="3"/>
        <v>18.899999999999999</v>
      </c>
      <c r="Q26" s="15">
        <f t="shared" si="3"/>
        <v>413.4</v>
      </c>
      <c r="R26" s="15">
        <f>R12+R17+R22</f>
        <v>5859.8875000000007</v>
      </c>
    </row>
    <row r="27" spans="2:21" ht="18.75" customHeight="1" x14ac:dyDescent="0.25">
      <c r="B27" s="1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T27" s="35">
        <f>J12+J17-6520</f>
        <v>630</v>
      </c>
      <c r="U27">
        <f>T27*0.03</f>
        <v>18.899999999999999</v>
      </c>
    </row>
    <row r="28" spans="2:21" ht="12.75" customHeight="1" x14ac:dyDescent="0.25">
      <c r="B28" s="8" t="s">
        <v>20</v>
      </c>
      <c r="C28" s="26"/>
      <c r="D28" s="26"/>
      <c r="E28" s="26"/>
      <c r="F28" s="26"/>
      <c r="L28" s="1" t="s">
        <v>23</v>
      </c>
    </row>
    <row r="29" spans="2:21" x14ac:dyDescent="0.25">
      <c r="C29" s="49" t="s">
        <v>21</v>
      </c>
      <c r="D29" s="49"/>
      <c r="E29" s="49"/>
      <c r="M29" s="49" t="s">
        <v>24</v>
      </c>
      <c r="N29" s="49"/>
      <c r="O29" s="49"/>
      <c r="P29" s="39"/>
      <c r="Q29" s="39"/>
    </row>
    <row r="30" spans="2:21" ht="14.25" customHeight="1" x14ac:dyDescent="0.25">
      <c r="B30" s="1" t="s">
        <v>26</v>
      </c>
      <c r="L30" s="1" t="s">
        <v>27</v>
      </c>
    </row>
    <row r="31" spans="2:21" x14ac:dyDescent="0.25">
      <c r="C31" s="52" t="s">
        <v>22</v>
      </c>
      <c r="D31" s="52"/>
      <c r="E31" s="52"/>
      <c r="F31" s="52"/>
      <c r="N31" s="52" t="s">
        <v>25</v>
      </c>
      <c r="O31" s="52"/>
      <c r="P31" s="52"/>
      <c r="Q31" s="52"/>
      <c r="R31" s="52"/>
    </row>
  </sheetData>
  <mergeCells count="13">
    <mergeCell ref="B8:C8"/>
    <mergeCell ref="J2:N2"/>
    <mergeCell ref="K3:L3"/>
    <mergeCell ref="E5:F5"/>
    <mergeCell ref="J5:M5"/>
    <mergeCell ref="N5:R5"/>
    <mergeCell ref="C31:F31"/>
    <mergeCell ref="N31:R31"/>
    <mergeCell ref="N13:R13"/>
    <mergeCell ref="N18:R18"/>
    <mergeCell ref="N23:R23"/>
    <mergeCell ref="C29:E29"/>
    <mergeCell ref="M29:O29"/>
  </mergeCells>
  <pageMargins left="0.59055118110236227" right="0.15748031496062992" top="0.15748031496062992" bottom="0.15748031496062992" header="0.15748031496062992" footer="0.15748031496062992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3"/>
  <sheetViews>
    <sheetView zoomScaleNormal="100" workbookViewId="0">
      <selection activeCell="B2" sqref="B2:R33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8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33" t="s">
        <v>18</v>
      </c>
    </row>
    <row r="3" spans="2:18" ht="12" customHeight="1" x14ac:dyDescent="0.4">
      <c r="B3" s="6"/>
      <c r="K3" s="50" t="s">
        <v>15</v>
      </c>
      <c r="L3" s="50"/>
    </row>
    <row r="4" spans="2:18" x14ac:dyDescent="0.25">
      <c r="B4" s="51" t="s">
        <v>61</v>
      </c>
      <c r="C4" s="51"/>
      <c r="D4" s="51"/>
      <c r="E4" s="51"/>
      <c r="F4" s="51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8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8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53" t="s">
        <v>2</v>
      </c>
      <c r="C8" s="53"/>
      <c r="D8" s="32" t="s">
        <v>3</v>
      </c>
      <c r="E8" s="32" t="s">
        <v>4</v>
      </c>
      <c r="F8" s="32" t="s">
        <v>5</v>
      </c>
      <c r="G8" s="32" t="s">
        <v>29</v>
      </c>
      <c r="H8" s="32" t="s">
        <v>6</v>
      </c>
      <c r="I8" s="32" t="s">
        <v>33</v>
      </c>
      <c r="J8" s="32" t="s">
        <v>7</v>
      </c>
      <c r="K8" s="32">
        <v>9.09</v>
      </c>
      <c r="L8" s="32" t="s">
        <v>7</v>
      </c>
      <c r="M8" s="30">
        <v>0.05</v>
      </c>
      <c r="N8" s="32" t="s">
        <v>7</v>
      </c>
      <c r="O8" s="32" t="s">
        <v>30</v>
      </c>
      <c r="P8" s="32" t="s">
        <v>32</v>
      </c>
      <c r="Q8" s="32" t="s">
        <v>31</v>
      </c>
      <c r="R8" s="32" t="s">
        <v>0</v>
      </c>
    </row>
    <row r="9" spans="2:18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8" ht="17.25" customHeight="1" x14ac:dyDescent="0.25">
      <c r="B10" t="s">
        <v>46</v>
      </c>
      <c r="F10" t="s">
        <v>47</v>
      </c>
      <c r="H10" s="4"/>
      <c r="I10" s="4"/>
    </row>
    <row r="11" spans="2:18" ht="16.5" customHeight="1" x14ac:dyDescent="0.25">
      <c r="B11" t="s">
        <v>37</v>
      </c>
      <c r="D11" s="39">
        <v>5</v>
      </c>
      <c r="E11" s="47">
        <v>39.708350000000003</v>
      </c>
      <c r="F11" s="4">
        <v>1210.42</v>
      </c>
      <c r="G11" s="4"/>
      <c r="H11" s="4"/>
      <c r="I11" s="4"/>
      <c r="J11" s="4">
        <f>F11+G11+H11+I11</f>
        <v>1210.42</v>
      </c>
      <c r="K11" s="4">
        <f>J11*0.0909</f>
        <v>110.02717800000001</v>
      </c>
      <c r="L11" s="4">
        <f>SUM(J11:K11)</f>
        <v>1320.4471780000001</v>
      </c>
      <c r="M11" s="4">
        <f>J11*0.05</f>
        <v>60.521000000000008</v>
      </c>
      <c r="N11" s="4">
        <f>J11-M11</f>
        <v>1149.8990000000001</v>
      </c>
      <c r="O11" s="4">
        <v>1000</v>
      </c>
      <c r="P11" s="4"/>
      <c r="Q11" s="4">
        <v>22.7</v>
      </c>
      <c r="R11" s="4">
        <f>N11-O11-P11-Q11</f>
        <v>127.19900000000011</v>
      </c>
    </row>
    <row r="12" spans="2:18" ht="16.5" customHeight="1" x14ac:dyDescent="0.25">
      <c r="D12" s="39"/>
      <c r="E12" s="39"/>
      <c r="F12" s="18">
        <f>SUM(F11:F11)</f>
        <v>1210.42</v>
      </c>
      <c r="G12" s="18"/>
      <c r="H12" s="18"/>
      <c r="I12" s="18"/>
      <c r="J12" s="18">
        <f>SUM(J11:J11)</f>
        <v>1210.42</v>
      </c>
      <c r="K12" s="18">
        <f>SUM(K11:K11)</f>
        <v>110.02717800000001</v>
      </c>
      <c r="L12" s="18">
        <f>SUM(L11:L11)</f>
        <v>1320.4471780000001</v>
      </c>
      <c r="M12" s="18">
        <f>SUM(M11:M11)</f>
        <v>60.521000000000008</v>
      </c>
      <c r="N12" s="18">
        <f>SUM(N11:N11)</f>
        <v>1149.8990000000001</v>
      </c>
      <c r="O12" s="18">
        <f t="shared" ref="O12:R12" si="0">SUM(O11:O11)</f>
        <v>1000</v>
      </c>
      <c r="P12" s="18"/>
      <c r="Q12" s="18">
        <f t="shared" si="0"/>
        <v>22.7</v>
      </c>
      <c r="R12" s="18">
        <f t="shared" si="0"/>
        <v>127.19900000000011</v>
      </c>
    </row>
    <row r="13" spans="2:18" ht="15" customHeight="1" x14ac:dyDescent="0.25">
      <c r="B13" s="2"/>
      <c r="C13" s="2"/>
      <c r="D13" s="10"/>
      <c r="E13" s="10"/>
      <c r="F13" s="2"/>
      <c r="G13" s="2"/>
      <c r="H13" s="2"/>
      <c r="I13" s="2"/>
      <c r="J13" s="2"/>
      <c r="K13" s="2"/>
      <c r="L13" s="2"/>
      <c r="M13" s="2"/>
      <c r="N13" s="55" t="s">
        <v>17</v>
      </c>
      <c r="O13" s="55"/>
      <c r="P13" s="55"/>
      <c r="Q13" s="55"/>
      <c r="R13" s="55"/>
    </row>
    <row r="14" spans="2:18" ht="8.25" customHeight="1" thickBot="1" x14ac:dyDescent="0.3">
      <c r="B14" s="9"/>
      <c r="C14" s="9"/>
      <c r="D14" s="20"/>
      <c r="E14" s="2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ht="16.5" customHeight="1" x14ac:dyDescent="0.25">
      <c r="B15" t="s">
        <v>50</v>
      </c>
      <c r="D15" s="39"/>
      <c r="E15" s="39"/>
      <c r="F15" t="s">
        <v>51</v>
      </c>
    </row>
    <row r="16" spans="2:18" ht="15.75" customHeight="1" x14ac:dyDescent="0.25">
      <c r="B16" t="s">
        <v>37</v>
      </c>
      <c r="D16" s="39">
        <v>23</v>
      </c>
      <c r="E16" s="47">
        <v>182.65841</v>
      </c>
      <c r="F16" s="4">
        <v>4226.25</v>
      </c>
      <c r="G16" s="4"/>
      <c r="H16" s="4"/>
      <c r="I16" s="4"/>
      <c r="J16" s="4">
        <f>F16+G16+H16+I16</f>
        <v>4226.25</v>
      </c>
      <c r="K16" s="4">
        <f>J16*0.0909</f>
        <v>384.16612499999997</v>
      </c>
      <c r="L16" s="4">
        <f>SUM(J16:K16)</f>
        <v>4610.4161249999997</v>
      </c>
      <c r="M16" s="4">
        <f>J16*0.05</f>
        <v>211.3125</v>
      </c>
      <c r="N16" s="4">
        <f>J16-M16</f>
        <v>4014.9375</v>
      </c>
      <c r="O16" s="4">
        <v>1000</v>
      </c>
      <c r="P16" s="4">
        <f>(J18-3260)*0.03</f>
        <v>30.647099999999991</v>
      </c>
      <c r="Q16" s="4"/>
      <c r="R16" s="4">
        <f>N16-O16-P16-Q16</f>
        <v>2984.2903999999999</v>
      </c>
    </row>
    <row r="17" spans="2:20" ht="15.75" customHeight="1" x14ac:dyDescent="0.25">
      <c r="B17" t="s">
        <v>49</v>
      </c>
      <c r="D17" s="39">
        <v>1</v>
      </c>
      <c r="E17" s="47"/>
      <c r="F17" s="4">
        <v>55.32</v>
      </c>
      <c r="G17" s="4"/>
      <c r="H17" s="4"/>
      <c r="I17" s="4"/>
      <c r="J17" s="4">
        <f>F17+G17+H17+I17</f>
        <v>55.32</v>
      </c>
      <c r="K17" s="4"/>
      <c r="L17" s="4">
        <f>SUM(J17:K17)</f>
        <v>55.32</v>
      </c>
      <c r="M17" s="4">
        <f>J17*0.05</f>
        <v>2.766</v>
      </c>
      <c r="N17" s="4">
        <f>J17-M17</f>
        <v>52.554000000000002</v>
      </c>
      <c r="O17" s="4"/>
      <c r="P17" s="4"/>
      <c r="Q17" s="4"/>
      <c r="R17" s="4">
        <f>N17-O17-P17-Q17</f>
        <v>52.554000000000002</v>
      </c>
    </row>
    <row r="18" spans="2:20" ht="16.5" customHeight="1" x14ac:dyDescent="0.25">
      <c r="D18" s="39"/>
      <c r="E18" s="39"/>
      <c r="F18" s="18">
        <f>SUM(F16:F17)</f>
        <v>4281.57</v>
      </c>
      <c r="G18" s="18"/>
      <c r="H18" s="18"/>
      <c r="I18" s="18"/>
      <c r="J18" s="18">
        <f t="shared" ref="J18:R18" si="1">SUM(J16:J17)</f>
        <v>4281.57</v>
      </c>
      <c r="K18" s="18">
        <f t="shared" si="1"/>
        <v>384.16612499999997</v>
      </c>
      <c r="L18" s="18">
        <f t="shared" si="1"/>
        <v>4665.7361249999994</v>
      </c>
      <c r="M18" s="18">
        <f t="shared" si="1"/>
        <v>214.07849999999999</v>
      </c>
      <c r="N18" s="18">
        <f t="shared" si="1"/>
        <v>4067.4915000000001</v>
      </c>
      <c r="O18" s="18">
        <f t="shared" si="1"/>
        <v>1000</v>
      </c>
      <c r="P18" s="18">
        <f t="shared" si="1"/>
        <v>30.647099999999991</v>
      </c>
      <c r="Q18" s="18"/>
      <c r="R18" s="18">
        <f t="shared" si="1"/>
        <v>3036.8444</v>
      </c>
    </row>
    <row r="19" spans="2:20" ht="16.5" customHeight="1" x14ac:dyDescent="0.25">
      <c r="B19" s="2"/>
      <c r="C19" s="2"/>
      <c r="D19" s="10"/>
      <c r="E19" s="10"/>
      <c r="F19" s="2"/>
      <c r="G19" s="2"/>
      <c r="H19" s="10"/>
      <c r="I19" s="10"/>
      <c r="J19" s="2"/>
      <c r="K19" s="2"/>
      <c r="L19" s="2"/>
      <c r="M19" s="2"/>
      <c r="N19" s="55" t="s">
        <v>17</v>
      </c>
      <c r="O19" s="55"/>
      <c r="P19" s="55"/>
      <c r="Q19" s="55"/>
      <c r="R19" s="55"/>
    </row>
    <row r="20" spans="2:20" ht="8.25" customHeight="1" thickBot="1" x14ac:dyDescent="0.3">
      <c r="B20" s="9"/>
      <c r="C20" s="9"/>
      <c r="D20" s="20"/>
      <c r="E20" s="20"/>
      <c r="F20" s="9"/>
      <c r="G20" s="9"/>
      <c r="H20" s="20"/>
      <c r="I20" s="20"/>
      <c r="J20" s="9"/>
      <c r="K20" s="9"/>
      <c r="L20" s="9"/>
      <c r="M20" s="9"/>
      <c r="N20" s="9"/>
      <c r="O20" s="9"/>
      <c r="P20" s="9"/>
      <c r="Q20" s="9"/>
      <c r="R20" s="9"/>
    </row>
    <row r="21" spans="2:20" ht="16.5" customHeight="1" x14ac:dyDescent="0.25">
      <c r="B21" t="s">
        <v>62</v>
      </c>
      <c r="D21" s="39"/>
      <c r="E21" s="39"/>
      <c r="F21" t="s">
        <v>63</v>
      </c>
      <c r="H21" s="31"/>
      <c r="I21" s="31"/>
    </row>
    <row r="22" spans="2:20" ht="16.5" customHeight="1" x14ac:dyDescent="0.25">
      <c r="B22" t="s">
        <v>64</v>
      </c>
      <c r="D22" s="39">
        <v>20</v>
      </c>
      <c r="E22" s="4">
        <v>158.6</v>
      </c>
      <c r="F22" s="23">
        <v>2205</v>
      </c>
      <c r="G22" s="23"/>
      <c r="H22" s="23"/>
      <c r="I22" s="23"/>
      <c r="J22" s="4">
        <f>F22+G22+H22+I22</f>
        <v>2205</v>
      </c>
      <c r="K22" s="4"/>
      <c r="L22" s="4">
        <f>SUM(J22:K22)</f>
        <v>2205</v>
      </c>
      <c r="M22" s="4"/>
      <c r="N22" s="4">
        <f>J22-M22</f>
        <v>2205</v>
      </c>
      <c r="O22" s="4">
        <v>1000</v>
      </c>
      <c r="P22" s="4"/>
      <c r="Q22" s="4">
        <v>249</v>
      </c>
      <c r="R22" s="4">
        <f>N22-O22-P22-Q22</f>
        <v>956</v>
      </c>
    </row>
    <row r="23" spans="2:20" ht="16.5" customHeight="1" x14ac:dyDescent="0.25">
      <c r="B23" t="s">
        <v>65</v>
      </c>
      <c r="D23" s="49" t="s">
        <v>66</v>
      </c>
      <c r="E23" s="49"/>
      <c r="F23" s="23">
        <v>6615</v>
      </c>
      <c r="G23" s="23"/>
      <c r="H23" s="23"/>
      <c r="I23" s="23"/>
      <c r="J23" s="4">
        <f>F23+G23+H23+I23</f>
        <v>6615</v>
      </c>
      <c r="K23" s="4">
        <f>J23*0.0909</f>
        <v>601.30349999999999</v>
      </c>
      <c r="L23" s="4">
        <f>SUM(J23:K23)</f>
        <v>7216.3035</v>
      </c>
      <c r="M23" s="4"/>
      <c r="N23" s="4">
        <f>J23-M23</f>
        <v>6615</v>
      </c>
      <c r="O23" s="4"/>
      <c r="P23" s="4"/>
      <c r="Q23" s="4"/>
      <c r="R23" s="4">
        <f>N23-O23-P23-Q23</f>
        <v>6615</v>
      </c>
    </row>
    <row r="24" spans="2:20" ht="19.5" customHeight="1" x14ac:dyDescent="0.25">
      <c r="D24" s="31"/>
      <c r="E24" s="31"/>
      <c r="F24" s="18">
        <f>SUM(F22:F23)</f>
        <v>8820</v>
      </c>
      <c r="G24" s="18"/>
      <c r="H24" s="18"/>
      <c r="I24" s="18"/>
      <c r="J24" s="18">
        <f t="shared" ref="J24:R24" si="2">SUM(J22:J23)</f>
        <v>8820</v>
      </c>
      <c r="K24" s="18">
        <f t="shared" si="2"/>
        <v>601.30349999999999</v>
      </c>
      <c r="L24" s="18">
        <f t="shared" si="2"/>
        <v>9421.3035</v>
      </c>
      <c r="M24" s="18"/>
      <c r="N24" s="18">
        <f t="shared" si="2"/>
        <v>8820</v>
      </c>
      <c r="O24" s="18">
        <f t="shared" si="2"/>
        <v>1000</v>
      </c>
      <c r="P24" s="18"/>
      <c r="Q24" s="18">
        <f t="shared" si="2"/>
        <v>249</v>
      </c>
      <c r="R24" s="18">
        <f t="shared" si="2"/>
        <v>7571</v>
      </c>
    </row>
    <row r="25" spans="2:20" ht="15" customHeight="1" x14ac:dyDescent="0.25">
      <c r="N25" s="55" t="s">
        <v>17</v>
      </c>
      <c r="O25" s="55"/>
      <c r="P25" s="55"/>
      <c r="Q25" s="55"/>
      <c r="R25" s="55"/>
    </row>
    <row r="26" spans="2:20" ht="9.75" customHeight="1" thickBot="1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20" ht="12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2"/>
      <c r="O27" s="2"/>
      <c r="P27" s="2"/>
      <c r="Q27" s="2"/>
      <c r="R27" s="2"/>
    </row>
    <row r="28" spans="2:20" ht="18.75" customHeight="1" x14ac:dyDescent="0.25">
      <c r="B28" s="13" t="s">
        <v>16</v>
      </c>
      <c r="F28" s="15">
        <f>F12+F18+F24</f>
        <v>14311.99</v>
      </c>
      <c r="G28" s="15"/>
      <c r="H28" s="15"/>
      <c r="I28" s="15"/>
      <c r="J28" s="15">
        <f t="shared" ref="J28:R28" si="3">J12+J18+J24</f>
        <v>14311.99</v>
      </c>
      <c r="K28" s="15">
        <f t="shared" si="3"/>
        <v>1095.496803</v>
      </c>
      <c r="L28" s="15">
        <f t="shared" si="3"/>
        <v>15407.486803</v>
      </c>
      <c r="M28" s="15">
        <f t="shared" si="3"/>
        <v>274.59949999999998</v>
      </c>
      <c r="N28" s="15">
        <f t="shared" si="3"/>
        <v>14037.390500000001</v>
      </c>
      <c r="O28" s="15">
        <f t="shared" si="3"/>
        <v>3000</v>
      </c>
      <c r="P28" s="15">
        <f t="shared" si="3"/>
        <v>30.647099999999991</v>
      </c>
      <c r="Q28" s="15">
        <f t="shared" si="3"/>
        <v>271.7</v>
      </c>
      <c r="R28" s="15">
        <f t="shared" si="3"/>
        <v>10735.0434</v>
      </c>
    </row>
    <row r="29" spans="2:20" ht="18.75" customHeight="1" x14ac:dyDescent="0.25">
      <c r="B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2:20" ht="12.75" customHeight="1" x14ac:dyDescent="0.25">
      <c r="B30" s="8" t="s">
        <v>20</v>
      </c>
      <c r="C30" s="26"/>
      <c r="D30" s="26"/>
      <c r="E30" s="26"/>
      <c r="F30" s="26"/>
      <c r="L30" s="1" t="s">
        <v>23</v>
      </c>
      <c r="S30" s="35">
        <f>J18-3260</f>
        <v>1021.5699999999997</v>
      </c>
      <c r="T30" s="4">
        <f>S30*0.03</f>
        <v>30.647099999999991</v>
      </c>
    </row>
    <row r="31" spans="2:20" x14ac:dyDescent="0.25">
      <c r="C31" s="49" t="s">
        <v>21</v>
      </c>
      <c r="D31" s="49"/>
      <c r="E31" s="49"/>
      <c r="M31" s="49" t="s">
        <v>24</v>
      </c>
      <c r="N31" s="49"/>
      <c r="O31" s="49"/>
      <c r="P31" s="31"/>
      <c r="Q31" s="31"/>
    </row>
    <row r="32" spans="2:20" ht="14.25" customHeight="1" x14ac:dyDescent="0.25">
      <c r="B32" s="1" t="s">
        <v>26</v>
      </c>
      <c r="L32" s="1" t="s">
        <v>27</v>
      </c>
    </row>
    <row r="33" spans="3:18" x14ac:dyDescent="0.25">
      <c r="C33" s="52" t="s">
        <v>22</v>
      </c>
      <c r="D33" s="52"/>
      <c r="E33" s="52"/>
      <c r="F33" s="52"/>
      <c r="N33" s="52" t="s">
        <v>25</v>
      </c>
      <c r="O33" s="52"/>
      <c r="P33" s="52"/>
      <c r="Q33" s="52"/>
      <c r="R33" s="52"/>
    </row>
  </sheetData>
  <mergeCells count="15">
    <mergeCell ref="J2:N2"/>
    <mergeCell ref="K3:L3"/>
    <mergeCell ref="B4:F4"/>
    <mergeCell ref="E5:F5"/>
    <mergeCell ref="J5:M5"/>
    <mergeCell ref="N5:R5"/>
    <mergeCell ref="C33:F33"/>
    <mergeCell ref="N33:R33"/>
    <mergeCell ref="D23:E23"/>
    <mergeCell ref="B8:C8"/>
    <mergeCell ref="N13:R13"/>
    <mergeCell ref="N19:R19"/>
    <mergeCell ref="N25:R25"/>
    <mergeCell ref="C31:E31"/>
    <mergeCell ref="M31:O31"/>
  </mergeCells>
  <pageMargins left="0.59055118110236227" right="0.15748031496062992" top="0.15748031496062992" bottom="0.15748031496062992" header="0.15748031496062992" footer="0.15748031496062992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zoomScaleNormal="100" workbookViewId="0">
      <selection activeCell="B2" sqref="B2:R41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8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33" t="s">
        <v>18</v>
      </c>
    </row>
    <row r="3" spans="2:18" ht="12" customHeight="1" x14ac:dyDescent="0.4">
      <c r="B3" s="6"/>
      <c r="K3" s="50" t="s">
        <v>15</v>
      </c>
      <c r="L3" s="50"/>
    </row>
    <row r="4" spans="2:18" x14ac:dyDescent="0.25">
      <c r="B4" s="8" t="s">
        <v>67</v>
      </c>
      <c r="C4" s="8"/>
      <c r="D4" s="8"/>
      <c r="E4" s="8"/>
      <c r="F4" s="8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8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8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53" t="s">
        <v>2</v>
      </c>
      <c r="C8" s="53"/>
      <c r="D8" s="32" t="s">
        <v>3</v>
      </c>
      <c r="E8" s="32" t="s">
        <v>4</v>
      </c>
      <c r="F8" s="32" t="s">
        <v>5</v>
      </c>
      <c r="G8" s="32" t="s">
        <v>29</v>
      </c>
      <c r="H8" s="32" t="s">
        <v>6</v>
      </c>
      <c r="I8" s="32" t="s">
        <v>33</v>
      </c>
      <c r="J8" s="32" t="s">
        <v>7</v>
      </c>
      <c r="K8" s="32">
        <v>9.09</v>
      </c>
      <c r="L8" s="32" t="s">
        <v>7</v>
      </c>
      <c r="M8" s="30">
        <v>0.05</v>
      </c>
      <c r="N8" s="32" t="s">
        <v>7</v>
      </c>
      <c r="O8" s="32" t="s">
        <v>30</v>
      </c>
      <c r="P8" s="32" t="s">
        <v>32</v>
      </c>
      <c r="Q8" s="32" t="s">
        <v>31</v>
      </c>
      <c r="R8" s="32" t="s">
        <v>0</v>
      </c>
    </row>
    <row r="9" spans="2:18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8" ht="17.25" customHeight="1" x14ac:dyDescent="0.25">
      <c r="B10" t="s">
        <v>52</v>
      </c>
      <c r="F10" t="s">
        <v>53</v>
      </c>
      <c r="H10" s="4"/>
      <c r="I10" s="4"/>
    </row>
    <row r="11" spans="2:18" ht="16.5" customHeight="1" x14ac:dyDescent="0.25">
      <c r="B11" t="s">
        <v>37</v>
      </c>
      <c r="D11">
        <v>14</v>
      </c>
      <c r="E11" s="34">
        <v>111.18338</v>
      </c>
      <c r="F11" s="4">
        <v>3389.17</v>
      </c>
      <c r="G11" s="4">
        <v>256.67</v>
      </c>
      <c r="H11" s="4"/>
      <c r="I11" s="4"/>
      <c r="J11" s="4">
        <f>SUM(F11:I11)</f>
        <v>3645.84</v>
      </c>
      <c r="K11" s="4">
        <f>J11*0.0909</f>
        <v>331.406856</v>
      </c>
      <c r="L11" s="4">
        <f>SUM(J11:K11)</f>
        <v>3977.2468560000002</v>
      </c>
      <c r="M11" s="4">
        <f>J11*0.05</f>
        <v>182.29200000000003</v>
      </c>
      <c r="N11" s="4">
        <f>J11-M11</f>
        <v>3463.5480000000002</v>
      </c>
      <c r="O11" s="4">
        <v>1000</v>
      </c>
      <c r="P11" s="4">
        <f>(J11-3260)*0.03</f>
        <v>11.575200000000004</v>
      </c>
      <c r="Q11" s="4">
        <v>518.82000000000005</v>
      </c>
      <c r="R11" s="4">
        <f>N11-O11-P11-Q11</f>
        <v>1933.1527999999998</v>
      </c>
    </row>
    <row r="12" spans="2:18" ht="16.5" customHeight="1" x14ac:dyDescent="0.25">
      <c r="F12" s="18">
        <f>SUM(F11:F11)</f>
        <v>3389.17</v>
      </c>
      <c r="G12" s="18">
        <f t="shared" ref="G12" si="0">SUM(G11:G11)</f>
        <v>256.67</v>
      </c>
      <c r="H12" s="18"/>
      <c r="I12" s="18"/>
      <c r="J12" s="18">
        <f>SUM(J11:J11)</f>
        <v>3645.84</v>
      </c>
      <c r="K12" s="18">
        <f>SUM(K11:K11)</f>
        <v>331.406856</v>
      </c>
      <c r="L12" s="18">
        <f>SUM(L11:L11)</f>
        <v>3977.2468560000002</v>
      </c>
      <c r="M12" s="18">
        <f>SUM(M11:M11)</f>
        <v>182.29200000000003</v>
      </c>
      <c r="N12" s="18">
        <f>SUM(N11:N11)</f>
        <v>3463.5480000000002</v>
      </c>
      <c r="O12" s="18">
        <f t="shared" ref="O12:R12" si="1">SUM(O11:O11)</f>
        <v>1000</v>
      </c>
      <c r="P12" s="18">
        <f t="shared" si="1"/>
        <v>11.575200000000004</v>
      </c>
      <c r="Q12" s="18">
        <f t="shared" si="1"/>
        <v>518.82000000000005</v>
      </c>
      <c r="R12" s="18">
        <f t="shared" si="1"/>
        <v>1933.1527999999998</v>
      </c>
    </row>
    <row r="13" spans="2:18" ht="1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5" t="s">
        <v>17</v>
      </c>
      <c r="O13" s="55"/>
      <c r="P13" s="55"/>
      <c r="Q13" s="55"/>
      <c r="R13" s="55"/>
    </row>
    <row r="14" spans="2:18" ht="8.25" customHeight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ht="16.5" customHeight="1" x14ac:dyDescent="0.25">
      <c r="B15" t="s">
        <v>54</v>
      </c>
      <c r="F15" t="s">
        <v>55</v>
      </c>
    </row>
    <row r="16" spans="2:18" ht="15.75" customHeight="1" x14ac:dyDescent="0.25">
      <c r="B16" t="s">
        <v>37</v>
      </c>
      <c r="D16" s="31">
        <v>24</v>
      </c>
      <c r="E16" s="34">
        <v>190.60007999999999</v>
      </c>
      <c r="F16" s="4">
        <v>4410</v>
      </c>
      <c r="G16" s="4"/>
      <c r="H16" s="4"/>
      <c r="I16" s="4"/>
      <c r="J16" s="4">
        <f>SUM(F16:I16)</f>
        <v>4410</v>
      </c>
      <c r="K16" s="4">
        <f>J16*0.0909</f>
        <v>400.86899999999997</v>
      </c>
      <c r="L16" s="4">
        <f>SUM(J16:K16)</f>
        <v>4810.8689999999997</v>
      </c>
      <c r="M16" s="4">
        <f>J16*0.05</f>
        <v>220.5</v>
      </c>
      <c r="N16" s="4">
        <f>J16-M16</f>
        <v>4189.5</v>
      </c>
      <c r="O16" s="4">
        <v>1000</v>
      </c>
      <c r="P16" s="4">
        <f>(J16-3260)*0.03</f>
        <v>34.5</v>
      </c>
      <c r="Q16" s="4">
        <v>500</v>
      </c>
      <c r="R16" s="4">
        <f>N16-O16-P16-Q16</f>
        <v>2655</v>
      </c>
    </row>
    <row r="17" spans="2:18" ht="16.5" customHeight="1" x14ac:dyDescent="0.25">
      <c r="F17" s="18">
        <f>SUM(F16:F16)</f>
        <v>4410</v>
      </c>
      <c r="G17" s="18"/>
      <c r="H17" s="18"/>
      <c r="I17" s="18"/>
      <c r="J17" s="18">
        <f t="shared" ref="J17:R17" si="2">SUM(J16:J16)</f>
        <v>4410</v>
      </c>
      <c r="K17" s="18">
        <f t="shared" si="2"/>
        <v>400.86899999999997</v>
      </c>
      <c r="L17" s="18">
        <f t="shared" si="2"/>
        <v>4810.8689999999997</v>
      </c>
      <c r="M17" s="18">
        <f t="shared" si="2"/>
        <v>220.5</v>
      </c>
      <c r="N17" s="18">
        <f t="shared" si="2"/>
        <v>4189.5</v>
      </c>
      <c r="O17" s="18">
        <f t="shared" si="2"/>
        <v>1000</v>
      </c>
      <c r="P17" s="18">
        <f t="shared" si="2"/>
        <v>34.5</v>
      </c>
      <c r="Q17" s="18">
        <f t="shared" si="2"/>
        <v>500</v>
      </c>
      <c r="R17" s="18">
        <f t="shared" si="2"/>
        <v>2655</v>
      </c>
    </row>
    <row r="18" spans="2:18" ht="16.5" customHeight="1" x14ac:dyDescent="0.25">
      <c r="B18" s="2"/>
      <c r="C18" s="2"/>
      <c r="D18" s="2"/>
      <c r="E18" s="2"/>
      <c r="F18" s="2"/>
      <c r="G18" s="2"/>
      <c r="H18" s="10"/>
      <c r="I18" s="10"/>
      <c r="J18" s="2"/>
      <c r="K18" s="2"/>
      <c r="L18" s="2"/>
      <c r="M18" s="2"/>
      <c r="N18" s="55" t="s">
        <v>17</v>
      </c>
      <c r="O18" s="55"/>
      <c r="P18" s="55"/>
      <c r="Q18" s="55"/>
      <c r="R18" s="55"/>
    </row>
    <row r="19" spans="2:18" ht="8.25" customHeight="1" thickBot="1" x14ac:dyDescent="0.3">
      <c r="B19" s="9"/>
      <c r="C19" s="9"/>
      <c r="D19" s="9"/>
      <c r="E19" s="9"/>
      <c r="F19" s="9"/>
      <c r="G19" s="9"/>
      <c r="H19" s="20"/>
      <c r="I19" s="20"/>
      <c r="J19" s="9"/>
      <c r="K19" s="9"/>
      <c r="L19" s="9"/>
      <c r="M19" s="9"/>
      <c r="N19" s="9"/>
      <c r="O19" s="9"/>
      <c r="P19" s="9"/>
      <c r="Q19" s="9"/>
      <c r="R19" s="9"/>
    </row>
    <row r="20" spans="2:18" ht="14.25" customHeight="1" x14ac:dyDescent="0.25">
      <c r="B20" t="s">
        <v>56</v>
      </c>
      <c r="F20" t="s">
        <v>57</v>
      </c>
      <c r="H20" s="31"/>
      <c r="I20" s="31"/>
    </row>
    <row r="21" spans="2:18" ht="16.5" customHeight="1" x14ac:dyDescent="0.25">
      <c r="B21" t="s">
        <v>37</v>
      </c>
      <c r="D21" s="31">
        <v>24</v>
      </c>
      <c r="E21" s="4">
        <v>190.60007999999999</v>
      </c>
      <c r="F21" s="23">
        <v>4410</v>
      </c>
      <c r="G21" s="23"/>
      <c r="H21" s="23"/>
      <c r="I21" s="23"/>
      <c r="J21" s="4">
        <f>SUM(F21:I21)</f>
        <v>4410</v>
      </c>
      <c r="K21" s="4">
        <f>J21*0.0909</f>
        <v>400.86899999999997</v>
      </c>
      <c r="L21" s="4">
        <f>SUM(J21:K21)</f>
        <v>4810.8689999999997</v>
      </c>
      <c r="M21" s="4">
        <f>J21*0.05</f>
        <v>220.5</v>
      </c>
      <c r="N21" s="4">
        <f>J21-M21</f>
        <v>4189.5</v>
      </c>
      <c r="O21" s="4">
        <v>1000</v>
      </c>
      <c r="P21" s="4">
        <f>(J21-3260)*0.03</f>
        <v>34.5</v>
      </c>
      <c r="Q21" s="4"/>
      <c r="R21" s="4">
        <f>N21-O21-P21-Q21</f>
        <v>3155</v>
      </c>
    </row>
    <row r="22" spans="2:18" ht="19.5" customHeight="1" x14ac:dyDescent="0.25">
      <c r="D22" s="31"/>
      <c r="E22" s="31"/>
      <c r="F22" s="18">
        <f>SUM(F21:F21)</f>
        <v>4410</v>
      </c>
      <c r="G22" s="18"/>
      <c r="H22" s="18"/>
      <c r="I22" s="18"/>
      <c r="J22" s="18">
        <f t="shared" ref="J22:R22" si="3">SUM(J21:J21)</f>
        <v>4410</v>
      </c>
      <c r="K22" s="18">
        <f t="shared" si="3"/>
        <v>400.86899999999997</v>
      </c>
      <c r="L22" s="18">
        <f t="shared" si="3"/>
        <v>4810.8689999999997</v>
      </c>
      <c r="M22" s="18">
        <f t="shared" si="3"/>
        <v>220.5</v>
      </c>
      <c r="N22" s="18">
        <f t="shared" si="3"/>
        <v>4189.5</v>
      </c>
      <c r="O22" s="18">
        <f t="shared" si="3"/>
        <v>1000</v>
      </c>
      <c r="P22" s="18">
        <f t="shared" si="3"/>
        <v>34.5</v>
      </c>
      <c r="Q22" s="18"/>
      <c r="R22" s="18">
        <f t="shared" si="3"/>
        <v>3155</v>
      </c>
    </row>
    <row r="23" spans="2:18" ht="15" customHeight="1" x14ac:dyDescent="0.25">
      <c r="N23" s="55" t="s">
        <v>17</v>
      </c>
      <c r="O23" s="55"/>
      <c r="P23" s="55"/>
      <c r="Q23" s="55"/>
      <c r="R23" s="55"/>
    </row>
    <row r="24" spans="2:18" ht="9.75" customHeight="1" thickBot="1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 ht="16.5" customHeight="1" x14ac:dyDescent="0.25">
      <c r="B25" s="2" t="s">
        <v>58</v>
      </c>
      <c r="C25" s="2"/>
      <c r="D25" s="2"/>
      <c r="E25" s="2"/>
      <c r="F25" s="2" t="s">
        <v>59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ht="16.5" customHeight="1" x14ac:dyDescent="0.25">
      <c r="B26" t="s">
        <v>37</v>
      </c>
      <c r="D26" s="10">
        <v>14</v>
      </c>
      <c r="E26" s="17">
        <v>111.18338</v>
      </c>
      <c r="F26" s="17">
        <v>1411.67</v>
      </c>
      <c r="G26" s="19"/>
      <c r="H26" s="19"/>
      <c r="I26" s="19"/>
      <c r="J26" s="4">
        <f>SUM(F26:I26)</f>
        <v>1411.67</v>
      </c>
      <c r="K26" s="4">
        <f>J26*0.0909</f>
        <v>128.32080300000001</v>
      </c>
      <c r="L26" s="4">
        <f>SUM(J26:K26)</f>
        <v>1539.9908030000001</v>
      </c>
      <c r="M26" s="4">
        <f>J26*0.05</f>
        <v>70.583500000000001</v>
      </c>
      <c r="N26" s="4">
        <f>J26-M26</f>
        <v>1341.0865000000001</v>
      </c>
      <c r="O26" s="4">
        <v>1000</v>
      </c>
      <c r="P26" s="4"/>
      <c r="Q26" s="4"/>
      <c r="R26" s="4">
        <f>N26-O26-P26-Q26</f>
        <v>341.08650000000011</v>
      </c>
    </row>
    <row r="27" spans="2:18" ht="16.5" customHeight="1" x14ac:dyDescent="0.25">
      <c r="B27" t="s">
        <v>48</v>
      </c>
      <c r="D27" s="10"/>
      <c r="E27" s="17"/>
      <c r="F27" s="17"/>
      <c r="G27" s="19"/>
      <c r="H27" s="19"/>
      <c r="I27" s="19">
        <v>365.92</v>
      </c>
      <c r="J27" s="4">
        <f>SUM(F27:I27)</f>
        <v>365.92</v>
      </c>
      <c r="K27" s="4">
        <f>J27*0.0909</f>
        <v>33.262127999999997</v>
      </c>
      <c r="L27" s="4">
        <f>SUM(J27:K27)</f>
        <v>399.18212800000003</v>
      </c>
      <c r="M27" s="4">
        <f>J27*0.05</f>
        <v>18.296000000000003</v>
      </c>
      <c r="N27" s="4">
        <f>J27-M27</f>
        <v>347.62400000000002</v>
      </c>
      <c r="O27" s="4"/>
      <c r="P27" s="4"/>
      <c r="Q27" s="4"/>
      <c r="R27" s="4">
        <f>N27-O27-P27-Q27</f>
        <v>347.62400000000002</v>
      </c>
    </row>
    <row r="28" spans="2:18" ht="18.75" customHeight="1" x14ac:dyDescent="0.25">
      <c r="B28" s="2"/>
      <c r="C28" s="2"/>
      <c r="D28" s="2"/>
      <c r="E28" s="2"/>
      <c r="F28" s="18">
        <f>SUM(F26:F27)</f>
        <v>1411.67</v>
      </c>
      <c r="G28" s="18"/>
      <c r="H28" s="18"/>
      <c r="I28" s="18">
        <f t="shared" ref="I28:R28" si="4">SUM(I26:I27)</f>
        <v>365.92</v>
      </c>
      <c r="J28" s="18">
        <f t="shared" si="4"/>
        <v>1777.5900000000001</v>
      </c>
      <c r="K28" s="18">
        <f t="shared" si="4"/>
        <v>161.582931</v>
      </c>
      <c r="L28" s="18">
        <f t="shared" si="4"/>
        <v>1939.1729310000001</v>
      </c>
      <c r="M28" s="18">
        <f t="shared" si="4"/>
        <v>88.879500000000007</v>
      </c>
      <c r="N28" s="18">
        <f t="shared" si="4"/>
        <v>1688.7105000000001</v>
      </c>
      <c r="O28" s="18">
        <f t="shared" si="4"/>
        <v>1000</v>
      </c>
      <c r="P28" s="18"/>
      <c r="Q28" s="18"/>
      <c r="R28" s="18">
        <f t="shared" si="4"/>
        <v>688.71050000000014</v>
      </c>
    </row>
    <row r="29" spans="2:18" ht="16.5" customHeight="1" thickBot="1" x14ac:dyDescent="0.3">
      <c r="B29" s="11"/>
      <c r="C29" s="11"/>
      <c r="D29" s="9"/>
      <c r="E29" s="9"/>
      <c r="F29" s="9"/>
      <c r="G29" s="9"/>
      <c r="H29" s="9"/>
      <c r="I29" s="9"/>
      <c r="J29" s="9"/>
      <c r="K29" s="9"/>
      <c r="L29" s="9"/>
      <c r="M29" s="9"/>
      <c r="N29" s="56" t="s">
        <v>17</v>
      </c>
      <c r="O29" s="56"/>
      <c r="P29" s="56"/>
      <c r="Q29" s="56"/>
      <c r="R29" s="56"/>
    </row>
    <row r="30" spans="2:18" ht="15.75" customHeight="1" x14ac:dyDescent="0.25">
      <c r="B30" s="43" t="s">
        <v>68</v>
      </c>
      <c r="F30" t="s">
        <v>70</v>
      </c>
      <c r="R30" s="2"/>
    </row>
    <row r="31" spans="2:18" ht="15.75" customHeight="1" x14ac:dyDescent="0.25">
      <c r="B31" t="s">
        <v>69</v>
      </c>
      <c r="D31" s="49" t="s">
        <v>66</v>
      </c>
      <c r="E31" s="49"/>
      <c r="F31" s="23">
        <v>6615</v>
      </c>
      <c r="G31" s="23"/>
      <c r="H31" s="23"/>
      <c r="I31" s="23"/>
      <c r="J31" s="4">
        <f>SUM(F31:I31)</f>
        <v>6615</v>
      </c>
      <c r="K31" s="4">
        <f>J31*0.0909</f>
        <v>601.30349999999999</v>
      </c>
      <c r="L31" s="4">
        <f>SUM(J31:K31)</f>
        <v>7216.3035</v>
      </c>
      <c r="M31" s="4"/>
      <c r="N31" s="4">
        <f>J31-M31</f>
        <v>6615</v>
      </c>
      <c r="O31" s="4">
        <v>1000</v>
      </c>
      <c r="P31" s="4"/>
      <c r="Q31" s="4"/>
      <c r="R31" s="4">
        <f>N31-O31-P31-Q31</f>
        <v>5615</v>
      </c>
    </row>
    <row r="32" spans="2:18" ht="16.5" customHeight="1" x14ac:dyDescent="0.25">
      <c r="F32" s="18">
        <f>SUM(F31:F31)</f>
        <v>6615</v>
      </c>
      <c r="G32" s="18"/>
      <c r="H32" s="18"/>
      <c r="I32" s="18"/>
      <c r="J32" s="18">
        <f t="shared" ref="J32:R32" si="5">SUM(J31:J31)</f>
        <v>6615</v>
      </c>
      <c r="K32" s="18">
        <f t="shared" si="5"/>
        <v>601.30349999999999</v>
      </c>
      <c r="L32" s="18">
        <f t="shared" si="5"/>
        <v>7216.3035</v>
      </c>
      <c r="M32" s="18"/>
      <c r="N32" s="18">
        <f t="shared" si="5"/>
        <v>6615</v>
      </c>
      <c r="O32" s="18">
        <f t="shared" si="5"/>
        <v>1000</v>
      </c>
      <c r="P32" s="18"/>
      <c r="Q32" s="18"/>
      <c r="R32" s="18">
        <f t="shared" si="5"/>
        <v>5615</v>
      </c>
    </row>
    <row r="33" spans="2:21" ht="15.75" customHeight="1" x14ac:dyDescent="0.25">
      <c r="B33" s="2"/>
      <c r="C33" s="2"/>
      <c r="D33" s="2"/>
      <c r="E33" s="2"/>
      <c r="F33" s="25"/>
      <c r="G33" s="2"/>
      <c r="H33" s="2"/>
      <c r="I33" s="2"/>
      <c r="J33" s="2"/>
      <c r="K33" s="2"/>
      <c r="L33" s="2"/>
      <c r="M33" s="3"/>
      <c r="N33" s="55" t="s">
        <v>17</v>
      </c>
      <c r="O33" s="55"/>
      <c r="P33" s="55"/>
      <c r="Q33" s="55"/>
      <c r="R33" s="55"/>
    </row>
    <row r="34" spans="2:21" ht="4.5" customHeight="1" thickBot="1" x14ac:dyDescent="0.3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1"/>
      <c r="N34" s="9"/>
      <c r="O34" s="9"/>
      <c r="P34" s="9"/>
      <c r="Q34" s="9"/>
      <c r="R34" s="9"/>
    </row>
    <row r="35" spans="2:21" ht="12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2"/>
      <c r="O35" s="2"/>
      <c r="P35" s="2"/>
      <c r="Q35" s="2"/>
      <c r="R35" s="2"/>
    </row>
    <row r="36" spans="2:21" ht="18.75" customHeight="1" x14ac:dyDescent="0.25">
      <c r="B36" s="13" t="s">
        <v>16</v>
      </c>
      <c r="F36" s="15">
        <f>F12+F17+F22+F28+F32</f>
        <v>20235.84</v>
      </c>
      <c r="G36" s="15">
        <f t="shared" ref="G36:R36" si="6">G12+G17+G22+G28+G32</f>
        <v>256.67</v>
      </c>
      <c r="H36" s="15"/>
      <c r="I36" s="15">
        <f t="shared" si="6"/>
        <v>365.92</v>
      </c>
      <c r="J36" s="15">
        <f t="shared" si="6"/>
        <v>20858.43</v>
      </c>
      <c r="K36" s="15">
        <f t="shared" si="6"/>
        <v>1896.0312869999998</v>
      </c>
      <c r="L36" s="15">
        <f t="shared" si="6"/>
        <v>22754.461286999998</v>
      </c>
      <c r="M36" s="15">
        <f t="shared" si="6"/>
        <v>712.17150000000004</v>
      </c>
      <c r="N36" s="15">
        <f t="shared" si="6"/>
        <v>20146.2585</v>
      </c>
      <c r="O36" s="15">
        <f t="shared" si="6"/>
        <v>5000</v>
      </c>
      <c r="P36" s="15">
        <f t="shared" si="6"/>
        <v>80.575199999999995</v>
      </c>
      <c r="Q36" s="15">
        <f t="shared" si="6"/>
        <v>1018.82</v>
      </c>
      <c r="R36" s="15">
        <f t="shared" si="6"/>
        <v>14046.863300000001</v>
      </c>
    </row>
    <row r="37" spans="2:21" ht="18.75" customHeight="1" x14ac:dyDescent="0.25">
      <c r="B37" s="1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T37" s="35">
        <f>J12+J17+J22-9780</f>
        <v>2685.84</v>
      </c>
      <c r="U37" s="35">
        <f>T37*0.03</f>
        <v>80.575199999999995</v>
      </c>
    </row>
    <row r="38" spans="2:21" ht="12.75" customHeight="1" x14ac:dyDescent="0.25">
      <c r="B38" s="8" t="s">
        <v>20</v>
      </c>
      <c r="C38" s="26"/>
      <c r="D38" s="26"/>
      <c r="E38" s="26"/>
      <c r="F38" s="26"/>
      <c r="L38" s="1" t="s">
        <v>23</v>
      </c>
    </row>
    <row r="39" spans="2:21" x14ac:dyDescent="0.25">
      <c r="C39" s="49" t="s">
        <v>21</v>
      </c>
      <c r="D39" s="49"/>
      <c r="E39" s="49"/>
      <c r="M39" s="49" t="s">
        <v>24</v>
      </c>
      <c r="N39" s="49"/>
      <c r="O39" s="49"/>
      <c r="P39" s="31"/>
      <c r="Q39" s="31"/>
    </row>
    <row r="40" spans="2:21" ht="14.25" customHeight="1" x14ac:dyDescent="0.25">
      <c r="B40" s="1" t="s">
        <v>26</v>
      </c>
      <c r="L40" s="1" t="s">
        <v>27</v>
      </c>
    </row>
    <row r="41" spans="2:21" x14ac:dyDescent="0.25">
      <c r="C41" s="52" t="s">
        <v>22</v>
      </c>
      <c r="D41" s="52"/>
      <c r="E41" s="52"/>
      <c r="F41" s="52"/>
      <c r="N41" s="52" t="s">
        <v>25</v>
      </c>
      <c r="O41" s="52"/>
      <c r="P41" s="52"/>
      <c r="Q41" s="52"/>
      <c r="R41" s="52"/>
    </row>
  </sheetData>
  <mergeCells count="16">
    <mergeCell ref="J2:N2"/>
    <mergeCell ref="K3:L3"/>
    <mergeCell ref="E5:F5"/>
    <mergeCell ref="J5:M5"/>
    <mergeCell ref="N5:R5"/>
    <mergeCell ref="C39:E39"/>
    <mergeCell ref="M39:O39"/>
    <mergeCell ref="C41:F41"/>
    <mergeCell ref="N41:R41"/>
    <mergeCell ref="B8:C8"/>
    <mergeCell ref="N13:R13"/>
    <mergeCell ref="N18:R18"/>
    <mergeCell ref="N23:R23"/>
    <mergeCell ref="N29:R29"/>
    <mergeCell ref="N33:R33"/>
    <mergeCell ref="D31:E31"/>
  </mergeCells>
  <pageMargins left="0.59055118110236227" right="0.15748031496062992" top="0.15748031496062992" bottom="0.15748031496062992" header="0.15748031496062992" footer="0.15748031496062992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3"/>
  <sheetViews>
    <sheetView zoomScaleNormal="100" workbookViewId="0">
      <selection activeCell="B2" sqref="B2:R33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8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37" t="s">
        <v>18</v>
      </c>
    </row>
    <row r="3" spans="2:18" ht="12" customHeight="1" x14ac:dyDescent="0.4">
      <c r="B3" s="6"/>
      <c r="K3" s="50" t="s">
        <v>15</v>
      </c>
      <c r="L3" s="50"/>
    </row>
    <row r="4" spans="2:18" x14ac:dyDescent="0.25">
      <c r="B4" s="51" t="s">
        <v>71</v>
      </c>
      <c r="C4" s="51"/>
      <c r="D4" s="51"/>
      <c r="E4" s="51"/>
      <c r="F4" s="51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8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8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53" t="s">
        <v>2</v>
      </c>
      <c r="C8" s="53"/>
      <c r="D8" s="36" t="s">
        <v>3</v>
      </c>
      <c r="E8" s="36" t="s">
        <v>4</v>
      </c>
      <c r="F8" s="36" t="s">
        <v>5</v>
      </c>
      <c r="G8" s="36" t="s">
        <v>29</v>
      </c>
      <c r="H8" s="36" t="s">
        <v>6</v>
      </c>
      <c r="I8" s="36" t="s">
        <v>33</v>
      </c>
      <c r="J8" s="36" t="s">
        <v>7</v>
      </c>
      <c r="K8" s="36">
        <v>9.09</v>
      </c>
      <c r="L8" s="36" t="s">
        <v>7</v>
      </c>
      <c r="M8" s="30">
        <v>0.05</v>
      </c>
      <c r="N8" s="36" t="s">
        <v>7</v>
      </c>
      <c r="O8" s="36" t="s">
        <v>30</v>
      </c>
      <c r="P8" s="36" t="s">
        <v>32</v>
      </c>
      <c r="Q8" s="36" t="s">
        <v>31</v>
      </c>
      <c r="R8" s="36" t="s">
        <v>0</v>
      </c>
    </row>
    <row r="9" spans="2:18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8" ht="17.25" customHeight="1" x14ac:dyDescent="0.25">
      <c r="B10" t="s">
        <v>73</v>
      </c>
      <c r="F10" t="s">
        <v>74</v>
      </c>
      <c r="H10" s="4"/>
      <c r="I10" s="4"/>
    </row>
    <row r="11" spans="2:18" ht="16.5" customHeight="1" x14ac:dyDescent="0.25">
      <c r="B11" t="s">
        <v>37</v>
      </c>
      <c r="D11">
        <v>24</v>
      </c>
      <c r="E11" s="34">
        <v>190.6</v>
      </c>
      <c r="F11" s="4">
        <v>5810</v>
      </c>
      <c r="G11" s="4"/>
      <c r="H11" s="4"/>
      <c r="I11" s="4"/>
      <c r="J11" s="4">
        <f>F11+G11+H11+I11</f>
        <v>5810</v>
      </c>
      <c r="K11" s="4">
        <f>J11*0.0909</f>
        <v>528.12900000000002</v>
      </c>
      <c r="L11" s="4">
        <f>SUM(J11:K11)</f>
        <v>6338.1289999999999</v>
      </c>
      <c r="M11" s="4">
        <f>J11*0.05</f>
        <v>290.5</v>
      </c>
      <c r="N11" s="4">
        <f>J11-M11</f>
        <v>5519.5</v>
      </c>
      <c r="O11" s="4">
        <v>1000</v>
      </c>
      <c r="P11" s="4">
        <f>(J12-3260)*0.03</f>
        <v>76.5</v>
      </c>
      <c r="Q11" s="4">
        <v>581</v>
      </c>
      <c r="R11" s="4">
        <f>N11-O11-P11-Q11</f>
        <v>3862</v>
      </c>
    </row>
    <row r="12" spans="2:18" ht="16.5" customHeight="1" x14ac:dyDescent="0.25">
      <c r="F12" s="18">
        <f>SUM(F11:F11)</f>
        <v>5810</v>
      </c>
      <c r="G12" s="18"/>
      <c r="H12" s="18"/>
      <c r="I12" s="18"/>
      <c r="J12" s="18">
        <f>SUM(J11:J11)</f>
        <v>5810</v>
      </c>
      <c r="K12" s="18">
        <f>SUM(K11:K11)</f>
        <v>528.12900000000002</v>
      </c>
      <c r="L12" s="18">
        <f>SUM(L11:L11)</f>
        <v>6338.1289999999999</v>
      </c>
      <c r="M12" s="18">
        <f>SUM(M11:M11)</f>
        <v>290.5</v>
      </c>
      <c r="N12" s="18">
        <f>SUM(N11:N11)</f>
        <v>5519.5</v>
      </c>
      <c r="O12" s="18">
        <f t="shared" ref="O12:R12" si="0">SUM(O11:O11)</f>
        <v>1000</v>
      </c>
      <c r="P12" s="18">
        <f t="shared" si="0"/>
        <v>76.5</v>
      </c>
      <c r="Q12" s="18">
        <f t="shared" si="0"/>
        <v>581</v>
      </c>
      <c r="R12" s="18">
        <f t="shared" si="0"/>
        <v>3862</v>
      </c>
    </row>
    <row r="13" spans="2:18" ht="1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5" t="s">
        <v>17</v>
      </c>
      <c r="O13" s="55"/>
      <c r="P13" s="55"/>
      <c r="Q13" s="55"/>
      <c r="R13" s="55"/>
    </row>
    <row r="14" spans="2:18" ht="8.25" customHeight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ht="16.5" customHeight="1" x14ac:dyDescent="0.25">
      <c r="B15" t="s">
        <v>75</v>
      </c>
      <c r="F15" t="s">
        <v>76</v>
      </c>
    </row>
    <row r="16" spans="2:18" ht="15.75" customHeight="1" x14ac:dyDescent="0.25">
      <c r="B16" t="s">
        <v>37</v>
      </c>
      <c r="D16" s="38">
        <v>24</v>
      </c>
      <c r="E16" s="34">
        <v>190.6</v>
      </c>
      <c r="F16" s="4">
        <v>4410</v>
      </c>
      <c r="G16" s="4"/>
      <c r="H16" s="4"/>
      <c r="I16" s="4"/>
      <c r="J16" s="4">
        <f>F16+G16+H16+I16</f>
        <v>4410</v>
      </c>
      <c r="K16" s="4">
        <f>J16*0.0909</f>
        <v>400.86899999999997</v>
      </c>
      <c r="L16" s="4">
        <f>SUM(J16:K16)</f>
        <v>4810.8689999999997</v>
      </c>
      <c r="M16" s="4">
        <f>J16*0.05</f>
        <v>220.5</v>
      </c>
      <c r="N16" s="4">
        <f>J16-M16</f>
        <v>4189.5</v>
      </c>
      <c r="O16" s="4">
        <v>1000</v>
      </c>
      <c r="P16" s="4">
        <f>(J17-3260)*0.03</f>
        <v>34.5</v>
      </c>
      <c r="Q16" s="4">
        <v>200</v>
      </c>
      <c r="R16" s="4">
        <f>N16-O16-P16-Q16</f>
        <v>2955</v>
      </c>
    </row>
    <row r="17" spans="2:20" ht="16.5" customHeight="1" x14ac:dyDescent="0.25">
      <c r="F17" s="18">
        <f>SUM(F16:F16)</f>
        <v>4410</v>
      </c>
      <c r="G17" s="18"/>
      <c r="H17" s="18"/>
      <c r="I17" s="18"/>
      <c r="J17" s="18">
        <f t="shared" ref="J17:R17" si="1">SUM(J16:J16)</f>
        <v>4410</v>
      </c>
      <c r="K17" s="18">
        <f t="shared" si="1"/>
        <v>400.86899999999997</v>
      </c>
      <c r="L17" s="18">
        <f t="shared" si="1"/>
        <v>4810.8689999999997</v>
      </c>
      <c r="M17" s="18">
        <f t="shared" si="1"/>
        <v>220.5</v>
      </c>
      <c r="N17" s="18">
        <f t="shared" si="1"/>
        <v>4189.5</v>
      </c>
      <c r="O17" s="18">
        <f t="shared" si="1"/>
        <v>1000</v>
      </c>
      <c r="P17" s="18">
        <f t="shared" si="1"/>
        <v>34.5</v>
      </c>
      <c r="Q17" s="18">
        <f t="shared" si="1"/>
        <v>200</v>
      </c>
      <c r="R17" s="18">
        <f t="shared" si="1"/>
        <v>2955</v>
      </c>
    </row>
    <row r="18" spans="2:20" ht="16.5" customHeight="1" x14ac:dyDescent="0.25">
      <c r="B18" s="2"/>
      <c r="C18" s="2"/>
      <c r="D18" s="2"/>
      <c r="E18" s="2"/>
      <c r="F18" s="2"/>
      <c r="G18" s="2"/>
      <c r="H18" s="10"/>
      <c r="I18" s="10"/>
      <c r="J18" s="2"/>
      <c r="K18" s="2"/>
      <c r="L18" s="2"/>
      <c r="M18" s="2"/>
      <c r="N18" s="55" t="s">
        <v>17</v>
      </c>
      <c r="O18" s="55"/>
      <c r="P18" s="55"/>
      <c r="Q18" s="55"/>
      <c r="R18" s="55"/>
    </row>
    <row r="19" spans="2:20" ht="8.25" customHeight="1" thickBot="1" x14ac:dyDescent="0.3">
      <c r="B19" s="9"/>
      <c r="C19" s="9"/>
      <c r="D19" s="9"/>
      <c r="E19" s="9"/>
      <c r="F19" s="9"/>
      <c r="G19" s="9"/>
      <c r="H19" s="20"/>
      <c r="I19" s="20"/>
      <c r="J19" s="9"/>
      <c r="K19" s="9"/>
      <c r="L19" s="9"/>
      <c r="M19" s="9"/>
      <c r="N19" s="9"/>
      <c r="O19" s="9"/>
      <c r="P19" s="9"/>
      <c r="Q19" s="9"/>
      <c r="R19" s="9"/>
    </row>
    <row r="20" spans="2:20" ht="16.5" customHeight="1" x14ac:dyDescent="0.25">
      <c r="B20" t="s">
        <v>77</v>
      </c>
      <c r="F20" t="s">
        <v>78</v>
      </c>
      <c r="H20" s="38"/>
      <c r="I20" s="38"/>
    </row>
    <row r="21" spans="2:20" ht="16.5" customHeight="1" x14ac:dyDescent="0.25">
      <c r="B21" t="s">
        <v>37</v>
      </c>
      <c r="D21" s="38">
        <v>24</v>
      </c>
      <c r="E21" s="4">
        <v>190.6</v>
      </c>
      <c r="F21" s="23">
        <v>2420</v>
      </c>
      <c r="G21" s="23"/>
      <c r="H21" s="23"/>
      <c r="I21" s="23"/>
      <c r="J21" s="4">
        <f>F21+G21+H21+I21</f>
        <v>2420</v>
      </c>
      <c r="K21" s="4">
        <f>J21*0.0909</f>
        <v>219.97799999999998</v>
      </c>
      <c r="L21" s="4">
        <f>SUM(J21:K21)</f>
        <v>2639.9780000000001</v>
      </c>
      <c r="M21" s="4">
        <f>J21*0.05</f>
        <v>121</v>
      </c>
      <c r="N21" s="4">
        <f>J21-M21</f>
        <v>2299</v>
      </c>
      <c r="O21" s="4">
        <v>1000</v>
      </c>
      <c r="P21" s="4">
        <f>(J24-3260)*0.03</f>
        <v>15.033300000000004</v>
      </c>
      <c r="Q21" s="4">
        <v>30.5</v>
      </c>
      <c r="R21" s="4">
        <f>N21-O21-P21-Q21</f>
        <v>1253.4666999999999</v>
      </c>
    </row>
    <row r="22" spans="2:20" ht="16.5" customHeight="1" x14ac:dyDescent="0.25">
      <c r="B22" t="s">
        <v>48</v>
      </c>
      <c r="D22" s="26"/>
      <c r="E22" s="42"/>
      <c r="F22" s="23"/>
      <c r="G22" s="23"/>
      <c r="H22" s="23"/>
      <c r="I22" s="23">
        <v>627.22</v>
      </c>
      <c r="J22" s="4">
        <f>F22+G22+H22+I22</f>
        <v>627.22</v>
      </c>
      <c r="K22" s="4">
        <f>J22*0.0909</f>
        <v>57.014297999999997</v>
      </c>
      <c r="L22" s="4">
        <f>SUM(J22:K22)</f>
        <v>684.23429800000008</v>
      </c>
      <c r="M22" s="4">
        <f>J22*0.05</f>
        <v>31.361000000000004</v>
      </c>
      <c r="N22" s="4">
        <f t="shared" ref="N22:N23" si="2">J22-M22</f>
        <v>595.85900000000004</v>
      </c>
      <c r="O22" s="4"/>
      <c r="P22" s="4"/>
      <c r="Q22" s="4"/>
      <c r="R22" s="4">
        <f t="shared" ref="R22:R23" si="3">N22-O22-P22-Q22</f>
        <v>595.85900000000004</v>
      </c>
    </row>
    <row r="23" spans="2:20" ht="16.5" customHeight="1" x14ac:dyDescent="0.25">
      <c r="B23" t="s">
        <v>49</v>
      </c>
      <c r="D23" s="26">
        <v>12</v>
      </c>
      <c r="E23" s="42">
        <v>95.3</v>
      </c>
      <c r="F23" s="23">
        <v>713.89</v>
      </c>
      <c r="G23" s="23"/>
      <c r="H23" s="23"/>
      <c r="I23" s="23"/>
      <c r="J23" s="4">
        <f>F23+G23+H23+I23</f>
        <v>713.89</v>
      </c>
      <c r="K23" s="4"/>
      <c r="L23" s="4">
        <f>SUM(J23:K23)</f>
        <v>713.89</v>
      </c>
      <c r="M23" s="4">
        <f>J23*0.05</f>
        <v>35.694499999999998</v>
      </c>
      <c r="N23" s="4">
        <f t="shared" si="2"/>
        <v>678.19550000000004</v>
      </c>
      <c r="O23" s="4"/>
      <c r="P23" s="4"/>
      <c r="Q23" s="4"/>
      <c r="R23" s="4">
        <f t="shared" si="3"/>
        <v>678.19550000000004</v>
      </c>
    </row>
    <row r="24" spans="2:20" ht="19.5" customHeight="1" x14ac:dyDescent="0.25">
      <c r="D24" s="38"/>
      <c r="E24" s="38"/>
      <c r="F24" s="18">
        <f>SUM(F21:F23)</f>
        <v>3133.89</v>
      </c>
      <c r="G24" s="18"/>
      <c r="H24" s="18"/>
      <c r="I24" s="18">
        <f t="shared" ref="I24:R24" si="4">SUM(I21:I23)</f>
        <v>627.22</v>
      </c>
      <c r="J24" s="18">
        <f t="shared" si="4"/>
        <v>3761.11</v>
      </c>
      <c r="K24" s="18">
        <f t="shared" si="4"/>
        <v>276.99229800000001</v>
      </c>
      <c r="L24" s="18">
        <f t="shared" si="4"/>
        <v>4038.1022980000002</v>
      </c>
      <c r="M24" s="18">
        <f t="shared" si="4"/>
        <v>188.05549999999999</v>
      </c>
      <c r="N24" s="18">
        <f t="shared" si="4"/>
        <v>3573.0545000000002</v>
      </c>
      <c r="O24" s="18">
        <f t="shared" si="4"/>
        <v>1000</v>
      </c>
      <c r="P24" s="18">
        <f t="shared" si="4"/>
        <v>15.033300000000004</v>
      </c>
      <c r="Q24" s="18">
        <f t="shared" si="4"/>
        <v>30.5</v>
      </c>
      <c r="R24" s="18">
        <f t="shared" si="4"/>
        <v>2527.5212000000001</v>
      </c>
    </row>
    <row r="25" spans="2:20" ht="15" customHeight="1" x14ac:dyDescent="0.25">
      <c r="N25" s="55" t="s">
        <v>17</v>
      </c>
      <c r="O25" s="55"/>
      <c r="P25" s="55"/>
      <c r="Q25" s="55"/>
      <c r="R25" s="55"/>
    </row>
    <row r="26" spans="2:20" ht="9.75" customHeight="1" thickBot="1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2:20" ht="12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2"/>
      <c r="O27" s="2"/>
      <c r="P27" s="2"/>
      <c r="Q27" s="2"/>
      <c r="R27" s="2"/>
    </row>
    <row r="28" spans="2:20" ht="18.75" customHeight="1" x14ac:dyDescent="0.25">
      <c r="B28" s="13" t="s">
        <v>16</v>
      </c>
      <c r="F28" s="15">
        <f>F12+F17+F24</f>
        <v>13353.89</v>
      </c>
      <c r="G28" s="15"/>
      <c r="H28" s="15"/>
      <c r="I28" s="15">
        <f t="shared" ref="I28:R28" si="5">I12+I17+I24</f>
        <v>627.22</v>
      </c>
      <c r="J28" s="15">
        <f t="shared" si="5"/>
        <v>13981.11</v>
      </c>
      <c r="K28" s="15">
        <f t="shared" si="5"/>
        <v>1205.9902980000002</v>
      </c>
      <c r="L28" s="15">
        <f t="shared" si="5"/>
        <v>15187.100297999999</v>
      </c>
      <c r="M28" s="15">
        <f t="shared" si="5"/>
        <v>699.05549999999994</v>
      </c>
      <c r="N28" s="15">
        <f t="shared" si="5"/>
        <v>13282.0545</v>
      </c>
      <c r="O28" s="15">
        <f t="shared" si="5"/>
        <v>3000</v>
      </c>
      <c r="P28" s="15">
        <f t="shared" si="5"/>
        <v>126.0333</v>
      </c>
      <c r="Q28" s="15">
        <f t="shared" si="5"/>
        <v>811.5</v>
      </c>
      <c r="R28" s="15">
        <f t="shared" si="5"/>
        <v>9344.5211999999992</v>
      </c>
    </row>
    <row r="29" spans="2:20" ht="18.75" customHeight="1" x14ac:dyDescent="0.25">
      <c r="B29" s="1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35">
        <f>J12+J17+J24-9780</f>
        <v>4201.1100000000006</v>
      </c>
      <c r="T29" s="35">
        <f>S29*0.03</f>
        <v>126.03330000000001</v>
      </c>
    </row>
    <row r="30" spans="2:20" ht="12.75" customHeight="1" x14ac:dyDescent="0.25">
      <c r="B30" s="8" t="s">
        <v>20</v>
      </c>
      <c r="C30" s="26"/>
      <c r="D30" s="26"/>
      <c r="E30" s="26"/>
      <c r="F30" s="26"/>
      <c r="L30" s="1" t="s">
        <v>23</v>
      </c>
    </row>
    <row r="31" spans="2:20" x14ac:dyDescent="0.25">
      <c r="C31" s="49" t="s">
        <v>21</v>
      </c>
      <c r="D31" s="49"/>
      <c r="E31" s="49"/>
      <c r="M31" s="49" t="s">
        <v>24</v>
      </c>
      <c r="N31" s="49"/>
      <c r="O31" s="49"/>
      <c r="P31" s="38"/>
      <c r="Q31" s="38"/>
    </row>
    <row r="32" spans="2:20" ht="14.25" customHeight="1" x14ac:dyDescent="0.25">
      <c r="B32" s="1" t="s">
        <v>26</v>
      </c>
      <c r="L32" s="1" t="s">
        <v>27</v>
      </c>
    </row>
    <row r="33" spans="3:18" x14ac:dyDescent="0.25">
      <c r="C33" s="52" t="s">
        <v>22</v>
      </c>
      <c r="D33" s="52"/>
      <c r="E33" s="52"/>
      <c r="F33" s="52"/>
      <c r="N33" s="52" t="s">
        <v>25</v>
      </c>
      <c r="O33" s="52"/>
      <c r="P33" s="52"/>
      <c r="Q33" s="52"/>
      <c r="R33" s="52"/>
    </row>
  </sheetData>
  <mergeCells count="14">
    <mergeCell ref="C33:F33"/>
    <mergeCell ref="N33:R33"/>
    <mergeCell ref="B8:C8"/>
    <mergeCell ref="N13:R13"/>
    <mergeCell ref="N18:R18"/>
    <mergeCell ref="N25:R25"/>
    <mergeCell ref="C31:E31"/>
    <mergeCell ref="M31:O31"/>
    <mergeCell ref="J2:N2"/>
    <mergeCell ref="K3:L3"/>
    <mergeCell ref="B4:F4"/>
    <mergeCell ref="E5:F5"/>
    <mergeCell ref="J5:M5"/>
    <mergeCell ref="N5:R5"/>
  </mergeCells>
  <pageMargins left="0.59055118110236227" right="0.15748031496062992" top="0.15748031496062992" bottom="0.15748031496062992" header="0.15748031496062992" footer="0.15748031496062992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"/>
  <sheetViews>
    <sheetView zoomScaleNormal="100" workbookViewId="0">
      <selection activeCell="B2" sqref="B2:R32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8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37" t="s">
        <v>18</v>
      </c>
    </row>
    <row r="3" spans="2:18" ht="12" customHeight="1" x14ac:dyDescent="0.4">
      <c r="B3" s="6"/>
      <c r="K3" s="50" t="s">
        <v>15</v>
      </c>
      <c r="L3" s="50"/>
    </row>
    <row r="4" spans="2:18" x14ac:dyDescent="0.25">
      <c r="B4" s="8" t="s">
        <v>72</v>
      </c>
      <c r="C4" s="8"/>
      <c r="D4" s="8"/>
      <c r="E4" s="8"/>
      <c r="F4" s="8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8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8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53" t="s">
        <v>2</v>
      </c>
      <c r="C8" s="53"/>
      <c r="D8" s="36" t="s">
        <v>3</v>
      </c>
      <c r="E8" s="36" t="s">
        <v>4</v>
      </c>
      <c r="F8" s="36" t="s">
        <v>5</v>
      </c>
      <c r="G8" s="36" t="s">
        <v>29</v>
      </c>
      <c r="H8" s="36" t="s">
        <v>6</v>
      </c>
      <c r="I8" s="36" t="s">
        <v>33</v>
      </c>
      <c r="J8" s="36" t="s">
        <v>7</v>
      </c>
      <c r="K8" s="36">
        <v>9.09</v>
      </c>
      <c r="L8" s="36" t="s">
        <v>7</v>
      </c>
      <c r="M8" s="30">
        <v>0.05</v>
      </c>
      <c r="N8" s="36" t="s">
        <v>7</v>
      </c>
      <c r="O8" s="36" t="s">
        <v>30</v>
      </c>
      <c r="P8" s="36" t="s">
        <v>32</v>
      </c>
      <c r="Q8" s="36" t="s">
        <v>31</v>
      </c>
      <c r="R8" s="36" t="s">
        <v>0</v>
      </c>
    </row>
    <row r="9" spans="2:18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8" ht="17.25" customHeight="1" x14ac:dyDescent="0.25">
      <c r="B10" t="s">
        <v>79</v>
      </c>
      <c r="F10" t="s">
        <v>80</v>
      </c>
      <c r="H10" s="4"/>
      <c r="I10" s="4"/>
    </row>
    <row r="11" spans="2:18" ht="16.5" customHeight="1" x14ac:dyDescent="0.25">
      <c r="B11" t="s">
        <v>37</v>
      </c>
      <c r="D11">
        <v>24</v>
      </c>
      <c r="E11" s="34">
        <v>190.6</v>
      </c>
      <c r="F11" s="4">
        <v>5560</v>
      </c>
      <c r="G11" s="4"/>
      <c r="H11" s="4"/>
      <c r="I11" s="4"/>
      <c r="J11" s="4">
        <f>F11+G11+H11+I11</f>
        <v>5560</v>
      </c>
      <c r="K11" s="4">
        <f>J11*0.0909</f>
        <v>505.404</v>
      </c>
      <c r="L11" s="4">
        <f>SUM(J11:K11)</f>
        <v>6065.4040000000005</v>
      </c>
      <c r="M11" s="4">
        <f>J11*0.05</f>
        <v>278</v>
      </c>
      <c r="N11" s="4">
        <f>J11-M11</f>
        <v>5282</v>
      </c>
      <c r="O11" s="4">
        <v>1000</v>
      </c>
      <c r="P11" s="4">
        <f>(J12-3260)*0.03</f>
        <v>69</v>
      </c>
      <c r="Q11" s="4">
        <v>189.18</v>
      </c>
      <c r="R11" s="4">
        <f>N11-O11-P11-Q11</f>
        <v>4023.82</v>
      </c>
    </row>
    <row r="12" spans="2:18" ht="16.5" customHeight="1" x14ac:dyDescent="0.25">
      <c r="F12" s="18">
        <f>SUM(F11:F11)</f>
        <v>5560</v>
      </c>
      <c r="G12" s="18"/>
      <c r="H12" s="18"/>
      <c r="I12" s="18"/>
      <c r="J12" s="18">
        <f>SUM(J11:J11)</f>
        <v>5560</v>
      </c>
      <c r="K12" s="18">
        <f>SUM(K11:K11)</f>
        <v>505.404</v>
      </c>
      <c r="L12" s="18">
        <f>SUM(L11:L11)</f>
        <v>6065.4040000000005</v>
      </c>
      <c r="M12" s="18">
        <f>SUM(M11:M11)</f>
        <v>278</v>
      </c>
      <c r="N12" s="18">
        <f>SUM(N11:N11)</f>
        <v>5282</v>
      </c>
      <c r="O12" s="18">
        <f t="shared" ref="O12:R12" si="0">SUM(O11:O11)</f>
        <v>1000</v>
      </c>
      <c r="P12" s="18">
        <f t="shared" si="0"/>
        <v>69</v>
      </c>
      <c r="Q12" s="18">
        <f t="shared" si="0"/>
        <v>189.18</v>
      </c>
      <c r="R12" s="18">
        <f t="shared" si="0"/>
        <v>4023.82</v>
      </c>
    </row>
    <row r="13" spans="2:18" ht="1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5" t="s">
        <v>17</v>
      </c>
      <c r="O13" s="55"/>
      <c r="P13" s="55"/>
      <c r="Q13" s="55"/>
      <c r="R13" s="55"/>
    </row>
    <row r="14" spans="2:18" ht="5.25" customHeight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ht="16.5" customHeight="1" x14ac:dyDescent="0.25">
      <c r="B15" t="s">
        <v>81</v>
      </c>
      <c r="F15" t="s">
        <v>82</v>
      </c>
    </row>
    <row r="16" spans="2:18" ht="15.75" customHeight="1" x14ac:dyDescent="0.25">
      <c r="B16" t="s">
        <v>37</v>
      </c>
      <c r="D16" s="38">
        <v>24</v>
      </c>
      <c r="E16" s="34">
        <v>190.6</v>
      </c>
      <c r="F16" s="4">
        <v>4410</v>
      </c>
      <c r="G16" s="4"/>
      <c r="H16" s="4"/>
      <c r="I16" s="4"/>
      <c r="J16" s="4">
        <f>F16+G16+H16+I16</f>
        <v>4410</v>
      </c>
      <c r="K16" s="4">
        <f>J16*0.0909</f>
        <v>400.86899999999997</v>
      </c>
      <c r="L16" s="4">
        <f>SUM(J16:K16)</f>
        <v>4810.8689999999997</v>
      </c>
      <c r="M16" s="4">
        <f>J16*0.05</f>
        <v>220.5</v>
      </c>
      <c r="N16" s="4">
        <f>J16-M16</f>
        <v>4189.5</v>
      </c>
      <c r="O16" s="4">
        <v>1000</v>
      </c>
      <c r="P16" s="4">
        <f>(J17-3260)*0.03</f>
        <v>34.5</v>
      </c>
      <c r="Q16" s="4">
        <v>516</v>
      </c>
      <c r="R16" s="4">
        <f>N16-O16-P16-Q16</f>
        <v>2639</v>
      </c>
    </row>
    <row r="17" spans="2:21" ht="16.5" customHeight="1" x14ac:dyDescent="0.25">
      <c r="F17" s="18">
        <f>SUM(F16:F16)</f>
        <v>4410</v>
      </c>
      <c r="G17" s="18"/>
      <c r="H17" s="18"/>
      <c r="I17" s="18"/>
      <c r="J17" s="18">
        <f t="shared" ref="J17:R17" si="1">SUM(J16:J16)</f>
        <v>4410</v>
      </c>
      <c r="K17" s="18">
        <f t="shared" si="1"/>
        <v>400.86899999999997</v>
      </c>
      <c r="L17" s="18">
        <f t="shared" si="1"/>
        <v>4810.8689999999997</v>
      </c>
      <c r="M17" s="18">
        <f t="shared" si="1"/>
        <v>220.5</v>
      </c>
      <c r="N17" s="18">
        <f t="shared" si="1"/>
        <v>4189.5</v>
      </c>
      <c r="O17" s="18">
        <f t="shared" si="1"/>
        <v>1000</v>
      </c>
      <c r="P17" s="18">
        <f t="shared" si="1"/>
        <v>34.5</v>
      </c>
      <c r="Q17" s="18">
        <f t="shared" si="1"/>
        <v>516</v>
      </c>
      <c r="R17" s="18">
        <f t="shared" si="1"/>
        <v>2639</v>
      </c>
    </row>
    <row r="18" spans="2:21" ht="16.5" customHeight="1" x14ac:dyDescent="0.25">
      <c r="B18" s="2"/>
      <c r="C18" s="2"/>
      <c r="D18" s="2"/>
      <c r="E18" s="2"/>
      <c r="F18" s="2"/>
      <c r="G18" s="2"/>
      <c r="H18" s="10"/>
      <c r="I18" s="10"/>
      <c r="J18" s="2"/>
      <c r="K18" s="2"/>
      <c r="L18" s="2"/>
      <c r="M18" s="2"/>
      <c r="N18" s="55" t="s">
        <v>17</v>
      </c>
      <c r="O18" s="55"/>
      <c r="P18" s="55"/>
      <c r="Q18" s="55"/>
      <c r="R18" s="55"/>
    </row>
    <row r="19" spans="2:21" ht="5.25" customHeight="1" thickBot="1" x14ac:dyDescent="0.3">
      <c r="B19" s="9"/>
      <c r="C19" s="9"/>
      <c r="D19" s="9"/>
      <c r="E19" s="9"/>
      <c r="F19" s="9"/>
      <c r="G19" s="9"/>
      <c r="H19" s="20"/>
      <c r="I19" s="20"/>
      <c r="J19" s="9"/>
      <c r="K19" s="9"/>
      <c r="L19" s="9"/>
      <c r="M19" s="9"/>
      <c r="N19" s="9"/>
      <c r="O19" s="9"/>
      <c r="P19" s="9"/>
      <c r="Q19" s="9"/>
      <c r="R19" s="9"/>
    </row>
    <row r="20" spans="2:21" ht="16.5" customHeight="1" x14ac:dyDescent="0.25">
      <c r="B20" t="s">
        <v>83</v>
      </c>
      <c r="F20" t="s">
        <v>84</v>
      </c>
    </row>
    <row r="21" spans="2:21" ht="16.5" customHeight="1" x14ac:dyDescent="0.25">
      <c r="B21" t="s">
        <v>37</v>
      </c>
      <c r="D21" s="38">
        <v>12</v>
      </c>
      <c r="E21" s="34">
        <v>95.3</v>
      </c>
      <c r="F21" s="4">
        <v>2105</v>
      </c>
      <c r="G21" s="4"/>
      <c r="H21" s="4"/>
      <c r="I21" s="4"/>
      <c r="J21" s="4">
        <f>F21+G21+H21+I21</f>
        <v>2105</v>
      </c>
      <c r="K21" s="4">
        <f>J21*0.0909</f>
        <v>191.34449999999998</v>
      </c>
      <c r="L21" s="4">
        <f>SUM(J21:K21)</f>
        <v>2296.3445000000002</v>
      </c>
      <c r="M21" s="4">
        <f>J21*0.05</f>
        <v>105.25</v>
      </c>
      <c r="N21" s="4">
        <f>J21-M21</f>
        <v>1999.75</v>
      </c>
      <c r="O21" s="4">
        <v>1000</v>
      </c>
      <c r="P21" s="4"/>
      <c r="Q21" s="4"/>
      <c r="R21" s="4">
        <f>N21-O21-P21-Q21</f>
        <v>999.75</v>
      </c>
    </row>
    <row r="22" spans="2:21" ht="16.5" customHeight="1" x14ac:dyDescent="0.25">
      <c r="B22" t="s">
        <v>49</v>
      </c>
      <c r="D22" s="38">
        <v>12</v>
      </c>
      <c r="E22" s="34">
        <v>95.3</v>
      </c>
      <c r="F22" s="4">
        <v>685.04</v>
      </c>
      <c r="G22" s="4"/>
      <c r="H22" s="4"/>
      <c r="I22" s="4"/>
      <c r="J22" s="4">
        <f>F22+G22+H22+I22</f>
        <v>685.04</v>
      </c>
      <c r="K22" s="4"/>
      <c r="L22" s="4">
        <f>SUM(J22:K22)</f>
        <v>685.04</v>
      </c>
      <c r="M22" s="4">
        <f>J22*0.05</f>
        <v>34.252000000000002</v>
      </c>
      <c r="N22" s="4">
        <f>J22-M22</f>
        <v>650.78800000000001</v>
      </c>
      <c r="O22" s="4"/>
      <c r="P22" s="4"/>
      <c r="Q22" s="4"/>
      <c r="R22" s="4">
        <f>N22-O22-P22-Q22</f>
        <v>650.78800000000001</v>
      </c>
    </row>
    <row r="23" spans="2:21" ht="19.5" customHeight="1" x14ac:dyDescent="0.25">
      <c r="F23" s="18">
        <f>SUM(F21:F22)</f>
        <v>2790.04</v>
      </c>
      <c r="G23" s="18"/>
      <c r="H23" s="18"/>
      <c r="I23" s="18"/>
      <c r="J23" s="18">
        <f t="shared" ref="J23" si="2">SUM(J21:J22)</f>
        <v>2790.04</v>
      </c>
      <c r="K23" s="18">
        <f t="shared" ref="K23" si="3">SUM(K21:K22)</f>
        <v>191.34449999999998</v>
      </c>
      <c r="L23" s="18">
        <f t="shared" ref="L23" si="4">SUM(L21:L22)</f>
        <v>2981.3845000000001</v>
      </c>
      <c r="M23" s="18">
        <f t="shared" ref="M23" si="5">SUM(M21:M22)</f>
        <v>139.50200000000001</v>
      </c>
      <c r="N23" s="18">
        <f t="shared" ref="N23" si="6">SUM(N21:N22)</f>
        <v>2650.538</v>
      </c>
      <c r="O23" s="18">
        <f t="shared" ref="O23" si="7">SUM(O21:O22)</f>
        <v>1000</v>
      </c>
      <c r="P23" s="18"/>
      <c r="Q23" s="18"/>
      <c r="R23" s="18">
        <f t="shared" ref="R23" si="8">SUM(R21:R22)</f>
        <v>1650.538</v>
      </c>
    </row>
    <row r="24" spans="2:21" ht="15" customHeight="1" x14ac:dyDescent="0.25">
      <c r="N24" s="55" t="s">
        <v>17</v>
      </c>
      <c r="O24" s="55"/>
      <c r="P24" s="55"/>
      <c r="Q24" s="55"/>
      <c r="R24" s="55"/>
    </row>
    <row r="25" spans="2:21" ht="6" customHeight="1" thickBot="1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2:21" ht="12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2"/>
      <c r="O26" s="2"/>
      <c r="P26" s="2"/>
      <c r="Q26" s="2"/>
      <c r="R26" s="2"/>
    </row>
    <row r="27" spans="2:21" ht="18.75" customHeight="1" x14ac:dyDescent="0.25">
      <c r="B27" s="13" t="s">
        <v>16</v>
      </c>
      <c r="F27" s="15">
        <f>F12+F17+F23</f>
        <v>12760.04</v>
      </c>
      <c r="G27" s="15"/>
      <c r="H27" s="15"/>
      <c r="I27" s="15"/>
      <c r="J27" s="15">
        <f>J12+J17+J23</f>
        <v>12760.04</v>
      </c>
      <c r="K27" s="15">
        <f>K12+K17+K23-0.01</f>
        <v>1097.6074999999998</v>
      </c>
      <c r="L27" s="15">
        <f>L12+L17+L23-0.01</f>
        <v>13857.647500000001</v>
      </c>
      <c r="M27" s="15">
        <f t="shared" ref="M27:R27" si="9">M12+M17+M23</f>
        <v>638.00199999999995</v>
      </c>
      <c r="N27" s="15">
        <f t="shared" si="9"/>
        <v>12122.038</v>
      </c>
      <c r="O27" s="15">
        <f t="shared" si="9"/>
        <v>3000</v>
      </c>
      <c r="P27" s="15">
        <f t="shared" si="9"/>
        <v>103.5</v>
      </c>
      <c r="Q27" s="15">
        <f t="shared" si="9"/>
        <v>705.18000000000006</v>
      </c>
      <c r="R27" s="15">
        <f t="shared" si="9"/>
        <v>8313.3580000000002</v>
      </c>
    </row>
    <row r="28" spans="2:21" ht="18.75" customHeight="1" x14ac:dyDescent="0.25">
      <c r="B28" s="1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2:21" ht="12.75" customHeight="1" x14ac:dyDescent="0.25">
      <c r="B29" s="8" t="s">
        <v>20</v>
      </c>
      <c r="C29" s="26"/>
      <c r="D29" s="26"/>
      <c r="E29" s="26"/>
      <c r="F29" s="26"/>
      <c r="L29" s="1" t="s">
        <v>23</v>
      </c>
      <c r="T29" s="35">
        <f>J12+J17-6520</f>
        <v>3450</v>
      </c>
      <c r="U29" s="35">
        <f>T29*0.03</f>
        <v>103.5</v>
      </c>
    </row>
    <row r="30" spans="2:21" x14ac:dyDescent="0.25">
      <c r="C30" s="49" t="s">
        <v>21</v>
      </c>
      <c r="D30" s="49"/>
      <c r="E30" s="49"/>
      <c r="M30" s="49" t="s">
        <v>24</v>
      </c>
      <c r="N30" s="49"/>
      <c r="O30" s="49"/>
      <c r="P30" s="38"/>
      <c r="Q30" s="38"/>
    </row>
    <row r="31" spans="2:21" ht="14.25" customHeight="1" x14ac:dyDescent="0.25">
      <c r="B31" s="1" t="s">
        <v>26</v>
      </c>
      <c r="L31" s="1" t="s">
        <v>27</v>
      </c>
    </row>
    <row r="32" spans="2:21" x14ac:dyDescent="0.25">
      <c r="C32" s="52" t="s">
        <v>22</v>
      </c>
      <c r="D32" s="52"/>
      <c r="E32" s="52"/>
      <c r="F32" s="52"/>
      <c r="N32" s="52" t="s">
        <v>25</v>
      </c>
      <c r="O32" s="52"/>
      <c r="P32" s="52"/>
      <c r="Q32" s="52"/>
      <c r="R32" s="52"/>
    </row>
  </sheetData>
  <mergeCells count="13">
    <mergeCell ref="C32:F32"/>
    <mergeCell ref="N32:R32"/>
    <mergeCell ref="B8:C8"/>
    <mergeCell ref="N13:R13"/>
    <mergeCell ref="N18:R18"/>
    <mergeCell ref="N24:R24"/>
    <mergeCell ref="C30:E30"/>
    <mergeCell ref="M30:O30"/>
    <mergeCell ref="J2:N2"/>
    <mergeCell ref="K3:L3"/>
    <mergeCell ref="E5:F5"/>
    <mergeCell ref="J5:M5"/>
    <mergeCell ref="N5:R5"/>
  </mergeCells>
  <pageMargins left="0.59055118110236227" right="0.15748031496062992" top="0.15748031496062992" bottom="0.15748031496062992" header="0.15748031496062992" footer="0.15748031496062992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zoomScaleNormal="100" workbookViewId="0">
      <selection activeCell="B2" sqref="B2:R40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8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37" t="s">
        <v>18</v>
      </c>
    </row>
    <row r="3" spans="2:18" ht="12" customHeight="1" x14ac:dyDescent="0.4">
      <c r="B3" s="6"/>
      <c r="K3" s="50" t="s">
        <v>15</v>
      </c>
      <c r="L3" s="50"/>
    </row>
    <row r="4" spans="2:18" x14ac:dyDescent="0.25">
      <c r="B4" s="8" t="s">
        <v>85</v>
      </c>
      <c r="C4" s="8"/>
      <c r="D4" s="8"/>
      <c r="E4" s="8"/>
      <c r="F4" s="8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8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8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53" t="s">
        <v>2</v>
      </c>
      <c r="C8" s="53"/>
      <c r="D8" s="36" t="s">
        <v>3</v>
      </c>
      <c r="E8" s="36" t="s">
        <v>4</v>
      </c>
      <c r="F8" s="36" t="s">
        <v>5</v>
      </c>
      <c r="G8" s="36" t="s">
        <v>29</v>
      </c>
      <c r="H8" s="36" t="s">
        <v>6</v>
      </c>
      <c r="I8" s="36" t="s">
        <v>33</v>
      </c>
      <c r="J8" s="36" t="s">
        <v>7</v>
      </c>
      <c r="K8" s="36">
        <v>9.09</v>
      </c>
      <c r="L8" s="36" t="s">
        <v>7</v>
      </c>
      <c r="M8" s="30">
        <v>0.05</v>
      </c>
      <c r="N8" s="36" t="s">
        <v>7</v>
      </c>
      <c r="O8" s="36" t="s">
        <v>30</v>
      </c>
      <c r="P8" s="36" t="s">
        <v>32</v>
      </c>
      <c r="Q8" s="36" t="s">
        <v>31</v>
      </c>
      <c r="R8" s="36" t="s">
        <v>0</v>
      </c>
    </row>
    <row r="9" spans="2:18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8" ht="15" customHeight="1" x14ac:dyDescent="0.25">
      <c r="B10" t="s">
        <v>86</v>
      </c>
      <c r="F10" t="s">
        <v>87</v>
      </c>
      <c r="H10" s="4"/>
      <c r="I10" s="4"/>
    </row>
    <row r="11" spans="2:18" ht="16.5" customHeight="1" x14ac:dyDescent="0.25">
      <c r="B11" t="s">
        <v>37</v>
      </c>
      <c r="D11">
        <v>24</v>
      </c>
      <c r="E11" s="34">
        <v>190.6</v>
      </c>
      <c r="F11" s="4">
        <v>5560</v>
      </c>
      <c r="G11" s="4"/>
      <c r="H11" s="4"/>
      <c r="I11" s="4"/>
      <c r="J11" s="4">
        <f>SUM(F11:I11)</f>
        <v>5560</v>
      </c>
      <c r="K11" s="4">
        <f>J11*0.0909</f>
        <v>505.404</v>
      </c>
      <c r="L11" s="4">
        <f>SUM(J11:K11)</f>
        <v>6065.4040000000005</v>
      </c>
      <c r="M11" s="4">
        <f>J11*0.05</f>
        <v>278</v>
      </c>
      <c r="N11" s="4">
        <f>J11-M11</f>
        <v>5282</v>
      </c>
      <c r="O11" s="4">
        <v>1000</v>
      </c>
      <c r="P11" s="4">
        <f>(J12-3260)*0.03</f>
        <v>69</v>
      </c>
      <c r="Q11" s="4">
        <v>175</v>
      </c>
      <c r="R11" s="4">
        <f>N11-O11-P11-Q11</f>
        <v>4038</v>
      </c>
    </row>
    <row r="12" spans="2:18" ht="16.5" customHeight="1" x14ac:dyDescent="0.25">
      <c r="F12" s="18">
        <f>SUM(F11:F11)</f>
        <v>5560</v>
      </c>
      <c r="G12" s="18"/>
      <c r="H12" s="18"/>
      <c r="I12" s="18"/>
      <c r="J12" s="18">
        <f>SUM(J11:J11)</f>
        <v>5560</v>
      </c>
      <c r="K12" s="18">
        <f>SUM(K11:K11)</f>
        <v>505.404</v>
      </c>
      <c r="L12" s="18">
        <f>SUM(L11:L11)</f>
        <v>6065.4040000000005</v>
      </c>
      <c r="M12" s="18">
        <f>SUM(M11:M11)</f>
        <v>278</v>
      </c>
      <c r="N12" s="18">
        <f>SUM(N11:N11)</f>
        <v>5282</v>
      </c>
      <c r="O12" s="18">
        <f t="shared" ref="O12:R12" si="0">SUM(O11:O11)</f>
        <v>1000</v>
      </c>
      <c r="P12" s="18">
        <f t="shared" si="0"/>
        <v>69</v>
      </c>
      <c r="Q12" s="18">
        <f t="shared" si="0"/>
        <v>175</v>
      </c>
      <c r="R12" s="18">
        <f t="shared" si="0"/>
        <v>4038</v>
      </c>
    </row>
    <row r="13" spans="2:18" ht="1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5" t="s">
        <v>17</v>
      </c>
      <c r="O13" s="55"/>
      <c r="P13" s="55"/>
      <c r="Q13" s="55"/>
      <c r="R13" s="55"/>
    </row>
    <row r="14" spans="2:18" ht="8.25" customHeight="1" thickBot="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2:18" ht="16.5" customHeight="1" x14ac:dyDescent="0.25">
      <c r="B15" t="s">
        <v>88</v>
      </c>
      <c r="F15" t="s">
        <v>89</v>
      </c>
    </row>
    <row r="16" spans="2:18" ht="15.75" customHeight="1" x14ac:dyDescent="0.25">
      <c r="B16" t="s">
        <v>37</v>
      </c>
      <c r="D16" s="38">
        <v>13</v>
      </c>
      <c r="E16" s="34">
        <v>103.24</v>
      </c>
      <c r="F16" s="4">
        <v>2388.75</v>
      </c>
      <c r="G16" s="4"/>
      <c r="H16" s="4"/>
      <c r="I16" s="4"/>
      <c r="J16" s="4">
        <f>SUM(F16:I16)</f>
        <v>2388.75</v>
      </c>
      <c r="K16" s="4">
        <f>J16*0.0909</f>
        <v>217.13737499999999</v>
      </c>
      <c r="L16" s="4">
        <f>SUM(J16:K16)</f>
        <v>2605.8873749999998</v>
      </c>
      <c r="M16" s="4">
        <f>J16*0.05</f>
        <v>119.4375</v>
      </c>
      <c r="N16" s="4">
        <f>J16-M16</f>
        <v>2269.3125</v>
      </c>
      <c r="O16" s="4">
        <v>1000</v>
      </c>
      <c r="P16" s="4"/>
      <c r="Q16" s="4"/>
      <c r="R16" s="4">
        <f>N16-O16-P16-Q16</f>
        <v>1269.3125</v>
      </c>
    </row>
    <row r="17" spans="2:18" ht="16.5" customHeight="1" x14ac:dyDescent="0.25">
      <c r="F17" s="18">
        <f>SUM(F16:F16)</f>
        <v>2388.75</v>
      </c>
      <c r="G17" s="18"/>
      <c r="H17" s="18"/>
      <c r="I17" s="18"/>
      <c r="J17" s="18">
        <f t="shared" ref="J17:R17" si="1">SUM(J16:J16)</f>
        <v>2388.75</v>
      </c>
      <c r="K17" s="18">
        <f t="shared" si="1"/>
        <v>217.13737499999999</v>
      </c>
      <c r="L17" s="18">
        <f t="shared" si="1"/>
        <v>2605.8873749999998</v>
      </c>
      <c r="M17" s="18">
        <f t="shared" si="1"/>
        <v>119.4375</v>
      </c>
      <c r="N17" s="18">
        <f t="shared" si="1"/>
        <v>2269.3125</v>
      </c>
      <c r="O17" s="18">
        <f t="shared" si="1"/>
        <v>1000</v>
      </c>
      <c r="P17" s="18"/>
      <c r="Q17" s="18"/>
      <c r="R17" s="18">
        <f t="shared" si="1"/>
        <v>1269.3125</v>
      </c>
    </row>
    <row r="18" spans="2:18" ht="16.5" customHeight="1" x14ac:dyDescent="0.25">
      <c r="B18" s="2"/>
      <c r="C18" s="2"/>
      <c r="D18" s="2"/>
      <c r="E18" s="2"/>
      <c r="F18" s="2"/>
      <c r="G18" s="2"/>
      <c r="H18" s="10"/>
      <c r="I18" s="10"/>
      <c r="J18" s="2"/>
      <c r="K18" s="2"/>
      <c r="L18" s="2"/>
      <c r="M18" s="2"/>
      <c r="N18" s="55" t="s">
        <v>17</v>
      </c>
      <c r="O18" s="55"/>
      <c r="P18" s="55"/>
      <c r="Q18" s="55"/>
      <c r="R18" s="55"/>
    </row>
    <row r="19" spans="2:18" ht="8.25" customHeight="1" thickBot="1" x14ac:dyDescent="0.3">
      <c r="B19" s="9"/>
      <c r="C19" s="9"/>
      <c r="D19" s="9"/>
      <c r="E19" s="9"/>
      <c r="F19" s="9"/>
      <c r="G19" s="9"/>
      <c r="H19" s="20"/>
      <c r="I19" s="20"/>
      <c r="J19" s="9"/>
      <c r="K19" s="9"/>
      <c r="L19" s="9"/>
      <c r="M19" s="9"/>
      <c r="N19" s="9"/>
      <c r="O19" s="9"/>
      <c r="P19" s="9"/>
      <c r="Q19" s="9"/>
      <c r="R19" s="9"/>
    </row>
    <row r="20" spans="2:18" ht="14.25" customHeight="1" x14ac:dyDescent="0.25">
      <c r="B20" t="s">
        <v>90</v>
      </c>
      <c r="F20" t="s">
        <v>91</v>
      </c>
      <c r="H20" s="38"/>
      <c r="I20" s="38"/>
    </row>
    <row r="21" spans="2:18" ht="16.5" customHeight="1" x14ac:dyDescent="0.25">
      <c r="B21" t="s">
        <v>37</v>
      </c>
      <c r="D21" s="38">
        <v>19</v>
      </c>
      <c r="E21" s="4">
        <v>150.88999999999999</v>
      </c>
      <c r="F21" s="23">
        <v>3491.25</v>
      </c>
      <c r="G21" s="23"/>
      <c r="H21" s="23"/>
      <c r="I21" s="23"/>
      <c r="J21" s="4">
        <f>SUM(F21:I21)</f>
        <v>3491.25</v>
      </c>
      <c r="K21" s="4">
        <f>J21*0.0909</f>
        <v>317.354625</v>
      </c>
      <c r="L21" s="4">
        <f>SUM(J21:K21)</f>
        <v>3808.6046249999999</v>
      </c>
      <c r="M21" s="4">
        <f>J21*0.05</f>
        <v>174.5625</v>
      </c>
      <c r="N21" s="4">
        <f>J21-M21</f>
        <v>3316.6875</v>
      </c>
      <c r="O21" s="4">
        <v>1000</v>
      </c>
      <c r="P21" s="4">
        <f>(J22-3260)*0.03</f>
        <v>6.9375</v>
      </c>
      <c r="Q21" s="4">
        <v>396</v>
      </c>
      <c r="R21" s="4">
        <f>N21-O21-P21-Q21</f>
        <v>1913.75</v>
      </c>
    </row>
    <row r="22" spans="2:18" ht="19.5" customHeight="1" x14ac:dyDescent="0.25">
      <c r="D22" s="38"/>
      <c r="E22" s="38"/>
      <c r="F22" s="18">
        <f>SUM(F21:F21)</f>
        <v>3491.25</v>
      </c>
      <c r="G22" s="18"/>
      <c r="H22" s="18"/>
      <c r="I22" s="18"/>
      <c r="J22" s="18">
        <f t="shared" ref="J22:R22" si="2">SUM(J21:J21)</f>
        <v>3491.25</v>
      </c>
      <c r="K22" s="18">
        <f t="shared" si="2"/>
        <v>317.354625</v>
      </c>
      <c r="L22" s="18">
        <f t="shared" si="2"/>
        <v>3808.6046249999999</v>
      </c>
      <c r="M22" s="18">
        <f t="shared" si="2"/>
        <v>174.5625</v>
      </c>
      <c r="N22" s="18">
        <f t="shared" si="2"/>
        <v>3316.6875</v>
      </c>
      <c r="O22" s="18">
        <f t="shared" si="2"/>
        <v>1000</v>
      </c>
      <c r="P22" s="18">
        <f t="shared" si="2"/>
        <v>6.9375</v>
      </c>
      <c r="Q22" s="18">
        <f t="shared" si="2"/>
        <v>396</v>
      </c>
      <c r="R22" s="18">
        <f t="shared" si="2"/>
        <v>1913.75</v>
      </c>
    </row>
    <row r="23" spans="2:18" ht="18.75" customHeight="1" x14ac:dyDescent="0.25">
      <c r="N23" s="55" t="s">
        <v>17</v>
      </c>
      <c r="O23" s="55"/>
      <c r="P23" s="55"/>
      <c r="Q23" s="55"/>
      <c r="R23" s="55"/>
    </row>
    <row r="24" spans="2:18" ht="9.75" customHeight="1" thickBot="1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2:18" ht="16.5" customHeight="1" x14ac:dyDescent="0.25">
      <c r="B25" s="2" t="s">
        <v>92</v>
      </c>
      <c r="C25" s="2"/>
      <c r="D25" s="2"/>
      <c r="E25" s="2"/>
      <c r="F25" s="2" t="s">
        <v>93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ht="16.5" customHeight="1" x14ac:dyDescent="0.25">
      <c r="B26" t="s">
        <v>37</v>
      </c>
      <c r="D26" s="10">
        <v>12</v>
      </c>
      <c r="E26" s="17">
        <v>95.3</v>
      </c>
      <c r="F26" s="17">
        <v>2205</v>
      </c>
      <c r="G26" s="19"/>
      <c r="H26" s="19"/>
      <c r="I26" s="19"/>
      <c r="J26" s="4">
        <f>SUM(F26:I26)</f>
        <v>2205</v>
      </c>
      <c r="K26" s="4">
        <f>J26*0.0909</f>
        <v>200.43449999999999</v>
      </c>
      <c r="L26" s="4">
        <f>SUM(J26:K26)</f>
        <v>2405.4344999999998</v>
      </c>
      <c r="M26" s="4">
        <f>J26*0.05</f>
        <v>110.25</v>
      </c>
      <c r="N26" s="4">
        <f>J26-M26</f>
        <v>2094.75</v>
      </c>
      <c r="O26" s="4">
        <v>1000</v>
      </c>
      <c r="P26" s="4"/>
      <c r="Q26" s="4"/>
      <c r="R26" s="4">
        <f>N26-O26-P26-Q26</f>
        <v>1094.75</v>
      </c>
    </row>
    <row r="27" spans="2:18" ht="18.75" customHeight="1" x14ac:dyDescent="0.25">
      <c r="B27" s="2"/>
      <c r="C27" s="2"/>
      <c r="D27" s="2"/>
      <c r="E27" s="2"/>
      <c r="F27" s="18">
        <f>SUM(F26:F26)</f>
        <v>2205</v>
      </c>
      <c r="G27" s="18"/>
      <c r="H27" s="18"/>
      <c r="I27" s="18"/>
      <c r="J27" s="18">
        <f t="shared" ref="J27:O27" si="3">SUM(J26:J26)</f>
        <v>2205</v>
      </c>
      <c r="K27" s="18">
        <f t="shared" si="3"/>
        <v>200.43449999999999</v>
      </c>
      <c r="L27" s="18">
        <f t="shared" si="3"/>
        <v>2405.4344999999998</v>
      </c>
      <c r="M27" s="18">
        <f t="shared" si="3"/>
        <v>110.25</v>
      </c>
      <c r="N27" s="18">
        <f t="shared" si="3"/>
        <v>2094.75</v>
      </c>
      <c r="O27" s="18">
        <f t="shared" si="3"/>
        <v>1000</v>
      </c>
      <c r="P27" s="18"/>
      <c r="Q27" s="18"/>
      <c r="R27" s="18">
        <f>SUM(R26:R26)</f>
        <v>1094.75</v>
      </c>
    </row>
    <row r="28" spans="2:18" ht="19.5" customHeight="1" thickBot="1" x14ac:dyDescent="0.3">
      <c r="B28" s="11"/>
      <c r="C28" s="11"/>
      <c r="D28" s="9"/>
      <c r="E28" s="9"/>
      <c r="F28" s="9"/>
      <c r="G28" s="9"/>
      <c r="H28" s="9"/>
      <c r="I28" s="9"/>
      <c r="J28" s="9"/>
      <c r="K28" s="9"/>
      <c r="L28" s="9"/>
      <c r="M28" s="9"/>
      <c r="N28" s="56" t="s">
        <v>17</v>
      </c>
      <c r="O28" s="56"/>
      <c r="P28" s="56"/>
      <c r="Q28" s="56"/>
      <c r="R28" s="56"/>
    </row>
    <row r="29" spans="2:18" ht="15.75" customHeight="1" x14ac:dyDescent="0.25">
      <c r="B29" t="s">
        <v>94</v>
      </c>
      <c r="F29" t="s">
        <v>95</v>
      </c>
    </row>
    <row r="30" spans="2:18" ht="15.75" customHeight="1" x14ac:dyDescent="0.25">
      <c r="B30" t="s">
        <v>37</v>
      </c>
      <c r="D30" s="10">
        <v>12</v>
      </c>
      <c r="E30" s="17">
        <v>95.3</v>
      </c>
      <c r="F30" s="17">
        <v>2205</v>
      </c>
      <c r="G30" s="19"/>
      <c r="H30" s="19"/>
      <c r="I30" s="19"/>
      <c r="J30" s="4">
        <f>SUM(F30:I30)</f>
        <v>2205</v>
      </c>
      <c r="K30" s="4">
        <f>J30*0.0909</f>
        <v>200.43449999999999</v>
      </c>
      <c r="L30" s="4">
        <f>SUM(J30:K30)</f>
        <v>2405.4344999999998</v>
      </c>
      <c r="M30" s="4">
        <f>J30*0.05</f>
        <v>110.25</v>
      </c>
      <c r="N30" s="4">
        <f>J30-M30</f>
        <v>2094.75</v>
      </c>
      <c r="O30" s="4">
        <v>1000</v>
      </c>
      <c r="P30" s="4"/>
      <c r="Q30" s="4">
        <v>477.25</v>
      </c>
      <c r="R30" s="4">
        <f>N30-O30-P30-Q30</f>
        <v>617.5</v>
      </c>
    </row>
    <row r="31" spans="2:18" ht="16.5" customHeight="1" x14ac:dyDescent="0.25">
      <c r="F31" s="18">
        <f>SUM(F30:F30)</f>
        <v>2205</v>
      </c>
      <c r="G31" s="18"/>
      <c r="H31" s="18"/>
      <c r="I31" s="18"/>
      <c r="J31" s="18">
        <f t="shared" ref="J31:R31" si="4">SUM(J30:J30)</f>
        <v>2205</v>
      </c>
      <c r="K31" s="18">
        <f t="shared" si="4"/>
        <v>200.43449999999999</v>
      </c>
      <c r="L31" s="18">
        <f t="shared" si="4"/>
        <v>2405.4344999999998</v>
      </c>
      <c r="M31" s="18">
        <f t="shared" si="4"/>
        <v>110.25</v>
      </c>
      <c r="N31" s="18">
        <f t="shared" si="4"/>
        <v>2094.75</v>
      </c>
      <c r="O31" s="18">
        <f t="shared" si="4"/>
        <v>1000</v>
      </c>
      <c r="P31" s="18"/>
      <c r="Q31" s="18">
        <f t="shared" si="4"/>
        <v>477.25</v>
      </c>
      <c r="R31" s="18">
        <f t="shared" si="4"/>
        <v>617.5</v>
      </c>
    </row>
    <row r="32" spans="2:18" ht="15.75" customHeight="1" x14ac:dyDescent="0.25">
      <c r="B32" s="2"/>
      <c r="C32" s="2"/>
      <c r="D32" s="2"/>
      <c r="E32" s="2"/>
      <c r="F32" s="25"/>
      <c r="G32" s="2"/>
      <c r="H32" s="2"/>
      <c r="I32" s="2"/>
      <c r="J32" s="2"/>
      <c r="K32" s="2"/>
      <c r="L32" s="2"/>
      <c r="M32" s="3"/>
      <c r="N32" s="55" t="s">
        <v>17</v>
      </c>
      <c r="O32" s="55"/>
      <c r="P32" s="55"/>
      <c r="Q32" s="55"/>
      <c r="R32" s="55"/>
    </row>
    <row r="33" spans="2:21" ht="4.5" customHeight="1" thickBot="1" x14ac:dyDescent="0.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1"/>
      <c r="N33" s="9"/>
      <c r="O33" s="9"/>
      <c r="P33" s="9"/>
      <c r="Q33" s="9"/>
      <c r="R33" s="9"/>
    </row>
    <row r="34" spans="2:21" ht="4.5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2"/>
      <c r="O34" s="2"/>
      <c r="P34" s="2"/>
      <c r="Q34" s="2"/>
      <c r="R34" s="2"/>
    </row>
    <row r="35" spans="2:21" ht="18.75" customHeight="1" x14ac:dyDescent="0.25">
      <c r="B35" s="13" t="s">
        <v>16</v>
      </c>
      <c r="F35" s="15">
        <f>F12+F17+F22+F27+F31</f>
        <v>15850</v>
      </c>
      <c r="G35" s="15"/>
      <c r="H35" s="15"/>
      <c r="I35" s="15"/>
      <c r="J35" s="15">
        <f t="shared" ref="J35:R35" si="5">J12+J17+J22+J27+J31</f>
        <v>15850</v>
      </c>
      <c r="K35" s="15">
        <f>K12+K17+K22+K27+K31-0.02</f>
        <v>1440.7450000000001</v>
      </c>
      <c r="L35" s="15">
        <f>L12+L17+L22+L27+L31-0.02</f>
        <v>17290.744999999999</v>
      </c>
      <c r="M35" s="15">
        <f t="shared" si="5"/>
        <v>792.5</v>
      </c>
      <c r="N35" s="15">
        <f t="shared" si="5"/>
        <v>15057.5</v>
      </c>
      <c r="O35" s="15">
        <f t="shared" si="5"/>
        <v>5000</v>
      </c>
      <c r="P35" s="15">
        <f t="shared" si="5"/>
        <v>75.9375</v>
      </c>
      <c r="Q35" s="15">
        <f t="shared" si="5"/>
        <v>1048.25</v>
      </c>
      <c r="R35" s="15">
        <f t="shared" si="5"/>
        <v>8933.3125</v>
      </c>
    </row>
    <row r="36" spans="2:21" ht="18.75" customHeight="1" x14ac:dyDescent="0.25">
      <c r="B36" s="13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2:21" ht="12.75" customHeight="1" x14ac:dyDescent="0.25">
      <c r="B37" s="8" t="s">
        <v>20</v>
      </c>
      <c r="C37" s="26"/>
      <c r="D37" s="26"/>
      <c r="E37" s="26"/>
      <c r="F37" s="26"/>
      <c r="L37" s="1" t="s">
        <v>23</v>
      </c>
      <c r="T37" s="35">
        <f>J12+J22-6520</f>
        <v>2531.25</v>
      </c>
      <c r="U37" s="4">
        <f>T37*0.03</f>
        <v>75.9375</v>
      </c>
    </row>
    <row r="38" spans="2:21" x14ac:dyDescent="0.25">
      <c r="C38" s="49" t="s">
        <v>21</v>
      </c>
      <c r="D38" s="49"/>
      <c r="E38" s="49"/>
      <c r="M38" s="49" t="s">
        <v>24</v>
      </c>
      <c r="N38" s="49"/>
      <c r="O38" s="49"/>
      <c r="P38" s="38"/>
      <c r="Q38" s="38"/>
    </row>
    <row r="39" spans="2:21" ht="14.25" customHeight="1" x14ac:dyDescent="0.25">
      <c r="B39" s="1" t="s">
        <v>26</v>
      </c>
      <c r="L39" s="1" t="s">
        <v>27</v>
      </c>
    </row>
    <row r="40" spans="2:21" x14ac:dyDescent="0.25">
      <c r="C40" s="52" t="s">
        <v>22</v>
      </c>
      <c r="D40" s="52"/>
      <c r="E40" s="52"/>
      <c r="F40" s="52"/>
      <c r="N40" s="52" t="s">
        <v>25</v>
      </c>
      <c r="O40" s="52"/>
      <c r="P40" s="52"/>
      <c r="Q40" s="52"/>
      <c r="R40" s="52"/>
    </row>
  </sheetData>
  <mergeCells count="15">
    <mergeCell ref="C38:E38"/>
    <mergeCell ref="M38:O38"/>
    <mergeCell ref="C40:F40"/>
    <mergeCell ref="N40:R40"/>
    <mergeCell ref="N13:R13"/>
    <mergeCell ref="N18:R18"/>
    <mergeCell ref="N23:R23"/>
    <mergeCell ref="N28:R28"/>
    <mergeCell ref="N32:R32"/>
    <mergeCell ref="B8:C8"/>
    <mergeCell ref="J2:N2"/>
    <mergeCell ref="K3:L3"/>
    <mergeCell ref="E5:F5"/>
    <mergeCell ref="J5:M5"/>
    <mergeCell ref="N5:R5"/>
  </mergeCells>
  <pageMargins left="0.59055118110236227" right="0.15748031496062992" top="0.15748031496062992" bottom="0.15748031496062992" header="0.15748031496062992" footer="0.15748031496062992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8"/>
  <sheetViews>
    <sheetView zoomScaleNormal="100" workbookViewId="0">
      <selection activeCell="B2" sqref="B2:R58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9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41" t="s">
        <v>18</v>
      </c>
    </row>
    <row r="3" spans="2:19" ht="12" customHeight="1" x14ac:dyDescent="0.4">
      <c r="B3" s="6"/>
      <c r="K3" s="50" t="s">
        <v>15</v>
      </c>
      <c r="L3" s="50"/>
    </row>
    <row r="4" spans="2:19" x14ac:dyDescent="0.25">
      <c r="B4" s="8" t="s">
        <v>96</v>
      </c>
      <c r="C4" s="8"/>
      <c r="D4" s="8"/>
      <c r="E4" s="8"/>
      <c r="F4" s="8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9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9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9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9" x14ac:dyDescent="0.25">
      <c r="B8" s="53" t="s">
        <v>2</v>
      </c>
      <c r="C8" s="53"/>
      <c r="D8" s="40" t="s">
        <v>3</v>
      </c>
      <c r="E8" s="40" t="s">
        <v>4</v>
      </c>
      <c r="F8" s="40" t="s">
        <v>5</v>
      </c>
      <c r="G8" s="40" t="s">
        <v>29</v>
      </c>
      <c r="H8" s="40" t="s">
        <v>6</v>
      </c>
      <c r="I8" s="40" t="s">
        <v>33</v>
      </c>
      <c r="J8" s="40" t="s">
        <v>7</v>
      </c>
      <c r="K8" s="40">
        <v>9.09</v>
      </c>
      <c r="L8" s="40" t="s">
        <v>7</v>
      </c>
      <c r="M8" s="30">
        <v>0.05</v>
      </c>
      <c r="N8" s="40" t="s">
        <v>7</v>
      </c>
      <c r="O8" s="40" t="s">
        <v>30</v>
      </c>
      <c r="P8" s="40" t="s">
        <v>32</v>
      </c>
      <c r="Q8" s="40" t="s">
        <v>31</v>
      </c>
      <c r="R8" s="40" t="s">
        <v>0</v>
      </c>
    </row>
    <row r="9" spans="2:19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9" ht="15" customHeight="1" x14ac:dyDescent="0.25">
      <c r="B10" t="s">
        <v>97</v>
      </c>
      <c r="F10" t="s">
        <v>98</v>
      </c>
      <c r="H10" s="4"/>
      <c r="I10" s="4"/>
    </row>
    <row r="11" spans="2:19" ht="16.5" customHeight="1" x14ac:dyDescent="0.25">
      <c r="B11" t="s">
        <v>37</v>
      </c>
      <c r="D11" s="39">
        <v>22</v>
      </c>
      <c r="E11" s="35">
        <v>174.72</v>
      </c>
      <c r="F11" s="4">
        <v>5096.67</v>
      </c>
      <c r="G11" s="4"/>
      <c r="H11" s="4"/>
      <c r="I11" s="4"/>
      <c r="J11" s="4">
        <f>SUM(F11:I11)</f>
        <v>5096.67</v>
      </c>
      <c r="K11" s="4">
        <f>J11*0.0909</f>
        <v>463.28730299999995</v>
      </c>
      <c r="L11" s="4">
        <f>SUM(J11:K11)</f>
        <v>5559.9573030000001</v>
      </c>
      <c r="M11" s="4">
        <f>J11*0.05</f>
        <v>254.83350000000002</v>
      </c>
      <c r="N11" s="4">
        <f>J11-M11</f>
        <v>4841.8365000000003</v>
      </c>
      <c r="O11" s="4">
        <v>1000</v>
      </c>
      <c r="P11" s="4">
        <f>(J13-3260)*0.03</f>
        <v>59.633100000000013</v>
      </c>
      <c r="Q11" s="4">
        <v>500</v>
      </c>
      <c r="R11" s="4">
        <f>N11-O11-P11-Q11</f>
        <v>3282.2034000000003</v>
      </c>
    </row>
    <row r="12" spans="2:19" ht="16.5" customHeight="1" x14ac:dyDescent="0.25">
      <c r="B12" t="s">
        <v>49</v>
      </c>
      <c r="D12" s="39">
        <v>2</v>
      </c>
      <c r="E12" s="34"/>
      <c r="F12" s="4">
        <v>151.1</v>
      </c>
      <c r="G12" s="4"/>
      <c r="H12" s="4"/>
      <c r="I12" s="4"/>
      <c r="J12" s="4">
        <f>SUM(F12:I12)</f>
        <v>151.1</v>
      </c>
      <c r="K12" s="4"/>
      <c r="L12" s="4">
        <f>SUM(J12:K12)</f>
        <v>151.1</v>
      </c>
      <c r="M12" s="4">
        <f>J12*0.05</f>
        <v>7.5549999999999997</v>
      </c>
      <c r="N12" s="4">
        <f>J12-M12</f>
        <v>143.54499999999999</v>
      </c>
      <c r="O12" s="4"/>
      <c r="P12" s="4"/>
      <c r="Q12" s="4"/>
      <c r="R12" s="4">
        <f>N12-O12-P12-Q12</f>
        <v>143.54499999999999</v>
      </c>
    </row>
    <row r="13" spans="2:19" ht="16.5" customHeight="1" x14ac:dyDescent="0.25">
      <c r="F13" s="18">
        <f>SUM(F11:F12)</f>
        <v>5247.77</v>
      </c>
      <c r="G13" s="18"/>
      <c r="H13" s="18"/>
      <c r="I13" s="18"/>
      <c r="J13" s="18">
        <f t="shared" ref="J13" si="0">SUM(J11:J12)</f>
        <v>5247.77</v>
      </c>
      <c r="K13" s="18">
        <f t="shared" ref="K13" si="1">SUM(K11:K12)</f>
        <v>463.28730299999995</v>
      </c>
      <c r="L13" s="18">
        <f t="shared" ref="L13" si="2">SUM(L11:L12)</f>
        <v>5711.0573030000005</v>
      </c>
      <c r="M13" s="18">
        <f t="shared" ref="M13" si="3">SUM(M11:M12)</f>
        <v>262.38850000000002</v>
      </c>
      <c r="N13" s="18">
        <f t="shared" ref="N13" si="4">SUM(N11:N12)</f>
        <v>4985.3815000000004</v>
      </c>
      <c r="O13" s="18">
        <f t="shared" ref="O13" si="5">SUM(O11:O12)</f>
        <v>1000</v>
      </c>
      <c r="P13" s="18">
        <f t="shared" ref="P13" si="6">SUM(P11:P12)</f>
        <v>59.633100000000013</v>
      </c>
      <c r="Q13" s="18">
        <f t="shared" ref="Q13" si="7">SUM(Q11:Q12)</f>
        <v>500</v>
      </c>
      <c r="R13" s="18">
        <f t="shared" ref="R13" si="8">SUM(R11:R12)</f>
        <v>3425.7484000000004</v>
      </c>
      <c r="S13" s="18"/>
    </row>
    <row r="14" spans="2:19" ht="1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5" t="s">
        <v>17</v>
      </c>
      <c r="O14" s="55"/>
      <c r="P14" s="55"/>
      <c r="Q14" s="55"/>
      <c r="R14" s="55"/>
    </row>
    <row r="15" spans="2:19" ht="5.25" customHeight="1" thickBot="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9" ht="16.5" customHeight="1" x14ac:dyDescent="0.25">
      <c r="B16" t="s">
        <v>99</v>
      </c>
      <c r="F16" t="s">
        <v>100</v>
      </c>
    </row>
    <row r="17" spans="2:18" ht="15.75" customHeight="1" x14ac:dyDescent="0.25">
      <c r="B17" t="s">
        <v>37</v>
      </c>
      <c r="D17" s="39">
        <v>24</v>
      </c>
      <c r="E17" s="34">
        <v>190.6</v>
      </c>
      <c r="F17" s="4">
        <v>4210</v>
      </c>
      <c r="G17" s="4"/>
      <c r="H17" s="4"/>
      <c r="I17" s="4"/>
      <c r="J17" s="4">
        <f>SUM(F17:I17)</f>
        <v>4210</v>
      </c>
      <c r="K17" s="4">
        <f>J17*0.0909</f>
        <v>382.68899999999996</v>
      </c>
      <c r="L17" s="4">
        <f>SUM(J17:K17)</f>
        <v>4592.6890000000003</v>
      </c>
      <c r="M17" s="4">
        <f>J17*0.05</f>
        <v>210.5</v>
      </c>
      <c r="N17" s="4">
        <f>J17-M17</f>
        <v>3999.5</v>
      </c>
      <c r="O17" s="4">
        <v>1000</v>
      </c>
      <c r="P17" s="4">
        <f>(J20-3260)*0.03</f>
        <v>36.546600000000005</v>
      </c>
      <c r="Q17" s="4"/>
      <c r="R17" s="4">
        <f>N17-O17-P17-Q17</f>
        <v>2962.9533999999999</v>
      </c>
    </row>
    <row r="18" spans="2:18" ht="15.75" customHeight="1" x14ac:dyDescent="0.25">
      <c r="B18" t="s">
        <v>125</v>
      </c>
      <c r="D18" s="39">
        <v>1</v>
      </c>
      <c r="E18" s="34">
        <v>8</v>
      </c>
      <c r="F18" s="4">
        <v>175.42</v>
      </c>
      <c r="G18" s="4"/>
      <c r="H18" s="4"/>
      <c r="I18" s="4"/>
      <c r="J18" s="4">
        <f t="shared" ref="J18:J19" si="9">SUM(F18:I18)</f>
        <v>175.42</v>
      </c>
      <c r="K18" s="4">
        <f t="shared" ref="K18:K19" si="10">J18*0.0909</f>
        <v>15.945677999999997</v>
      </c>
      <c r="L18" s="4">
        <f t="shared" ref="L18:L19" si="11">SUM(J18:K18)</f>
        <v>191.36567799999997</v>
      </c>
      <c r="M18" s="4">
        <f t="shared" ref="M18:M19" si="12">J18*0.05</f>
        <v>8.770999999999999</v>
      </c>
      <c r="N18" s="4">
        <f t="shared" ref="N18:N19" si="13">J18-M18</f>
        <v>166.649</v>
      </c>
      <c r="O18" s="4"/>
      <c r="P18" s="4"/>
      <c r="Q18" s="4"/>
      <c r="R18" s="4">
        <f t="shared" ref="R18:R19" si="14">N18-O18-P18-Q18</f>
        <v>166.649</v>
      </c>
    </row>
    <row r="19" spans="2:18" ht="15.75" customHeight="1" x14ac:dyDescent="0.25">
      <c r="B19" t="s">
        <v>126</v>
      </c>
      <c r="D19" s="39"/>
      <c r="E19" s="34"/>
      <c r="F19" s="4"/>
      <c r="G19" s="4"/>
      <c r="H19" s="4">
        <v>92.8</v>
      </c>
      <c r="I19" s="4"/>
      <c r="J19" s="4">
        <f t="shared" si="9"/>
        <v>92.8</v>
      </c>
      <c r="K19" s="4">
        <f t="shared" si="10"/>
        <v>8.4355199999999986</v>
      </c>
      <c r="L19" s="4">
        <f t="shared" si="11"/>
        <v>101.23551999999999</v>
      </c>
      <c r="M19" s="4">
        <f t="shared" si="12"/>
        <v>4.6399999999999997</v>
      </c>
      <c r="N19" s="4">
        <f t="shared" si="13"/>
        <v>88.16</v>
      </c>
      <c r="O19" s="4"/>
      <c r="P19" s="4"/>
      <c r="Q19" s="4"/>
      <c r="R19" s="4">
        <f t="shared" si="14"/>
        <v>88.16</v>
      </c>
    </row>
    <row r="20" spans="2:18" ht="16.5" customHeight="1" x14ac:dyDescent="0.25">
      <c r="F20" s="18">
        <f>SUM(F17:F19)</f>
        <v>4385.42</v>
      </c>
      <c r="G20" s="18"/>
      <c r="H20" s="18">
        <f t="shared" ref="H20:R20" si="15">SUM(H17:H19)</f>
        <v>92.8</v>
      </c>
      <c r="I20" s="18"/>
      <c r="J20" s="18">
        <f t="shared" si="15"/>
        <v>4478.22</v>
      </c>
      <c r="K20" s="18">
        <f t="shared" si="15"/>
        <v>407.07019799999995</v>
      </c>
      <c r="L20" s="18">
        <f t="shared" si="15"/>
        <v>4885.2901980000006</v>
      </c>
      <c r="M20" s="18">
        <f t="shared" si="15"/>
        <v>223.91099999999997</v>
      </c>
      <c r="N20" s="18">
        <f t="shared" si="15"/>
        <v>4254.3090000000002</v>
      </c>
      <c r="O20" s="18">
        <f t="shared" si="15"/>
        <v>1000</v>
      </c>
      <c r="P20" s="18">
        <f t="shared" si="15"/>
        <v>36.546600000000005</v>
      </c>
      <c r="Q20" s="18"/>
      <c r="R20" s="18">
        <f t="shared" si="15"/>
        <v>3217.7623999999996</v>
      </c>
    </row>
    <row r="21" spans="2:18" ht="16.5" customHeight="1" x14ac:dyDescent="0.25">
      <c r="B21" s="2"/>
      <c r="C21" s="2"/>
      <c r="D21" s="2"/>
      <c r="E21" s="2"/>
      <c r="F21" s="2"/>
      <c r="G21" s="2"/>
      <c r="H21" s="10"/>
      <c r="I21" s="10"/>
      <c r="J21" s="2"/>
      <c r="K21" s="2"/>
      <c r="L21" s="2"/>
      <c r="M21" s="2"/>
      <c r="N21" s="55" t="s">
        <v>17</v>
      </c>
      <c r="O21" s="55"/>
      <c r="P21" s="55"/>
      <c r="Q21" s="55"/>
      <c r="R21" s="55"/>
    </row>
    <row r="22" spans="2:18" ht="5.25" customHeight="1" thickBot="1" x14ac:dyDescent="0.3">
      <c r="B22" s="9"/>
      <c r="C22" s="9"/>
      <c r="D22" s="9"/>
      <c r="E22" s="9"/>
      <c r="F22" s="9"/>
      <c r="G22" s="9"/>
      <c r="H22" s="20"/>
      <c r="I22" s="20"/>
      <c r="J22" s="9"/>
      <c r="K22" s="9"/>
      <c r="L22" s="9"/>
      <c r="M22" s="9"/>
      <c r="N22" s="9"/>
      <c r="O22" s="9"/>
      <c r="P22" s="9"/>
      <c r="Q22" s="9"/>
      <c r="R22" s="9"/>
    </row>
    <row r="23" spans="2:18" ht="14.25" customHeight="1" x14ac:dyDescent="0.25">
      <c r="B23" t="s">
        <v>101</v>
      </c>
      <c r="F23" t="s">
        <v>102</v>
      </c>
      <c r="H23" s="39"/>
      <c r="I23" s="39"/>
    </row>
    <row r="24" spans="2:18" ht="16.5" customHeight="1" x14ac:dyDescent="0.25">
      <c r="B24" t="s">
        <v>37</v>
      </c>
      <c r="D24" s="39">
        <v>24</v>
      </c>
      <c r="E24" s="4">
        <v>190.6</v>
      </c>
      <c r="F24" s="23">
        <v>3410</v>
      </c>
      <c r="G24" s="23"/>
      <c r="H24" s="23"/>
      <c r="I24" s="23"/>
      <c r="J24" s="4">
        <f>SUM(F24:I24)</f>
        <v>3410</v>
      </c>
      <c r="K24" s="4">
        <f>J24*0.0909</f>
        <v>309.96899999999999</v>
      </c>
      <c r="L24" s="4">
        <f>SUM(J24:K24)</f>
        <v>3719.9690000000001</v>
      </c>
      <c r="M24" s="4">
        <f>J24*0.05</f>
        <v>170.5</v>
      </c>
      <c r="N24" s="4">
        <f>J24-M24</f>
        <v>3239.5</v>
      </c>
      <c r="O24" s="4">
        <v>1000</v>
      </c>
      <c r="P24" s="4">
        <f>(J27-3260)*0.03</f>
        <v>12.546600000000007</v>
      </c>
      <c r="Q24" s="4">
        <v>600</v>
      </c>
      <c r="R24" s="4">
        <f>N24-O24-P24-Q24</f>
        <v>1626.9533999999999</v>
      </c>
    </row>
    <row r="25" spans="2:18" ht="16.5" customHeight="1" x14ac:dyDescent="0.25">
      <c r="B25" t="s">
        <v>125</v>
      </c>
      <c r="D25" s="39">
        <v>1</v>
      </c>
      <c r="E25" s="4">
        <v>8</v>
      </c>
      <c r="F25" s="23">
        <v>175.42</v>
      </c>
      <c r="G25" s="23"/>
      <c r="H25" s="23"/>
      <c r="I25" s="23"/>
      <c r="J25" s="4">
        <f t="shared" ref="J25:J26" si="16">SUM(F25:I25)</f>
        <v>175.42</v>
      </c>
      <c r="K25" s="4">
        <f t="shared" ref="K25:K26" si="17">J25*0.0909</f>
        <v>15.945677999999997</v>
      </c>
      <c r="L25" s="4">
        <f t="shared" ref="L25:L26" si="18">SUM(J25:K25)</f>
        <v>191.36567799999997</v>
      </c>
      <c r="M25" s="4">
        <f t="shared" ref="M25:M26" si="19">J25*0.05</f>
        <v>8.770999999999999</v>
      </c>
      <c r="N25" s="4">
        <f t="shared" ref="N25:N26" si="20">J25-M25</f>
        <v>166.649</v>
      </c>
      <c r="O25" s="4"/>
      <c r="P25" s="4"/>
      <c r="Q25" s="4"/>
      <c r="R25" s="4">
        <f t="shared" ref="R25:R26" si="21">N25-O25-P25-Q25</f>
        <v>166.649</v>
      </c>
    </row>
    <row r="26" spans="2:18" ht="16.5" customHeight="1" x14ac:dyDescent="0.25">
      <c r="B26" t="s">
        <v>126</v>
      </c>
      <c r="D26" s="39"/>
      <c r="E26" s="4"/>
      <c r="F26" s="23"/>
      <c r="G26" s="23"/>
      <c r="H26" s="23">
        <v>92.8</v>
      </c>
      <c r="I26" s="23"/>
      <c r="J26" s="4">
        <f t="shared" si="16"/>
        <v>92.8</v>
      </c>
      <c r="K26" s="4">
        <f t="shared" si="17"/>
        <v>8.4355199999999986</v>
      </c>
      <c r="L26" s="4">
        <f t="shared" si="18"/>
        <v>101.23551999999999</v>
      </c>
      <c r="M26" s="4">
        <f t="shared" si="19"/>
        <v>4.6399999999999997</v>
      </c>
      <c r="N26" s="4">
        <f t="shared" si="20"/>
        <v>88.16</v>
      </c>
      <c r="O26" s="4"/>
      <c r="P26" s="4"/>
      <c r="Q26" s="4"/>
      <c r="R26" s="4">
        <f t="shared" si="21"/>
        <v>88.16</v>
      </c>
    </row>
    <row r="27" spans="2:18" ht="19.5" customHeight="1" x14ac:dyDescent="0.25">
      <c r="D27" s="39"/>
      <c r="E27" s="39"/>
      <c r="F27" s="18">
        <f>SUM(F24:F26)</f>
        <v>3585.42</v>
      </c>
      <c r="G27" s="18"/>
      <c r="H27" s="18">
        <f t="shared" ref="H27:R27" si="22">SUM(H24:H26)</f>
        <v>92.8</v>
      </c>
      <c r="I27" s="18"/>
      <c r="J27" s="18">
        <f t="shared" si="22"/>
        <v>3678.2200000000003</v>
      </c>
      <c r="K27" s="18">
        <f t="shared" si="22"/>
        <v>334.35019799999998</v>
      </c>
      <c r="L27" s="18">
        <f t="shared" si="22"/>
        <v>4012.5701980000003</v>
      </c>
      <c r="M27" s="18">
        <f t="shared" si="22"/>
        <v>183.91099999999997</v>
      </c>
      <c r="N27" s="18">
        <f t="shared" si="22"/>
        <v>3494.3089999999997</v>
      </c>
      <c r="O27" s="18">
        <f t="shared" si="22"/>
        <v>1000</v>
      </c>
      <c r="P27" s="18">
        <f t="shared" si="22"/>
        <v>12.546600000000007</v>
      </c>
      <c r="Q27" s="18">
        <f t="shared" si="22"/>
        <v>600</v>
      </c>
      <c r="R27" s="18">
        <f t="shared" si="22"/>
        <v>1881.7623999999998</v>
      </c>
    </row>
    <row r="28" spans="2:18" ht="18.75" customHeight="1" x14ac:dyDescent="0.25">
      <c r="N28" s="55" t="s">
        <v>17</v>
      </c>
      <c r="O28" s="55"/>
      <c r="P28" s="55"/>
      <c r="Q28" s="55"/>
      <c r="R28" s="55"/>
    </row>
    <row r="29" spans="2:18" ht="4.5" customHeight="1" thickBot="1" x14ac:dyDescent="0.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2:18" ht="16.5" customHeight="1" x14ac:dyDescent="0.25">
      <c r="B30" s="2" t="s">
        <v>103</v>
      </c>
      <c r="C30" s="2"/>
      <c r="D30" s="2"/>
      <c r="E30" s="2"/>
      <c r="F30" s="2" t="s">
        <v>104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 ht="16.5" customHeight="1" x14ac:dyDescent="0.25">
      <c r="B31" t="s">
        <v>37</v>
      </c>
      <c r="D31" s="10">
        <v>24</v>
      </c>
      <c r="E31" s="17">
        <v>190.6</v>
      </c>
      <c r="F31" s="17">
        <v>3410</v>
      </c>
      <c r="G31" s="19"/>
      <c r="H31" s="19"/>
      <c r="I31" s="19"/>
      <c r="J31" s="4">
        <f>SUM(F31:I31)</f>
        <v>3410</v>
      </c>
      <c r="K31" s="4">
        <f>J31*0.0909</f>
        <v>309.96899999999999</v>
      </c>
      <c r="L31" s="4">
        <f>SUM(J31:K31)</f>
        <v>3719.9690000000001</v>
      </c>
      <c r="M31" s="4">
        <f>J31*0.05</f>
        <v>170.5</v>
      </c>
      <c r="N31" s="4">
        <f>J31-M31</f>
        <v>3239.5</v>
      </c>
      <c r="O31" s="4">
        <v>1000</v>
      </c>
      <c r="P31" s="4">
        <f>(J33-3260)*0.03</f>
        <v>6.9359999999999946</v>
      </c>
      <c r="Q31" s="4"/>
      <c r="R31" s="4">
        <f>N31-O31-P31-Q31</f>
        <v>2232.5639999999999</v>
      </c>
    </row>
    <row r="32" spans="2:18" ht="16.5" customHeight="1" x14ac:dyDescent="0.25">
      <c r="B32" t="s">
        <v>126</v>
      </c>
      <c r="D32" s="10"/>
      <c r="E32" s="17"/>
      <c r="F32" s="17"/>
      <c r="G32" s="19"/>
      <c r="H32" s="19">
        <v>81.2</v>
      </c>
      <c r="I32" s="19"/>
      <c r="J32" s="4">
        <f>SUM(F32:I32)</f>
        <v>81.2</v>
      </c>
      <c r="K32" s="4">
        <f>J32*0.0909</f>
        <v>7.3810799999999999</v>
      </c>
      <c r="L32" s="4">
        <f>SUM(J32:K32)</f>
        <v>88.58108</v>
      </c>
      <c r="M32" s="4">
        <f>J32*0.05</f>
        <v>4.0600000000000005</v>
      </c>
      <c r="N32" s="4">
        <f>J32-M32</f>
        <v>77.14</v>
      </c>
      <c r="O32" s="4"/>
      <c r="P32" s="4"/>
      <c r="Q32" s="4"/>
      <c r="R32" s="4">
        <f>N32-O32-P32-Q32</f>
        <v>77.14</v>
      </c>
    </row>
    <row r="33" spans="2:18" ht="18.75" customHeight="1" x14ac:dyDescent="0.25">
      <c r="B33" s="2"/>
      <c r="C33" s="2"/>
      <c r="D33" s="2"/>
      <c r="E33" s="2"/>
      <c r="F33" s="18">
        <f>SUM(F31:F32)</f>
        <v>3410</v>
      </c>
      <c r="G33" s="18"/>
      <c r="H33" s="18">
        <f t="shared" ref="H33:R33" si="23">SUM(H31:H32)</f>
        <v>81.2</v>
      </c>
      <c r="I33" s="18"/>
      <c r="J33" s="18">
        <f t="shared" si="23"/>
        <v>3491.2</v>
      </c>
      <c r="K33" s="18">
        <f t="shared" si="23"/>
        <v>317.35007999999999</v>
      </c>
      <c r="L33" s="18">
        <f t="shared" si="23"/>
        <v>3808.55008</v>
      </c>
      <c r="M33" s="18">
        <f t="shared" si="23"/>
        <v>174.56</v>
      </c>
      <c r="N33" s="18">
        <f t="shared" si="23"/>
        <v>3316.64</v>
      </c>
      <c r="O33" s="18">
        <f t="shared" si="23"/>
        <v>1000</v>
      </c>
      <c r="P33" s="18">
        <f t="shared" si="23"/>
        <v>6.9359999999999946</v>
      </c>
      <c r="Q33" s="18"/>
      <c r="R33" s="18">
        <f t="shared" si="23"/>
        <v>2309.7039999999997</v>
      </c>
    </row>
    <row r="34" spans="2:18" ht="19.5" customHeight="1" thickBot="1" x14ac:dyDescent="0.3">
      <c r="B34" s="11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56" t="s">
        <v>17</v>
      </c>
      <c r="O34" s="56"/>
      <c r="P34" s="56"/>
      <c r="Q34" s="56"/>
      <c r="R34" s="56"/>
    </row>
    <row r="35" spans="2:18" ht="15.75" customHeight="1" x14ac:dyDescent="0.25">
      <c r="B35" t="s">
        <v>105</v>
      </c>
      <c r="F35" t="s">
        <v>106</v>
      </c>
    </row>
    <row r="36" spans="2:18" ht="15.75" customHeight="1" x14ac:dyDescent="0.25">
      <c r="B36" t="s">
        <v>37</v>
      </c>
      <c r="D36" s="10">
        <v>24</v>
      </c>
      <c r="E36" s="17">
        <v>190.6</v>
      </c>
      <c r="F36" s="17">
        <v>3410</v>
      </c>
      <c r="G36" s="19"/>
      <c r="H36" s="19"/>
      <c r="I36" s="19"/>
      <c r="J36" s="4">
        <f>SUM(F36:I36)</f>
        <v>3410</v>
      </c>
      <c r="K36" s="4">
        <f>J36*0.0909</f>
        <v>309.96899999999999</v>
      </c>
      <c r="L36" s="4">
        <f>SUM(J36:K36)</f>
        <v>3719.9690000000001</v>
      </c>
      <c r="M36" s="4">
        <f>J36*0.05</f>
        <v>170.5</v>
      </c>
      <c r="N36" s="4">
        <f>J36-M36</f>
        <v>3239.5</v>
      </c>
      <c r="O36" s="4">
        <v>1000</v>
      </c>
      <c r="P36" s="4">
        <f>(J38-3260)*0.03</f>
        <v>7.2840000000000051</v>
      </c>
      <c r="Q36" s="4"/>
      <c r="R36" s="4">
        <f>N36-O36-P36-Q36</f>
        <v>2232.2159999999999</v>
      </c>
    </row>
    <row r="37" spans="2:18" ht="15.75" customHeight="1" x14ac:dyDescent="0.25">
      <c r="B37" t="s">
        <v>126</v>
      </c>
      <c r="D37" s="10"/>
      <c r="E37" s="17"/>
      <c r="F37" s="17"/>
      <c r="G37" s="19"/>
      <c r="H37" s="19">
        <v>92.8</v>
      </c>
      <c r="I37" s="19"/>
      <c r="J37" s="4">
        <f>SUM(F37:I37)</f>
        <v>92.8</v>
      </c>
      <c r="K37" s="4">
        <f>J37*0.0909</f>
        <v>8.4355199999999986</v>
      </c>
      <c r="L37" s="4">
        <f>SUM(J37:K37)</f>
        <v>101.23551999999999</v>
      </c>
      <c r="M37" s="4">
        <f>J37*0.05</f>
        <v>4.6399999999999997</v>
      </c>
      <c r="N37" s="4">
        <f>J37-M37</f>
        <v>88.16</v>
      </c>
      <c r="O37" s="4"/>
      <c r="P37" s="4"/>
      <c r="Q37" s="4"/>
      <c r="R37" s="4">
        <f>N37-O37-P37-Q37</f>
        <v>88.16</v>
      </c>
    </row>
    <row r="38" spans="2:18" ht="16.5" customHeight="1" x14ac:dyDescent="0.25">
      <c r="F38" s="18">
        <f>SUM(F36:F37)</f>
        <v>3410</v>
      </c>
      <c r="G38" s="18"/>
      <c r="H38" s="18">
        <f t="shared" ref="H38:R38" si="24">SUM(H36:H37)</f>
        <v>92.8</v>
      </c>
      <c r="I38" s="18"/>
      <c r="J38" s="18">
        <f t="shared" si="24"/>
        <v>3502.8</v>
      </c>
      <c r="K38" s="18">
        <f t="shared" si="24"/>
        <v>318.40451999999999</v>
      </c>
      <c r="L38" s="18">
        <f t="shared" si="24"/>
        <v>3821.2045200000002</v>
      </c>
      <c r="M38" s="18">
        <f t="shared" si="24"/>
        <v>175.14</v>
      </c>
      <c r="N38" s="18">
        <f t="shared" si="24"/>
        <v>3327.66</v>
      </c>
      <c r="O38" s="18">
        <f t="shared" si="24"/>
        <v>1000</v>
      </c>
      <c r="P38" s="18">
        <f t="shared" si="24"/>
        <v>7.2840000000000051</v>
      </c>
      <c r="Q38" s="18"/>
      <c r="R38" s="18">
        <f t="shared" si="24"/>
        <v>2320.3759999999997</v>
      </c>
    </row>
    <row r="39" spans="2:18" ht="15.75" customHeight="1" x14ac:dyDescent="0.25">
      <c r="B39" s="2"/>
      <c r="C39" s="2"/>
      <c r="D39" s="2"/>
      <c r="E39" s="2"/>
      <c r="F39" s="25"/>
      <c r="G39" s="2"/>
      <c r="H39" s="2"/>
      <c r="I39" s="2"/>
      <c r="J39" s="2"/>
      <c r="K39" s="2"/>
      <c r="L39" s="2"/>
      <c r="M39" s="3"/>
      <c r="N39" s="55" t="s">
        <v>17</v>
      </c>
      <c r="O39" s="55"/>
      <c r="P39" s="55"/>
      <c r="Q39" s="55"/>
      <c r="R39" s="55"/>
    </row>
    <row r="40" spans="2:18" ht="4.5" customHeight="1" thickBot="1" x14ac:dyDescent="0.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1"/>
      <c r="N40" s="9"/>
      <c r="O40" s="9"/>
      <c r="P40" s="9"/>
      <c r="Q40" s="9"/>
      <c r="R40" s="9"/>
    </row>
    <row r="41" spans="2:18" ht="4.5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</row>
    <row r="42" spans="2:18" ht="15" customHeight="1" x14ac:dyDescent="0.25">
      <c r="B42" s="2" t="s">
        <v>107</v>
      </c>
      <c r="C42" s="2"/>
      <c r="D42" s="2"/>
      <c r="E42" s="2"/>
      <c r="F42" s="2" t="s">
        <v>108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ht="18.75" customHeight="1" x14ac:dyDescent="0.25">
      <c r="B43" t="s">
        <v>37</v>
      </c>
      <c r="D43" s="10">
        <v>24</v>
      </c>
      <c r="E43" s="17">
        <v>190.6</v>
      </c>
      <c r="F43" s="17">
        <v>2660</v>
      </c>
      <c r="G43" s="19"/>
      <c r="H43" s="19"/>
      <c r="I43" s="19"/>
      <c r="J43" s="4">
        <f>SUM(F43:I43)</f>
        <v>2660</v>
      </c>
      <c r="K43" s="4">
        <f>J43*0.0909</f>
        <v>241.79399999999998</v>
      </c>
      <c r="L43" s="4">
        <f>SUM(J43:K43)</f>
        <v>2901.7939999999999</v>
      </c>
      <c r="M43" s="4">
        <f>J43*0.05</f>
        <v>133</v>
      </c>
      <c r="N43" s="4">
        <f>J43-M43</f>
        <v>2527</v>
      </c>
      <c r="O43" s="4">
        <v>1000</v>
      </c>
      <c r="P43" s="4"/>
      <c r="Q43" s="4"/>
      <c r="R43" s="4">
        <f>N43-O43-P43-Q43</f>
        <v>1527</v>
      </c>
    </row>
    <row r="44" spans="2:18" ht="18.75" customHeight="1" x14ac:dyDescent="0.25">
      <c r="B44" t="s">
        <v>126</v>
      </c>
      <c r="D44" s="10"/>
      <c r="E44" s="17"/>
      <c r="F44" s="17"/>
      <c r="G44" s="19"/>
      <c r="H44" s="19">
        <v>116</v>
      </c>
      <c r="I44" s="19"/>
      <c r="J44" s="4">
        <f>SUM(F44:I44)</f>
        <v>116</v>
      </c>
      <c r="K44" s="4">
        <f>J44*0.0909</f>
        <v>10.5444</v>
      </c>
      <c r="L44" s="4">
        <f>SUM(J44:K44)</f>
        <v>126.5444</v>
      </c>
      <c r="M44" s="4">
        <f>J44*0.05</f>
        <v>5.8000000000000007</v>
      </c>
      <c r="N44" s="4">
        <f>J44-M44</f>
        <v>110.2</v>
      </c>
      <c r="O44" s="4"/>
      <c r="P44" s="4"/>
      <c r="Q44" s="4"/>
      <c r="R44" s="4">
        <f>N44-O44-P44-Q44</f>
        <v>110.2</v>
      </c>
    </row>
    <row r="45" spans="2:18" ht="18.75" customHeight="1" x14ac:dyDescent="0.25">
      <c r="B45" s="2"/>
      <c r="C45" s="2"/>
      <c r="D45" s="2"/>
      <c r="E45" s="2"/>
      <c r="F45" s="18">
        <f>SUM(F43:F44)</f>
        <v>2660</v>
      </c>
      <c r="G45" s="18"/>
      <c r="H45" s="18">
        <f t="shared" ref="H45:R45" si="25">SUM(H43:H44)</f>
        <v>116</v>
      </c>
      <c r="I45" s="18"/>
      <c r="J45" s="18">
        <f t="shared" si="25"/>
        <v>2776</v>
      </c>
      <c r="K45" s="18">
        <f t="shared" si="25"/>
        <v>252.33839999999998</v>
      </c>
      <c r="L45" s="18">
        <f t="shared" si="25"/>
        <v>3028.3383999999996</v>
      </c>
      <c r="M45" s="18">
        <f t="shared" si="25"/>
        <v>138.80000000000001</v>
      </c>
      <c r="N45" s="18">
        <f t="shared" si="25"/>
        <v>2637.2</v>
      </c>
      <c r="O45" s="18">
        <f t="shared" si="25"/>
        <v>1000</v>
      </c>
      <c r="P45" s="18"/>
      <c r="Q45" s="18"/>
      <c r="R45" s="18">
        <f t="shared" si="25"/>
        <v>1637.2</v>
      </c>
    </row>
    <row r="46" spans="2:18" ht="18.75" customHeight="1" thickBot="1" x14ac:dyDescent="0.3">
      <c r="B46" s="11"/>
      <c r="C46" s="11"/>
      <c r="D46" s="9"/>
      <c r="E46" s="9"/>
      <c r="F46" s="9"/>
      <c r="G46" s="9"/>
      <c r="H46" s="9"/>
      <c r="I46" s="9"/>
      <c r="J46" s="9"/>
      <c r="K46" s="9"/>
      <c r="L46" s="9"/>
      <c r="M46" s="9"/>
      <c r="N46" s="56" t="s">
        <v>17</v>
      </c>
      <c r="O46" s="56"/>
      <c r="P46" s="56"/>
      <c r="Q46" s="56"/>
      <c r="R46" s="56"/>
    </row>
    <row r="47" spans="2:18" ht="18.75" customHeight="1" x14ac:dyDescent="0.25">
      <c r="B47" s="2" t="s">
        <v>109</v>
      </c>
      <c r="C47" s="2"/>
      <c r="D47" s="2"/>
      <c r="E47" s="2"/>
      <c r="F47" s="2" t="s">
        <v>110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2:18" ht="18.75" customHeight="1" x14ac:dyDescent="0.25">
      <c r="B48" t="s">
        <v>37</v>
      </c>
      <c r="D48" s="10">
        <v>24</v>
      </c>
      <c r="E48" s="17">
        <v>190.6</v>
      </c>
      <c r="F48" s="17">
        <v>2660</v>
      </c>
      <c r="G48" s="19"/>
      <c r="H48" s="19"/>
      <c r="I48" s="19"/>
      <c r="J48" s="4">
        <f>SUM(F48:I48)</f>
        <v>2660</v>
      </c>
      <c r="K48" s="4">
        <f>J48*0.0909</f>
        <v>241.79399999999998</v>
      </c>
      <c r="L48" s="4">
        <f>SUM(J48:K48)</f>
        <v>2901.7939999999999</v>
      </c>
      <c r="M48" s="4">
        <f>J48*0.05</f>
        <v>133</v>
      </c>
      <c r="N48" s="4">
        <f>J48-M48</f>
        <v>2527</v>
      </c>
      <c r="O48" s="4">
        <v>1000</v>
      </c>
      <c r="P48" s="4"/>
      <c r="Q48" s="4"/>
      <c r="R48" s="4">
        <f>N48-O48-P48-Q48</f>
        <v>1527</v>
      </c>
    </row>
    <row r="49" spans="2:21" ht="18.75" customHeight="1" x14ac:dyDescent="0.25">
      <c r="B49" t="s">
        <v>125</v>
      </c>
      <c r="D49" s="10">
        <v>2</v>
      </c>
      <c r="E49" s="17">
        <v>16</v>
      </c>
      <c r="F49" s="17">
        <v>110.83</v>
      </c>
      <c r="G49" s="19"/>
      <c r="H49" s="19"/>
      <c r="I49" s="19"/>
      <c r="J49" s="4">
        <f t="shared" ref="J49:J50" si="26">SUM(F49:I49)</f>
        <v>110.83</v>
      </c>
      <c r="K49" s="4">
        <f t="shared" ref="K49:K50" si="27">J49*0.0909</f>
        <v>10.074446999999999</v>
      </c>
      <c r="L49" s="4">
        <f t="shared" ref="L49:L50" si="28">SUM(J49:K49)</f>
        <v>120.904447</v>
      </c>
      <c r="M49" s="4">
        <f t="shared" ref="M49:M50" si="29">J49*0.05</f>
        <v>5.5415000000000001</v>
      </c>
      <c r="N49" s="4">
        <f t="shared" ref="N49:N50" si="30">J49-M49</f>
        <v>105.2885</v>
      </c>
      <c r="O49" s="4"/>
      <c r="P49" s="4"/>
      <c r="Q49" s="4"/>
      <c r="R49" s="4">
        <f t="shared" ref="R49:R50" si="31">N49-O49-P49-Q49</f>
        <v>105.2885</v>
      </c>
    </row>
    <row r="50" spans="2:21" ht="18.75" customHeight="1" x14ac:dyDescent="0.25">
      <c r="B50" t="s">
        <v>126</v>
      </c>
      <c r="D50" s="10"/>
      <c r="E50" s="17"/>
      <c r="F50" s="17"/>
      <c r="G50" s="19"/>
      <c r="H50" s="19">
        <v>127.6</v>
      </c>
      <c r="I50" s="19"/>
      <c r="J50" s="4">
        <f t="shared" si="26"/>
        <v>127.6</v>
      </c>
      <c r="K50" s="4">
        <f t="shared" si="27"/>
        <v>11.598839999999999</v>
      </c>
      <c r="L50" s="4">
        <f t="shared" si="28"/>
        <v>139.19883999999999</v>
      </c>
      <c r="M50" s="4">
        <f t="shared" si="29"/>
        <v>6.38</v>
      </c>
      <c r="N50" s="4">
        <f t="shared" si="30"/>
        <v>121.22</v>
      </c>
      <c r="O50" s="4"/>
      <c r="P50" s="4"/>
      <c r="Q50" s="4"/>
      <c r="R50" s="4">
        <f t="shared" si="31"/>
        <v>121.22</v>
      </c>
    </row>
    <row r="51" spans="2:21" ht="19.5" customHeight="1" x14ac:dyDescent="0.25">
      <c r="B51" s="2"/>
      <c r="C51" s="2"/>
      <c r="D51" s="2"/>
      <c r="E51" s="2"/>
      <c r="F51" s="18">
        <f>SUM(F48:F50)</f>
        <v>2770.83</v>
      </c>
      <c r="G51" s="18"/>
      <c r="H51" s="18">
        <f t="shared" ref="H51:R51" si="32">SUM(H48:H50)</f>
        <v>127.6</v>
      </c>
      <c r="I51" s="18"/>
      <c r="J51" s="18">
        <f t="shared" si="32"/>
        <v>2898.43</v>
      </c>
      <c r="K51" s="18">
        <f t="shared" si="32"/>
        <v>263.467287</v>
      </c>
      <c r="L51" s="18">
        <f t="shared" si="32"/>
        <v>3161.8972869999998</v>
      </c>
      <c r="M51" s="18">
        <f t="shared" si="32"/>
        <v>144.92150000000001</v>
      </c>
      <c r="N51" s="18">
        <f t="shared" si="32"/>
        <v>2753.5084999999999</v>
      </c>
      <c r="O51" s="18">
        <f t="shared" si="32"/>
        <v>1000</v>
      </c>
      <c r="P51" s="18"/>
      <c r="Q51" s="18"/>
      <c r="R51" s="18">
        <f t="shared" si="32"/>
        <v>1753.5085000000001</v>
      </c>
    </row>
    <row r="52" spans="2:21" ht="18.75" customHeight="1" thickBot="1" x14ac:dyDescent="0.3">
      <c r="B52" s="11"/>
      <c r="C52" s="11"/>
      <c r="D52" s="9"/>
      <c r="E52" s="9"/>
      <c r="F52" s="9"/>
      <c r="G52" s="9"/>
      <c r="H52" s="9"/>
      <c r="I52" s="9"/>
      <c r="J52" s="9"/>
      <c r="K52" s="9"/>
      <c r="L52" s="9"/>
      <c r="M52" s="9"/>
      <c r="N52" s="56" t="s">
        <v>17</v>
      </c>
      <c r="O52" s="56"/>
      <c r="P52" s="56"/>
      <c r="Q52" s="56"/>
      <c r="R52" s="56"/>
    </row>
    <row r="53" spans="2:21" ht="18.75" customHeight="1" x14ac:dyDescent="0.25">
      <c r="B53" s="13" t="s">
        <v>16</v>
      </c>
      <c r="D53" s="2"/>
      <c r="E53" s="2"/>
      <c r="F53" s="44">
        <f>F13+F20+F33+F27+F38+F45+F51</f>
        <v>25469.440000000002</v>
      </c>
      <c r="G53" s="44"/>
      <c r="H53" s="44">
        <f t="shared" ref="H53:R53" si="33">H13+H20+H33+H27+H38+H45+H51</f>
        <v>603.20000000000005</v>
      </c>
      <c r="I53" s="44"/>
      <c r="J53" s="44">
        <f t="shared" si="33"/>
        <v>26072.640000000003</v>
      </c>
      <c r="K53" s="44">
        <f t="shared" si="33"/>
        <v>2356.2679859999998</v>
      </c>
      <c r="L53" s="44">
        <f t="shared" si="33"/>
        <v>28428.907986000002</v>
      </c>
      <c r="M53" s="44">
        <f t="shared" si="33"/>
        <v>1303.6319999999998</v>
      </c>
      <c r="N53" s="44">
        <f t="shared" si="33"/>
        <v>24769.008000000002</v>
      </c>
      <c r="O53" s="44">
        <f t="shared" si="33"/>
        <v>7000</v>
      </c>
      <c r="P53" s="44">
        <f t="shared" si="33"/>
        <v>122.94630000000004</v>
      </c>
      <c r="Q53" s="44">
        <f t="shared" si="33"/>
        <v>1100</v>
      </c>
      <c r="R53" s="44">
        <f t="shared" si="33"/>
        <v>16546.061700000002</v>
      </c>
    </row>
    <row r="54" spans="2:21" ht="17.25" customHeight="1" x14ac:dyDescent="0.25">
      <c r="B54" s="13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21" ht="12.75" customHeight="1" x14ac:dyDescent="0.25">
      <c r="B55" s="8" t="s">
        <v>20</v>
      </c>
      <c r="C55" s="26"/>
      <c r="D55" s="26"/>
      <c r="E55" s="26"/>
      <c r="F55" s="26"/>
      <c r="L55" s="1" t="s">
        <v>23</v>
      </c>
    </row>
    <row r="56" spans="2:21" x14ac:dyDescent="0.25">
      <c r="C56" s="49" t="s">
        <v>21</v>
      </c>
      <c r="D56" s="49"/>
      <c r="E56" s="49"/>
      <c r="M56" s="49" t="s">
        <v>24</v>
      </c>
      <c r="N56" s="49"/>
      <c r="O56" s="49"/>
      <c r="P56" s="39"/>
      <c r="Q56" s="39"/>
    </row>
    <row r="57" spans="2:21" ht="14.25" customHeight="1" x14ac:dyDescent="0.25">
      <c r="B57" s="1" t="s">
        <v>26</v>
      </c>
      <c r="L57" s="1" t="s">
        <v>27</v>
      </c>
    </row>
    <row r="58" spans="2:21" x14ac:dyDescent="0.25">
      <c r="C58" s="52" t="s">
        <v>22</v>
      </c>
      <c r="D58" s="52"/>
      <c r="E58" s="52"/>
      <c r="F58" s="52"/>
      <c r="N58" s="52" t="s">
        <v>25</v>
      </c>
      <c r="O58" s="52"/>
      <c r="P58" s="52"/>
      <c r="Q58" s="52"/>
      <c r="R58" s="52"/>
      <c r="T58" s="35">
        <f>J13+J20+J27+J33+J38-16300</f>
        <v>4098.2100000000028</v>
      </c>
      <c r="U58" s="35">
        <f>T58*0.03</f>
        <v>122.94630000000008</v>
      </c>
    </row>
  </sheetData>
  <mergeCells count="17">
    <mergeCell ref="B8:C8"/>
    <mergeCell ref="J2:N2"/>
    <mergeCell ref="K3:L3"/>
    <mergeCell ref="E5:F5"/>
    <mergeCell ref="J5:M5"/>
    <mergeCell ref="N5:R5"/>
    <mergeCell ref="C58:F58"/>
    <mergeCell ref="N58:R58"/>
    <mergeCell ref="N46:R46"/>
    <mergeCell ref="N52:R52"/>
    <mergeCell ref="N14:R14"/>
    <mergeCell ref="N21:R21"/>
    <mergeCell ref="N28:R28"/>
    <mergeCell ref="N34:R34"/>
    <mergeCell ref="N39:R39"/>
    <mergeCell ref="C56:E56"/>
    <mergeCell ref="M56:O56"/>
  </mergeCells>
  <pageMargins left="0.59055118110236227" right="0.15748031496062992" top="0.15748031496062992" bottom="0.15748031496062992" header="0.15748031496062992" footer="0.15748031496062992"/>
  <pageSetup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0"/>
  <sheetViews>
    <sheetView zoomScaleNormal="100" workbookViewId="0">
      <selection activeCell="B2" sqref="B2:R60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5" width="6.42578125" customWidth="1"/>
    <col min="6" max="6" width="10" customWidth="1"/>
    <col min="7" max="7" width="8.42578125" customWidth="1"/>
    <col min="8" max="9" width="6.28515625" customWidth="1"/>
    <col min="10" max="10" width="9.85546875" customWidth="1"/>
    <col min="11" max="11" width="8" customWidth="1"/>
    <col min="12" max="12" width="10.28515625" customWidth="1"/>
    <col min="13" max="13" width="7.7109375" customWidth="1"/>
    <col min="14" max="14" width="11" customWidth="1"/>
    <col min="15" max="15" width="7.7109375" customWidth="1"/>
    <col min="16" max="16" width="9.140625" customWidth="1"/>
    <col min="17" max="17" width="10.28515625" customWidth="1"/>
    <col min="18" max="18" width="11.28515625" customWidth="1"/>
  </cols>
  <sheetData>
    <row r="2" spans="2:18" ht="18.75" x14ac:dyDescent="0.4">
      <c r="B2" s="6" t="s">
        <v>12</v>
      </c>
      <c r="C2" t="s">
        <v>13</v>
      </c>
      <c r="J2" s="49" t="s">
        <v>14</v>
      </c>
      <c r="K2" s="49"/>
      <c r="L2" s="49"/>
      <c r="M2" s="49"/>
      <c r="N2" s="49"/>
      <c r="R2" s="41" t="s">
        <v>18</v>
      </c>
    </row>
    <row r="3" spans="2:18" ht="12" customHeight="1" x14ac:dyDescent="0.4">
      <c r="B3" s="6"/>
      <c r="K3" s="50" t="s">
        <v>15</v>
      </c>
      <c r="L3" s="50"/>
    </row>
    <row r="4" spans="2:18" x14ac:dyDescent="0.25">
      <c r="B4" s="8" t="s">
        <v>96</v>
      </c>
      <c r="C4" s="8"/>
      <c r="D4" s="8"/>
      <c r="E4" s="8"/>
      <c r="F4" s="8"/>
      <c r="J4" s="8" t="s">
        <v>8</v>
      </c>
      <c r="K4" s="8"/>
      <c r="L4" s="1"/>
      <c r="M4" s="1"/>
      <c r="N4" s="1" t="s">
        <v>10</v>
      </c>
      <c r="O4" s="1"/>
      <c r="P4" s="1"/>
      <c r="Q4" s="1"/>
      <c r="R4" s="1"/>
    </row>
    <row r="5" spans="2:18" ht="16.5" customHeight="1" x14ac:dyDescent="0.25">
      <c r="B5" s="1" t="s">
        <v>1</v>
      </c>
      <c r="C5" s="1"/>
      <c r="D5" s="1"/>
      <c r="E5" s="54" t="s">
        <v>34</v>
      </c>
      <c r="F5" s="54"/>
      <c r="J5" s="54" t="s">
        <v>9</v>
      </c>
      <c r="K5" s="54"/>
      <c r="L5" s="54"/>
      <c r="M5" s="54"/>
      <c r="N5" s="54" t="s">
        <v>11</v>
      </c>
      <c r="O5" s="54"/>
      <c r="P5" s="54"/>
      <c r="Q5" s="54"/>
      <c r="R5" s="54"/>
    </row>
    <row r="6" spans="2:18" x14ac:dyDescent="0.25">
      <c r="B6" s="1" t="s">
        <v>28</v>
      </c>
      <c r="C6" s="7" t="s">
        <v>19</v>
      </c>
      <c r="D6" s="1"/>
      <c r="E6" s="1"/>
      <c r="F6" s="7"/>
      <c r="G6" s="1"/>
      <c r="H6" s="8"/>
      <c r="I6" s="8"/>
      <c r="J6" s="1"/>
      <c r="K6" s="1"/>
      <c r="L6" s="1"/>
      <c r="M6" s="1"/>
      <c r="N6" s="1"/>
      <c r="O6" s="1"/>
      <c r="P6" s="1"/>
      <c r="Q6" s="1"/>
      <c r="R6" s="1"/>
    </row>
    <row r="7" spans="2:18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53" t="s">
        <v>2</v>
      </c>
      <c r="C8" s="53"/>
      <c r="D8" s="40" t="s">
        <v>3</v>
      </c>
      <c r="E8" s="40" t="s">
        <v>4</v>
      </c>
      <c r="F8" s="40" t="s">
        <v>5</v>
      </c>
      <c r="G8" s="40" t="s">
        <v>29</v>
      </c>
      <c r="H8" s="40" t="s">
        <v>6</v>
      </c>
      <c r="I8" s="40" t="s">
        <v>33</v>
      </c>
      <c r="J8" s="40" t="s">
        <v>7</v>
      </c>
      <c r="K8" s="40">
        <v>9.09</v>
      </c>
      <c r="L8" s="40" t="s">
        <v>7</v>
      </c>
      <c r="M8" s="30">
        <v>0.05</v>
      </c>
      <c r="N8" s="40" t="s">
        <v>7</v>
      </c>
      <c r="O8" s="40" t="s">
        <v>30</v>
      </c>
      <c r="P8" s="40" t="s">
        <v>32</v>
      </c>
      <c r="Q8" s="40" t="s">
        <v>31</v>
      </c>
      <c r="R8" s="40" t="s">
        <v>0</v>
      </c>
    </row>
    <row r="9" spans="2:18" ht="3" customHeight="1" thickBot="1" x14ac:dyDescent="0.3">
      <c r="B9" s="9"/>
      <c r="C9" s="9"/>
      <c r="D9" s="9"/>
      <c r="E9" s="9"/>
      <c r="F9" s="9"/>
      <c r="G9" s="9"/>
      <c r="H9" s="21"/>
      <c r="I9" s="21"/>
      <c r="J9" s="9"/>
      <c r="K9" s="9"/>
      <c r="L9" s="9"/>
      <c r="M9" s="9"/>
      <c r="N9" s="9"/>
      <c r="O9" s="9"/>
      <c r="P9" s="9"/>
      <c r="Q9" s="9"/>
      <c r="R9" s="9"/>
    </row>
    <row r="10" spans="2:18" ht="15" customHeight="1" x14ac:dyDescent="0.25">
      <c r="B10" t="s">
        <v>111</v>
      </c>
      <c r="F10" t="s">
        <v>112</v>
      </c>
      <c r="H10" s="4"/>
      <c r="I10" s="4"/>
    </row>
    <row r="11" spans="2:18" ht="16.5" customHeight="1" x14ac:dyDescent="0.25">
      <c r="B11" t="s">
        <v>37</v>
      </c>
      <c r="D11">
        <v>24</v>
      </c>
      <c r="E11" s="34">
        <v>190.6</v>
      </c>
      <c r="F11" s="4">
        <v>2660</v>
      </c>
      <c r="G11" s="4"/>
      <c r="H11" s="4"/>
      <c r="I11" s="4"/>
      <c r="J11" s="4">
        <f>SUM(F11:I11)</f>
        <v>2660</v>
      </c>
      <c r="K11" s="4">
        <f>J11*0.0909</f>
        <v>241.79399999999998</v>
      </c>
      <c r="L11" s="4">
        <f>SUM(J11:K11)</f>
        <v>2901.7939999999999</v>
      </c>
      <c r="M11" s="4">
        <f>J11*0.05</f>
        <v>133</v>
      </c>
      <c r="N11" s="4">
        <f>J11-M11</f>
        <v>2527</v>
      </c>
      <c r="O11" s="4">
        <v>1000</v>
      </c>
      <c r="P11" s="4"/>
      <c r="Q11" s="4"/>
      <c r="R11" s="4">
        <f>N11-O11-P11-Q11</f>
        <v>1527</v>
      </c>
    </row>
    <row r="12" spans="2:18" ht="16.5" customHeight="1" x14ac:dyDescent="0.25">
      <c r="B12" t="s">
        <v>126</v>
      </c>
      <c r="E12" s="34"/>
      <c r="F12" s="4"/>
      <c r="G12" s="4"/>
      <c r="H12" s="4">
        <v>116</v>
      </c>
      <c r="I12" s="4"/>
      <c r="J12" s="4">
        <f>SUM(F12:I12)</f>
        <v>116</v>
      </c>
      <c r="K12" s="4">
        <f>J12*0.0909</f>
        <v>10.5444</v>
      </c>
      <c r="L12" s="4">
        <f>SUM(J12:K12)</f>
        <v>126.5444</v>
      </c>
      <c r="M12" s="4">
        <f>J12*0.05</f>
        <v>5.8000000000000007</v>
      </c>
      <c r="N12" s="4">
        <f t="shared" ref="N12:N13" si="0">J12-M12</f>
        <v>110.2</v>
      </c>
      <c r="O12" s="4"/>
      <c r="P12" s="4"/>
      <c r="Q12" s="4"/>
      <c r="R12" s="4">
        <f>N12-O12-P12-Q12</f>
        <v>110.2</v>
      </c>
    </row>
    <row r="13" spans="2:18" ht="16.5" customHeight="1" x14ac:dyDescent="0.25">
      <c r="F13" s="18">
        <f>SUM(F11:F12)</f>
        <v>2660</v>
      </c>
      <c r="G13" s="18"/>
      <c r="H13" s="18">
        <f t="shared" ref="H13:R13" si="1">SUM(H11:H12)</f>
        <v>116</v>
      </c>
      <c r="I13" s="18"/>
      <c r="J13" s="18">
        <f t="shared" si="1"/>
        <v>2776</v>
      </c>
      <c r="K13" s="18">
        <f>SUM(K11:K12)-0.01</f>
        <v>252.32839999999999</v>
      </c>
      <c r="L13" s="18">
        <f>SUM(L11:L12)-0.01</f>
        <v>3028.3283999999994</v>
      </c>
      <c r="M13" s="18">
        <f t="shared" si="1"/>
        <v>138.80000000000001</v>
      </c>
      <c r="N13" s="4">
        <f t="shared" si="0"/>
        <v>2637.2</v>
      </c>
      <c r="O13" s="18">
        <f t="shared" si="1"/>
        <v>1000</v>
      </c>
      <c r="P13" s="18"/>
      <c r="Q13" s="18"/>
      <c r="R13" s="18">
        <f t="shared" si="1"/>
        <v>1637.2</v>
      </c>
    </row>
    <row r="14" spans="2:18" ht="1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55" t="s">
        <v>17</v>
      </c>
      <c r="O14" s="55"/>
      <c r="P14" s="55"/>
      <c r="Q14" s="55"/>
      <c r="R14" s="55"/>
    </row>
    <row r="15" spans="2:18" ht="8.25" customHeight="1" thickBot="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2:18" ht="16.5" customHeight="1" x14ac:dyDescent="0.25">
      <c r="B16" t="s">
        <v>113</v>
      </c>
      <c r="F16" t="s">
        <v>114</v>
      </c>
    </row>
    <row r="17" spans="2:18" ht="15.75" customHeight="1" x14ac:dyDescent="0.25">
      <c r="B17" t="s">
        <v>37</v>
      </c>
      <c r="D17" s="39">
        <v>24</v>
      </c>
      <c r="E17" s="34">
        <v>190.6</v>
      </c>
      <c r="F17" s="4">
        <v>2660</v>
      </c>
      <c r="G17" s="4"/>
      <c r="H17" s="4"/>
      <c r="I17" s="4"/>
      <c r="J17" s="4">
        <f>SUM(F17:I17)</f>
        <v>2660</v>
      </c>
      <c r="K17" s="4">
        <f>J17*0.0909</f>
        <v>241.79399999999998</v>
      </c>
      <c r="L17" s="4">
        <f>SUM(J17:K17)</f>
        <v>2901.7939999999999</v>
      </c>
      <c r="M17" s="4">
        <f>J17*0.05</f>
        <v>133</v>
      </c>
      <c r="N17" s="4">
        <f>J17-M17</f>
        <v>2527</v>
      </c>
      <c r="O17" s="4">
        <v>1000</v>
      </c>
      <c r="P17" s="4"/>
      <c r="Q17" s="4"/>
      <c r="R17" s="4">
        <f>N17-O17-P17-Q17</f>
        <v>1527</v>
      </c>
    </row>
    <row r="18" spans="2:18" ht="15.75" customHeight="1" x14ac:dyDescent="0.25">
      <c r="B18" t="s">
        <v>125</v>
      </c>
      <c r="D18" s="39">
        <v>2</v>
      </c>
      <c r="E18" s="34"/>
      <c r="F18" s="4">
        <v>110.83</v>
      </c>
      <c r="G18" s="4"/>
      <c r="H18" s="4"/>
      <c r="I18" s="4"/>
      <c r="J18" s="4">
        <f t="shared" ref="J18:J19" si="2">SUM(F18:I18)</f>
        <v>110.83</v>
      </c>
      <c r="K18" s="4">
        <f t="shared" ref="K18:K19" si="3">J18*0.0909</f>
        <v>10.074446999999999</v>
      </c>
      <c r="L18" s="4">
        <f t="shared" ref="L18:L19" si="4">SUM(J18:K18)</f>
        <v>120.904447</v>
      </c>
      <c r="M18" s="4">
        <f t="shared" ref="M18:M19" si="5">J18*0.05</f>
        <v>5.5415000000000001</v>
      </c>
      <c r="N18" s="4">
        <f t="shared" ref="N18:N19" si="6">J18-M18</f>
        <v>105.2885</v>
      </c>
      <c r="O18" s="4"/>
      <c r="P18" s="4"/>
      <c r="Q18" s="4"/>
      <c r="R18" s="4">
        <f t="shared" ref="R18:R19" si="7">N18-O18-P18-Q18</f>
        <v>105.2885</v>
      </c>
    </row>
    <row r="19" spans="2:18" ht="15.75" customHeight="1" x14ac:dyDescent="0.25">
      <c r="B19" t="s">
        <v>126</v>
      </c>
      <c r="D19" s="39"/>
      <c r="E19" s="34"/>
      <c r="F19" s="4"/>
      <c r="G19" s="4"/>
      <c r="H19" s="4">
        <v>116</v>
      </c>
      <c r="I19" s="4"/>
      <c r="J19" s="4">
        <f t="shared" si="2"/>
        <v>116</v>
      </c>
      <c r="K19" s="4">
        <f t="shared" si="3"/>
        <v>10.5444</v>
      </c>
      <c r="L19" s="4">
        <f t="shared" si="4"/>
        <v>126.5444</v>
      </c>
      <c r="M19" s="4">
        <f t="shared" si="5"/>
        <v>5.8000000000000007</v>
      </c>
      <c r="N19" s="4">
        <f t="shared" si="6"/>
        <v>110.2</v>
      </c>
      <c r="O19" s="4"/>
      <c r="P19" s="4"/>
      <c r="Q19" s="4"/>
      <c r="R19" s="4">
        <f t="shared" si="7"/>
        <v>110.2</v>
      </c>
    </row>
    <row r="20" spans="2:18" ht="16.5" customHeight="1" x14ac:dyDescent="0.25">
      <c r="F20" s="18">
        <f>SUM(F17:F19)</f>
        <v>2770.83</v>
      </c>
      <c r="G20" s="18"/>
      <c r="H20" s="18">
        <f t="shared" ref="H20:O20" si="8">SUM(H17:H19)</f>
        <v>116</v>
      </c>
      <c r="I20" s="18"/>
      <c r="J20" s="18">
        <f t="shared" si="8"/>
        <v>2886.83</v>
      </c>
      <c r="K20" s="18">
        <f>SUM(K17:K19)-0.01</f>
        <v>262.40284700000001</v>
      </c>
      <c r="L20" s="18">
        <f>SUM(L17:L19)-0.01</f>
        <v>3149.2328469999993</v>
      </c>
      <c r="M20" s="18">
        <f t="shared" si="8"/>
        <v>144.34150000000002</v>
      </c>
      <c r="N20" s="18">
        <f t="shared" si="8"/>
        <v>2742.4884999999999</v>
      </c>
      <c r="O20" s="18">
        <f t="shared" si="8"/>
        <v>1000</v>
      </c>
      <c r="P20" s="18"/>
      <c r="Q20" s="18"/>
      <c r="R20" s="18">
        <f>SUM(R17:R19)</f>
        <v>1742.4885000000002</v>
      </c>
    </row>
    <row r="21" spans="2:18" ht="16.5" customHeight="1" x14ac:dyDescent="0.25">
      <c r="B21" s="2"/>
      <c r="C21" s="2"/>
      <c r="D21" s="2"/>
      <c r="E21" s="2"/>
      <c r="F21" s="2"/>
      <c r="G21" s="2"/>
      <c r="H21" s="10"/>
      <c r="I21" s="10"/>
      <c r="J21" s="2"/>
      <c r="K21" s="2"/>
      <c r="L21" s="2"/>
      <c r="M21" s="2"/>
      <c r="N21" s="55" t="s">
        <v>17</v>
      </c>
      <c r="O21" s="55"/>
      <c r="P21" s="55"/>
      <c r="Q21" s="55"/>
      <c r="R21" s="55"/>
    </row>
    <row r="22" spans="2:18" ht="8.25" customHeight="1" thickBot="1" x14ac:dyDescent="0.3">
      <c r="B22" s="9"/>
      <c r="C22" s="9"/>
      <c r="D22" s="9"/>
      <c r="E22" s="9"/>
      <c r="F22" s="9"/>
      <c r="G22" s="9"/>
      <c r="H22" s="20"/>
      <c r="I22" s="20"/>
      <c r="J22" s="9"/>
      <c r="K22" s="9"/>
      <c r="L22" s="9"/>
      <c r="M22" s="9"/>
      <c r="N22" s="9"/>
      <c r="O22" s="9"/>
      <c r="P22" s="9"/>
      <c r="Q22" s="9"/>
      <c r="R22" s="9"/>
    </row>
    <row r="23" spans="2:18" ht="14.25" customHeight="1" x14ac:dyDescent="0.25">
      <c r="B23" t="s">
        <v>115</v>
      </c>
      <c r="F23" t="s">
        <v>116</v>
      </c>
      <c r="H23" s="39"/>
      <c r="I23" s="39"/>
    </row>
    <row r="24" spans="2:18" ht="16.5" customHeight="1" x14ac:dyDescent="0.25">
      <c r="B24" t="s">
        <v>37</v>
      </c>
      <c r="D24" s="39">
        <v>24</v>
      </c>
      <c r="E24" s="4">
        <v>190.6</v>
      </c>
      <c r="F24" s="23">
        <v>2660</v>
      </c>
      <c r="G24" s="23"/>
      <c r="H24" s="23"/>
      <c r="I24" s="23"/>
      <c r="J24" s="4">
        <f>SUM(F24:I24)</f>
        <v>2660</v>
      </c>
      <c r="K24" s="4">
        <f>J24*0.0909</f>
        <v>241.79399999999998</v>
      </c>
      <c r="L24" s="4">
        <f>SUM(J24:K24)</f>
        <v>2901.7939999999999</v>
      </c>
      <c r="M24" s="4">
        <f>J24*0.05</f>
        <v>133</v>
      </c>
      <c r="N24" s="4">
        <f>J24-M24</f>
        <v>2527</v>
      </c>
      <c r="O24" s="4">
        <v>1000</v>
      </c>
      <c r="P24" s="4"/>
      <c r="Q24" s="4"/>
      <c r="R24" s="4">
        <f>N24-O24-P24-Q24</f>
        <v>1527</v>
      </c>
    </row>
    <row r="25" spans="2:18" ht="16.5" customHeight="1" x14ac:dyDescent="0.25">
      <c r="B25" t="s">
        <v>126</v>
      </c>
      <c r="D25" s="39"/>
      <c r="E25" s="4"/>
      <c r="F25" s="23"/>
      <c r="G25" s="23"/>
      <c r="H25" s="23">
        <v>92.8</v>
      </c>
      <c r="I25" s="23"/>
      <c r="J25" s="4">
        <f>SUM(F25:I25)</f>
        <v>92.8</v>
      </c>
      <c r="K25" s="4">
        <f>J25*0.0909</f>
        <v>8.4355199999999986</v>
      </c>
      <c r="L25" s="4">
        <f>SUM(J25:K25)</f>
        <v>101.23551999999999</v>
      </c>
      <c r="M25" s="4">
        <f>J25*0.05</f>
        <v>4.6399999999999997</v>
      </c>
      <c r="N25" s="4">
        <f>J25-M25</f>
        <v>88.16</v>
      </c>
      <c r="O25" s="4"/>
      <c r="P25" s="4"/>
      <c r="Q25" s="4"/>
      <c r="R25" s="4">
        <f>N25-O25-P25-Q25</f>
        <v>88.16</v>
      </c>
    </row>
    <row r="26" spans="2:18" ht="19.5" customHeight="1" x14ac:dyDescent="0.25">
      <c r="D26" s="39"/>
      <c r="E26" s="39"/>
      <c r="F26" s="18">
        <f>SUM(F24:F25)</f>
        <v>2660</v>
      </c>
      <c r="G26" s="18"/>
      <c r="H26" s="18">
        <f t="shared" ref="H26:R26" si="9">SUM(H24:H25)</f>
        <v>92.8</v>
      </c>
      <c r="I26" s="18"/>
      <c r="J26" s="18">
        <f t="shared" si="9"/>
        <v>2752.8</v>
      </c>
      <c r="K26" s="18">
        <f t="shared" si="9"/>
        <v>250.22951999999998</v>
      </c>
      <c r="L26" s="18">
        <f t="shared" si="9"/>
        <v>3003.02952</v>
      </c>
      <c r="M26" s="18">
        <f t="shared" si="9"/>
        <v>137.63999999999999</v>
      </c>
      <c r="N26" s="18">
        <f t="shared" si="9"/>
        <v>2615.16</v>
      </c>
      <c r="O26" s="18">
        <f t="shared" si="9"/>
        <v>1000</v>
      </c>
      <c r="P26" s="18"/>
      <c r="Q26" s="18"/>
      <c r="R26" s="18">
        <f t="shared" si="9"/>
        <v>1615.16</v>
      </c>
    </row>
    <row r="27" spans="2:18" ht="18.75" customHeight="1" x14ac:dyDescent="0.25">
      <c r="N27" s="55" t="s">
        <v>17</v>
      </c>
      <c r="O27" s="55"/>
      <c r="P27" s="55"/>
      <c r="Q27" s="55"/>
      <c r="R27" s="55"/>
    </row>
    <row r="28" spans="2:18" ht="9.75" customHeight="1" thickBot="1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2:18" ht="16.5" customHeight="1" x14ac:dyDescent="0.25">
      <c r="B29" s="2" t="s">
        <v>117</v>
      </c>
      <c r="C29" s="2"/>
      <c r="D29" s="2"/>
      <c r="E29" s="2"/>
      <c r="F29" s="2" t="s">
        <v>118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2:18" ht="16.5" customHeight="1" x14ac:dyDescent="0.25">
      <c r="B30" t="s">
        <v>37</v>
      </c>
      <c r="D30" s="10">
        <v>24</v>
      </c>
      <c r="E30" s="17">
        <v>190.6</v>
      </c>
      <c r="F30" s="17">
        <v>2660</v>
      </c>
      <c r="G30" s="19"/>
      <c r="H30" s="19"/>
      <c r="I30" s="19"/>
      <c r="J30" s="4">
        <f>SUM(F30:I30)</f>
        <v>2660</v>
      </c>
      <c r="K30" s="4">
        <f>J30*0.0909</f>
        <v>241.79399999999998</v>
      </c>
      <c r="L30" s="4">
        <f>SUM(J30:K30)</f>
        <v>2901.7939999999999</v>
      </c>
      <c r="M30" s="4">
        <f>J30*0.05</f>
        <v>133</v>
      </c>
      <c r="N30" s="4">
        <f>J30-M30</f>
        <v>2527</v>
      </c>
      <c r="O30" s="4">
        <v>1000</v>
      </c>
      <c r="P30" s="4"/>
      <c r="Q30" s="4"/>
      <c r="R30" s="4">
        <f>N30-O30-P30-Q30</f>
        <v>1527</v>
      </c>
    </row>
    <row r="31" spans="2:18" ht="16.5" customHeight="1" x14ac:dyDescent="0.25">
      <c r="B31" t="s">
        <v>125</v>
      </c>
      <c r="D31" s="10">
        <v>2</v>
      </c>
      <c r="E31" s="17">
        <v>16</v>
      </c>
      <c r="F31" s="17">
        <v>110.83</v>
      </c>
      <c r="G31" s="19"/>
      <c r="H31" s="19"/>
      <c r="I31" s="19"/>
      <c r="J31" s="4">
        <f t="shared" ref="J31:J32" si="10">SUM(F31:I31)</f>
        <v>110.83</v>
      </c>
      <c r="K31" s="4">
        <f t="shared" ref="K31:K32" si="11">J31*0.0909</f>
        <v>10.074446999999999</v>
      </c>
      <c r="L31" s="4">
        <f t="shared" ref="L31:L32" si="12">SUM(J31:K31)</f>
        <v>120.904447</v>
      </c>
      <c r="M31" s="4">
        <f t="shared" ref="M31:M32" si="13">J31*0.05</f>
        <v>5.5415000000000001</v>
      </c>
      <c r="N31" s="4">
        <f t="shared" ref="N31:N32" si="14">J31-M31</f>
        <v>105.2885</v>
      </c>
      <c r="O31" s="4"/>
      <c r="P31" s="4"/>
      <c r="Q31" s="4"/>
      <c r="R31" s="4">
        <f t="shared" ref="R31:R32" si="15">N31-O31-P31-Q31</f>
        <v>105.2885</v>
      </c>
    </row>
    <row r="32" spans="2:18" ht="16.5" customHeight="1" x14ac:dyDescent="0.25">
      <c r="B32" t="s">
        <v>126</v>
      </c>
      <c r="D32" s="10"/>
      <c r="E32" s="17"/>
      <c r="F32" s="17"/>
      <c r="G32" s="19"/>
      <c r="H32" s="19">
        <v>104.4</v>
      </c>
      <c r="I32" s="19"/>
      <c r="J32" s="4">
        <f t="shared" si="10"/>
        <v>104.4</v>
      </c>
      <c r="K32" s="4">
        <f t="shared" si="11"/>
        <v>9.48996</v>
      </c>
      <c r="L32" s="4">
        <f t="shared" si="12"/>
        <v>113.88996</v>
      </c>
      <c r="M32" s="4">
        <f t="shared" si="13"/>
        <v>5.2200000000000006</v>
      </c>
      <c r="N32" s="4">
        <f t="shared" si="14"/>
        <v>99.18</v>
      </c>
      <c r="O32" s="4"/>
      <c r="P32" s="4"/>
      <c r="Q32" s="4"/>
      <c r="R32" s="4">
        <f t="shared" si="15"/>
        <v>99.18</v>
      </c>
    </row>
    <row r="33" spans="2:18" ht="18.75" customHeight="1" x14ac:dyDescent="0.25">
      <c r="B33" s="2"/>
      <c r="C33" s="2"/>
      <c r="D33" s="2"/>
      <c r="E33" s="2"/>
      <c r="F33" s="18">
        <f>SUM(F30:F32)</f>
        <v>2770.83</v>
      </c>
      <c r="G33" s="18"/>
      <c r="H33" s="18">
        <f t="shared" ref="H33:R33" si="16">SUM(H30:H32)</f>
        <v>104.4</v>
      </c>
      <c r="I33" s="18"/>
      <c r="J33" s="18">
        <f t="shared" si="16"/>
        <v>2875.23</v>
      </c>
      <c r="K33" s="18">
        <f>SUM(K30:K32)-0.01</f>
        <v>261.34840700000001</v>
      </c>
      <c r="L33" s="18">
        <f>SUM(L30:L32)-0.01</f>
        <v>3136.5784069999995</v>
      </c>
      <c r="M33" s="18">
        <f t="shared" si="16"/>
        <v>143.76150000000001</v>
      </c>
      <c r="N33" s="18">
        <f t="shared" si="16"/>
        <v>2731.4684999999999</v>
      </c>
      <c r="O33" s="18">
        <f t="shared" si="16"/>
        <v>1000</v>
      </c>
      <c r="P33" s="18"/>
      <c r="Q33" s="18"/>
      <c r="R33" s="18">
        <f t="shared" si="16"/>
        <v>1731.4685000000002</v>
      </c>
    </row>
    <row r="34" spans="2:18" ht="19.5" customHeight="1" thickBot="1" x14ac:dyDescent="0.3">
      <c r="B34" s="11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56" t="s">
        <v>17</v>
      </c>
      <c r="O34" s="56"/>
      <c r="P34" s="56"/>
      <c r="Q34" s="56"/>
      <c r="R34" s="56"/>
    </row>
    <row r="35" spans="2:18" ht="15.75" customHeight="1" x14ac:dyDescent="0.25">
      <c r="B35" t="s">
        <v>119</v>
      </c>
      <c r="F35" t="s">
        <v>120</v>
      </c>
    </row>
    <row r="36" spans="2:18" ht="15.75" customHeight="1" x14ac:dyDescent="0.25">
      <c r="B36" t="s">
        <v>37</v>
      </c>
      <c r="D36" s="10">
        <v>21</v>
      </c>
      <c r="E36" s="17">
        <v>166.78</v>
      </c>
      <c r="F36" s="17">
        <v>1925</v>
      </c>
      <c r="G36" s="19"/>
      <c r="H36" s="19"/>
      <c r="I36" s="19"/>
      <c r="J36" s="4">
        <f>SUM(F36:I36)</f>
        <v>1925</v>
      </c>
      <c r="K36" s="4">
        <f>J36*0.0909</f>
        <v>174.98249999999999</v>
      </c>
      <c r="L36" s="4">
        <f>SUM(J36:K36)</f>
        <v>2099.9825000000001</v>
      </c>
      <c r="M36" s="4">
        <f>J36*0.05</f>
        <v>96.25</v>
      </c>
      <c r="N36" s="4">
        <f>J36-M36</f>
        <v>1828.75</v>
      </c>
      <c r="O36" s="4">
        <v>1000</v>
      </c>
      <c r="P36" s="4"/>
      <c r="Q36" s="4"/>
      <c r="R36" s="4">
        <f>N36-O36-P36-Q36</f>
        <v>828.75</v>
      </c>
    </row>
    <row r="37" spans="2:18" ht="15.75" customHeight="1" x14ac:dyDescent="0.25">
      <c r="B37" t="s">
        <v>49</v>
      </c>
      <c r="D37" s="10">
        <v>3</v>
      </c>
      <c r="E37" s="17"/>
      <c r="F37" s="17">
        <v>94.98</v>
      </c>
      <c r="G37" s="19"/>
      <c r="H37" s="19"/>
      <c r="I37" s="19"/>
      <c r="J37" s="4">
        <f>SUM(F37:I37)</f>
        <v>94.98</v>
      </c>
      <c r="K37" s="4"/>
      <c r="L37" s="4">
        <f>SUM(J37:K37)</f>
        <v>94.98</v>
      </c>
      <c r="M37" s="4">
        <f>J37*0.05</f>
        <v>4.7490000000000006</v>
      </c>
      <c r="N37" s="4">
        <f>J37-M37</f>
        <v>90.231000000000009</v>
      </c>
      <c r="O37" s="4"/>
      <c r="P37" s="4"/>
      <c r="Q37" s="4"/>
      <c r="R37" s="4">
        <f>N37-O37-P37-Q37</f>
        <v>90.231000000000009</v>
      </c>
    </row>
    <row r="38" spans="2:18" ht="16.5" customHeight="1" x14ac:dyDescent="0.25">
      <c r="F38" s="18">
        <f>SUM(F36:F37)</f>
        <v>2019.98</v>
      </c>
      <c r="G38" s="18"/>
      <c r="H38" s="18"/>
      <c r="I38" s="18"/>
      <c r="J38" s="18">
        <f t="shared" ref="J38:R38" si="17">SUM(J36:J37)</f>
        <v>2019.98</v>
      </c>
      <c r="K38" s="18">
        <f t="shared" si="17"/>
        <v>174.98249999999999</v>
      </c>
      <c r="L38" s="18">
        <f t="shared" si="17"/>
        <v>2194.9625000000001</v>
      </c>
      <c r="M38" s="18">
        <f t="shared" si="17"/>
        <v>100.999</v>
      </c>
      <c r="N38" s="18">
        <f t="shared" si="17"/>
        <v>1918.981</v>
      </c>
      <c r="O38" s="18">
        <f t="shared" si="17"/>
        <v>1000</v>
      </c>
      <c r="P38" s="18"/>
      <c r="Q38" s="18"/>
      <c r="R38" s="18">
        <f t="shared" si="17"/>
        <v>918.98099999999999</v>
      </c>
    </row>
    <row r="39" spans="2:18" ht="15.75" customHeight="1" x14ac:dyDescent="0.25">
      <c r="B39" s="2"/>
      <c r="C39" s="2"/>
      <c r="D39" s="2"/>
      <c r="E39" s="2"/>
      <c r="F39" s="25"/>
      <c r="G39" s="2"/>
      <c r="H39" s="2"/>
      <c r="I39" s="2"/>
      <c r="J39" s="2"/>
      <c r="K39" s="2"/>
      <c r="L39" s="2"/>
      <c r="M39" s="3"/>
      <c r="N39" s="55" t="s">
        <v>17</v>
      </c>
      <c r="O39" s="55"/>
      <c r="P39" s="55"/>
      <c r="Q39" s="55"/>
      <c r="R39" s="55"/>
    </row>
    <row r="40" spans="2:18" ht="4.5" customHeight="1" thickBot="1" x14ac:dyDescent="0.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1"/>
      <c r="N40" s="9"/>
      <c r="O40" s="9"/>
      <c r="P40" s="9"/>
      <c r="Q40" s="9"/>
      <c r="R40" s="9"/>
    </row>
    <row r="41" spans="2:18" ht="4.5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</row>
    <row r="42" spans="2:18" ht="17.25" customHeight="1" x14ac:dyDescent="0.25">
      <c r="B42" s="2" t="s">
        <v>121</v>
      </c>
      <c r="C42" s="2"/>
      <c r="D42" s="2"/>
      <c r="E42" s="2"/>
      <c r="F42" s="2" t="s">
        <v>122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2:18" ht="18.75" customHeight="1" x14ac:dyDescent="0.25">
      <c r="B43" t="s">
        <v>37</v>
      </c>
      <c r="D43" s="10">
        <v>12</v>
      </c>
      <c r="E43" s="17">
        <v>95.3</v>
      </c>
      <c r="F43" s="17">
        <v>1100</v>
      </c>
      <c r="G43" s="19"/>
      <c r="H43" s="19"/>
      <c r="I43" s="19"/>
      <c r="J43" s="4">
        <f>SUM(F43:I43)</f>
        <v>1100</v>
      </c>
      <c r="K43" s="4">
        <f>J43*0.0909</f>
        <v>99.99</v>
      </c>
      <c r="L43" s="4">
        <f>SUM(J43:K43)</f>
        <v>1199.99</v>
      </c>
      <c r="M43" s="4">
        <f>J43*0.05</f>
        <v>55</v>
      </c>
      <c r="N43" s="4">
        <f>J43-M43</f>
        <v>1045</v>
      </c>
      <c r="O43" s="4">
        <v>1000</v>
      </c>
      <c r="P43" s="4"/>
      <c r="Q43" s="4">
        <v>42.02</v>
      </c>
      <c r="R43" s="4">
        <f>N43-O43-P43-Q43</f>
        <v>2.9799999999999969</v>
      </c>
    </row>
    <row r="44" spans="2:18" ht="18.75" customHeight="1" x14ac:dyDescent="0.25">
      <c r="B44" s="2"/>
      <c r="C44" s="2"/>
      <c r="D44" s="2"/>
      <c r="E44" s="2"/>
      <c r="F44" s="18">
        <f>SUM(F43:F43)</f>
        <v>1100</v>
      </c>
      <c r="G44" s="18"/>
      <c r="H44" s="18"/>
      <c r="I44" s="18"/>
      <c r="J44" s="18">
        <f t="shared" ref="J44:O44" si="18">SUM(J43:J43)</f>
        <v>1100</v>
      </c>
      <c r="K44" s="18">
        <f t="shared" si="18"/>
        <v>99.99</v>
      </c>
      <c r="L44" s="18">
        <f t="shared" si="18"/>
        <v>1199.99</v>
      </c>
      <c r="M44" s="18">
        <f t="shared" si="18"/>
        <v>55</v>
      </c>
      <c r="N44" s="18">
        <f t="shared" si="18"/>
        <v>1045</v>
      </c>
      <c r="O44" s="18">
        <f t="shared" si="18"/>
        <v>1000</v>
      </c>
      <c r="P44" s="18"/>
      <c r="Q44" s="18">
        <f t="shared" ref="Q44" si="19">SUM(Q43:Q43)</f>
        <v>42.02</v>
      </c>
      <c r="R44" s="18">
        <f>SUM(R43:R43)</f>
        <v>2.9799999999999969</v>
      </c>
    </row>
    <row r="45" spans="2:18" ht="18.75" customHeight="1" thickBot="1" x14ac:dyDescent="0.3">
      <c r="B45" s="11"/>
      <c r="C45" s="11"/>
      <c r="D45" s="9"/>
      <c r="E45" s="9"/>
      <c r="F45" s="9"/>
      <c r="G45" s="9"/>
      <c r="H45" s="9"/>
      <c r="I45" s="9"/>
      <c r="J45" s="9"/>
      <c r="K45" s="9"/>
      <c r="L45" s="9"/>
      <c r="M45" s="9"/>
      <c r="N45" s="56" t="s">
        <v>17</v>
      </c>
      <c r="O45" s="56"/>
      <c r="P45" s="56"/>
      <c r="Q45" s="56"/>
      <c r="R45" s="56"/>
    </row>
    <row r="46" spans="2:18" ht="18.75" customHeight="1" x14ac:dyDescent="0.25">
      <c r="B46" s="2" t="s">
        <v>123</v>
      </c>
      <c r="C46" s="2"/>
      <c r="D46" s="2"/>
      <c r="E46" s="2"/>
      <c r="F46" s="2" t="s">
        <v>124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18" ht="18.75" customHeight="1" x14ac:dyDescent="0.25">
      <c r="B47" t="s">
        <v>37</v>
      </c>
      <c r="D47" s="10">
        <v>12</v>
      </c>
      <c r="E47" s="17">
        <v>95.3</v>
      </c>
      <c r="F47" s="17">
        <v>1330</v>
      </c>
      <c r="G47" s="19"/>
      <c r="H47" s="19"/>
      <c r="I47" s="19"/>
      <c r="J47" s="4">
        <f>SUM(F47:I47)</f>
        <v>1330</v>
      </c>
      <c r="K47" s="4">
        <f>J47*0.0909</f>
        <v>120.89699999999999</v>
      </c>
      <c r="L47" s="4">
        <f>SUM(J47:K47)</f>
        <v>1450.8969999999999</v>
      </c>
      <c r="M47" s="4">
        <f>J47*0.05</f>
        <v>66.5</v>
      </c>
      <c r="N47" s="4">
        <f>J47-M47</f>
        <v>1263.5</v>
      </c>
      <c r="O47" s="4">
        <v>1000</v>
      </c>
      <c r="P47" s="4"/>
      <c r="Q47" s="4"/>
      <c r="R47" s="4">
        <f>N47-O47-P47-Q47</f>
        <v>263.5</v>
      </c>
    </row>
    <row r="48" spans="2:18" ht="18.75" customHeight="1" x14ac:dyDescent="0.25">
      <c r="B48" t="s">
        <v>126</v>
      </c>
      <c r="D48" s="10"/>
      <c r="E48" s="17"/>
      <c r="F48" s="17"/>
      <c r="G48" s="19"/>
      <c r="H48" s="19">
        <v>46.4</v>
      </c>
      <c r="I48" s="19"/>
      <c r="J48" s="4">
        <f>SUM(F48:I48)</f>
        <v>46.4</v>
      </c>
      <c r="K48" s="4">
        <f>J48*0.0909</f>
        <v>4.2177599999999993</v>
      </c>
      <c r="L48" s="4">
        <f>SUM(J48:K48)</f>
        <v>50.617759999999997</v>
      </c>
      <c r="M48" s="4">
        <f>J48*0.05</f>
        <v>2.3199999999999998</v>
      </c>
      <c r="N48" s="4">
        <f>J48-M48</f>
        <v>44.08</v>
      </c>
      <c r="O48" s="4"/>
      <c r="P48" s="4"/>
      <c r="Q48" s="4"/>
      <c r="R48" s="4">
        <f>N48-O48-P48-Q48</f>
        <v>44.08</v>
      </c>
    </row>
    <row r="49" spans="2:18" ht="18.75" customHeight="1" x14ac:dyDescent="0.25">
      <c r="B49" s="2"/>
      <c r="C49" s="2"/>
      <c r="D49" s="2"/>
      <c r="E49" s="2"/>
      <c r="F49" s="18">
        <f>SUM(F47:F48)</f>
        <v>1330</v>
      </c>
      <c r="G49" s="18"/>
      <c r="H49" s="18">
        <f t="shared" ref="H49:R49" si="20">SUM(H47:H48)</f>
        <v>46.4</v>
      </c>
      <c r="I49" s="18"/>
      <c r="J49" s="18">
        <f t="shared" si="20"/>
        <v>1376.4</v>
      </c>
      <c r="K49" s="18">
        <f>SUM(K47:K48)+0.01</f>
        <v>125.12475999999999</v>
      </c>
      <c r="L49" s="18">
        <f>SUM(L47:L48)+0.01</f>
        <v>1501.52476</v>
      </c>
      <c r="M49" s="18">
        <f t="shared" si="20"/>
        <v>68.819999999999993</v>
      </c>
      <c r="N49" s="18">
        <f t="shared" si="20"/>
        <v>1307.58</v>
      </c>
      <c r="O49" s="18">
        <f t="shared" si="20"/>
        <v>1000</v>
      </c>
      <c r="P49" s="18"/>
      <c r="Q49" s="18"/>
      <c r="R49" s="18">
        <f t="shared" si="20"/>
        <v>307.58</v>
      </c>
    </row>
    <row r="50" spans="2:18" ht="18.75" customHeight="1" thickBot="1" x14ac:dyDescent="0.3">
      <c r="B50" s="11"/>
      <c r="C50" s="11"/>
      <c r="D50" s="9"/>
      <c r="E50" s="9"/>
      <c r="F50" s="9"/>
      <c r="G50" s="9"/>
      <c r="H50" s="9"/>
      <c r="I50" s="9"/>
      <c r="J50" s="9"/>
      <c r="K50" s="9"/>
      <c r="L50" s="9"/>
      <c r="M50" s="9"/>
      <c r="N50" s="56" t="s">
        <v>17</v>
      </c>
      <c r="O50" s="56"/>
      <c r="P50" s="56"/>
      <c r="Q50" s="56"/>
      <c r="R50" s="56"/>
    </row>
    <row r="51" spans="2:18" ht="18.75" customHeight="1" x14ac:dyDescent="0.25">
      <c r="B51" s="2" t="s">
        <v>128</v>
      </c>
      <c r="C51" s="2"/>
      <c r="D51" s="2"/>
      <c r="E51" s="2"/>
      <c r="F51" s="2" t="s">
        <v>127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2:18" ht="18.75" customHeight="1" x14ac:dyDescent="0.25">
      <c r="B52" t="s">
        <v>69</v>
      </c>
      <c r="D52" s="57" t="s">
        <v>66</v>
      </c>
      <c r="E52" s="57"/>
      <c r="F52" s="17">
        <v>3300</v>
      </c>
      <c r="G52" s="19"/>
      <c r="H52" s="19"/>
      <c r="I52" s="19"/>
      <c r="J52" s="4">
        <f>SUM(F52:I52)</f>
        <v>3300</v>
      </c>
      <c r="K52" s="4">
        <f>J52*0.0909</f>
        <v>299.96999999999997</v>
      </c>
      <c r="L52" s="4">
        <f>SUM(J52:K52)</f>
        <v>3599.97</v>
      </c>
      <c r="M52" s="4"/>
      <c r="N52" s="4">
        <f>J52-M52</f>
        <v>3300</v>
      </c>
      <c r="O52" s="4">
        <v>1000</v>
      </c>
      <c r="P52" s="4"/>
      <c r="Q52" s="4">
        <v>500</v>
      </c>
      <c r="R52" s="4">
        <f>N52-O52-P52-Q52</f>
        <v>1800</v>
      </c>
    </row>
    <row r="53" spans="2:18" ht="18.75" customHeight="1" x14ac:dyDescent="0.25">
      <c r="B53" s="2"/>
      <c r="C53" s="2"/>
      <c r="D53" s="2"/>
      <c r="E53" s="2"/>
      <c r="F53" s="18">
        <f>SUM(F52:F52)</f>
        <v>3300</v>
      </c>
      <c r="G53" s="18"/>
      <c r="H53" s="18"/>
      <c r="I53" s="18"/>
      <c r="J53" s="18">
        <f t="shared" ref="J53" si="21">SUM(J52:J52)</f>
        <v>3300</v>
      </c>
      <c r="K53" s="18">
        <f t="shared" ref="K53" si="22">SUM(K52:K52)</f>
        <v>299.96999999999997</v>
      </c>
      <c r="L53" s="18">
        <f t="shared" ref="L53" si="23">SUM(L52:L52)</f>
        <v>3599.97</v>
      </c>
      <c r="M53" s="18"/>
      <c r="N53" s="18">
        <f t="shared" ref="N53" si="24">SUM(N52:N52)</f>
        <v>3300</v>
      </c>
      <c r="O53" s="18">
        <f t="shared" ref="O53" si="25">SUM(O52:O52)</f>
        <v>1000</v>
      </c>
      <c r="P53" s="18"/>
      <c r="Q53" s="18">
        <f t="shared" ref="Q53" si="26">SUM(Q52:Q52)</f>
        <v>500</v>
      </c>
      <c r="R53" s="18">
        <f>SUM(R52:R52)</f>
        <v>1800</v>
      </c>
    </row>
    <row r="54" spans="2:18" ht="18.75" customHeight="1" thickBot="1" x14ac:dyDescent="0.3">
      <c r="B54" s="11"/>
      <c r="C54" s="11"/>
      <c r="D54" s="9"/>
      <c r="E54" s="9"/>
      <c r="F54" s="9"/>
      <c r="G54" s="9"/>
      <c r="H54" s="9"/>
      <c r="I54" s="9"/>
      <c r="J54" s="9"/>
      <c r="K54" s="9"/>
      <c r="L54" s="9"/>
      <c r="M54" s="9"/>
      <c r="N54" s="56" t="s">
        <v>17</v>
      </c>
      <c r="O54" s="56"/>
      <c r="P54" s="56"/>
      <c r="Q54" s="56"/>
      <c r="R54" s="56"/>
    </row>
    <row r="55" spans="2:18" ht="18.75" customHeight="1" x14ac:dyDescent="0.25">
      <c r="B55" s="13" t="s">
        <v>16</v>
      </c>
      <c r="D55" s="2"/>
      <c r="E55" s="2"/>
      <c r="F55" s="44">
        <f>F13+F20+F33+F26+F38+F44+F49+F53</f>
        <v>18611.64</v>
      </c>
      <c r="G55" s="44"/>
      <c r="H55" s="44">
        <f t="shared" ref="H55:R55" si="27">H13+H20+H33+H26+H38+H44+H49+H53</f>
        <v>475.59999999999997</v>
      </c>
      <c r="I55" s="44"/>
      <c r="J55" s="44">
        <f t="shared" si="27"/>
        <v>19087.239999999998</v>
      </c>
      <c r="K55" s="44">
        <f>K13+K20+K33+K26+K38+K44+K49+K53-0.01</f>
        <v>1726.366434</v>
      </c>
      <c r="L55" s="44">
        <f>L13+L20+L33+L26+L38+L44+L49+L53-0.01</f>
        <v>20813.606434000001</v>
      </c>
      <c r="M55" s="44">
        <f t="shared" si="27"/>
        <v>789.36200000000008</v>
      </c>
      <c r="N55" s="44">
        <f t="shared" si="27"/>
        <v>18297.877999999997</v>
      </c>
      <c r="O55" s="44">
        <f t="shared" si="27"/>
        <v>8000</v>
      </c>
      <c r="P55" s="44"/>
      <c r="Q55" s="44">
        <f t="shared" si="27"/>
        <v>542.02</v>
      </c>
      <c r="R55" s="44">
        <f t="shared" si="27"/>
        <v>9755.8580000000002</v>
      </c>
    </row>
    <row r="56" spans="2:18" ht="18.75" customHeight="1" x14ac:dyDescent="0.25">
      <c r="B56" s="13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2:18" ht="12.75" customHeight="1" x14ac:dyDescent="0.25">
      <c r="B57" s="8" t="s">
        <v>20</v>
      </c>
      <c r="C57" s="26"/>
      <c r="D57" s="26"/>
      <c r="E57" s="26"/>
      <c r="F57" s="26"/>
      <c r="L57" s="1" t="s">
        <v>23</v>
      </c>
    </row>
    <row r="58" spans="2:18" x14ac:dyDescent="0.25">
      <c r="C58" s="49" t="s">
        <v>21</v>
      </c>
      <c r="D58" s="49"/>
      <c r="E58" s="49"/>
      <c r="M58" s="49" t="s">
        <v>24</v>
      </c>
      <c r="N58" s="49"/>
      <c r="O58" s="49"/>
      <c r="P58" s="39"/>
      <c r="Q58" s="39"/>
    </row>
    <row r="59" spans="2:18" ht="14.25" customHeight="1" x14ac:dyDescent="0.25">
      <c r="B59" s="1" t="s">
        <v>26</v>
      </c>
      <c r="L59" s="1" t="s">
        <v>27</v>
      </c>
    </row>
    <row r="60" spans="2:18" x14ac:dyDescent="0.25">
      <c r="C60" s="52" t="s">
        <v>22</v>
      </c>
      <c r="D60" s="52"/>
      <c r="E60" s="52"/>
      <c r="F60" s="52"/>
      <c r="N60" s="52" t="s">
        <v>25</v>
      </c>
      <c r="O60" s="52"/>
      <c r="P60" s="52"/>
      <c r="Q60" s="52"/>
      <c r="R60" s="52"/>
    </row>
  </sheetData>
  <mergeCells count="19">
    <mergeCell ref="B8:C8"/>
    <mergeCell ref="N45:R45"/>
    <mergeCell ref="J2:N2"/>
    <mergeCell ref="K3:L3"/>
    <mergeCell ref="E5:F5"/>
    <mergeCell ref="J5:M5"/>
    <mergeCell ref="N5:R5"/>
    <mergeCell ref="N14:R14"/>
    <mergeCell ref="N21:R21"/>
    <mergeCell ref="N27:R27"/>
    <mergeCell ref="N34:R34"/>
    <mergeCell ref="N39:R39"/>
    <mergeCell ref="N50:R50"/>
    <mergeCell ref="C58:E58"/>
    <mergeCell ref="M58:O58"/>
    <mergeCell ref="C60:F60"/>
    <mergeCell ref="N60:R60"/>
    <mergeCell ref="N54:R54"/>
    <mergeCell ref="D52:E52"/>
  </mergeCells>
  <pageMargins left="0.59055118110236227" right="0.15748031496062992" top="0.15748031496062992" bottom="0.15748031496062992" header="0.15748031496062992" footer="0.15748031496062992"/>
  <pageSetup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7"/>
  <sheetViews>
    <sheetView tabSelected="1" zoomScaleNormal="100" workbookViewId="0">
      <selection activeCell="O12" sqref="O12"/>
    </sheetView>
  </sheetViews>
  <sheetFormatPr baseColWidth="10" defaultRowHeight="15" x14ac:dyDescent="0.25"/>
  <cols>
    <col min="1" max="1" width="8.5703125" customWidth="1"/>
    <col min="3" max="3" width="12.42578125" customWidth="1"/>
    <col min="4" max="4" width="5.140625" customWidth="1"/>
    <col min="5" max="6" width="6.42578125" customWidth="1"/>
    <col min="7" max="7" width="10" customWidth="1"/>
    <col min="8" max="8" width="8.42578125" customWidth="1"/>
    <col min="9" max="10" width="6.28515625" customWidth="1"/>
    <col min="11" max="12" width="9.85546875" customWidth="1"/>
    <col min="13" max="13" width="8" customWidth="1"/>
    <col min="14" max="14" width="10.28515625" customWidth="1"/>
    <col min="15" max="15" width="7.7109375" customWidth="1"/>
    <col min="16" max="16" width="11" customWidth="1"/>
    <col min="17" max="17" width="7.7109375" customWidth="1"/>
    <col min="18" max="18" width="9.140625" customWidth="1"/>
    <col min="19" max="19" width="10.28515625" customWidth="1"/>
    <col min="20" max="20" width="11.28515625" customWidth="1"/>
  </cols>
  <sheetData>
    <row r="2" spans="2:20" ht="18.75" x14ac:dyDescent="0.4">
      <c r="B2" s="6" t="s">
        <v>12</v>
      </c>
      <c r="C2" t="s">
        <v>13</v>
      </c>
      <c r="K2" s="49" t="s">
        <v>14</v>
      </c>
      <c r="L2" s="49"/>
      <c r="M2" s="49"/>
      <c r="N2" s="49"/>
      <c r="O2" s="49"/>
      <c r="P2" s="49"/>
      <c r="T2" s="41" t="s">
        <v>18</v>
      </c>
    </row>
    <row r="3" spans="2:20" ht="12" customHeight="1" x14ac:dyDescent="0.4">
      <c r="B3" s="6"/>
      <c r="M3" s="50" t="s">
        <v>15</v>
      </c>
      <c r="N3" s="50"/>
    </row>
    <row r="4" spans="2:20" x14ac:dyDescent="0.25">
      <c r="B4" s="8" t="s">
        <v>129</v>
      </c>
      <c r="C4" s="8"/>
      <c r="D4" s="8"/>
      <c r="E4" s="8"/>
      <c r="F4" s="8"/>
      <c r="G4" s="8"/>
      <c r="K4" s="8" t="s">
        <v>8</v>
      </c>
      <c r="L4" s="8"/>
      <c r="M4" s="8"/>
      <c r="N4" s="1"/>
      <c r="O4" s="1"/>
      <c r="P4" s="1" t="s">
        <v>10</v>
      </c>
      <c r="Q4" s="1"/>
      <c r="R4" s="1"/>
      <c r="S4" s="1"/>
      <c r="T4" s="1"/>
    </row>
    <row r="5" spans="2:20" ht="16.5" customHeight="1" x14ac:dyDescent="0.25">
      <c r="B5" s="1" t="s">
        <v>1</v>
      </c>
      <c r="C5" s="1"/>
      <c r="D5" s="1"/>
      <c r="E5" s="54" t="s">
        <v>34</v>
      </c>
      <c r="F5" s="54"/>
      <c r="G5" s="54"/>
      <c r="K5" s="54" t="s">
        <v>9</v>
      </c>
      <c r="L5" s="54"/>
      <c r="M5" s="54"/>
      <c r="N5" s="54"/>
      <c r="O5" s="54"/>
      <c r="P5" s="54" t="s">
        <v>11</v>
      </c>
      <c r="Q5" s="54"/>
      <c r="R5" s="54"/>
      <c r="S5" s="54"/>
      <c r="T5" s="54"/>
    </row>
    <row r="6" spans="2:20" x14ac:dyDescent="0.25">
      <c r="B6" s="1" t="s">
        <v>28</v>
      </c>
      <c r="C6" s="7" t="s">
        <v>19</v>
      </c>
      <c r="D6" s="1"/>
      <c r="E6" s="1"/>
      <c r="F6" s="1"/>
      <c r="G6" s="7"/>
      <c r="H6" s="1"/>
      <c r="I6" s="8"/>
      <c r="J6" s="8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45" x14ac:dyDescent="0.25">
      <c r="B8" s="53" t="s">
        <v>2</v>
      </c>
      <c r="C8" s="53"/>
      <c r="D8" s="40" t="s">
        <v>3</v>
      </c>
      <c r="E8" s="40" t="s">
        <v>4</v>
      </c>
      <c r="F8" s="58" t="s">
        <v>158</v>
      </c>
      <c r="G8" s="40" t="s">
        <v>5</v>
      </c>
      <c r="H8" s="59" t="s">
        <v>29</v>
      </c>
      <c r="I8" s="59" t="s">
        <v>6</v>
      </c>
      <c r="J8" s="60" t="s">
        <v>33</v>
      </c>
      <c r="K8" s="59" t="s">
        <v>7</v>
      </c>
      <c r="L8" s="61" t="s">
        <v>159</v>
      </c>
      <c r="M8" s="40">
        <v>9.09</v>
      </c>
      <c r="N8" s="40" t="s">
        <v>7</v>
      </c>
      <c r="O8" s="30">
        <v>0.05</v>
      </c>
      <c r="P8" s="40" t="s">
        <v>7</v>
      </c>
      <c r="Q8" s="59" t="s">
        <v>30</v>
      </c>
      <c r="R8" s="40" t="s">
        <v>32</v>
      </c>
      <c r="S8" s="40" t="s">
        <v>31</v>
      </c>
      <c r="T8" s="40" t="s">
        <v>0</v>
      </c>
    </row>
    <row r="9" spans="2:20" ht="3" customHeight="1" thickBot="1" x14ac:dyDescent="0.3">
      <c r="B9" s="9"/>
      <c r="C9" s="9"/>
      <c r="D9" s="9"/>
      <c r="E9" s="9"/>
      <c r="F9" s="9"/>
      <c r="G9" s="9"/>
      <c r="H9" s="9"/>
      <c r="I9" s="21"/>
      <c r="J9" s="21"/>
      <c r="K9" s="9"/>
      <c r="L9" s="9"/>
      <c r="M9" s="9"/>
      <c r="N9" s="9"/>
      <c r="O9" s="9"/>
      <c r="P9" s="9"/>
      <c r="Q9" s="9"/>
      <c r="R9" s="9"/>
      <c r="S9" s="9"/>
      <c r="T9" s="9"/>
    </row>
    <row r="10" spans="2:20" ht="15" customHeight="1" x14ac:dyDescent="0.25">
      <c r="B10" t="s">
        <v>130</v>
      </c>
      <c r="G10" t="s">
        <v>133</v>
      </c>
      <c r="I10" s="4"/>
      <c r="J10" s="4"/>
    </row>
    <row r="11" spans="2:20" ht="16.5" customHeight="1" x14ac:dyDescent="0.25">
      <c r="B11" t="s">
        <v>37</v>
      </c>
      <c r="D11">
        <f>E11/7.94</f>
        <v>18.003778337531482</v>
      </c>
      <c r="E11" s="34">
        <v>142.94999999999999</v>
      </c>
      <c r="F11" s="34">
        <f>G11/E11</f>
        <v>30.482686253934943</v>
      </c>
      <c r="G11" s="4">
        <v>4357.5</v>
      </c>
      <c r="H11" s="4"/>
      <c r="I11" s="4"/>
      <c r="J11" s="4">
        <v>0</v>
      </c>
      <c r="K11" s="4">
        <f>SUM(G11:J11)</f>
        <v>4357.5</v>
      </c>
      <c r="L11" s="4">
        <f>D11*0.0909</f>
        <v>1.6365434508816117</v>
      </c>
      <c r="M11" s="4">
        <f>K11*0.0909</f>
        <v>396.09674999999999</v>
      </c>
      <c r="N11" s="4">
        <f>SUM(K11:M11)</f>
        <v>4755.2332934508813</v>
      </c>
      <c r="O11" s="4">
        <f>K11*0.05</f>
        <v>217.875</v>
      </c>
      <c r="P11" s="4">
        <f>K11-O11-0.01</f>
        <v>4139.6149999999998</v>
      </c>
      <c r="Q11" s="4">
        <v>1000</v>
      </c>
      <c r="R11" s="4">
        <f>(K13-3260)*0.03</f>
        <v>49.98810000000001</v>
      </c>
      <c r="S11" s="4">
        <v>210</v>
      </c>
      <c r="T11" s="4">
        <f>P11-Q11-R11-S11</f>
        <v>2879.6268999999998</v>
      </c>
    </row>
    <row r="12" spans="2:20" ht="16.5" customHeight="1" x14ac:dyDescent="0.25">
      <c r="B12" s="2" t="s">
        <v>49</v>
      </c>
      <c r="D12">
        <v>6</v>
      </c>
      <c r="E12" s="34"/>
      <c r="F12" s="34"/>
      <c r="G12" s="4">
        <v>568.77</v>
      </c>
      <c r="H12" s="4"/>
      <c r="I12" s="4"/>
      <c r="J12" s="4"/>
      <c r="K12" s="4">
        <f>SUM(G12:J12)</f>
        <v>568.77</v>
      </c>
      <c r="L12" s="4"/>
      <c r="M12" s="4"/>
      <c r="N12" s="4">
        <f>SUM(K12:M12)</f>
        <v>568.77</v>
      </c>
      <c r="O12" s="4">
        <f>K12*0.05</f>
        <v>28.438500000000001</v>
      </c>
      <c r="P12" s="4">
        <f>K12-O12</f>
        <v>540.33150000000001</v>
      </c>
      <c r="Q12" s="4"/>
      <c r="R12" s="4"/>
      <c r="S12" s="4"/>
      <c r="T12" s="4">
        <f>P12-Q12-R12-S12</f>
        <v>540.33150000000001</v>
      </c>
    </row>
    <row r="13" spans="2:20" ht="16.5" customHeight="1" x14ac:dyDescent="0.25">
      <c r="G13" s="18">
        <f>SUM(G11:G12)</f>
        <v>4926.2700000000004</v>
      </c>
      <c r="H13" s="18"/>
      <c r="I13" s="18"/>
      <c r="J13" s="18"/>
      <c r="K13" s="18">
        <f t="shared" ref="K13:T13" si="0">SUM(K11:K12)</f>
        <v>4926.2700000000004</v>
      </c>
      <c r="L13" s="18"/>
      <c r="M13" s="18">
        <f t="shared" si="0"/>
        <v>396.09674999999999</v>
      </c>
      <c r="N13" s="18">
        <f t="shared" si="0"/>
        <v>5324.0032934508818</v>
      </c>
      <c r="O13" s="18">
        <f>SUM(O11:O12)+0.01</f>
        <v>246.3235</v>
      </c>
      <c r="P13" s="18">
        <f t="shared" si="0"/>
        <v>4679.9465</v>
      </c>
      <c r="Q13" s="18">
        <f t="shared" si="0"/>
        <v>1000</v>
      </c>
      <c r="R13" s="18">
        <f t="shared" si="0"/>
        <v>49.98810000000001</v>
      </c>
      <c r="S13" s="18">
        <f t="shared" si="0"/>
        <v>210</v>
      </c>
      <c r="T13" s="18">
        <f t="shared" si="0"/>
        <v>3419.9583999999995</v>
      </c>
    </row>
    <row r="14" spans="2:20" ht="1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5" t="s">
        <v>17</v>
      </c>
      <c r="Q14" s="55"/>
      <c r="R14" s="55"/>
      <c r="S14" s="55"/>
      <c r="T14" s="55"/>
    </row>
    <row r="15" spans="2:20" ht="8.25" customHeight="1" thickBot="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2:20" ht="16.5" customHeight="1" x14ac:dyDescent="0.25">
      <c r="B16" t="s">
        <v>132</v>
      </c>
      <c r="G16" t="s">
        <v>131</v>
      </c>
    </row>
    <row r="17" spans="2:20" ht="15.75" customHeight="1" x14ac:dyDescent="0.25">
      <c r="B17" t="s">
        <v>37</v>
      </c>
      <c r="D17" s="39">
        <v>23</v>
      </c>
      <c r="E17" s="34">
        <v>182.66</v>
      </c>
      <c r="F17" s="34"/>
      <c r="G17" s="4">
        <v>4226.25</v>
      </c>
      <c r="H17" s="4"/>
      <c r="I17" s="4"/>
      <c r="J17" s="4"/>
      <c r="K17" s="4">
        <f>SUM(G17:J17)</f>
        <v>4226.25</v>
      </c>
      <c r="L17" s="4"/>
      <c r="M17" s="4">
        <f>K17*0.0909</f>
        <v>384.16612499999997</v>
      </c>
      <c r="N17" s="4">
        <f>SUM(K17:M17)</f>
        <v>4610.4161249999997</v>
      </c>
      <c r="O17" s="4">
        <f>K17*0.05</f>
        <v>211.3125</v>
      </c>
      <c r="P17" s="4">
        <f>K17-O17</f>
        <v>4014.9375</v>
      </c>
      <c r="Q17" s="4">
        <v>1000</v>
      </c>
      <c r="R17" s="4">
        <f>(K19-3260)*0.03</f>
        <v>31.09589999999999</v>
      </c>
      <c r="S17" s="4">
        <v>200</v>
      </c>
      <c r="T17" s="4">
        <f>P17-Q17-R17-S17</f>
        <v>2783.8416000000002</v>
      </c>
    </row>
    <row r="18" spans="2:20" ht="15.75" customHeight="1" x14ac:dyDescent="0.25">
      <c r="B18" s="2" t="s">
        <v>49</v>
      </c>
      <c r="D18" s="39">
        <v>1</v>
      </c>
      <c r="E18" s="34"/>
      <c r="F18" s="34"/>
      <c r="G18" s="4">
        <v>70.28</v>
      </c>
      <c r="H18" s="4"/>
      <c r="I18" s="4"/>
      <c r="J18" s="4"/>
      <c r="K18" s="4">
        <f>SUM(G18:J18)</f>
        <v>70.28</v>
      </c>
      <c r="L18" s="4"/>
      <c r="M18" s="4"/>
      <c r="N18" s="4">
        <f>SUM(K18:M18)</f>
        <v>70.28</v>
      </c>
      <c r="O18" s="4">
        <f>K18*0.05</f>
        <v>3.5140000000000002</v>
      </c>
      <c r="P18" s="4">
        <f>K18-O18</f>
        <v>66.766000000000005</v>
      </c>
      <c r="Q18" s="4"/>
      <c r="R18" s="4"/>
      <c r="S18" s="4"/>
      <c r="T18" s="4">
        <f>P18-Q18-R18-S18</f>
        <v>66.766000000000005</v>
      </c>
    </row>
    <row r="19" spans="2:20" ht="16.5" customHeight="1" x14ac:dyDescent="0.25">
      <c r="G19" s="18">
        <f>SUM(G17:G18)</f>
        <v>4296.53</v>
      </c>
      <c r="H19" s="18"/>
      <c r="I19" s="18"/>
      <c r="J19" s="18"/>
      <c r="K19" s="18">
        <f t="shared" ref="K19:T19" si="1">SUM(K17:K18)</f>
        <v>4296.53</v>
      </c>
      <c r="L19" s="18"/>
      <c r="M19" s="18">
        <f t="shared" si="1"/>
        <v>384.16612499999997</v>
      </c>
      <c r="N19" s="18">
        <f t="shared" si="1"/>
        <v>4680.6961249999995</v>
      </c>
      <c r="O19" s="18">
        <f>SUM(O17:O18)-0.01</f>
        <v>214.81650000000002</v>
      </c>
      <c r="P19" s="18">
        <f>SUM(P17:P18)+0.01</f>
        <v>4081.7135000000003</v>
      </c>
      <c r="Q19" s="18">
        <f t="shared" si="1"/>
        <v>1000</v>
      </c>
      <c r="R19" s="18">
        <f t="shared" si="1"/>
        <v>31.09589999999999</v>
      </c>
      <c r="S19" s="18">
        <f t="shared" si="1"/>
        <v>200</v>
      </c>
      <c r="T19" s="18">
        <f t="shared" si="1"/>
        <v>2850.6076000000003</v>
      </c>
    </row>
    <row r="20" spans="2:20" ht="16.5" customHeight="1" x14ac:dyDescent="0.25">
      <c r="B20" s="2"/>
      <c r="C20" s="2"/>
      <c r="D20" s="2"/>
      <c r="E20" s="2"/>
      <c r="F20" s="2"/>
      <c r="G20" s="2"/>
      <c r="H20" s="2"/>
      <c r="I20" s="10"/>
      <c r="J20" s="10"/>
      <c r="K20" s="2"/>
      <c r="L20" s="2"/>
      <c r="M20" s="2"/>
      <c r="N20" s="2"/>
      <c r="O20" s="2"/>
      <c r="P20" s="55" t="s">
        <v>17</v>
      </c>
      <c r="Q20" s="55"/>
      <c r="R20" s="55"/>
      <c r="S20" s="55"/>
      <c r="T20" s="55"/>
    </row>
    <row r="21" spans="2:20" ht="8.25" customHeight="1" thickBot="1" x14ac:dyDescent="0.3">
      <c r="B21" s="9"/>
      <c r="C21" s="9"/>
      <c r="D21" s="9"/>
      <c r="E21" s="9"/>
      <c r="F21" s="9"/>
      <c r="G21" s="9"/>
      <c r="H21" s="9"/>
      <c r="I21" s="20"/>
      <c r="J21" s="20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2:20" ht="14.25" customHeight="1" x14ac:dyDescent="0.25">
      <c r="B22" t="s">
        <v>134</v>
      </c>
      <c r="G22" t="s">
        <v>135</v>
      </c>
      <c r="I22" s="39"/>
      <c r="J22" s="39"/>
    </row>
    <row r="23" spans="2:20" ht="16.5" customHeight="1" x14ac:dyDescent="0.25">
      <c r="B23" t="s">
        <v>37</v>
      </c>
      <c r="D23" s="39">
        <v>24</v>
      </c>
      <c r="E23" s="4">
        <v>190.64410000000001</v>
      </c>
      <c r="F23" s="4"/>
      <c r="G23" s="23">
        <v>4410</v>
      </c>
      <c r="H23" s="23"/>
      <c r="I23" s="23"/>
      <c r="J23" s="23"/>
      <c r="K23" s="4">
        <f>SUM(G23:J23)</f>
        <v>4410</v>
      </c>
      <c r="L23" s="4"/>
      <c r="M23" s="4">
        <f>K23*0.0909</f>
        <v>400.86899999999997</v>
      </c>
      <c r="N23" s="4">
        <f>SUM(K23:M23)</f>
        <v>4810.8689999999997</v>
      </c>
      <c r="O23" s="4">
        <f>K23*0.05</f>
        <v>220.5</v>
      </c>
      <c r="P23" s="4">
        <f>K23-O23</f>
        <v>4189.5</v>
      </c>
      <c r="Q23" s="4">
        <v>1000</v>
      </c>
      <c r="R23" s="4">
        <f>(K24-3260)*0.03</f>
        <v>34.5</v>
      </c>
      <c r="S23" s="4">
        <v>200</v>
      </c>
      <c r="T23" s="4">
        <f>P23-Q23-R23-S23</f>
        <v>2955</v>
      </c>
    </row>
    <row r="24" spans="2:20" ht="19.5" customHeight="1" x14ac:dyDescent="0.25">
      <c r="D24" s="39"/>
      <c r="E24" s="39"/>
      <c r="F24" s="48"/>
      <c r="G24" s="18">
        <f>SUM(G23:G23)</f>
        <v>4410</v>
      </c>
      <c r="H24" s="18"/>
      <c r="I24" s="18"/>
      <c r="J24" s="18"/>
      <c r="K24" s="18">
        <f t="shared" ref="K24:T24" si="2">SUM(K23:K23)</f>
        <v>4410</v>
      </c>
      <c r="L24" s="18"/>
      <c r="M24" s="18">
        <f t="shared" si="2"/>
        <v>400.86899999999997</v>
      </c>
      <c r="N24" s="18">
        <f t="shared" si="2"/>
        <v>4810.8689999999997</v>
      </c>
      <c r="O24" s="18">
        <f t="shared" si="2"/>
        <v>220.5</v>
      </c>
      <c r="P24" s="18">
        <f t="shared" si="2"/>
        <v>4189.5</v>
      </c>
      <c r="Q24" s="18">
        <f t="shared" si="2"/>
        <v>1000</v>
      </c>
      <c r="R24" s="18">
        <f t="shared" si="2"/>
        <v>34.5</v>
      </c>
      <c r="S24" s="18">
        <f t="shared" si="2"/>
        <v>200</v>
      </c>
      <c r="T24" s="18">
        <f t="shared" si="2"/>
        <v>2955</v>
      </c>
    </row>
    <row r="25" spans="2:20" ht="18.75" customHeight="1" x14ac:dyDescent="0.25">
      <c r="P25" s="55" t="s">
        <v>17</v>
      </c>
      <c r="Q25" s="55"/>
      <c r="R25" s="55"/>
      <c r="S25" s="55"/>
      <c r="T25" s="55"/>
    </row>
    <row r="26" spans="2:20" ht="9.75" customHeight="1" thickBot="1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2:20" ht="16.5" customHeight="1" x14ac:dyDescent="0.25">
      <c r="B27" s="2" t="s">
        <v>137</v>
      </c>
      <c r="C27" s="2"/>
      <c r="D27" s="2"/>
      <c r="E27" s="2"/>
      <c r="F27" s="2"/>
      <c r="G27" s="2" t="s">
        <v>136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2:20" ht="16.5" customHeight="1" x14ac:dyDescent="0.25">
      <c r="B28" t="s">
        <v>37</v>
      </c>
      <c r="D28" s="10">
        <v>14</v>
      </c>
      <c r="E28" s="17">
        <v>111.18</v>
      </c>
      <c r="F28" s="17"/>
      <c r="G28" s="17">
        <v>2572.5</v>
      </c>
      <c r="H28" s="19"/>
      <c r="I28" s="19"/>
      <c r="J28" s="19"/>
      <c r="K28" s="4">
        <f>SUM(G28:J28)</f>
        <v>2572.5</v>
      </c>
      <c r="L28" s="4"/>
      <c r="M28" s="4">
        <f>K28*0.0909</f>
        <v>233.84025</v>
      </c>
      <c r="N28" s="4">
        <f>SUM(K28:M28)</f>
        <v>2806.3402500000002</v>
      </c>
      <c r="O28" s="4">
        <f>K28*0.05</f>
        <v>128.625</v>
      </c>
      <c r="P28" s="4">
        <f>K28-O28-0.01</f>
        <v>2443.8649999999998</v>
      </c>
      <c r="Q28" s="4">
        <v>1000</v>
      </c>
      <c r="R28" s="4"/>
      <c r="S28" s="4"/>
      <c r="T28" s="4">
        <f>P28-Q28-R28-S28</f>
        <v>1443.8649999999998</v>
      </c>
    </row>
    <row r="29" spans="2:20" ht="18.75" customHeight="1" x14ac:dyDescent="0.25">
      <c r="B29" s="2"/>
      <c r="C29" s="2"/>
      <c r="D29" s="2"/>
      <c r="E29" s="2"/>
      <c r="F29" s="2"/>
      <c r="G29" s="18">
        <f>SUM(G28:G28)</f>
        <v>2572.5</v>
      </c>
      <c r="H29" s="18"/>
      <c r="I29" s="18"/>
      <c r="J29" s="18"/>
      <c r="K29" s="18">
        <f t="shared" ref="K29:Q29" si="3">SUM(K28:K28)</f>
        <v>2572.5</v>
      </c>
      <c r="L29" s="18"/>
      <c r="M29" s="18">
        <f t="shared" si="3"/>
        <v>233.84025</v>
      </c>
      <c r="N29" s="18">
        <f t="shared" si="3"/>
        <v>2806.3402500000002</v>
      </c>
      <c r="O29" s="18">
        <f t="shared" si="3"/>
        <v>128.625</v>
      </c>
      <c r="P29" s="18">
        <f t="shared" si="3"/>
        <v>2443.8649999999998</v>
      </c>
      <c r="Q29" s="18">
        <f t="shared" si="3"/>
        <v>1000</v>
      </c>
      <c r="R29" s="18"/>
      <c r="S29" s="18"/>
      <c r="T29" s="18">
        <f>SUM(T28:T28)</f>
        <v>1443.8649999999998</v>
      </c>
    </row>
    <row r="30" spans="2:20" ht="19.5" customHeight="1" thickBot="1" x14ac:dyDescent="0.3">
      <c r="B30" s="11"/>
      <c r="C30" s="1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17</v>
      </c>
      <c r="Q30" s="56"/>
      <c r="R30" s="56"/>
      <c r="S30" s="56"/>
      <c r="T30" s="56"/>
    </row>
    <row r="31" spans="2:20" ht="15.75" customHeight="1" x14ac:dyDescent="0.25">
      <c r="B31" t="s">
        <v>138</v>
      </c>
      <c r="G31" t="s">
        <v>139</v>
      </c>
    </row>
    <row r="32" spans="2:20" ht="15.75" customHeight="1" x14ac:dyDescent="0.25">
      <c r="B32" t="s">
        <v>37</v>
      </c>
      <c r="D32" s="10">
        <v>16</v>
      </c>
      <c r="E32" s="17">
        <v>127.07</v>
      </c>
      <c r="F32" s="17"/>
      <c r="G32" s="17">
        <v>2940</v>
      </c>
      <c r="H32" s="19"/>
      <c r="I32" s="19"/>
      <c r="J32" s="19"/>
      <c r="K32" s="4">
        <f>SUM(G32:J32)</f>
        <v>2940</v>
      </c>
      <c r="L32" s="4"/>
      <c r="M32" s="4">
        <f>K32*0.0909</f>
        <v>267.24599999999998</v>
      </c>
      <c r="N32" s="4">
        <f>SUM(K32:M32)</f>
        <v>3207.2460000000001</v>
      </c>
      <c r="O32" s="4">
        <f>K32*0.05</f>
        <v>147</v>
      </c>
      <c r="P32" s="4">
        <f>K32-O32</f>
        <v>2793</v>
      </c>
      <c r="Q32" s="4">
        <v>1000</v>
      </c>
      <c r="R32" s="4">
        <f>(K34-3260)*0.03</f>
        <v>5.2610999999999963</v>
      </c>
      <c r="S32" s="4"/>
      <c r="T32" s="4">
        <f>P32-Q32-R32-S32</f>
        <v>1787.7389000000001</v>
      </c>
    </row>
    <row r="33" spans="2:23" ht="15.75" customHeight="1" x14ac:dyDescent="0.25">
      <c r="B33" s="2" t="s">
        <v>49</v>
      </c>
      <c r="D33" s="10">
        <v>8</v>
      </c>
      <c r="E33" s="17"/>
      <c r="F33" s="17"/>
      <c r="G33" s="17">
        <v>495.37</v>
      </c>
      <c r="H33" s="19"/>
      <c r="I33" s="19"/>
      <c r="J33" s="19"/>
      <c r="K33" s="4">
        <f>SUM(G33:J33)</f>
        <v>495.37</v>
      </c>
      <c r="L33" s="4"/>
      <c r="M33" s="4"/>
      <c r="N33" s="4">
        <f>SUM(K33:M33)</f>
        <v>495.37</v>
      </c>
      <c r="O33" s="4">
        <f>K33*0.05</f>
        <v>24.768500000000003</v>
      </c>
      <c r="P33" s="4">
        <f>K33-O33</f>
        <v>470.60149999999999</v>
      </c>
      <c r="Q33" s="4"/>
      <c r="R33" s="4"/>
      <c r="S33" s="4"/>
      <c r="T33" s="4">
        <f>P33-Q33-R33-S33</f>
        <v>470.60149999999999</v>
      </c>
    </row>
    <row r="34" spans="2:23" ht="16.5" customHeight="1" x14ac:dyDescent="0.25">
      <c r="G34" s="18">
        <f>SUM(G32:G33)</f>
        <v>3435.37</v>
      </c>
      <c r="H34" s="18"/>
      <c r="I34" s="18"/>
      <c r="J34" s="18"/>
      <c r="K34" s="18">
        <f t="shared" ref="K34:T34" si="4">SUM(K32:K33)</f>
        <v>3435.37</v>
      </c>
      <c r="L34" s="18"/>
      <c r="M34" s="18">
        <f t="shared" si="4"/>
        <v>267.24599999999998</v>
      </c>
      <c r="N34" s="18">
        <f t="shared" si="4"/>
        <v>3702.616</v>
      </c>
      <c r="O34" s="18">
        <f t="shared" si="4"/>
        <v>171.76850000000002</v>
      </c>
      <c r="P34" s="18">
        <f t="shared" si="4"/>
        <v>3263.6014999999998</v>
      </c>
      <c r="Q34" s="18">
        <f t="shared" si="4"/>
        <v>1000</v>
      </c>
      <c r="R34" s="18">
        <f t="shared" si="4"/>
        <v>5.2610999999999963</v>
      </c>
      <c r="S34" s="18"/>
      <c r="T34" s="18">
        <f t="shared" si="4"/>
        <v>2258.3404</v>
      </c>
    </row>
    <row r="35" spans="2:23" ht="15.75" customHeight="1" x14ac:dyDescent="0.25">
      <c r="B35" s="2"/>
      <c r="C35" s="2"/>
      <c r="D35" s="2"/>
      <c r="E35" s="2"/>
      <c r="F35" s="2"/>
      <c r="G35" s="25"/>
      <c r="H35" s="2"/>
      <c r="I35" s="2"/>
      <c r="J35" s="2"/>
      <c r="K35" s="2"/>
      <c r="L35" s="2"/>
      <c r="M35" s="2"/>
      <c r="N35" s="2"/>
      <c r="O35" s="3"/>
      <c r="P35" s="55" t="s">
        <v>17</v>
      </c>
      <c r="Q35" s="55"/>
      <c r="R35" s="55"/>
      <c r="S35" s="55"/>
      <c r="T35" s="55"/>
    </row>
    <row r="36" spans="2:23" ht="4.5" customHeight="1" thickBot="1" x14ac:dyDescent="0.3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1"/>
      <c r="P36" s="9"/>
      <c r="Q36" s="9"/>
      <c r="R36" s="9"/>
      <c r="S36" s="9"/>
      <c r="T36" s="9"/>
    </row>
    <row r="37" spans="2:23" ht="18" customHeight="1" x14ac:dyDescent="0.25">
      <c r="B37" t="s">
        <v>140</v>
      </c>
      <c r="G37" t="s">
        <v>141</v>
      </c>
    </row>
    <row r="38" spans="2:23" ht="18" customHeight="1" x14ac:dyDescent="0.25">
      <c r="B38" t="s">
        <v>37</v>
      </c>
      <c r="D38" s="10">
        <v>24</v>
      </c>
      <c r="E38" s="17">
        <v>190.6</v>
      </c>
      <c r="F38" s="17"/>
      <c r="G38" s="17">
        <v>4410</v>
      </c>
      <c r="H38" s="19"/>
      <c r="I38" s="19"/>
      <c r="J38" s="19"/>
      <c r="K38" s="4">
        <f>SUM(G38:J38)</f>
        <v>4410</v>
      </c>
      <c r="L38" s="4"/>
      <c r="M38" s="4">
        <f>K38*0.0909</f>
        <v>400.86899999999997</v>
      </c>
      <c r="N38" s="4">
        <f>SUM(K38:M38)</f>
        <v>4810.8689999999997</v>
      </c>
      <c r="O38" s="4">
        <f>K38*0.05</f>
        <v>220.5</v>
      </c>
      <c r="P38" s="4">
        <f>K38-O38</f>
        <v>4189.5</v>
      </c>
      <c r="Q38" s="4">
        <v>1000</v>
      </c>
      <c r="R38" s="4">
        <f>(K39-3260)*0.03</f>
        <v>34.5</v>
      </c>
      <c r="S38" s="4">
        <v>666.57</v>
      </c>
      <c r="T38" s="4">
        <f>P38-Q38-R38-S38</f>
        <v>2488.4299999999998</v>
      </c>
    </row>
    <row r="39" spans="2:23" ht="18" customHeight="1" x14ac:dyDescent="0.25">
      <c r="G39" s="18">
        <f>SUM(G38:G38)</f>
        <v>4410</v>
      </c>
      <c r="H39" s="18"/>
      <c r="I39" s="18"/>
      <c r="J39" s="18"/>
      <c r="K39" s="18">
        <f t="shared" ref="K39:T39" si="5">SUM(K38:K38)</f>
        <v>4410</v>
      </c>
      <c r="L39" s="18"/>
      <c r="M39" s="18">
        <f t="shared" si="5"/>
        <v>400.86899999999997</v>
      </c>
      <c r="N39" s="18">
        <f t="shared" si="5"/>
        <v>4810.8689999999997</v>
      </c>
      <c r="O39" s="18">
        <f t="shared" si="5"/>
        <v>220.5</v>
      </c>
      <c r="P39" s="18">
        <f t="shared" si="5"/>
        <v>4189.5</v>
      </c>
      <c r="Q39" s="18">
        <f t="shared" si="5"/>
        <v>1000</v>
      </c>
      <c r="R39" s="18">
        <f t="shared" si="5"/>
        <v>34.5</v>
      </c>
      <c r="S39" s="18">
        <f t="shared" si="5"/>
        <v>666.57</v>
      </c>
      <c r="T39" s="18">
        <f t="shared" si="5"/>
        <v>2488.4299999999998</v>
      </c>
    </row>
    <row r="40" spans="2:23" ht="19.5" customHeight="1" x14ac:dyDescent="0.25">
      <c r="B40" s="2"/>
      <c r="C40" s="2"/>
      <c r="D40" s="2"/>
      <c r="E40" s="2"/>
      <c r="F40" s="2"/>
      <c r="G40" s="25"/>
      <c r="H40" s="2"/>
      <c r="I40" s="2"/>
      <c r="J40" s="2"/>
      <c r="K40" s="2"/>
      <c r="L40" s="2"/>
      <c r="M40" s="2"/>
      <c r="N40" s="2"/>
      <c r="O40" s="3"/>
      <c r="P40" s="55" t="s">
        <v>17</v>
      </c>
      <c r="Q40" s="55"/>
      <c r="R40" s="55"/>
      <c r="S40" s="55"/>
      <c r="T40" s="55"/>
    </row>
    <row r="41" spans="2:23" ht="5.25" customHeight="1" thickBot="1" x14ac:dyDescent="0.3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1"/>
      <c r="P41" s="9"/>
      <c r="Q41" s="9"/>
      <c r="R41" s="9"/>
      <c r="S41" s="9"/>
      <c r="T41" s="9"/>
    </row>
    <row r="42" spans="2:23" ht="21.75" customHeight="1" x14ac:dyDescent="0.25">
      <c r="B42" s="13" t="s">
        <v>16</v>
      </c>
      <c r="C42" s="2"/>
      <c r="D42" s="2"/>
      <c r="E42" s="2"/>
      <c r="F42" s="2"/>
      <c r="G42" s="44">
        <f>G13+G19+G24+G29+G34+G39</f>
        <v>24050.67</v>
      </c>
      <c r="H42" s="46"/>
      <c r="I42" s="46"/>
      <c r="J42" s="46"/>
      <c r="K42" s="44">
        <f t="shared" ref="K42:S42" si="6">K13+K19+K24+K29+K34+K39</f>
        <v>24050.67</v>
      </c>
      <c r="L42" s="44"/>
      <c r="M42" s="44">
        <f t="shared" si="6"/>
        <v>2083.087125</v>
      </c>
      <c r="N42" s="44">
        <f t="shared" si="6"/>
        <v>26135.393668450881</v>
      </c>
      <c r="O42" s="44">
        <f>O13+O19+O24+O29+O34+O39+0.01</f>
        <v>1202.5435</v>
      </c>
      <c r="P42" s="44">
        <f t="shared" si="6"/>
        <v>22848.126499999998</v>
      </c>
      <c r="Q42" s="44">
        <f t="shared" si="6"/>
        <v>6000</v>
      </c>
      <c r="R42" s="44">
        <f t="shared" si="6"/>
        <v>155.3451</v>
      </c>
      <c r="S42" s="44">
        <f t="shared" si="6"/>
        <v>1276.5700000000002</v>
      </c>
      <c r="T42" s="44">
        <f>T13+T19+T24+T29+T34+T39+0.01</f>
        <v>15416.211399999998</v>
      </c>
      <c r="V42" s="35">
        <f>K13+K19+K24+K34+K39-16300</f>
        <v>5178.1699999999983</v>
      </c>
      <c r="W42" s="35">
        <f>V42*0.03</f>
        <v>155.34509999999995</v>
      </c>
    </row>
    <row r="43" spans="2:23" ht="18.75" customHeight="1" x14ac:dyDescent="0.25">
      <c r="B43" s="13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 spans="2:23" ht="12.75" customHeight="1" x14ac:dyDescent="0.25">
      <c r="B44" s="8" t="s">
        <v>20</v>
      </c>
      <c r="C44" s="26"/>
      <c r="D44" s="26"/>
      <c r="E44" s="26"/>
      <c r="F44" s="26"/>
      <c r="G44" s="26"/>
      <c r="N44" s="1" t="s">
        <v>23</v>
      </c>
    </row>
    <row r="45" spans="2:23" x14ac:dyDescent="0.25">
      <c r="C45" s="49" t="s">
        <v>21</v>
      </c>
      <c r="D45" s="49"/>
      <c r="E45" s="49"/>
      <c r="F45" s="48"/>
      <c r="O45" s="49" t="s">
        <v>24</v>
      </c>
      <c r="P45" s="49"/>
      <c r="Q45" s="49"/>
      <c r="R45" s="39"/>
      <c r="S45" s="39"/>
    </row>
    <row r="46" spans="2:23" ht="14.25" customHeight="1" x14ac:dyDescent="0.25">
      <c r="B46" s="1" t="s">
        <v>26</v>
      </c>
      <c r="N46" s="1" t="s">
        <v>27</v>
      </c>
    </row>
    <row r="47" spans="2:23" x14ac:dyDescent="0.25">
      <c r="C47" s="52" t="s">
        <v>22</v>
      </c>
      <c r="D47" s="52"/>
      <c r="E47" s="52"/>
      <c r="F47" s="52"/>
      <c r="G47" s="52"/>
      <c r="P47" s="52" t="s">
        <v>25</v>
      </c>
      <c r="Q47" s="52"/>
      <c r="R47" s="52"/>
      <c r="S47" s="52"/>
      <c r="T47" s="52"/>
    </row>
  </sheetData>
  <mergeCells count="16">
    <mergeCell ref="B8:C8"/>
    <mergeCell ref="K2:P2"/>
    <mergeCell ref="M3:N3"/>
    <mergeCell ref="E5:G5"/>
    <mergeCell ref="K5:O5"/>
    <mergeCell ref="P5:T5"/>
    <mergeCell ref="C47:G47"/>
    <mergeCell ref="P47:T47"/>
    <mergeCell ref="P40:T40"/>
    <mergeCell ref="P14:T14"/>
    <mergeCell ref="P20:T20"/>
    <mergeCell ref="P25:T25"/>
    <mergeCell ref="P30:T30"/>
    <mergeCell ref="P35:T35"/>
    <mergeCell ref="C45:E45"/>
    <mergeCell ref="O45:Q45"/>
  </mergeCells>
  <pageMargins left="0.59055118110236227" right="0.15748031496062992" top="0.15748031496062992" bottom="0.15748031496062992" header="0.15748031496062992" footer="0.15748031496062992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Direcc</vt:lpstr>
      <vt:lpstr>Gestión</vt:lpstr>
      <vt:lpstr>Mercadot</vt:lpstr>
      <vt:lpstr>Econ</vt:lpstr>
      <vt:lpstr>Contab</vt:lpstr>
      <vt:lpstr>Infocomunicaciones</vt:lpstr>
      <vt:lpstr>Def y Seg-1</vt:lpstr>
      <vt:lpstr>Def y Seg-2</vt:lpstr>
      <vt:lpstr>Tec-Prod.</vt:lpstr>
      <vt:lpstr>Cap. Hum</vt:lpstr>
      <vt:lpstr>Organiz</vt:lpstr>
      <vt:lpstr>'Cap. Hum'!Área_de_impresión</vt:lpstr>
      <vt:lpstr>Contab!Área_de_impresión</vt:lpstr>
      <vt:lpstr>'Def y Seg-1'!Área_de_impresión</vt:lpstr>
      <vt:lpstr>'Def y Seg-2'!Área_de_impresión</vt:lpstr>
      <vt:lpstr>Direcc!Área_de_impresión</vt:lpstr>
      <vt:lpstr>Econ!Área_de_impresión</vt:lpstr>
      <vt:lpstr>Gestión!Área_de_impresión</vt:lpstr>
      <vt:lpstr>Infocomunicaciones!Área_de_impresión</vt:lpstr>
      <vt:lpstr>Mercadot!Área_de_impresión</vt:lpstr>
      <vt:lpstr>Organiz!Área_de_impresión</vt:lpstr>
      <vt:lpstr>'Tec-Prod.'!Área_de_impresión</vt:lpstr>
    </vt:vector>
  </TitlesOfParts>
  <Company>GEOCUBA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 Torres González</dc:creator>
  <cp:lastModifiedBy>informatizacion1</cp:lastModifiedBy>
  <cp:lastPrinted>2020-12-30T20:28:41Z</cp:lastPrinted>
  <dcterms:created xsi:type="dcterms:W3CDTF">2013-11-06T14:29:04Z</dcterms:created>
  <dcterms:modified xsi:type="dcterms:W3CDTF">2021-01-06T22:23:11Z</dcterms:modified>
</cp:coreProperties>
</file>