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/>
  <mc:AlternateContent xmlns:mc="http://schemas.openxmlformats.org/markup-compatibility/2006">
    <mc:Choice Requires="x15">
      <x15ac:absPath xmlns:x15ac="http://schemas.microsoft.com/office/spreadsheetml/2010/11/ac" url="C:\Users\EHEEYUE\Desktop\"/>
    </mc:Choice>
  </mc:AlternateContent>
  <workbookProtection workbookAlgorithmName="SHA-512" workbookHashValue="OM9URerkRmZL1wrRv0+HjV5dGiCs9CpXxE27a0fJMlLUXLIfcuphD1LX5DgN2AVWC6IglpKAa3I7/3j62iFFYg==" workbookSaltValue="0vOxPSoN/qo78rvWLC7o8w==" workbookSpinCount="100000" lockStructure="1"/>
  <bookViews>
    <workbookView xWindow="0" yWindow="0" windowWidth="20490" windowHeight="7530" tabRatio="686" firstSheet="1" activeTab="7"/>
  </bookViews>
  <sheets>
    <sheet name="Database" sheetId="21" state="hidden" r:id="rId1"/>
    <sheet name="OT_Jan-Mar" sheetId="17" r:id="rId2"/>
    <sheet name="OT_Apr-Jun" sheetId="18" r:id="rId3"/>
    <sheet name="OT_Jul-Sep" sheetId="19" r:id="rId4"/>
    <sheet name="OT_Oct-Dec" sheetId="20" r:id="rId5"/>
    <sheet name="Summary" sheetId="16" r:id="rId6"/>
    <sheet name="Jan-Mar" sheetId="4" r:id="rId7"/>
    <sheet name="Apr-Jun" sheetId="7" r:id="rId8"/>
    <sheet name="Jul-Sep" sheetId="10" r:id="rId9"/>
    <sheet name="Oct-Dec" sheetId="14" r:id="rId10"/>
  </sheets>
  <externalReferences>
    <externalReference r:id="rId11"/>
    <externalReference r:id="rId12"/>
    <externalReference r:id="rId13"/>
  </externalReferences>
  <definedNames>
    <definedName name="_xlnm._FilterDatabase" localSheetId="2" hidden="1">'OT_Apr-Jun'!$A$3:$K$46</definedName>
    <definedName name="CalendarYear">'Jan-Mar'!$AG$2</definedName>
    <definedName name="KeyCustom1">'Jan-Mar'!$P$38</definedName>
    <definedName name="KeyCustom1Label">'Jan-Mar'!$Q$38</definedName>
    <definedName name="KeyCustom2">'Jan-Mar'!$T$38</definedName>
    <definedName name="KeyCustom2Label">'Jan-Mar'!$U$38</definedName>
    <definedName name="KeyPersonal">'Jan-Mar'!$I$38</definedName>
    <definedName name="KeyPersonalLabel">'Jan-Mar'!$J$38</definedName>
    <definedName name="KeySick">'Jan-Mar'!$M$38</definedName>
    <definedName name="KeySickLabel">'Jan-Mar'!$N$38</definedName>
    <definedName name="KeyVacation">'Jan-Mar'!$E$38</definedName>
    <definedName name="KeyVacationLabel">'Jan-Mar'!$F$38</definedName>
    <definedName name="MonthName" localSheetId="7">'Apr-Jun'!$A$2</definedName>
    <definedName name="MonthName" localSheetId="6">'Jan-Mar'!$A$2</definedName>
    <definedName name="MonthName" localSheetId="8">'Jul-Sep'!$A$2</definedName>
    <definedName name="MonthName" localSheetId="9">'Oct-Dec'!$A$2</definedName>
    <definedName name="_xlnm.Print_Titles" localSheetId="7">'Apr-Jun'!$2:$4</definedName>
    <definedName name="_xlnm.Print_Titles" localSheetId="6">'Jan-Mar'!$2:$4</definedName>
    <definedName name="_xlnm.Print_Titles" localSheetId="8">'Jul-Sep'!$2:$4</definedName>
    <definedName name="_xlnm.Print_Titles" localSheetId="9">'Oct-Dec'!$2:$4</definedName>
  </definedNames>
  <calcPr calcId="171027"/>
</workbook>
</file>

<file path=xl/calcChain.xml><?xml version="1.0" encoding="utf-8"?>
<calcChain xmlns="http://schemas.openxmlformats.org/spreadsheetml/2006/main">
  <c r="K53" i="18" l="1"/>
  <c r="K54" i="18"/>
  <c r="I53" i="18"/>
  <c r="I54" i="18"/>
  <c r="K50" i="18"/>
  <c r="K51" i="18"/>
  <c r="K52" i="18"/>
  <c r="I50" i="18"/>
  <c r="I51" i="18"/>
  <c r="I52" i="18"/>
  <c r="I42" i="18" l="1"/>
  <c r="K42" i="18"/>
  <c r="H4" i="16" l="1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I3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53" i="16"/>
  <c r="G20" i="16" s="1"/>
  <c r="B54" i="16"/>
  <c r="G21" i="16" s="1"/>
  <c r="B55" i="16"/>
  <c r="G22" i="16" s="1"/>
  <c r="B56" i="16"/>
  <c r="G23" i="16" s="1"/>
  <c r="B57" i="16"/>
  <c r="G24" i="16" s="1"/>
  <c r="B58" i="16"/>
  <c r="G25" i="16" s="1"/>
  <c r="B59" i="16"/>
  <c r="G26" i="16" s="1"/>
  <c r="B60" i="16"/>
  <c r="G27" i="16" s="1"/>
  <c r="B61" i="16"/>
  <c r="G28" i="16" s="1"/>
  <c r="B62" i="16"/>
  <c r="B63" i="16"/>
  <c r="B64" i="16"/>
  <c r="B65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AG94" i="10"/>
  <c r="AG93" i="10"/>
  <c r="AG92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31" i="4"/>
  <c r="AG32" i="4"/>
  <c r="AG33" i="4"/>
  <c r="AG34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27" i="4"/>
  <c r="AG28" i="4"/>
  <c r="AG21" i="4"/>
  <c r="AG22" i="4"/>
  <c r="AG23" i="4"/>
  <c r="AG24" i="4"/>
  <c r="AG25" i="4"/>
  <c r="AG26" i="4"/>
  <c r="AG29" i="4"/>
  <c r="AG30" i="4"/>
  <c r="G29" i="16" l="1"/>
  <c r="V29" i="16" s="1"/>
  <c r="G30" i="16"/>
  <c r="V30" i="16" s="1"/>
  <c r="G31" i="16"/>
  <c r="V31" i="16" s="1"/>
  <c r="G32" i="16"/>
  <c r="V32" i="16" s="1"/>
  <c r="V25" i="16"/>
  <c r="V27" i="16"/>
  <c r="V24" i="16"/>
  <c r="V22" i="16"/>
  <c r="V28" i="16"/>
  <c r="V23" i="16"/>
  <c r="V20" i="16"/>
  <c r="V21" i="16"/>
  <c r="V26" i="16"/>
  <c r="I22" i="18" l="1"/>
  <c r="K22" i="18" s="1"/>
  <c r="I62" i="17" l="1"/>
  <c r="K62" i="17" s="1"/>
  <c r="I61" i="17" l="1"/>
  <c r="K61" i="17" s="1"/>
  <c r="I60" i="17" l="1"/>
  <c r="K60" i="17" s="1"/>
  <c r="I59" i="17" l="1"/>
  <c r="K59" i="17" s="1"/>
  <c r="I58" i="17" l="1"/>
  <c r="K58" i="17" s="1"/>
  <c r="I57" i="17"/>
  <c r="K57" i="17" s="1"/>
  <c r="I56" i="17"/>
  <c r="K56" i="17" s="1"/>
  <c r="I55" i="17"/>
  <c r="K55" i="17" s="1"/>
  <c r="I54" i="17" l="1"/>
  <c r="K54" i="17" s="1"/>
  <c r="I53" i="17"/>
  <c r="K53" i="17" s="1"/>
  <c r="K51" i="17" l="1"/>
  <c r="I51" i="17"/>
  <c r="K52" i="17"/>
  <c r="I52" i="17"/>
  <c r="I50" i="17" l="1"/>
  <c r="K50" i="17" s="1"/>
  <c r="I49" i="17" l="1"/>
  <c r="K49" i="17" s="1"/>
  <c r="I48" i="17"/>
  <c r="K48" i="17" s="1"/>
  <c r="I47" i="17"/>
  <c r="K47" i="17" s="1"/>
  <c r="I46" i="17"/>
  <c r="K46" i="17" s="1"/>
  <c r="B5" i="16" l="1"/>
  <c r="B6" i="16"/>
  <c r="B7" i="16"/>
  <c r="B8" i="16"/>
  <c r="B9" i="16"/>
  <c r="B10" i="16"/>
  <c r="B12" i="16"/>
  <c r="B14" i="16"/>
  <c r="B15" i="16"/>
  <c r="B16" i="16"/>
  <c r="B17" i="16"/>
  <c r="AG5" i="10" l="1"/>
  <c r="AG92" i="4" l="1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P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3" i="16"/>
  <c r="K4" i="16"/>
  <c r="K5" i="16"/>
  <c r="K6" i="16"/>
  <c r="K7" i="16"/>
  <c r="K8" i="16"/>
  <c r="K9" i="16"/>
  <c r="K10" i="16"/>
  <c r="K12" i="16"/>
  <c r="K13" i="16"/>
  <c r="K14" i="16"/>
  <c r="K15" i="16"/>
  <c r="K16" i="16"/>
  <c r="K17" i="16"/>
  <c r="K3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02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9" i="16"/>
  <c r="B37" i="16"/>
  <c r="G4" i="16" s="1"/>
  <c r="B39" i="16"/>
  <c r="G6" i="16" s="1"/>
  <c r="B40" i="16"/>
  <c r="G7" i="16" s="1"/>
  <c r="B41" i="16"/>
  <c r="G8" i="16" s="1"/>
  <c r="B42" i="16"/>
  <c r="G9" i="16" s="1"/>
  <c r="B45" i="16"/>
  <c r="G12" i="16" s="1"/>
  <c r="B46" i="16"/>
  <c r="G13" i="16" s="1"/>
  <c r="B47" i="16"/>
  <c r="G14" i="16" s="1"/>
  <c r="B50" i="16"/>
  <c r="G17" i="16" s="1"/>
  <c r="B36" i="16"/>
  <c r="G3" i="16" s="1"/>
  <c r="I49" i="20"/>
  <c r="K49" i="20" s="1"/>
  <c r="I48" i="20"/>
  <c r="K48" i="20" s="1"/>
  <c r="I47" i="20"/>
  <c r="K47" i="20" s="1"/>
  <c r="I46" i="20"/>
  <c r="K46" i="20" s="1"/>
  <c r="I45" i="20"/>
  <c r="K45" i="20" s="1"/>
  <c r="I44" i="20"/>
  <c r="K44" i="20" s="1"/>
  <c r="I43" i="20"/>
  <c r="K43" i="20" s="1"/>
  <c r="I42" i="20"/>
  <c r="K42" i="20" s="1"/>
  <c r="I41" i="20"/>
  <c r="K41" i="20" s="1"/>
  <c r="I40" i="20"/>
  <c r="K40" i="20" s="1"/>
  <c r="I39" i="20"/>
  <c r="K39" i="20" s="1"/>
  <c r="I38" i="20"/>
  <c r="K38" i="20" s="1"/>
  <c r="I37" i="20"/>
  <c r="K37" i="20" s="1"/>
  <c r="I36" i="20"/>
  <c r="K36" i="20" s="1"/>
  <c r="I35" i="20"/>
  <c r="K35" i="20" s="1"/>
  <c r="I34" i="20"/>
  <c r="K34" i="20" s="1"/>
  <c r="I33" i="20"/>
  <c r="K33" i="20" s="1"/>
  <c r="I32" i="20"/>
  <c r="K32" i="20" s="1"/>
  <c r="I31" i="20"/>
  <c r="K31" i="20" s="1"/>
  <c r="I30" i="20"/>
  <c r="K30" i="20" s="1"/>
  <c r="I29" i="20"/>
  <c r="K29" i="20" s="1"/>
  <c r="I28" i="20"/>
  <c r="K28" i="20" s="1"/>
  <c r="I27" i="20"/>
  <c r="K27" i="20" s="1"/>
  <c r="I26" i="20"/>
  <c r="K26" i="20" s="1"/>
  <c r="I25" i="20"/>
  <c r="K25" i="20" s="1"/>
  <c r="I24" i="20"/>
  <c r="K24" i="20" s="1"/>
  <c r="I23" i="20"/>
  <c r="K23" i="20" s="1"/>
  <c r="I22" i="20"/>
  <c r="K22" i="20" s="1"/>
  <c r="I21" i="20"/>
  <c r="K21" i="20" s="1"/>
  <c r="I20" i="20"/>
  <c r="K20" i="20" s="1"/>
  <c r="I19" i="20"/>
  <c r="K19" i="20" s="1"/>
  <c r="I18" i="20"/>
  <c r="K18" i="20" s="1"/>
  <c r="I17" i="20"/>
  <c r="K17" i="20" s="1"/>
  <c r="I16" i="20"/>
  <c r="K16" i="20" s="1"/>
  <c r="I15" i="20"/>
  <c r="K15" i="20" s="1"/>
  <c r="I14" i="20"/>
  <c r="K14" i="20" s="1"/>
  <c r="I13" i="20"/>
  <c r="K13" i="20" s="1"/>
  <c r="I12" i="20"/>
  <c r="K12" i="20" s="1"/>
  <c r="I11" i="20"/>
  <c r="K11" i="20" s="1"/>
  <c r="I10" i="20"/>
  <c r="K10" i="20" s="1"/>
  <c r="I9" i="20"/>
  <c r="K9" i="20" s="1"/>
  <c r="I8" i="20"/>
  <c r="K8" i="20" s="1"/>
  <c r="I7" i="20"/>
  <c r="K7" i="20" s="1"/>
  <c r="I6" i="20"/>
  <c r="K6" i="20" s="1"/>
  <c r="I5" i="20"/>
  <c r="K5" i="20" s="1"/>
  <c r="I4" i="20"/>
  <c r="K4" i="20" s="1"/>
  <c r="I49" i="19"/>
  <c r="K49" i="19" s="1"/>
  <c r="I48" i="19"/>
  <c r="K48" i="19" s="1"/>
  <c r="I47" i="19"/>
  <c r="K47" i="19" s="1"/>
  <c r="I46" i="19"/>
  <c r="K46" i="19" s="1"/>
  <c r="I45" i="19"/>
  <c r="K45" i="19" s="1"/>
  <c r="I44" i="19"/>
  <c r="K44" i="19" s="1"/>
  <c r="I43" i="19"/>
  <c r="K43" i="19" s="1"/>
  <c r="I42" i="19"/>
  <c r="K42" i="19" s="1"/>
  <c r="I41" i="19"/>
  <c r="K41" i="19" s="1"/>
  <c r="I40" i="19"/>
  <c r="K40" i="19" s="1"/>
  <c r="I39" i="19"/>
  <c r="K39" i="19" s="1"/>
  <c r="I38" i="19"/>
  <c r="K38" i="19" s="1"/>
  <c r="I37" i="19"/>
  <c r="K37" i="19" s="1"/>
  <c r="I36" i="19"/>
  <c r="K36" i="19" s="1"/>
  <c r="I35" i="19"/>
  <c r="K35" i="19" s="1"/>
  <c r="I34" i="19"/>
  <c r="K34" i="19" s="1"/>
  <c r="I33" i="19"/>
  <c r="K33" i="19" s="1"/>
  <c r="I32" i="19"/>
  <c r="K32" i="19" s="1"/>
  <c r="I31" i="19"/>
  <c r="K31" i="19" s="1"/>
  <c r="I30" i="19"/>
  <c r="K30" i="19" s="1"/>
  <c r="I29" i="19"/>
  <c r="K29" i="19" s="1"/>
  <c r="I28" i="19"/>
  <c r="K28" i="19" s="1"/>
  <c r="I27" i="19"/>
  <c r="K27" i="19" s="1"/>
  <c r="I26" i="19"/>
  <c r="K26" i="19" s="1"/>
  <c r="I25" i="19"/>
  <c r="K25" i="19" s="1"/>
  <c r="I24" i="19"/>
  <c r="K24" i="19" s="1"/>
  <c r="I23" i="19"/>
  <c r="K23" i="19" s="1"/>
  <c r="I22" i="19"/>
  <c r="K22" i="19" s="1"/>
  <c r="I21" i="19"/>
  <c r="K21" i="19" s="1"/>
  <c r="I20" i="19"/>
  <c r="K20" i="19" s="1"/>
  <c r="I19" i="19"/>
  <c r="K19" i="19" s="1"/>
  <c r="I18" i="19"/>
  <c r="K18" i="19" s="1"/>
  <c r="I17" i="19"/>
  <c r="K17" i="19" s="1"/>
  <c r="I16" i="19"/>
  <c r="K16" i="19" s="1"/>
  <c r="I15" i="19"/>
  <c r="K15" i="19" s="1"/>
  <c r="I14" i="19"/>
  <c r="K14" i="19" s="1"/>
  <c r="I13" i="19"/>
  <c r="K13" i="19" s="1"/>
  <c r="I12" i="19"/>
  <c r="K12" i="19" s="1"/>
  <c r="I11" i="19"/>
  <c r="K11" i="19" s="1"/>
  <c r="I10" i="19"/>
  <c r="K10" i="19" s="1"/>
  <c r="I9" i="19"/>
  <c r="K9" i="19" s="1"/>
  <c r="I8" i="19"/>
  <c r="K8" i="19" s="1"/>
  <c r="I7" i="19"/>
  <c r="K7" i="19" s="1"/>
  <c r="I6" i="19"/>
  <c r="K6" i="19" s="1"/>
  <c r="I5" i="19"/>
  <c r="K5" i="19" s="1"/>
  <c r="I4" i="19"/>
  <c r="K4" i="19" s="1"/>
  <c r="I56" i="18"/>
  <c r="K56" i="18" s="1"/>
  <c r="I49" i="18"/>
  <c r="K49" i="18" s="1"/>
  <c r="I48" i="18"/>
  <c r="K48" i="18" s="1"/>
  <c r="I47" i="18"/>
  <c r="K47" i="18" s="1"/>
  <c r="I46" i="18"/>
  <c r="K46" i="18" s="1"/>
  <c r="I45" i="18"/>
  <c r="K45" i="18" s="1"/>
  <c r="I44" i="18"/>
  <c r="K44" i="18" s="1"/>
  <c r="I43" i="18"/>
  <c r="K43" i="18" s="1"/>
  <c r="I41" i="18"/>
  <c r="K41" i="18" s="1"/>
  <c r="I40" i="18"/>
  <c r="K40" i="18" s="1"/>
  <c r="I39" i="18"/>
  <c r="K39" i="18" s="1"/>
  <c r="I38" i="18"/>
  <c r="K38" i="18" s="1"/>
  <c r="I37" i="18"/>
  <c r="K37" i="18" s="1"/>
  <c r="I36" i="18"/>
  <c r="K36" i="18" s="1"/>
  <c r="I35" i="18"/>
  <c r="K35" i="18" s="1"/>
  <c r="I34" i="18"/>
  <c r="I33" i="18"/>
  <c r="K33" i="18" s="1"/>
  <c r="I32" i="18"/>
  <c r="K32" i="18" s="1"/>
  <c r="I31" i="18"/>
  <c r="K31" i="18" s="1"/>
  <c r="I30" i="18"/>
  <c r="K30" i="18" s="1"/>
  <c r="I29" i="18"/>
  <c r="K29" i="18" s="1"/>
  <c r="I28" i="18"/>
  <c r="K28" i="18" s="1"/>
  <c r="I27" i="18"/>
  <c r="K27" i="18" s="1"/>
  <c r="I26" i="18"/>
  <c r="I25" i="18"/>
  <c r="K25" i="18" s="1"/>
  <c r="I24" i="18"/>
  <c r="K24" i="18" s="1"/>
  <c r="I23" i="18"/>
  <c r="K23" i="18" s="1"/>
  <c r="I21" i="18"/>
  <c r="K21" i="18" s="1"/>
  <c r="I20" i="18"/>
  <c r="K20" i="18" s="1"/>
  <c r="I19" i="18"/>
  <c r="K19" i="18" s="1"/>
  <c r="I18" i="18"/>
  <c r="K18" i="18" s="1"/>
  <c r="I17" i="18"/>
  <c r="K17" i="18" s="1"/>
  <c r="I16" i="18"/>
  <c r="K16" i="18" s="1"/>
  <c r="I15" i="18"/>
  <c r="K15" i="18" s="1"/>
  <c r="I14" i="18"/>
  <c r="K14" i="18" s="1"/>
  <c r="I13" i="18"/>
  <c r="K13" i="18" s="1"/>
  <c r="I12" i="18"/>
  <c r="K12" i="18" s="1"/>
  <c r="I11" i="18"/>
  <c r="K11" i="18" s="1"/>
  <c r="I10" i="18"/>
  <c r="K10" i="18" s="1"/>
  <c r="I9" i="18"/>
  <c r="K9" i="18" s="1"/>
  <c r="I8" i="18"/>
  <c r="K8" i="18" s="1"/>
  <c r="I7" i="18"/>
  <c r="K7" i="18" s="1"/>
  <c r="I6" i="18"/>
  <c r="K6" i="18" s="1"/>
  <c r="I5" i="18"/>
  <c r="K5" i="18" s="1"/>
  <c r="I4" i="18"/>
  <c r="K4" i="18" s="1"/>
  <c r="I22" i="17"/>
  <c r="K22" i="17" s="1"/>
  <c r="I23" i="17"/>
  <c r="K23" i="17" s="1"/>
  <c r="I24" i="17"/>
  <c r="K24" i="17" s="1"/>
  <c r="I25" i="17"/>
  <c r="K25" i="17" s="1"/>
  <c r="I26" i="17"/>
  <c r="K26" i="17" s="1"/>
  <c r="I27" i="17"/>
  <c r="K27" i="17" s="1"/>
  <c r="I28" i="17"/>
  <c r="I29" i="17"/>
  <c r="K29" i="17" s="1"/>
  <c r="I30" i="17"/>
  <c r="I31" i="17"/>
  <c r="K31" i="17" s="1"/>
  <c r="I32" i="17"/>
  <c r="K32" i="17" s="1"/>
  <c r="I33" i="17"/>
  <c r="K33" i="17" s="1"/>
  <c r="I34" i="17"/>
  <c r="K34" i="17" s="1"/>
  <c r="I35" i="17"/>
  <c r="K35" i="17" s="1"/>
  <c r="I36" i="17"/>
  <c r="K36" i="17" s="1"/>
  <c r="I37" i="17"/>
  <c r="K37" i="17" s="1"/>
  <c r="I38" i="17"/>
  <c r="K38" i="17" s="1"/>
  <c r="I39" i="17"/>
  <c r="K39" i="17" s="1"/>
  <c r="I40" i="17"/>
  <c r="K40" i="17" s="1"/>
  <c r="I41" i="17"/>
  <c r="K41" i="17" s="1"/>
  <c r="I42" i="17"/>
  <c r="I43" i="17"/>
  <c r="K43" i="17" s="1"/>
  <c r="I44" i="17"/>
  <c r="K44" i="17" s="1"/>
  <c r="I45" i="17"/>
  <c r="K45" i="17" s="1"/>
  <c r="K30" i="17"/>
  <c r="I21" i="17"/>
  <c r="K21" i="17" s="1"/>
  <c r="I20" i="17"/>
  <c r="K20" i="17" s="1"/>
  <c r="I19" i="17"/>
  <c r="K19" i="17" s="1"/>
  <c r="I18" i="17"/>
  <c r="K18" i="17" s="1"/>
  <c r="I17" i="17"/>
  <c r="K17" i="17" s="1"/>
  <c r="I16" i="17"/>
  <c r="K16" i="17" s="1"/>
  <c r="I15" i="17"/>
  <c r="K15" i="17" s="1"/>
  <c r="I14" i="17"/>
  <c r="K14" i="17" s="1"/>
  <c r="I13" i="17"/>
  <c r="K13" i="17" s="1"/>
  <c r="I12" i="17"/>
  <c r="I11" i="17"/>
  <c r="K11" i="17" s="1"/>
  <c r="I10" i="17"/>
  <c r="K10" i="17" s="1"/>
  <c r="K9" i="17"/>
  <c r="I9" i="17"/>
  <c r="I8" i="17"/>
  <c r="K8" i="17" s="1"/>
  <c r="I7" i="17"/>
  <c r="K7" i="17" s="1"/>
  <c r="I6" i="17"/>
  <c r="K6" i="17" s="1"/>
  <c r="I5" i="17"/>
  <c r="K5" i="17" s="1"/>
  <c r="I4" i="17"/>
  <c r="K34" i="18" l="1"/>
  <c r="B51" i="16"/>
  <c r="G18" i="16" s="1"/>
  <c r="V18" i="16" s="1"/>
  <c r="K26" i="18"/>
  <c r="B52" i="16"/>
  <c r="G19" i="16" s="1"/>
  <c r="V19" i="16" s="1"/>
  <c r="B38" i="16"/>
  <c r="G5" i="16" s="1"/>
  <c r="B48" i="16"/>
  <c r="G15" i="16" s="1"/>
  <c r="B44" i="16"/>
  <c r="G11" i="16" s="1"/>
  <c r="B49" i="16"/>
  <c r="G16" i="16" s="1"/>
  <c r="B43" i="16"/>
  <c r="G10" i="16" s="1"/>
  <c r="B3" i="16"/>
  <c r="K42" i="17"/>
  <c r="K28" i="17"/>
  <c r="B4" i="16"/>
  <c r="K12" i="17"/>
  <c r="B11" i="16"/>
  <c r="K4" i="17"/>
  <c r="B13" i="16"/>
  <c r="AG78" i="14"/>
  <c r="U4" i="16" s="1"/>
  <c r="AG79" i="14"/>
  <c r="U5" i="16" s="1"/>
  <c r="AG80" i="14"/>
  <c r="U6" i="16" s="1"/>
  <c r="AG81" i="14"/>
  <c r="U7" i="16" s="1"/>
  <c r="AG82" i="14"/>
  <c r="U8" i="16" s="1"/>
  <c r="AG83" i="14"/>
  <c r="U9" i="16" s="1"/>
  <c r="AG84" i="14"/>
  <c r="U10" i="16" s="1"/>
  <c r="AG85" i="14"/>
  <c r="U11" i="16" s="1"/>
  <c r="AG86" i="14"/>
  <c r="U12" i="16" s="1"/>
  <c r="AG87" i="14"/>
  <c r="U13" i="16" s="1"/>
  <c r="AG88" i="14"/>
  <c r="U14" i="16" s="1"/>
  <c r="AG89" i="14"/>
  <c r="U15" i="16" s="1"/>
  <c r="AG90" i="14"/>
  <c r="U16" i="16" s="1"/>
  <c r="AG91" i="14"/>
  <c r="U17" i="16" s="1"/>
  <c r="AG43" i="14"/>
  <c r="T4" i="16" s="1"/>
  <c r="AG44" i="14"/>
  <c r="T5" i="16" s="1"/>
  <c r="AG45" i="14"/>
  <c r="T6" i="16" s="1"/>
  <c r="AG46" i="14"/>
  <c r="T7" i="16" s="1"/>
  <c r="AG47" i="14"/>
  <c r="T8" i="16" s="1"/>
  <c r="AG48" i="14"/>
  <c r="T9" i="16" s="1"/>
  <c r="AG49" i="14"/>
  <c r="T10" i="16" s="1"/>
  <c r="AG50" i="14"/>
  <c r="T11" i="16" s="1"/>
  <c r="AG51" i="14"/>
  <c r="T12" i="16" s="1"/>
  <c r="AG52" i="14"/>
  <c r="T13" i="16" s="1"/>
  <c r="AG53" i="14"/>
  <c r="T14" i="16" s="1"/>
  <c r="AG54" i="14"/>
  <c r="T15" i="16" s="1"/>
  <c r="AG55" i="14"/>
  <c r="T16" i="16" s="1"/>
  <c r="AG56" i="14"/>
  <c r="T17" i="16" s="1"/>
  <c r="AG77" i="14"/>
  <c r="U3" i="16" s="1"/>
  <c r="AG42" i="14"/>
  <c r="T3" i="16" s="1"/>
  <c r="AG6" i="14"/>
  <c r="S4" i="16" s="1"/>
  <c r="AG7" i="14"/>
  <c r="S5" i="16" s="1"/>
  <c r="AG8" i="14"/>
  <c r="S6" i="16" s="1"/>
  <c r="AG9" i="14"/>
  <c r="S7" i="16" s="1"/>
  <c r="AG10" i="14"/>
  <c r="S8" i="16" s="1"/>
  <c r="AG11" i="14"/>
  <c r="S9" i="16" s="1"/>
  <c r="AG12" i="14"/>
  <c r="S10" i="16" s="1"/>
  <c r="AG13" i="14"/>
  <c r="S11" i="16" s="1"/>
  <c r="AG14" i="14"/>
  <c r="S12" i="16" s="1"/>
  <c r="AG15" i="14"/>
  <c r="S13" i="16" s="1"/>
  <c r="AG16" i="14"/>
  <c r="S14" i="16" s="1"/>
  <c r="AG17" i="14"/>
  <c r="S15" i="16" s="1"/>
  <c r="AG18" i="14"/>
  <c r="S16" i="16" s="1"/>
  <c r="AG19" i="14"/>
  <c r="S17" i="16" s="1"/>
  <c r="AG5" i="14"/>
  <c r="S3" i="16" s="1"/>
  <c r="A107" i="14"/>
  <c r="A72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AG74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G39" i="14"/>
  <c r="AG107" i="14" l="1"/>
  <c r="AG72" i="14"/>
  <c r="AG91" i="10"/>
  <c r="R17" i="16" s="1"/>
  <c r="AG90" i="10"/>
  <c r="R16" i="16" s="1"/>
  <c r="AG89" i="10"/>
  <c r="R15" i="16" s="1"/>
  <c r="AG88" i="10"/>
  <c r="R14" i="16" s="1"/>
  <c r="AG87" i="10"/>
  <c r="R13" i="16" s="1"/>
  <c r="AG86" i="10"/>
  <c r="R12" i="16" s="1"/>
  <c r="AG85" i="10"/>
  <c r="R11" i="16" s="1"/>
  <c r="AG84" i="10"/>
  <c r="R10" i="16" s="1"/>
  <c r="AG83" i="10"/>
  <c r="R9" i="16" s="1"/>
  <c r="AG82" i="10"/>
  <c r="R8" i="16" s="1"/>
  <c r="AG81" i="10"/>
  <c r="R7" i="16" s="1"/>
  <c r="AG80" i="10"/>
  <c r="R6" i="16" s="1"/>
  <c r="AG79" i="10"/>
  <c r="R5" i="16" s="1"/>
  <c r="AG78" i="10"/>
  <c r="R4" i="16" s="1"/>
  <c r="AG77" i="10"/>
  <c r="R3" i="16" s="1"/>
  <c r="AG56" i="10"/>
  <c r="Q17" i="16" s="1"/>
  <c r="AG55" i="10"/>
  <c r="Q16" i="16" s="1"/>
  <c r="AG54" i="10"/>
  <c r="Q15" i="16" s="1"/>
  <c r="AG53" i="10"/>
  <c r="Q14" i="16" s="1"/>
  <c r="AG52" i="10"/>
  <c r="Q13" i="16" s="1"/>
  <c r="AG51" i="10"/>
  <c r="Q12" i="16" s="1"/>
  <c r="AG50" i="10"/>
  <c r="Q11" i="16" s="1"/>
  <c r="AG49" i="10"/>
  <c r="Q10" i="16" s="1"/>
  <c r="AG48" i="10"/>
  <c r="Q9" i="16" s="1"/>
  <c r="AG47" i="10"/>
  <c r="Q8" i="16" s="1"/>
  <c r="AG46" i="10"/>
  <c r="Q7" i="16" s="1"/>
  <c r="AG45" i="10"/>
  <c r="Q6" i="16" s="1"/>
  <c r="AG44" i="10"/>
  <c r="Q5" i="16" s="1"/>
  <c r="AG43" i="10"/>
  <c r="AG42" i="10"/>
  <c r="Q3" i="16" s="1"/>
  <c r="AG6" i="10"/>
  <c r="P4" i="16" s="1"/>
  <c r="AG7" i="10"/>
  <c r="P5" i="16" s="1"/>
  <c r="AG8" i="10"/>
  <c r="P6" i="16" s="1"/>
  <c r="AG9" i="10"/>
  <c r="P7" i="16" s="1"/>
  <c r="AG10" i="10"/>
  <c r="P8" i="16" s="1"/>
  <c r="AG11" i="10"/>
  <c r="P9" i="16" s="1"/>
  <c r="AG12" i="10"/>
  <c r="P10" i="16" s="1"/>
  <c r="AG13" i="10"/>
  <c r="P11" i="16" s="1"/>
  <c r="AG14" i="10"/>
  <c r="P12" i="16" s="1"/>
  <c r="AG15" i="10"/>
  <c r="P13" i="16" s="1"/>
  <c r="AG16" i="10"/>
  <c r="P14" i="16" s="1"/>
  <c r="AG17" i="10"/>
  <c r="P15" i="16" s="1"/>
  <c r="AG18" i="10"/>
  <c r="P16" i="16" s="1"/>
  <c r="AG19" i="10"/>
  <c r="P17" i="16" s="1"/>
  <c r="A107" i="10"/>
  <c r="A72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G74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G39" i="10"/>
  <c r="AG91" i="7"/>
  <c r="O17" i="16" s="1"/>
  <c r="AG90" i="7"/>
  <c r="O16" i="16" s="1"/>
  <c r="AG89" i="7"/>
  <c r="O15" i="16" s="1"/>
  <c r="AG88" i="7"/>
  <c r="O14" i="16" s="1"/>
  <c r="AG87" i="7"/>
  <c r="O13" i="16" s="1"/>
  <c r="AG86" i="7"/>
  <c r="O12" i="16" s="1"/>
  <c r="AG85" i="7"/>
  <c r="O11" i="16" s="1"/>
  <c r="AG84" i="7"/>
  <c r="O10" i="16" s="1"/>
  <c r="AG83" i="7"/>
  <c r="O9" i="16" s="1"/>
  <c r="AG82" i="7"/>
  <c r="O8" i="16" s="1"/>
  <c r="AG81" i="7"/>
  <c r="O7" i="16" s="1"/>
  <c r="AG80" i="7"/>
  <c r="O6" i="16" s="1"/>
  <c r="AG79" i="7"/>
  <c r="O5" i="16" s="1"/>
  <c r="AG78" i="7"/>
  <c r="O4" i="16" s="1"/>
  <c r="AG77" i="7"/>
  <c r="O3" i="16" s="1"/>
  <c r="AG43" i="7"/>
  <c r="N4" i="16" s="1"/>
  <c r="AG44" i="7"/>
  <c r="N5" i="16" s="1"/>
  <c r="AG45" i="7"/>
  <c r="N6" i="16" s="1"/>
  <c r="AG46" i="7"/>
  <c r="N7" i="16" s="1"/>
  <c r="AG47" i="7"/>
  <c r="N8" i="16" s="1"/>
  <c r="AG48" i="7"/>
  <c r="N9" i="16" s="1"/>
  <c r="AG49" i="7"/>
  <c r="N10" i="16" s="1"/>
  <c r="AG50" i="7"/>
  <c r="N11" i="16" s="1"/>
  <c r="AG51" i="7"/>
  <c r="N12" i="16" s="1"/>
  <c r="AG52" i="7"/>
  <c r="N13" i="16" s="1"/>
  <c r="AG53" i="7"/>
  <c r="N14" i="16" s="1"/>
  <c r="AG54" i="7"/>
  <c r="N15" i="16" s="1"/>
  <c r="AG55" i="7"/>
  <c r="N16" i="16" s="1"/>
  <c r="AG56" i="7"/>
  <c r="N17" i="16" s="1"/>
  <c r="AG42" i="7"/>
  <c r="N3" i="16" s="1"/>
  <c r="AG6" i="7"/>
  <c r="M4" i="16" s="1"/>
  <c r="AG7" i="7"/>
  <c r="M5" i="16" s="1"/>
  <c r="AG8" i="7"/>
  <c r="M6" i="16" s="1"/>
  <c r="AG9" i="7"/>
  <c r="M7" i="16" s="1"/>
  <c r="AG10" i="7"/>
  <c r="M8" i="16" s="1"/>
  <c r="AG11" i="7"/>
  <c r="M9" i="16" s="1"/>
  <c r="AG12" i="7"/>
  <c r="M10" i="16" s="1"/>
  <c r="AG13" i="7"/>
  <c r="M11" i="16" s="1"/>
  <c r="AG14" i="7"/>
  <c r="M12" i="16" s="1"/>
  <c r="AG15" i="7"/>
  <c r="M13" i="16" s="1"/>
  <c r="AG16" i="7"/>
  <c r="M14" i="16" s="1"/>
  <c r="AG17" i="7"/>
  <c r="M15" i="16" s="1"/>
  <c r="AG18" i="7"/>
  <c r="M16" i="16" s="1"/>
  <c r="AG19" i="7"/>
  <c r="M17" i="16" s="1"/>
  <c r="AG5" i="7"/>
  <c r="M3" i="16" s="1"/>
  <c r="AG5" i="4"/>
  <c r="A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G74" i="7"/>
  <c r="A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G39" i="7"/>
  <c r="AG72" i="10" l="1"/>
  <c r="Q4" i="16"/>
  <c r="AG107" i="7"/>
  <c r="AG72" i="7"/>
  <c r="AG107" i="10"/>
  <c r="A108" i="4"/>
  <c r="A73" i="4"/>
  <c r="AG6" i="4"/>
  <c r="J3" i="16" s="1"/>
  <c r="AG7" i="4"/>
  <c r="J4" i="16" s="1"/>
  <c r="AG8" i="4"/>
  <c r="J5" i="16" s="1"/>
  <c r="AG9" i="4"/>
  <c r="J6" i="16" s="1"/>
  <c r="AG10" i="4"/>
  <c r="J7" i="16" s="1"/>
  <c r="AG11" i="4"/>
  <c r="J8" i="16" s="1"/>
  <c r="AG12" i="4"/>
  <c r="J9" i="16" s="1"/>
  <c r="AG13" i="4"/>
  <c r="J10" i="16" s="1"/>
  <c r="AG14" i="4"/>
  <c r="J11" i="16" s="1"/>
  <c r="AG15" i="4"/>
  <c r="J12" i="16" s="1"/>
  <c r="AG16" i="4"/>
  <c r="J13" i="16" s="1"/>
  <c r="V13" i="16" s="1"/>
  <c r="AG17" i="4"/>
  <c r="J14" i="16" s="1"/>
  <c r="AG18" i="4"/>
  <c r="J15" i="16" s="1"/>
  <c r="V15" i="16" s="1"/>
  <c r="AG19" i="4"/>
  <c r="J16" i="16" s="1"/>
  <c r="V16" i="16" s="1"/>
  <c r="AG20" i="4"/>
  <c r="J17" i="16" s="1"/>
  <c r="V17" i="16" s="1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G108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G75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K11" i="16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V14" i="16"/>
  <c r="AG73" i="4" l="1"/>
  <c r="V3" i="16"/>
  <c r="V11" i="16"/>
  <c r="V9" i="16"/>
  <c r="V5" i="16"/>
  <c r="V8" i="16"/>
  <c r="V4" i="16"/>
  <c r="V7" i="16"/>
  <c r="V10" i="16"/>
  <c r="V6" i="16"/>
  <c r="V12" i="16"/>
  <c r="AF35" i="14" l="1"/>
  <c r="AE35" i="14"/>
  <c r="AF35" i="10"/>
  <c r="AE35" i="10"/>
  <c r="AE35" i="7"/>
  <c r="J37" i="7" l="1"/>
  <c r="A35" i="10" l="1"/>
  <c r="J37" i="10" l="1"/>
  <c r="J37" i="14"/>
  <c r="F37" i="7"/>
  <c r="F37" i="10"/>
  <c r="F37" i="14"/>
  <c r="I37" i="7"/>
  <c r="I37" i="10"/>
  <c r="I37" i="14"/>
  <c r="E37" i="7"/>
  <c r="E37" i="10"/>
  <c r="E37" i="14"/>
  <c r="A35" i="14" l="1"/>
  <c r="A35" i="7"/>
  <c r="A36" i="4"/>
  <c r="AF3" i="14" l="1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37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G2" i="14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B37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G2" i="10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37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G2" i="7"/>
  <c r="AG35" i="14" l="1"/>
  <c r="AG35" i="10"/>
  <c r="AG35" i="7"/>
  <c r="AG36" i="4" l="1"/>
  <c r="AD3" i="4"/>
  <c r="Z3" i="4"/>
  <c r="V3" i="4"/>
  <c r="N3" i="4"/>
  <c r="F3" i="4"/>
  <c r="AC3" i="4"/>
  <c r="Y3" i="4"/>
  <c r="Q3" i="4"/>
  <c r="M3" i="4"/>
  <c r="E3" i="4"/>
  <c r="L3" i="4"/>
  <c r="AF3" i="4"/>
  <c r="AB3" i="4"/>
  <c r="X3" i="4"/>
  <c r="R3" i="4"/>
  <c r="J3" i="4"/>
  <c r="D3" i="4"/>
  <c r="AE3" i="4"/>
  <c r="AA3" i="4"/>
  <c r="W3" i="4"/>
  <c r="S3" i="4"/>
  <c r="O3" i="4"/>
  <c r="K3" i="4"/>
  <c r="G3" i="4"/>
  <c r="C3" i="4"/>
  <c r="P3" i="4"/>
  <c r="H3" i="4"/>
  <c r="B3" i="4"/>
  <c r="U3" i="4"/>
  <c r="I3" i="4"/>
  <c r="T3" i="4"/>
</calcChain>
</file>

<file path=xl/sharedStrings.xml><?xml version="1.0" encoding="utf-8"?>
<sst xmlns="http://schemas.openxmlformats.org/spreadsheetml/2006/main" count="1491" uniqueCount="175">
  <si>
    <t>Employee Absence Schedule</t>
  </si>
  <si>
    <t>Dates of Absence</t>
  </si>
  <si>
    <t>Employee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</si>
  <si>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</si>
  <si>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</si>
  <si>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</si>
  <si>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</si>
  <si>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</si>
  <si>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</si>
  <si>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</si>
  <si>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</si>
  <si>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</si>
  <si>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</si>
  <si>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</si>
  <si>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</si>
  <si>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</si>
  <si>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</si>
  <si>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</si>
  <si>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</si>
  <si>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</si>
  <si>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</si>
  <si>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</si>
  <si>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</si>
  <si>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</si>
  <si>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</si>
  <si>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</si>
  <si>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</si>
  <si>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</si>
  <si>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</si>
  <si>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</si>
  <si>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</si>
  <si>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</si>
  <si>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</si>
  <si>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</si>
  <si>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 </t>
  </si>
  <si>
    <t xml:space="preserve">  </t>
  </si>
  <si>
    <t>January</t>
  </si>
  <si>
    <t>Color Key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</si>
  <si>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</si>
  <si>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</si>
  <si>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</si>
  <si>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</si>
  <si>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</si>
  <si>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</si>
  <si>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</si>
  <si>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</si>
  <si>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</si>
  <si>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</si>
  <si>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</si>
  <si>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张国臣</t>
  </si>
  <si>
    <t>徐嘉舟</t>
  </si>
  <si>
    <t>何悦</t>
  </si>
  <si>
    <t>郭丹</t>
  </si>
  <si>
    <t>陈刚</t>
  </si>
  <si>
    <t>高玉坤</t>
  </si>
  <si>
    <t>陈峰</t>
  </si>
  <si>
    <t>张帅</t>
  </si>
  <si>
    <t>秦阳</t>
  </si>
  <si>
    <t>卢士嘉</t>
  </si>
  <si>
    <t>慈祥</t>
  </si>
  <si>
    <t>郭红玲</t>
  </si>
  <si>
    <t>李森</t>
  </si>
  <si>
    <t>王智</t>
  </si>
  <si>
    <t>串休</t>
  </si>
  <si>
    <t>N</t>
  </si>
  <si>
    <t>公司年假</t>
  </si>
  <si>
    <t>Sample</t>
  </si>
  <si>
    <t>毛青竹</t>
  </si>
  <si>
    <t xml:space="preserve">                      Jan~Mar
Name</t>
  </si>
  <si>
    <t>OT
Hours</t>
  </si>
  <si>
    <t>Name</t>
  </si>
  <si>
    <t>OT</t>
  </si>
  <si>
    <t>Leave</t>
  </si>
  <si>
    <t>Jan-Mar</t>
  </si>
  <si>
    <t>Apr-Jun</t>
  </si>
  <si>
    <t>Jul-Sep</t>
  </si>
  <si>
    <t>Oct-Dec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</si>
  <si>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</si>
  <si>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</si>
  <si>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</si>
  <si>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</si>
  <si>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</si>
  <si>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</si>
  <si>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</si>
  <si>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</si>
  <si>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</si>
  <si>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</si>
  <si>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t xml:space="preserve">                      Apr~Jun
Name</t>
  </si>
  <si>
    <t xml:space="preserve">                      Jul~Sept
Name</t>
  </si>
  <si>
    <t xml:space="preserve">                      Oct~Dec
Name</t>
  </si>
  <si>
    <t>Total Hours</t>
  </si>
  <si>
    <t>No.</t>
  </si>
  <si>
    <t>S: Start Time</t>
  </si>
  <si>
    <t>OT 
Hours</t>
  </si>
  <si>
    <t>OT 
Type</t>
  </si>
  <si>
    <t>Payable
Hours</t>
  </si>
  <si>
    <t>E: End Time</t>
  </si>
  <si>
    <t>Project Name</t>
  </si>
  <si>
    <t>Activity</t>
  </si>
  <si>
    <t>Mon</t>
  </si>
  <si>
    <t>Date</t>
  </si>
  <si>
    <t>S</t>
  </si>
  <si>
    <t>E</t>
  </si>
  <si>
    <t>Week Day</t>
  </si>
  <si>
    <t>Thu</t>
  </si>
  <si>
    <t>Sat</t>
  </si>
  <si>
    <t>Tue</t>
  </si>
  <si>
    <t>Wed</t>
  </si>
  <si>
    <t>Sun</t>
  </si>
  <si>
    <t>Fri</t>
  </si>
  <si>
    <t>OT Record_Jan-Mar</t>
  </si>
  <si>
    <t>OT Record_Apr-Jun</t>
  </si>
  <si>
    <t>OT Record_Oct-Dec</t>
  </si>
  <si>
    <t>Month</t>
  </si>
  <si>
    <t>Day</t>
  </si>
  <si>
    <t>Weekday</t>
  </si>
  <si>
    <t>Time</t>
  </si>
  <si>
    <t>Hours from 2016</t>
  </si>
  <si>
    <t>Hours
Balance</t>
  </si>
  <si>
    <t>OT Record_Jul-Sep</t>
  </si>
  <si>
    <t>Sep</t>
  </si>
  <si>
    <t>Warid PAK</t>
  </si>
  <si>
    <t>Support customer acceptance test</t>
  </si>
  <si>
    <t>The escalation of EMA/MINSAT CA</t>
  </si>
  <si>
    <t>Implement CR</t>
  </si>
  <si>
    <t>MTN SY</t>
  </si>
  <si>
    <t>troubleshooting</t>
  </si>
  <si>
    <t>PAK Warid</t>
  </si>
  <si>
    <t>JCA refactor</t>
  </si>
  <si>
    <t>Response delay issue investigation</t>
  </si>
  <si>
    <t>凌晨</t>
  </si>
  <si>
    <t>Connection refused issue investigation</t>
  </si>
  <si>
    <t>凌晨现网部署</t>
  </si>
  <si>
    <t>MTN AF</t>
  </si>
  <si>
    <t>CT NBI</t>
  </si>
  <si>
    <t>source development</t>
  </si>
  <si>
    <r>
      <t>O</t>
    </r>
    <r>
      <rPr>
        <sz val="11"/>
        <color theme="1"/>
        <rFont val="Calibri"/>
        <family val="2"/>
        <scheme val="minor"/>
      </rPr>
      <t>ne Data</t>
    </r>
    <phoneticPr fontId="12" type="noConversion"/>
  </si>
  <si>
    <r>
      <t>c</t>
    </r>
    <r>
      <rPr>
        <sz val="11"/>
        <color theme="1"/>
        <rFont val="Calibri"/>
        <family val="2"/>
        <scheme val="minor"/>
      </rPr>
      <t>reate Report</t>
    </r>
    <phoneticPr fontId="12" type="noConversion"/>
  </si>
  <si>
    <t>王智</t>
    <phoneticPr fontId="12" type="noConversion"/>
  </si>
  <si>
    <r>
      <t>D</t>
    </r>
    <r>
      <rPr>
        <sz val="11"/>
        <color theme="1"/>
        <rFont val="Calibri"/>
        <family val="2"/>
        <scheme val="minor"/>
      </rPr>
      <t>esign</t>
    </r>
    <phoneticPr fontId="12" type="noConversion"/>
  </si>
  <si>
    <t>Design</t>
    <phoneticPr fontId="12" type="noConversion"/>
  </si>
  <si>
    <r>
      <t>d</t>
    </r>
    <r>
      <rPr>
        <sz val="11"/>
        <color theme="1"/>
        <rFont val="Calibri"/>
        <family val="2"/>
        <scheme val="minor"/>
      </rPr>
      <t>evelop SV and communicate with CU</t>
    </r>
    <phoneticPr fontId="12" type="noConversion"/>
  </si>
  <si>
    <t>develop SV and communicate with CU</t>
    <phoneticPr fontId="12" type="noConversion"/>
  </si>
  <si>
    <t>Movicel Angola</t>
    <phoneticPr fontId="12" type="noConversion"/>
  </si>
  <si>
    <t>CTMTAS and Spark Project</t>
  </si>
  <si>
    <t xml:space="preserve">Update Code and Deploy Spark </t>
  </si>
  <si>
    <t>Survey problem and Solve</t>
  </si>
  <si>
    <t>Spark Stubbed Project</t>
  </si>
  <si>
    <t>Asiacell EMA16.2 upgrade DS</t>
  </si>
  <si>
    <t>HLR testbed test</t>
  </si>
  <si>
    <t>ENUM CR</t>
  </si>
  <si>
    <t>China Telecom</t>
  </si>
  <si>
    <t>杨利</t>
  </si>
  <si>
    <t>陈光</t>
  </si>
  <si>
    <t>谭宏轩</t>
  </si>
  <si>
    <t>刘文婷</t>
  </si>
  <si>
    <t>单长旭</t>
  </si>
  <si>
    <t>田成璐</t>
  </si>
  <si>
    <t>杨岑</t>
  </si>
  <si>
    <t>吴波</t>
  </si>
  <si>
    <t>薛克丽</t>
  </si>
  <si>
    <t>王明君</t>
  </si>
  <si>
    <t>TBD</t>
  </si>
  <si>
    <t>CTMTAS Project</t>
  </si>
  <si>
    <t>Test and update code</t>
  </si>
  <si>
    <t>Update CTMTAS Project Problem</t>
  </si>
  <si>
    <t>Neteq</t>
  </si>
  <si>
    <t>development</t>
  </si>
  <si>
    <r>
      <t>C</t>
    </r>
    <r>
      <rPr>
        <sz val="11"/>
        <color theme="1"/>
        <rFont val="Calibri"/>
        <family val="2"/>
        <scheme val="minor"/>
      </rPr>
      <t>UDB1.3 APP Counter uplift</t>
    </r>
    <phoneticPr fontId="12" type="noConversion"/>
  </si>
  <si>
    <r>
      <t>u</t>
    </r>
    <r>
      <rPr>
        <sz val="11"/>
        <color theme="1"/>
        <rFont val="Calibri"/>
        <family val="2"/>
        <scheme val="minor"/>
      </rPr>
      <t>pdate script</t>
    </r>
    <phoneticPr fontId="12" type="noConversion"/>
  </si>
  <si>
    <r>
      <t>CUDB1.3 APP Counter uplift</t>
    </r>
    <r>
      <rPr>
        <sz val="11"/>
        <color theme="1"/>
        <rFont val="Calibri"/>
        <family val="2"/>
        <charset val="136"/>
      </rPr>
      <t/>
    </r>
    <phoneticPr fontId="12" type="noConversion"/>
  </si>
  <si>
    <t>One Data</t>
    <phoneticPr fontId="12" type="noConversion"/>
  </si>
  <si>
    <t xml:space="preserve"> script validation</t>
    <phoneticPr fontId="12" type="noConversion"/>
  </si>
  <si>
    <t>Create PREMLI Report</t>
    <phoneticPr fontId="12" type="noConversion"/>
  </si>
  <si>
    <t>VS export via enat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</si>
</sst>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0;"/>
    <numFmt numFmtId="165" formatCode="h:mm;@"/>
    <numFmt numFmtId="166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8">
    <xf numFmtId="0" fontId="0" fillId="0" borderId="0">
      <alignment horizontal="left" vertical="center"/>
    </xf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vertical="top"/>
    </xf>
    <xf numFmtId="0" fontId="7" fillId="2" borderId="0" applyNumberFormat="0" applyBorder="0" applyAlignment="0" applyProtection="0">
      <alignment horizontal="center" vertical="center"/>
    </xf>
    <xf numFmtId="0" fontId="3" fillId="15" borderId="0" applyNumberFormat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2"/>
    </xf>
    <xf numFmtId="0" fontId="5" fillId="3" borderId="0" applyNumberFormat="0" applyBorder="0" applyAlignment="0" applyProtection="0"/>
    <xf numFmtId="0" fontId="2" fillId="4" borderId="0" applyNumberFormat="0" applyBorder="0" applyProtection="0">
      <alignment horizontal="center" vertical="center"/>
    </xf>
    <xf numFmtId="0" fontId="3" fillId="9" borderId="0" applyNumberFormat="0" applyBorder="0" applyAlignment="0" applyProtection="0"/>
    <xf numFmtId="0" fontId="2" fillId="5" borderId="0" applyNumberFormat="0" applyBorder="0" applyAlignment="0" applyProtection="0"/>
    <xf numFmtId="0" fontId="5" fillId="7" borderId="0" applyNumberFormat="0" applyBorder="0" applyAlignment="0" applyProtection="0"/>
    <xf numFmtId="0" fontId="2" fillId="6" borderId="0" applyNumberFormat="0" applyBorder="0" applyAlignment="0" applyProtection="0"/>
    <xf numFmtId="0" fontId="3" fillId="16" borderId="0" applyNumberFormat="0" applyBorder="0" applyAlignment="0" applyProtection="0"/>
    <xf numFmtId="0" fontId="2" fillId="8" borderId="0" applyNumberFormat="0" applyBorder="0" applyAlignment="0" applyProtection="0"/>
    <xf numFmtId="0" fontId="5" fillId="16" borderId="0" applyNumberFormat="0" applyBorder="0" applyAlignment="0" applyProtection="0"/>
    <xf numFmtId="0" fontId="2" fillId="19" borderId="0" applyNumberFormat="0" applyBorder="0" applyAlignment="0" applyProtection="0"/>
    <xf numFmtId="0" fontId="3" fillId="18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3" fillId="10" borderId="0" applyNumberFormat="0" applyBorder="0" applyAlignment="0" applyProtection="0"/>
    <xf numFmtId="0" fontId="5" fillId="11" borderId="0" applyNumberFormat="0" applyBorder="0" applyAlignment="0" applyProtection="0"/>
    <xf numFmtId="0" fontId="2" fillId="2" borderId="0" applyNumberFormat="0" applyBorder="0" applyAlignment="0" applyProtection="0"/>
    <xf numFmtId="0" fontId="3" fillId="12" borderId="0" applyNumberFormat="0" applyBorder="0" applyProtection="0">
      <alignment horizontal="left" vertical="center" indent="1"/>
    </xf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164" fontId="2" fillId="0" borderId="0" applyFill="0" applyBorder="0" applyProtection="0">
      <alignment horizontal="center" vertical="center"/>
    </xf>
    <xf numFmtId="0" fontId="2" fillId="0" borderId="0" applyNumberFormat="0" applyFill="0" applyBorder="0">
      <alignment horizontal="left" vertical="center" indent="2"/>
      <protection locked="0"/>
    </xf>
    <xf numFmtId="0" fontId="2" fillId="0" borderId="0"/>
  </cellStyleXfs>
  <cellXfs count="137">
    <xf numFmtId="0" fontId="0" fillId="0" borderId="0" xfId="0">
      <alignment horizontal="left" vertical="center"/>
    </xf>
    <xf numFmtId="0" fontId="8" fillId="0" borderId="0" xfId="1" applyAlignment="1" applyProtection="1">
      <alignment vertical="top"/>
      <protection locked="0"/>
    </xf>
    <xf numFmtId="0" fontId="0" fillId="0" borderId="0" xfId="0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16" borderId="0" xfId="12" applyAlignment="1" applyProtection="1">
      <alignment horizontal="center" vertical="center"/>
      <protection locked="0"/>
    </xf>
    <xf numFmtId="0" fontId="2" fillId="2" borderId="0" xfId="21" applyAlignment="1" applyProtection="1">
      <alignment horizontal="left" vertical="center"/>
      <protection locked="0"/>
    </xf>
    <xf numFmtId="0" fontId="3" fillId="13" borderId="0" xfId="23" applyFont="1" applyAlignment="1" applyProtection="1">
      <alignment horizontal="center" vertical="center"/>
      <protection locked="0"/>
    </xf>
    <xf numFmtId="164" fontId="3" fillId="9" borderId="0" xfId="8" applyNumberFormat="1" applyFont="1" applyAlignment="1" applyProtection="1">
      <alignment horizontal="center" vertical="center"/>
      <protection locked="0"/>
    </xf>
    <xf numFmtId="164" fontId="3" fillId="14" borderId="0" xfId="24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21" applyFont="1" applyFill="1" applyBorder="1" applyAlignment="1" applyProtection="1">
      <alignment horizontal="center" vertical="center"/>
      <protection locked="0"/>
    </xf>
    <xf numFmtId="0" fontId="3" fillId="10" borderId="0" xfId="19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 indent="1"/>
      <protection locked="0"/>
    </xf>
    <xf numFmtId="0" fontId="3" fillId="12" borderId="0" xfId="22" applyFont="1" applyAlignment="1" applyProtection="1">
      <alignment horizontal="left" vertical="center"/>
    </xf>
    <xf numFmtId="0" fontId="3" fillId="16" borderId="0" xfId="12" applyAlignment="1" applyProtection="1">
      <alignment horizontal="center" vertical="center"/>
    </xf>
    <xf numFmtId="0" fontId="2" fillId="2" borderId="0" xfId="21" applyAlignment="1" applyProtection="1">
      <alignment horizontal="left" vertical="center"/>
    </xf>
    <xf numFmtId="0" fontId="3" fillId="10" borderId="0" xfId="19" applyAlignment="1" applyProtection="1">
      <alignment horizontal="center" vertical="center"/>
    </xf>
    <xf numFmtId="0" fontId="3" fillId="13" borderId="0" xfId="23" applyAlignment="1" applyProtection="1">
      <alignment horizontal="center" vertical="center"/>
    </xf>
    <xf numFmtId="164" fontId="3" fillId="9" borderId="0" xfId="8" applyNumberFormat="1" applyAlignment="1" applyProtection="1">
      <alignment horizontal="center" vertical="center"/>
    </xf>
    <xf numFmtId="164" fontId="3" fillId="14" borderId="0" xfId="24" applyNumberFormat="1" applyAlignment="1" applyProtection="1">
      <alignment horizontal="center" vertical="center"/>
    </xf>
    <xf numFmtId="0" fontId="3" fillId="12" borderId="0" xfId="22" applyAlignment="1" applyProtection="1">
      <alignment horizontal="left" vertical="center"/>
    </xf>
    <xf numFmtId="0" fontId="3" fillId="12" borderId="0" xfId="22" applyAlignment="1" applyProtection="1">
      <alignment horizontal="center" vertical="center"/>
    </xf>
    <xf numFmtId="0" fontId="0" fillId="0" borderId="0" xfId="0" applyProtection="1">
      <alignment horizontal="left" vertical="center"/>
      <protection locked="0"/>
    </xf>
    <xf numFmtId="0" fontId="2" fillId="0" borderId="0" xfId="26" applyFill="1" applyBorder="1">
      <alignment horizontal="left" vertical="center" indent="2"/>
      <protection locked="0"/>
    </xf>
    <xf numFmtId="164" fontId="2" fillId="0" borderId="0" xfId="25" applyFill="1" applyBorder="1" applyProtection="1">
      <alignment horizontal="center" vertical="center"/>
    </xf>
    <xf numFmtId="164" fontId="2" fillId="0" borderId="0" xfId="25" applyFill="1" applyBorder="1" applyProtection="1">
      <alignment horizontal="center" vertical="center"/>
      <protection locked="0"/>
    </xf>
    <xf numFmtId="164" fontId="2" fillId="0" borderId="0" xfId="25" applyProtection="1">
      <alignment horizontal="center" vertical="center"/>
      <protection locked="0"/>
    </xf>
    <xf numFmtId="164" fontId="2" fillId="0" borderId="0" xfId="25" applyProtection="1">
      <alignment horizontal="center" vertical="center"/>
    </xf>
    <xf numFmtId="0" fontId="3" fillId="12" borderId="0" xfId="22" applyProtection="1">
      <alignment horizontal="left" vertical="center" indent="1"/>
      <protection locked="0"/>
    </xf>
    <xf numFmtId="0" fontId="3" fillId="12" borderId="0" xfId="22" applyProtection="1">
      <alignment horizontal="left" vertical="center" indent="1"/>
    </xf>
    <xf numFmtId="0" fontId="0" fillId="0" borderId="0" xfId="0" applyProtection="1">
      <alignment horizontal="left" vertical="center"/>
      <protection locked="0"/>
    </xf>
    <xf numFmtId="0" fontId="3" fillId="21" borderId="0" xfId="4" applyFill="1" applyProtection="1">
      <alignment horizontal="left" vertical="center" indent="1"/>
      <protection locked="0"/>
    </xf>
    <xf numFmtId="164" fontId="0" fillId="0" borderId="0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Font="1" applyFill="1" applyBorder="1" applyAlignment="1" applyProtection="1">
      <alignment horizontal="center" vertical="center"/>
    </xf>
    <xf numFmtId="0" fontId="0" fillId="2" borderId="0" xfId="21" applyFont="1" applyAlignment="1" applyProtection="1">
      <alignment horizontal="left" vertical="center"/>
      <protection locked="0"/>
    </xf>
    <xf numFmtId="164" fontId="0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 applyFont="1" applyAlignment="1" applyProtection="1">
      <alignment horizontal="center" vertical="center"/>
    </xf>
    <xf numFmtId="0" fontId="0" fillId="0" borderId="0" xfId="26" applyFont="1" applyFill="1" applyBorder="1">
      <alignment horizontal="left" vertical="center" indent="2"/>
      <protection locked="0"/>
    </xf>
    <xf numFmtId="164" fontId="0" fillId="0" borderId="0" xfId="25" applyFont="1" applyFill="1" applyBorder="1" applyProtection="1">
      <alignment horizontal="center" vertical="center"/>
    </xf>
    <xf numFmtId="0" fontId="2" fillId="0" borderId="0" xfId="27"/>
    <xf numFmtId="0" fontId="2" fillId="22" borderId="4" xfId="27" applyFill="1" applyBorder="1" applyAlignment="1">
      <alignment horizontal="center" wrapText="1"/>
    </xf>
    <xf numFmtId="2" fontId="2" fillId="0" borderId="4" xfId="27" applyNumberFormat="1" applyBorder="1" applyAlignment="1">
      <alignment horizontal="center"/>
    </xf>
    <xf numFmtId="0" fontId="2" fillId="0" borderId="4" xfId="27" applyBorder="1"/>
    <xf numFmtId="2" fontId="2" fillId="0" borderId="4" xfId="27" applyNumberFormat="1" applyBorder="1"/>
    <xf numFmtId="0" fontId="2" fillId="0" borderId="0" xfId="27" applyAlignment="1">
      <alignment horizontal="center"/>
    </xf>
    <xf numFmtId="0" fontId="0" fillId="0" borderId="1" xfId="26" applyFont="1" applyFill="1" applyBorder="1" applyAlignment="1" applyProtection="1">
      <alignment horizontal="left" vertical="center" indent="2"/>
    </xf>
    <xf numFmtId="0" fontId="0" fillId="0" borderId="4" xfId="26" applyFont="1" applyFill="1" applyBorder="1" applyAlignment="1" applyProtection="1">
      <alignment horizontal="left" vertical="center"/>
    </xf>
    <xf numFmtId="0" fontId="0" fillId="0" borderId="7" xfId="26" applyFont="1" applyFill="1" applyBorder="1" applyAlignment="1" applyProtection="1">
      <alignment horizontal="left" vertical="center" indent="2"/>
    </xf>
    <xf numFmtId="164" fontId="0" fillId="0" borderId="0" xfId="25" applyFont="1" applyFill="1" applyBorder="1" applyProtection="1">
      <alignment horizontal="center" vertical="center"/>
      <protection locked="0"/>
    </xf>
    <xf numFmtId="164" fontId="0" fillId="0" borderId="0" xfId="25" applyFont="1" applyProtection="1">
      <alignment horizontal="center" vertical="center"/>
      <protection locked="0"/>
    </xf>
    <xf numFmtId="0" fontId="0" fillId="0" borderId="0" xfId="0" applyProtection="1">
      <alignment horizontal="left" vertical="center"/>
      <protection locked="0"/>
    </xf>
    <xf numFmtId="0" fontId="0" fillId="2" borderId="0" xfId="21" applyFont="1" applyAlignment="1" applyProtection="1">
      <alignment horizontal="center" vertical="center"/>
      <protection locked="0"/>
    </xf>
    <xf numFmtId="0" fontId="11" fillId="25" borderId="9" xfId="27" applyFont="1" applyFill="1" applyBorder="1" applyAlignment="1">
      <alignment vertical="top"/>
    </xf>
    <xf numFmtId="0" fontId="11" fillId="25" borderId="9" xfId="27" applyFont="1" applyFill="1" applyBorder="1" applyAlignment="1">
      <alignment horizontal="center" vertical="top"/>
    </xf>
    <xf numFmtId="0" fontId="11" fillId="2" borderId="6" xfId="27" applyFont="1" applyFill="1" applyBorder="1" applyAlignment="1">
      <alignment vertical="top"/>
    </xf>
    <xf numFmtId="0" fontId="11" fillId="2" borderId="12" xfId="27" applyFont="1" applyFill="1" applyBorder="1" applyAlignment="1">
      <alignment vertical="top"/>
    </xf>
    <xf numFmtId="0" fontId="11" fillId="2" borderId="12" xfId="27" applyFont="1" applyFill="1" applyBorder="1" applyAlignment="1">
      <alignment horizontal="center" vertical="top"/>
    </xf>
    <xf numFmtId="0" fontId="11" fillId="24" borderId="4" xfId="27" applyFont="1" applyFill="1" applyBorder="1"/>
    <xf numFmtId="0" fontId="11" fillId="24" borderId="4" xfId="27" applyFont="1" applyFill="1" applyBorder="1" applyAlignment="1">
      <alignment horizontal="center"/>
    </xf>
    <xf numFmtId="0" fontId="11" fillId="24" borderId="6" xfId="27" applyFont="1" applyFill="1" applyBorder="1" applyAlignment="1">
      <alignment horizontal="center"/>
    </xf>
    <xf numFmtId="0" fontId="11" fillId="25" borderId="6" xfId="27" applyFont="1" applyFill="1" applyBorder="1" applyAlignment="1">
      <alignment horizontal="center"/>
    </xf>
    <xf numFmtId="0" fontId="11" fillId="2" borderId="6" xfId="27" applyFont="1" applyFill="1" applyBorder="1" applyAlignment="1">
      <alignment horizontal="center"/>
    </xf>
    <xf numFmtId="165" fontId="2" fillId="0" borderId="0" xfId="27" applyNumberFormat="1"/>
    <xf numFmtId="166" fontId="2" fillId="0" borderId="0" xfId="27" applyNumberFormat="1"/>
    <xf numFmtId="20" fontId="0" fillId="0" borderId="0" xfId="0" applyNumberFormat="1">
      <alignment horizontal="left" vertical="center"/>
    </xf>
    <xf numFmtId="46" fontId="0" fillId="0" borderId="0" xfId="0" applyNumberFormat="1">
      <alignment horizontal="left" vertical="center"/>
    </xf>
    <xf numFmtId="2" fontId="2" fillId="26" borderId="4" xfId="27" applyNumberFormat="1" applyFill="1" applyBorder="1"/>
    <xf numFmtId="0" fontId="2" fillId="2" borderId="4" xfId="27" applyFill="1" applyBorder="1"/>
    <xf numFmtId="0" fontId="2" fillId="25" borderId="4" xfId="27" applyFill="1" applyBorder="1" applyAlignment="1">
      <alignment horizontal="center"/>
    </xf>
    <xf numFmtId="0" fontId="0" fillId="0" borderId="0" xfId="26" applyFont="1" applyFill="1" applyBorder="1" applyAlignment="1" applyProtection="1">
      <alignment horizontal="left" vertical="center"/>
    </xf>
    <xf numFmtId="0" fontId="0" fillId="0" borderId="14" xfId="27" applyFont="1" applyFill="1" applyBorder="1" applyProtection="1">
      <protection locked="0"/>
    </xf>
    <xf numFmtId="0" fontId="0" fillId="0" borderId="15" xfId="27" applyFont="1" applyFill="1" applyBorder="1" applyProtection="1">
      <protection locked="0"/>
    </xf>
    <xf numFmtId="0" fontId="2" fillId="0" borderId="15" xfId="27" applyFill="1" applyBorder="1" applyProtection="1">
      <protection locked="0"/>
    </xf>
    <xf numFmtId="165" fontId="2" fillId="0" borderId="16" xfId="27" applyNumberFormat="1" applyFill="1" applyBorder="1" applyProtection="1">
      <protection locked="0"/>
    </xf>
    <xf numFmtId="0" fontId="2" fillId="0" borderId="17" xfId="27" applyFill="1" applyBorder="1" applyAlignment="1" applyProtection="1">
      <alignment horizontal="center"/>
      <protection locked="0"/>
    </xf>
    <xf numFmtId="0" fontId="2" fillId="0" borderId="19" xfId="27" applyFill="1" applyBorder="1" applyProtection="1">
      <protection locked="0"/>
    </xf>
    <xf numFmtId="0" fontId="2" fillId="0" borderId="20" xfId="27" applyFill="1" applyBorder="1" applyProtection="1">
      <protection locked="0"/>
    </xf>
    <xf numFmtId="0" fontId="2" fillId="0" borderId="16" xfId="27" applyFill="1" applyBorder="1" applyProtection="1">
      <protection locked="0"/>
    </xf>
    <xf numFmtId="0" fontId="2" fillId="0" borderId="16" xfId="27" applyFill="1" applyBorder="1" applyAlignment="1" applyProtection="1">
      <alignment horizontal="center"/>
      <protection locked="0"/>
    </xf>
    <xf numFmtId="0" fontId="2" fillId="0" borderId="22" xfId="27" applyFill="1" applyBorder="1" applyProtection="1">
      <protection locked="0"/>
    </xf>
    <xf numFmtId="0" fontId="2" fillId="0" borderId="16" xfId="27" applyFill="1" applyBorder="1" applyAlignment="1" applyProtection="1">
      <alignment wrapText="1"/>
      <protection locked="0"/>
    </xf>
    <xf numFmtId="0" fontId="2" fillId="0" borderId="23" xfId="27" applyFill="1" applyBorder="1" applyProtection="1">
      <protection locked="0"/>
    </xf>
    <xf numFmtId="0" fontId="2" fillId="0" borderId="24" xfId="27" applyFill="1" applyBorder="1" applyProtection="1">
      <protection locked="0"/>
    </xf>
    <xf numFmtId="2" fontId="2" fillId="18" borderId="15" xfId="27" applyNumberFormat="1" applyFill="1" applyBorder="1" applyProtection="1">
      <protection locked="0"/>
    </xf>
    <xf numFmtId="166" fontId="2" fillId="18" borderId="17" xfId="27" applyNumberFormat="1" applyFill="1" applyBorder="1" applyProtection="1">
      <protection locked="0"/>
    </xf>
    <xf numFmtId="0" fontId="2" fillId="18" borderId="18" xfId="27" applyFill="1" applyBorder="1"/>
    <xf numFmtId="2" fontId="2" fillId="18" borderId="16" xfId="27" applyNumberFormat="1" applyFill="1" applyBorder="1" applyProtection="1">
      <protection locked="0"/>
    </xf>
    <xf numFmtId="166" fontId="2" fillId="18" borderId="16" xfId="27" applyNumberFormat="1" applyFill="1" applyBorder="1" applyProtection="1">
      <protection locked="0"/>
    </xf>
    <xf numFmtId="0" fontId="2" fillId="18" borderId="21" xfId="27" applyFill="1" applyBorder="1"/>
    <xf numFmtId="0" fontId="2" fillId="0" borderId="14" xfId="27" applyFill="1" applyBorder="1" applyProtection="1">
      <protection locked="0"/>
    </xf>
    <xf numFmtId="0" fontId="9" fillId="27" borderId="0" xfId="26" applyFont="1" applyFill="1" applyBorder="1">
      <alignment horizontal="left" vertical="center" indent="2"/>
      <protection locked="0"/>
    </xf>
    <xf numFmtId="0" fontId="0" fillId="25" borderId="4" xfId="27" applyFont="1" applyFill="1" applyBorder="1" applyAlignment="1">
      <alignment horizontal="center"/>
    </xf>
    <xf numFmtId="0" fontId="0" fillId="0" borderId="20" xfId="27" applyFont="1" applyFill="1" applyBorder="1" applyProtection="1">
      <protection locked="0"/>
    </xf>
    <xf numFmtId="0" fontId="0" fillId="0" borderId="16" xfId="27" applyFont="1" applyFill="1" applyBorder="1" applyProtection="1">
      <protection locked="0"/>
    </xf>
    <xf numFmtId="0" fontId="0" fillId="0" borderId="22" xfId="27" applyFont="1" applyFill="1" applyBorder="1" applyProtection="1">
      <protection locked="0"/>
    </xf>
    <xf numFmtId="0" fontId="0" fillId="0" borderId="16" xfId="27" applyFont="1" applyFill="1" applyBorder="1" applyAlignment="1" applyProtection="1">
      <alignment horizontal="center"/>
      <protection locked="0"/>
    </xf>
    <xf numFmtId="0" fontId="0" fillId="0" borderId="0" xfId="27" applyFont="1"/>
    <xf numFmtId="0" fontId="2" fillId="0" borderId="25" xfId="27" applyFill="1" applyBorder="1" applyProtection="1">
      <protection locked="0"/>
    </xf>
    <xf numFmtId="0" fontId="13" fillId="0" borderId="22" xfId="27" applyFont="1" applyFill="1" applyBorder="1" applyProtection="1">
      <protection locked="0"/>
    </xf>
    <xf numFmtId="0" fontId="0" fillId="0" borderId="0" xfId="0" applyProtection="1">
      <alignment horizontal="left" vertical="center"/>
      <protection locked="0"/>
    </xf>
    <xf numFmtId="0" fontId="0" fillId="28" borderId="0" xfId="26" applyFont="1" applyFill="1" applyBorder="1" applyAlignment="1" applyProtection="1">
      <alignment horizontal="left" vertical="center"/>
    </xf>
    <xf numFmtId="164" fontId="2" fillId="0" borderId="0" xfId="25" applyNumberFormat="1" applyFill="1" applyBorder="1" applyProtection="1">
      <alignment horizontal="center" vertical="center"/>
    </xf>
    <xf numFmtId="0" fontId="2" fillId="28" borderId="0" xfId="26" applyFill="1" applyBorder="1">
      <alignment horizontal="left" vertical="center" indent="2"/>
      <protection locked="0"/>
    </xf>
    <xf numFmtId="0" fontId="2" fillId="0" borderId="0" xfId="26" applyNumberFormat="1" applyFill="1" applyBorder="1">
      <alignment horizontal="left" vertical="center" indent="2"/>
      <protection locked="0"/>
    </xf>
    <xf numFmtId="164" fontId="2" fillId="0" borderId="0" xfId="25" applyNumberFormat="1" applyProtection="1">
      <alignment horizontal="center" vertical="center"/>
    </xf>
    <xf numFmtId="0" fontId="14" fillId="0" borderId="16" xfId="27" applyFont="1" applyFill="1" applyBorder="1" applyProtection="1">
      <protection locked="0"/>
    </xf>
    <xf numFmtId="0" fontId="0" fillId="0" borderId="25" xfId="27" applyFont="1" applyFill="1" applyBorder="1" applyProtection="1">
      <protection locked="0"/>
    </xf>
    <xf numFmtId="0" fontId="10" fillId="23" borderId="8" xfId="27" applyFont="1" applyFill="1" applyBorder="1" applyAlignment="1">
      <alignment horizontal="left" vertical="top"/>
    </xf>
    <xf numFmtId="0" fontId="10" fillId="23" borderId="9" xfId="27" applyFont="1" applyFill="1" applyBorder="1" applyAlignment="1">
      <alignment horizontal="left" vertical="top"/>
    </xf>
    <xf numFmtId="0" fontId="10" fillId="23" borderId="11" xfId="27" applyFont="1" applyFill="1" applyBorder="1" applyAlignment="1">
      <alignment horizontal="left" vertical="top"/>
    </xf>
    <xf numFmtId="0" fontId="10" fillId="23" borderId="12" xfId="27" applyFont="1" applyFill="1" applyBorder="1" applyAlignment="1">
      <alignment horizontal="left" vertical="top"/>
    </xf>
    <xf numFmtId="0" fontId="11" fillId="24" borderId="3" xfId="27" applyFont="1" applyFill="1" applyBorder="1" applyAlignment="1">
      <alignment horizontal="center" wrapText="1"/>
    </xf>
    <xf numFmtId="0" fontId="11" fillId="24" borderId="13" xfId="27" applyFont="1" applyFill="1" applyBorder="1" applyAlignment="1">
      <alignment horizontal="center"/>
    </xf>
    <xf numFmtId="0" fontId="11" fillId="24" borderId="6" xfId="27" applyFont="1" applyFill="1" applyBorder="1" applyAlignment="1">
      <alignment horizontal="center"/>
    </xf>
    <xf numFmtId="0" fontId="11" fillId="24" borderId="4" xfId="27" applyFont="1" applyFill="1" applyBorder="1" applyAlignment="1">
      <alignment horizontal="center" wrapText="1"/>
    </xf>
    <xf numFmtId="0" fontId="11" fillId="24" borderId="10" xfId="27" applyFont="1" applyFill="1" applyBorder="1" applyAlignment="1">
      <alignment horizontal="center" wrapText="1"/>
    </xf>
    <xf numFmtId="0" fontId="0" fillId="23" borderId="3" xfId="27" applyFont="1" applyFill="1" applyBorder="1" applyAlignment="1">
      <alignment horizontal="center" wrapText="1"/>
    </xf>
    <xf numFmtId="0" fontId="2" fillId="23" borderId="6" xfId="27" applyFill="1" applyBorder="1" applyAlignment="1">
      <alignment horizontal="center"/>
    </xf>
    <xf numFmtId="0" fontId="3" fillId="25" borderId="2" xfId="27" applyFont="1" applyFill="1" applyBorder="1" applyAlignment="1">
      <alignment horizontal="left" wrapText="1"/>
    </xf>
    <xf numFmtId="0" fontId="3" fillId="25" borderId="5" xfId="27" applyFont="1" applyFill="1" applyBorder="1" applyAlignment="1">
      <alignment horizontal="left" wrapText="1"/>
    </xf>
    <xf numFmtId="0" fontId="3" fillId="25" borderId="3" xfId="27" applyFont="1" applyFill="1" applyBorder="1" applyAlignment="1">
      <alignment horizontal="center" wrapText="1"/>
    </xf>
    <xf numFmtId="0" fontId="3" fillId="25" borderId="6" xfId="27" applyFont="1" applyFill="1" applyBorder="1" applyAlignment="1">
      <alignment horizontal="center" wrapText="1"/>
    </xf>
    <xf numFmtId="0" fontId="2" fillId="22" borderId="3" xfId="27" applyFill="1" applyBorder="1" applyAlignment="1">
      <alignment horizontal="center"/>
    </xf>
    <xf numFmtId="0" fontId="2" fillId="22" borderId="6" xfId="27" applyFill="1" applyBorder="1" applyAlignment="1">
      <alignment horizontal="center"/>
    </xf>
    <xf numFmtId="0" fontId="0" fillId="22" borderId="3" xfId="27" applyFont="1" applyFill="1" applyBorder="1" applyAlignment="1">
      <alignment horizontal="center" wrapText="1"/>
    </xf>
    <xf numFmtId="0" fontId="2" fillId="22" borderId="6" xfId="27" applyFill="1" applyBorder="1" applyAlignment="1">
      <alignment horizontal="center" wrapText="1"/>
    </xf>
    <xf numFmtId="0" fontId="2" fillId="22" borderId="4" xfId="27" applyFill="1" applyBorder="1" applyAlignment="1">
      <alignment horizontal="center" wrapText="1"/>
    </xf>
    <xf numFmtId="0" fontId="2" fillId="25" borderId="4" xfId="27" applyFill="1" applyBorder="1" applyAlignment="1">
      <alignment horizontal="center"/>
    </xf>
    <xf numFmtId="0" fontId="7" fillId="2" borderId="0" xfId="3" applyAlignment="1" applyProtection="1">
      <alignment horizontal="left" vertical="center" indent="1"/>
      <protection locked="0"/>
    </xf>
    <xf numFmtId="0" fontId="7" fillId="2" borderId="0" xfId="3" applyAlignment="1" applyProtection="1">
      <alignment horizontal="center" vertical="center"/>
      <protection locked="0"/>
    </xf>
    <xf numFmtId="0" fontId="7" fillId="2" borderId="0" xfId="3" applyAlignment="1" applyProtection="1">
      <alignment horizontal="right" vertical="center" indent="1"/>
    </xf>
    <xf numFmtId="0" fontId="7" fillId="2" borderId="0" xfId="3" applyProtection="1">
      <alignment horizontal="center" vertical="center"/>
      <protection locked="0"/>
    </xf>
    <xf numFmtId="0" fontId="7" fillId="2" borderId="0" xfId="3" applyAlignment="1" applyProtection="1">
      <alignment horizontal="right" vertical="center" indent="1"/>
      <protection locked="0"/>
    </xf>
    <xf numFmtId="0" fontId="0" fillId="0" borderId="0" xfId="0" applyProtection="1">
      <alignment horizontal="left" vertical="center"/>
      <protection locked="0"/>
    </xf>
  </cellXfs>
  <cellStyles count="28">
    <cellStyle name="20% - Accent1" xfId="15" builtinId="30" customBuiltin="1"/>
    <cellStyle name="20% - Accent3" xfId="21" builtinId="38" customBuiltin="1"/>
    <cellStyle name="20% - Accent4" xfId="7" builtinId="42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3" xfId="23" builtinId="40" customBuiltin="1"/>
    <cellStyle name="60% - Accent4" xfId="9" builtinId="44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6" xfId="10" builtinId="49" customBuiltin="1"/>
    <cellStyle name="Employee" xf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rmal 2" xfId="27"/>
    <cellStyle name="Title" xfId="1" builtinId="15" customBuiltin="1"/>
    <cellStyle name="Total" xfId="25" builtinId="25" customBuiltin="1"/>
  </cellStyles>
  <dxfs count="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;0;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numFmt numFmtId="164" formatCode="0;0;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numFmt numFmtId="164" formatCode="0;0;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numFmt numFmtId="164" formatCode="0;0;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1" hidden="0"/>
    </dxf>
    <dxf>
      <numFmt numFmtId="164" formatCode="0;0;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0;0;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;0;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6795556505021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2" defaultTableStyle="TableStyleMedium2" defaultPivotStyle="PivotStyleLight16">
    <tableStyle name="Employee Absence Table" pivot="0" count="13">
      <tableStyleElement type="wholeTable" dxfId="586"/>
      <tableStyleElement type="headerRow" dxfId="585"/>
      <tableStyleElement type="totalRow" dxfId="584"/>
      <tableStyleElement type="firstColumn" dxfId="583"/>
      <tableStyleElement type="lastColumn" dxfId="582"/>
      <tableStyleElement type="firstRowStripe" dxfId="581"/>
      <tableStyleElement type="secondRowStripe" dxfId="580"/>
      <tableStyleElement type="firstColumnStripe" dxfId="579"/>
      <tableStyleElement type="secondColumnStripe" dxfId="578"/>
      <tableStyleElement type="firstHeaderCell" dxfId="577"/>
      <tableStyleElement type="lastHeaderCell" dxfId="576"/>
      <tableStyleElement type="firstTotalCell" dxfId="575"/>
      <tableStyleElement type="lastTotalCell" dxfId="574"/>
    </tableStyle>
    <tableStyle name="MySqlDefault" pivot="0" table="0" count="2">
      <tableStyleElement type="wholeTable" dxfId="573"/>
      <tableStyleElement type="headerRow" dxfId="5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180975</xdr:colOff>
      <xdr:row>0</xdr:row>
      <xdr:rowOff>609600</xdr:rowOff>
    </xdr:from>
    <xdr:to>
      <xdr:col>33</xdr:col>
      <xdr:colOff>104775</xdr:colOff>
      <xdr:row>1</xdr:row>
      <xdr:rowOff>171451</xdr:rowOff>
    </xdr:to>
    <xdr:sp macro="" textlink="">
      <xdr:nvSpPr>
        <xdr:cNvPr id="3" name="Data Entry Note" descr="Enter Year: Type year in cell AG2" title="Data Entry Tip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0067925" y="609600"/>
          <a:ext cx="828675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1">
                  <a:lumMod val="50000"/>
                </a:schemeClr>
              </a:solidFill>
            </a:rPr>
            <a:t>Enter Year: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38</xdr:row>
      <xdr:rowOff>57150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048000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Work/OBS/OT/OT%20Tracker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T%20and%20Leave%20Record_Y20171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JIAZXU/Desktop/OT%20and%20Leave%20Record_Y2017%20(Repai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Mar"/>
      <sheetName val="Sheet2"/>
      <sheetName val="Apr-Jun"/>
      <sheetName val="Jul-Sep"/>
      <sheetName val="Oct-Dec"/>
      <sheetName val="ARP_Leave"/>
      <sheetName val="Summary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OT_Jan-Mar"/>
      <sheetName val="OT_Apr-Jun"/>
      <sheetName val="OT_Jul-Sep"/>
      <sheetName val="OT_Oct-Dec"/>
      <sheetName val="Summary"/>
      <sheetName val="Jan-Mar"/>
      <sheetName val="Apr-Jun"/>
      <sheetName val="Jul-Sep"/>
      <sheetName val="Oct-D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3" name="tblJanuary" displayName="tblJanuary" ref="A4:AG36" totalsRowCount="1" headerRowDxfId="549" dataDxfId="548" totalsRowDxfId="547">
  <autoFilter ref="A4:AG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Employee Name" totalsRowFunction="custom" totalsRowDxfId="546" dataCellStyle="Employee">
      <totalsRowFormula>MonthName&amp;" Total"</totalsRowFormula>
    </tableColumn>
    <tableColumn id="2" name="1" totalsRowFunction="custom" totalsRowDxfId="545" dataCellStyle="Total">
      <totalsRowFormula>SUBTOTAL(103,'Jan-Mar'!$B$5:$B$35)</totalsRowFormula>
    </tableColumn>
    <tableColumn id="3" name="2" totalsRowFunction="custom" totalsRowDxfId="544" dataCellStyle="Total">
      <totalsRowFormula>SUBTOTAL(103,'Jan-Mar'!$C$5:$C$35)</totalsRowFormula>
    </tableColumn>
    <tableColumn id="4" name="3" totalsRowFunction="custom" totalsRowDxfId="543" dataCellStyle="Total">
      <totalsRowFormula>SUBTOTAL(103,'Jan-Mar'!$D$5:$D$35)</totalsRowFormula>
    </tableColumn>
    <tableColumn id="5" name="4" totalsRowFunction="custom" totalsRowDxfId="542" dataCellStyle="Total">
      <totalsRowFormula>SUBTOTAL(103,'Jan-Mar'!$E$5:$E$35)</totalsRowFormula>
    </tableColumn>
    <tableColumn id="6" name="5" totalsRowFunction="custom" totalsRowDxfId="541" dataCellStyle="Total">
      <totalsRowFormula>SUBTOTAL(103,'Jan-Mar'!$F$5:$F$35)</totalsRowFormula>
    </tableColumn>
    <tableColumn id="7" name="6" totalsRowFunction="custom" totalsRowDxfId="540" dataCellStyle="Total">
      <totalsRowFormula>SUBTOTAL(103,'Jan-Mar'!$G$5:$G$35)</totalsRowFormula>
    </tableColumn>
    <tableColumn id="8" name="7" totalsRowFunction="custom" totalsRowDxfId="539" dataCellStyle="Total">
      <totalsRowFormula>SUBTOTAL(103,'Jan-Mar'!$H$5:$H$35)</totalsRowFormula>
    </tableColumn>
    <tableColumn id="9" name="8" totalsRowFunction="custom" totalsRowDxfId="538" dataCellStyle="Total">
      <totalsRowFormula>SUBTOTAL(103,'Jan-Mar'!$I$5:$I$35)</totalsRowFormula>
    </tableColumn>
    <tableColumn id="10" name="9" totalsRowFunction="custom" totalsRowDxfId="537" dataCellStyle="Total">
      <totalsRowFormula>SUBTOTAL(103,'Jan-Mar'!$J$5:$J$35)</totalsRowFormula>
    </tableColumn>
    <tableColumn id="11" name="10" totalsRowFunction="custom" totalsRowDxfId="536" dataCellStyle="Total">
      <totalsRowFormula>SUBTOTAL(103,'Jan-Mar'!$K$5:$K$35)</totalsRowFormula>
    </tableColumn>
    <tableColumn id="12" name="11" totalsRowFunction="custom" totalsRowDxfId="535" dataCellStyle="Total">
      <totalsRowFormula>SUBTOTAL(103,'Jan-Mar'!$L$5:$L$35)</totalsRowFormula>
    </tableColumn>
    <tableColumn id="13" name="12" totalsRowFunction="custom" totalsRowDxfId="534" dataCellStyle="Total">
      <totalsRowFormula>SUBTOTAL(103,'Jan-Mar'!$M$5:$M$35)</totalsRowFormula>
    </tableColumn>
    <tableColumn id="14" name="13" totalsRowFunction="custom" totalsRowDxfId="533" dataCellStyle="Total">
      <totalsRowFormula>SUBTOTAL(103,'Jan-Mar'!$N$5:$N$35)</totalsRowFormula>
    </tableColumn>
    <tableColumn id="15" name="14" totalsRowFunction="custom" totalsRowDxfId="532" dataCellStyle="Total">
      <totalsRowFormula>SUBTOTAL(103,'Jan-Mar'!$O$5:$O$35)</totalsRowFormula>
    </tableColumn>
    <tableColumn id="16" name="15" totalsRowFunction="custom" totalsRowDxfId="531" dataCellStyle="Total">
      <totalsRowFormula>SUBTOTAL(103,'Jan-Mar'!$P$5:$P$35)</totalsRowFormula>
    </tableColumn>
    <tableColumn id="17" name="16" totalsRowFunction="custom" totalsRowDxfId="530" dataCellStyle="Total">
      <totalsRowFormula>SUBTOTAL(103,'Jan-Mar'!$Q$5:$Q$35)</totalsRowFormula>
    </tableColumn>
    <tableColumn id="18" name="17" totalsRowFunction="custom" totalsRowDxfId="529" dataCellStyle="Total">
      <totalsRowFormula>SUBTOTAL(103,'Jan-Mar'!$R$5:$R$35)</totalsRowFormula>
    </tableColumn>
    <tableColumn id="19" name="18" totalsRowFunction="custom" totalsRowDxfId="528" dataCellStyle="Total">
      <totalsRowFormula>SUBTOTAL(103,'Jan-Mar'!$S$5:$S$35)</totalsRowFormula>
    </tableColumn>
    <tableColumn id="20" name="19" totalsRowFunction="custom" totalsRowDxfId="527" dataCellStyle="Total">
      <totalsRowFormula>SUBTOTAL(103,'Jan-Mar'!$T$5:$T$35)</totalsRowFormula>
    </tableColumn>
    <tableColumn id="21" name="20" totalsRowFunction="custom" totalsRowDxfId="526" dataCellStyle="Total">
      <totalsRowFormula>SUBTOTAL(103,'Jan-Mar'!$U$5:$U$35)</totalsRowFormula>
    </tableColumn>
    <tableColumn id="22" name="21" totalsRowFunction="custom" totalsRowDxfId="525" dataCellStyle="Total">
      <totalsRowFormula>SUBTOTAL(103,'Jan-Mar'!$V$5:$V$35)</totalsRowFormula>
    </tableColumn>
    <tableColumn id="23" name="22" totalsRowFunction="custom" totalsRowDxfId="524" dataCellStyle="Total">
      <totalsRowFormula>SUBTOTAL(103,'Jan-Mar'!$W$5:$W$35)</totalsRowFormula>
    </tableColumn>
    <tableColumn id="24" name="23" totalsRowFunction="custom" totalsRowDxfId="523" dataCellStyle="Total">
      <totalsRowFormula>SUBTOTAL(103,'Jan-Mar'!$X$5:$X$35)</totalsRowFormula>
    </tableColumn>
    <tableColumn id="25" name="24" totalsRowFunction="custom" totalsRowDxfId="522" dataCellStyle="Total">
      <totalsRowFormula>SUBTOTAL(103,'Jan-Mar'!$Y$5:$Y$35)</totalsRowFormula>
    </tableColumn>
    <tableColumn id="26" name="25" totalsRowFunction="custom" totalsRowDxfId="521" dataCellStyle="Total">
      <totalsRowFormula>SUBTOTAL(103,'Jan-Mar'!$Z$5:$Z$35)</totalsRowFormula>
    </tableColumn>
    <tableColumn id="27" name="26" totalsRowFunction="custom" totalsRowDxfId="520" dataCellStyle="Total">
      <totalsRowFormula>SUBTOTAL(103,'Jan-Mar'!$AA$5:$AA$35)</totalsRowFormula>
    </tableColumn>
    <tableColumn id="28" name="27" totalsRowFunction="custom" totalsRowDxfId="519" dataCellStyle="Total">
      <totalsRowFormula>SUBTOTAL(103,'Jan-Mar'!$AB$5:$AB$35)</totalsRowFormula>
    </tableColumn>
    <tableColumn id="29" name="28" totalsRowFunction="custom" totalsRowDxfId="518" dataCellStyle="Total">
      <totalsRowFormula>SUBTOTAL(103,'Jan-Mar'!$AC$5:$AC$35)</totalsRowFormula>
    </tableColumn>
    <tableColumn id="30" name="29" totalsRowFunction="custom" totalsRowDxfId="517" dataCellStyle="Total">
      <totalsRowFormula>SUBTOTAL(103,'Jan-Mar'!$AD$5:$AD$35)</totalsRowFormula>
    </tableColumn>
    <tableColumn id="31" name="30" totalsRowFunction="custom" totalsRowDxfId="516" dataCellStyle="Total">
      <totalsRowFormula>SUBTOTAL(103,'Jan-Mar'!$AE$5:$AE$35)</totalsRowFormula>
    </tableColumn>
    <tableColumn id="32" name="31" totalsRowFunction="custom" totalsRowDxfId="515" dataCellStyle="Total">
      <totalsRowFormula>SUBTOTAL(103,'Jan-Mar'!$AF$5:$AF$35)</totalsRowFormula>
    </tableColumn>
    <tableColumn id="33" name="Total Hours" totalsRowFunction="sum" dataDxfId="514" totalsRowDxfId="513" dataCellStyle="Total">
      <calculatedColumnFormula>SUBTOTAL(109,'Jan-Mar'!$B5:$AF5)</calculatedColumnFormula>
    </tableColumn>
  </tableColumns>
  <tableStyleInfo name="Employee Absence Table" showFirstColumn="1" showLastColumn="1" showRowStripes="1" showColumnStripes="0"/>
</table>
</file>

<file path=xl/tables/table10.xml><?xml version="1.0" encoding="utf-8"?>
<table xmlns="http://schemas.openxmlformats.org/spreadsheetml/2006/main" id="11" name="tblOctober" displayName="tblOctober" ref="A4:AG35" totalsRowCount="1" headerRowDxfId="176" dataDxfId="175" totalsRowDxfId="174" headerRowCellStyle="Normal" dataCellStyle="Normal" totalsRowCellStyle="Normal">
  <tableColumns count="33">
    <tableColumn id="1" name="Employee Name" totalsRowFunction="custom" dataDxfId="173" totalsRowDxfId="172" dataCellStyle="Employee">
      <totalsRowFormula>MonthName&amp;" Total"</totalsRowFormula>
    </tableColumn>
    <tableColumn id="2" name="1" totalsRowFunction="count" totalsRowDxfId="171" dataCellStyle="Total"/>
    <tableColumn id="3" name="2" totalsRowFunction="count" totalsRowDxfId="170" dataCellStyle="Total"/>
    <tableColumn id="4" name="3" totalsRowFunction="count" totalsRowDxfId="169" dataCellStyle="Total"/>
    <tableColumn id="5" name="4" totalsRowFunction="count" totalsRowDxfId="168" dataCellStyle="Total"/>
    <tableColumn id="6" name="5" totalsRowFunction="count" totalsRowDxfId="167" dataCellStyle="Total"/>
    <tableColumn id="7" name="6" totalsRowFunction="count" totalsRowDxfId="166" dataCellStyle="Total"/>
    <tableColumn id="8" name="7" totalsRowFunction="count" totalsRowDxfId="165" dataCellStyle="Total"/>
    <tableColumn id="9" name="8" totalsRowFunction="count" totalsRowDxfId="164" dataCellStyle="Total"/>
    <tableColumn id="10" name="9" totalsRowFunction="count" totalsRowDxfId="163" dataCellStyle="Total"/>
    <tableColumn id="11" name="10" totalsRowFunction="count" totalsRowDxfId="162" dataCellStyle="Total"/>
    <tableColumn id="12" name="11" totalsRowFunction="count" totalsRowDxfId="161" dataCellStyle="Total"/>
    <tableColumn id="13" name="12" totalsRowFunction="count" totalsRowDxfId="160" dataCellStyle="Total"/>
    <tableColumn id="14" name="13" totalsRowFunction="count" totalsRowDxfId="159" dataCellStyle="Total"/>
    <tableColumn id="15" name="14" totalsRowFunction="count" totalsRowDxfId="158" dataCellStyle="Total"/>
    <tableColumn id="16" name="15" totalsRowFunction="count" totalsRowDxfId="157" dataCellStyle="Total"/>
    <tableColumn id="17" name="16" totalsRowFunction="count" totalsRowDxfId="156" dataCellStyle="Total"/>
    <tableColumn id="18" name="17" totalsRowFunction="count" totalsRowDxfId="155" dataCellStyle="Total"/>
    <tableColumn id="19" name="18" totalsRowFunction="count" totalsRowDxfId="154" dataCellStyle="Total"/>
    <tableColumn id="20" name="19" totalsRowFunction="count" totalsRowDxfId="153" dataCellStyle="Total"/>
    <tableColumn id="21" name="20" totalsRowFunction="count" totalsRowDxfId="152" dataCellStyle="Total"/>
    <tableColumn id="22" name="21" totalsRowFunction="count" totalsRowDxfId="151" dataCellStyle="Total"/>
    <tableColumn id="23" name="22" totalsRowFunction="count" totalsRowDxfId="150" dataCellStyle="Total"/>
    <tableColumn id="24" name="23" totalsRowFunction="count" totalsRowDxfId="149" dataCellStyle="Total"/>
    <tableColumn id="25" name="24" totalsRowFunction="count" totalsRowDxfId="148" dataCellStyle="Total"/>
    <tableColumn id="26" name="25" totalsRowFunction="count" totalsRowDxfId="147" dataCellStyle="Total"/>
    <tableColumn id="27" name="26" totalsRowFunction="count" totalsRowDxfId="146" dataCellStyle="Total"/>
    <tableColumn id="28" name="27" totalsRowFunction="count" totalsRowDxfId="145" dataCellStyle="Total"/>
    <tableColumn id="29" name="28" totalsRowFunction="count" totalsRowDxfId="144" dataCellStyle="Total"/>
    <tableColumn id="30" name="29" totalsRowFunction="count" totalsRowDxfId="143" dataCellStyle="Total"/>
    <tableColumn id="31" name="30" totalsRowFunction="sum" totalsRowDxfId="142" dataCellStyle="Total"/>
    <tableColumn id="32" name="31" totalsRowFunction="sum" totalsRowDxfId="141" dataCellStyle="Total"/>
    <tableColumn id="33" name="Total Hours" totalsRowFunction="sum" dataDxfId="140" totalsRowDxfId="139" dataCellStyle="Total">
      <calculatedColumnFormula>SUBTOTAL(109,'Oct-Dec'!$B5:$AF5)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Octo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11.xml><?xml version="1.0" encoding="utf-8"?>
<table xmlns="http://schemas.openxmlformats.org/spreadsheetml/2006/main" id="8" name="tblNovember" displayName="tblNovember" ref="A41:AG72" totalsRowCount="1" headerRowDxfId="138" dataDxfId="137" totalsRowDxfId="136" headerRowCellStyle="Normal" dataCellStyle="Normal" totalsRowCellStyle="Normal">
  <tableColumns count="33">
    <tableColumn id="1" name="Employee Name" totalsRowFunction="custom" dataDxfId="135" totalsRowDxfId="134" dataCellStyle="Employee">
      <totalsRowFormula>A39&amp;" Total"</totalsRowFormula>
    </tableColumn>
    <tableColumn id="2" name="1" totalsRowFunction="count" totalsRowDxfId="133" dataCellStyle="Total"/>
    <tableColumn id="3" name="2" totalsRowFunction="count" totalsRowDxfId="132" dataCellStyle="Total"/>
    <tableColumn id="4" name="3" totalsRowFunction="count" totalsRowDxfId="131" dataCellStyle="Total"/>
    <tableColumn id="5" name="4" totalsRowFunction="count" totalsRowDxfId="130" dataCellStyle="Total"/>
    <tableColumn id="6" name="5" totalsRowFunction="count" totalsRowDxfId="129" dataCellStyle="Total"/>
    <tableColumn id="7" name="6" totalsRowFunction="count" totalsRowDxfId="128" dataCellStyle="Total"/>
    <tableColumn id="8" name="7" totalsRowFunction="count" totalsRowDxfId="127" dataCellStyle="Total"/>
    <tableColumn id="9" name="8" totalsRowFunction="count" totalsRowDxfId="126" dataCellStyle="Total"/>
    <tableColumn id="10" name="9" totalsRowFunction="count" totalsRowDxfId="125" dataCellStyle="Total"/>
    <tableColumn id="11" name="10" totalsRowFunction="count" totalsRowDxfId="124" dataCellStyle="Total"/>
    <tableColumn id="12" name="11" totalsRowFunction="count" totalsRowDxfId="123" dataCellStyle="Total"/>
    <tableColumn id="13" name="12" totalsRowFunction="count" totalsRowDxfId="122" dataCellStyle="Total"/>
    <tableColumn id="14" name="13" totalsRowFunction="count" totalsRowDxfId="121" dataCellStyle="Total"/>
    <tableColumn id="15" name="14" totalsRowFunction="count" totalsRowDxfId="120" dataCellStyle="Total"/>
    <tableColumn id="16" name="15" totalsRowFunction="count" totalsRowDxfId="119" dataCellStyle="Total"/>
    <tableColumn id="17" name="16" totalsRowFunction="count" totalsRowDxfId="118" dataCellStyle="Total"/>
    <tableColumn id="18" name="17" totalsRowFunction="count" totalsRowDxfId="117" dataCellStyle="Total"/>
    <tableColumn id="19" name="18" totalsRowFunction="count" totalsRowDxfId="116" dataCellStyle="Total"/>
    <tableColumn id="20" name="19" totalsRowFunction="count" totalsRowDxfId="115" dataCellStyle="Total"/>
    <tableColumn id="21" name="20" totalsRowFunction="count" totalsRowDxfId="114" dataCellStyle="Total"/>
    <tableColumn id="22" name="21" totalsRowFunction="count" totalsRowDxfId="113" dataCellStyle="Total"/>
    <tableColumn id="23" name="22" totalsRowFunction="count" totalsRowDxfId="112" dataCellStyle="Total"/>
    <tableColumn id="24" name="23" totalsRowFunction="count" totalsRowDxfId="111" dataCellStyle="Total"/>
    <tableColumn id="25" name="24" totalsRowFunction="count" totalsRowDxfId="110" dataCellStyle="Total"/>
    <tableColumn id="26" name="25" totalsRowFunction="count" totalsRowDxfId="109" dataCellStyle="Total"/>
    <tableColumn id="27" name="26" totalsRowFunction="count" totalsRowDxfId="108" dataCellStyle="Total"/>
    <tableColumn id="28" name="27" totalsRowFunction="count" totalsRowDxfId="107" dataCellStyle="Total"/>
    <tableColumn id="29" name="28" totalsRowFunction="count" totalsRowDxfId="106" dataCellStyle="Total"/>
    <tableColumn id="30" name="29" totalsRowFunction="count" totalsRowDxfId="105" dataCellStyle="Total"/>
    <tableColumn id="31" name="30" totalsRowFunction="sum" totalsRowDxfId="104" dataCellStyle="Total"/>
    <tableColumn id="32" name=" " totalsRowDxfId="103" dataCellStyle="Total"/>
    <tableColumn id="33" name="Total Hours" totalsRowFunction="sum" dataDxfId="102" totalsRowDxfId="101" dataCellStyle="Total">
      <calculatedColumnFormula>SUBTOTAL(109,'Oct-Dec'!$B42:$AF42)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Novem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12.xml><?xml version="1.0" encoding="utf-8"?>
<table xmlns="http://schemas.openxmlformats.org/spreadsheetml/2006/main" id="9" name="tblDecember" displayName="tblDecember" ref="A76:AG107" totalsRowCount="1" headerRowDxfId="100" dataDxfId="99" totalsRowDxfId="98">
  <tableColumns count="33">
    <tableColumn id="1" name="Employee Name" totalsRowFunction="custom" dataDxfId="97" totalsRowDxfId="96" dataCellStyle="Employee">
      <totalsRowFormula>A74&amp;" Total"</totalsRowFormula>
    </tableColumn>
    <tableColumn id="2" name="1" totalsRowFunction="count" dataDxfId="95" totalsRowDxfId="94"/>
    <tableColumn id="3" name="2" totalsRowFunction="count" dataDxfId="93" totalsRowDxfId="92"/>
    <tableColumn id="4" name="3" totalsRowFunction="count" dataDxfId="91" totalsRowDxfId="90"/>
    <tableColumn id="5" name="4" totalsRowFunction="count" dataDxfId="89" totalsRowDxfId="88"/>
    <tableColumn id="6" name="5" totalsRowFunction="count" dataDxfId="87" totalsRowDxfId="86"/>
    <tableColumn id="7" name="6" totalsRowFunction="count" dataDxfId="85" totalsRowDxfId="84"/>
    <tableColumn id="8" name="7" totalsRowFunction="count" dataDxfId="83" totalsRowDxfId="82"/>
    <tableColumn id="9" name="8" totalsRowFunction="count" dataDxfId="81" totalsRowDxfId="80"/>
    <tableColumn id="10" name="9" totalsRowFunction="count" dataDxfId="79" totalsRowDxfId="78"/>
    <tableColumn id="11" name="10" totalsRowFunction="count" dataDxfId="77" totalsRowDxfId="76"/>
    <tableColumn id="12" name="11" totalsRowFunction="count" dataDxfId="75" totalsRowDxfId="74"/>
    <tableColumn id="13" name="12" totalsRowFunction="count" dataDxfId="73" totalsRowDxfId="72"/>
    <tableColumn id="14" name="13" totalsRowFunction="count" dataDxfId="71" totalsRowDxfId="70"/>
    <tableColumn id="15" name="14" totalsRowFunction="count" dataDxfId="69" totalsRowDxfId="68"/>
    <tableColumn id="16" name="15" totalsRowFunction="count" dataDxfId="67" totalsRowDxfId="66"/>
    <tableColumn id="17" name="16" totalsRowFunction="count" dataDxfId="65" totalsRowDxfId="64"/>
    <tableColumn id="18" name="17" totalsRowFunction="count" dataDxfId="63" totalsRowDxfId="62"/>
    <tableColumn id="19" name="18" totalsRowFunction="count" dataDxfId="61" totalsRowDxfId="60"/>
    <tableColumn id="20" name="19" totalsRowFunction="count" dataDxfId="59" totalsRowDxfId="58"/>
    <tableColumn id="21" name="20" totalsRowFunction="count" dataDxfId="57" totalsRowDxfId="56"/>
    <tableColumn id="22" name="21" totalsRowFunction="count" dataDxfId="55" totalsRowDxfId="54"/>
    <tableColumn id="23" name="22" totalsRowFunction="count" dataDxfId="53" totalsRowDxfId="52"/>
    <tableColumn id="24" name="23" totalsRowFunction="count" dataDxfId="51" totalsRowDxfId="50"/>
    <tableColumn id="25" name="24" totalsRowFunction="count" dataDxfId="49" totalsRowDxfId="48"/>
    <tableColumn id="26" name="25" totalsRowFunction="count" dataDxfId="47" totalsRowDxfId="46"/>
    <tableColumn id="27" name="26" totalsRowFunction="count" dataDxfId="45" totalsRowDxfId="44"/>
    <tableColumn id="28" name="27" totalsRowFunction="count" dataDxfId="43" totalsRowDxfId="42"/>
    <tableColumn id="29" name="28" totalsRowFunction="count" dataDxfId="41" totalsRowDxfId="40"/>
    <tableColumn id="30" name="29" totalsRowFunction="count" dataDxfId="39" totalsRowDxfId="38"/>
    <tableColumn id="31" name="30" totalsRowFunction="sum" dataDxfId="37" totalsRowDxfId="36"/>
    <tableColumn id="32" name="31" totalsRowFunction="sum" totalsRowDxfId="35" dataCellStyle="Total"/>
    <tableColumn id="33" name="Total Hours" totalsRowFunction="sum" dataDxfId="34" totalsRowDxfId="33" dataCellStyle="Total">
      <calculatedColumnFormula>SUBTOTAL(109,'Oct-Dec'!$B77:$AF77)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Decem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2.xml><?xml version="1.0" encoding="utf-8"?>
<table xmlns="http://schemas.openxmlformats.org/spreadsheetml/2006/main" id="13" name="tblFebruary" displayName="tblFebruary" ref="A42:AG73" totalsRowCount="1" headerRowDxfId="512" dataDxfId="511" totalsRowDxfId="510">
  <tableColumns count="33">
    <tableColumn id="1" name="Employee Name" totalsRowFunction="custom" dataDxfId="509" totalsRowDxfId="508" dataCellStyle="Employee">
      <totalsRowFormula>A40&amp;" Total"</totalsRowFormula>
    </tableColumn>
    <tableColumn id="2" name="1" totalsRowFunction="count" totalsRowDxfId="507" dataCellStyle="Total"/>
    <tableColumn id="3" name="2" totalsRowFunction="count" totalsRowDxfId="506" dataCellStyle="Total"/>
    <tableColumn id="4" name="3" totalsRowFunction="count" totalsRowDxfId="505" dataCellStyle="Total"/>
    <tableColumn id="5" name="4" totalsRowFunction="count" totalsRowDxfId="504" dataCellStyle="Total"/>
    <tableColumn id="6" name="5" totalsRowFunction="count" totalsRowDxfId="503" dataCellStyle="Total"/>
    <tableColumn id="7" name="6" totalsRowFunction="count" totalsRowDxfId="502" dataCellStyle="Total"/>
    <tableColumn id="8" name="7" totalsRowFunction="count" totalsRowDxfId="501" dataCellStyle="Total"/>
    <tableColumn id="9" name="8" totalsRowFunction="count" totalsRowDxfId="500" dataCellStyle="Total"/>
    <tableColumn id="10" name="9" totalsRowFunction="count" totalsRowDxfId="499" dataCellStyle="Total"/>
    <tableColumn id="11" name="10" totalsRowFunction="count" totalsRowDxfId="498" dataCellStyle="Total"/>
    <tableColumn id="12" name="11" totalsRowFunction="count" totalsRowDxfId="497" dataCellStyle="Total"/>
    <tableColumn id="13" name="12" totalsRowFunction="count" totalsRowDxfId="496" dataCellStyle="Total"/>
    <tableColumn id="14" name="13" totalsRowFunction="count" totalsRowDxfId="495" dataCellStyle="Total"/>
    <tableColumn id="15" name="14" totalsRowFunction="count" totalsRowDxfId="494" dataCellStyle="Total"/>
    <tableColumn id="16" name="15" totalsRowFunction="count" totalsRowDxfId="493" dataCellStyle="Total"/>
    <tableColumn id="17" name="16" totalsRowFunction="count" totalsRowDxfId="492" dataCellStyle="Total"/>
    <tableColumn id="18" name="17" totalsRowFunction="count" totalsRowDxfId="491" dataCellStyle="Total"/>
    <tableColumn id="19" name="18" totalsRowFunction="count" totalsRowDxfId="490" dataCellStyle="Total"/>
    <tableColumn id="20" name="19" totalsRowFunction="count" totalsRowDxfId="489" dataCellStyle="Total"/>
    <tableColumn id="21" name="20" totalsRowFunction="count" totalsRowDxfId="488" dataCellStyle="Total"/>
    <tableColumn id="22" name="21" totalsRowFunction="count" totalsRowDxfId="487" dataCellStyle="Total"/>
    <tableColumn id="23" name="22" totalsRowFunction="count" totalsRowDxfId="486" dataCellStyle="Total"/>
    <tableColumn id="24" name="23" totalsRowFunction="count" totalsRowDxfId="485" dataCellStyle="Total"/>
    <tableColumn id="25" name="24" totalsRowFunction="count" totalsRowDxfId="484" dataCellStyle="Total"/>
    <tableColumn id="26" name="25" totalsRowFunction="count" totalsRowDxfId="483" dataCellStyle="Total"/>
    <tableColumn id="27" name="26" totalsRowFunction="count" totalsRowDxfId="482" dataCellStyle="Total"/>
    <tableColumn id="28" name="27" totalsRowFunction="count" totalsRowDxfId="481" dataCellStyle="Total"/>
    <tableColumn id="29" name="28" totalsRowFunction="count" totalsRowDxfId="480" dataCellStyle="Total"/>
    <tableColumn id="30" name="29" totalsRowFunction="count" totalsRowDxfId="479" dataCellStyle="Total"/>
    <tableColumn id="31" name=" " totalsRowDxfId="478" dataCellStyle="Total"/>
    <tableColumn id="32" name="  " totalsRowDxfId="477" dataCellStyle="Total"/>
    <tableColumn id="33" name="Total Hours" totalsRowFunction="sum" dataDxfId="476" totalsRowDxfId="475" dataCellStyle="Total">
      <calculatedColumnFormula>SUBTOTAL(109,'Jan-Mar'!$B43:$AF43)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Februar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3.xml><?xml version="1.0" encoding="utf-8"?>
<table xmlns="http://schemas.openxmlformats.org/spreadsheetml/2006/main" id="14" name="tblMarch" displayName="tblMarch" ref="A77:AG108" totalsRowCount="1" headerRowDxfId="474" dataDxfId="473" totalsRowDxfId="472" headerRowCellStyle="Normal" dataCellStyle="Normal" totalsRowCellStyle="Normal">
  <tableColumns count="33">
    <tableColumn id="1" name="Employee Name" totalsRowFunction="custom" dataDxfId="471" totalsRowDxfId="470" dataCellStyle="Employee">
      <totalsRowFormula>A75&amp;" Total"</totalsRowFormula>
    </tableColumn>
    <tableColumn id="2" name="1" totalsRowFunction="count" totalsRowDxfId="469" dataCellStyle="Total"/>
    <tableColumn id="3" name="2" totalsRowFunction="count" totalsRowDxfId="468" dataCellStyle="Total"/>
    <tableColumn id="4" name="3" totalsRowFunction="count" totalsRowDxfId="467" dataCellStyle="Total"/>
    <tableColumn id="5" name="4" totalsRowFunction="count" totalsRowDxfId="466" dataCellStyle="Total"/>
    <tableColumn id="6" name="5" totalsRowFunction="count" totalsRowDxfId="465" dataCellStyle="Total"/>
    <tableColumn id="7" name="6" totalsRowFunction="count" totalsRowDxfId="464" dataCellStyle="Total"/>
    <tableColumn id="8" name="7" totalsRowFunction="count" totalsRowDxfId="463" dataCellStyle="Total"/>
    <tableColumn id="9" name="8" totalsRowFunction="count" totalsRowDxfId="462" dataCellStyle="Total"/>
    <tableColumn id="10" name="9" totalsRowFunction="count" totalsRowDxfId="461" dataCellStyle="Total"/>
    <tableColumn id="11" name="10" totalsRowFunction="count" totalsRowDxfId="460" dataCellStyle="Total"/>
    <tableColumn id="12" name="11" totalsRowFunction="count" totalsRowDxfId="459" dataCellStyle="Total"/>
    <tableColumn id="13" name="12" totalsRowFunction="count" totalsRowDxfId="458" dataCellStyle="Total"/>
    <tableColumn id="14" name="13" totalsRowFunction="count" totalsRowDxfId="457" dataCellStyle="Total"/>
    <tableColumn id="15" name="14" totalsRowFunction="count" totalsRowDxfId="456" dataCellStyle="Total"/>
    <tableColumn id="16" name="15" totalsRowFunction="count" totalsRowDxfId="455" dataCellStyle="Total"/>
    <tableColumn id="17" name="16" totalsRowFunction="count" totalsRowDxfId="454" dataCellStyle="Total"/>
    <tableColumn id="18" name="17" totalsRowFunction="count" totalsRowDxfId="453" dataCellStyle="Total"/>
    <tableColumn id="19" name="18" totalsRowFunction="count" totalsRowDxfId="452" dataCellStyle="Total"/>
    <tableColumn id="20" name="19" totalsRowFunction="count" totalsRowDxfId="451" dataCellStyle="Total"/>
    <tableColumn id="21" name="20" totalsRowFunction="count" totalsRowDxfId="450" dataCellStyle="Total"/>
    <tableColumn id="22" name="21" totalsRowFunction="count" totalsRowDxfId="449" dataCellStyle="Total"/>
    <tableColumn id="23" name="22" totalsRowFunction="count" totalsRowDxfId="448" dataCellStyle="Total"/>
    <tableColumn id="24" name="23" totalsRowFunction="count" totalsRowDxfId="447" dataCellStyle="Total"/>
    <tableColumn id="25" name="24" totalsRowFunction="count" totalsRowDxfId="446" dataCellStyle="Total"/>
    <tableColumn id="26" name="25" totalsRowFunction="count" totalsRowDxfId="445" dataCellStyle="Total"/>
    <tableColumn id="27" name="26" totalsRowFunction="count" totalsRowDxfId="444" dataCellStyle="Total"/>
    <tableColumn id="28" name="27" totalsRowFunction="count" totalsRowDxfId="443" dataCellStyle="Total"/>
    <tableColumn id="29" name="28" totalsRowFunction="count" totalsRowDxfId="442" dataCellStyle="Total"/>
    <tableColumn id="30" name="29" totalsRowFunction="count" totalsRowDxfId="441" dataCellStyle="Total"/>
    <tableColumn id="31" name="30" totalsRowFunction="sum" totalsRowDxfId="440" dataCellStyle="Total"/>
    <tableColumn id="32" name="31" totalsRowFunction="sum" totalsRowDxfId="439" dataCellStyle="Total"/>
    <tableColumn id="33" name="Total Hours" totalsRowFunction="sum" dataDxfId="438" totalsRowDxfId="437" dataCellStyle="Total">
      <calculatedColumnFormula>SUBTOTAL(109,'Jan-Mar'!$B78:$AF78)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March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4.xml><?xml version="1.0" encoding="utf-8"?>
<table xmlns="http://schemas.openxmlformats.org/spreadsheetml/2006/main" id="4" name="tblApril" displayName="tblApril" ref="A4:AG35" totalsRowCount="1" headerRowDxfId="411" dataDxfId="410" totalsRowDxfId="409" headerRowCellStyle="Normal" dataCellStyle="Normal" totalsRowCellStyle="Normal">
  <tableColumns count="33">
    <tableColumn id="1" name="Employee Name" totalsRowFunction="custom" dataDxfId="408" totalsRowDxfId="32" dataCellStyle="Employee">
      <totalsRowFormula>MonthName&amp;" Total"</totalsRowFormula>
    </tableColumn>
    <tableColumn id="2" name="1" totalsRowFunction="count" totalsRowDxfId="31" dataCellStyle="Total"/>
    <tableColumn id="3" name="2" totalsRowFunction="count" totalsRowDxfId="30" dataCellStyle="Total"/>
    <tableColumn id="4" name="3" totalsRowFunction="count" totalsRowDxfId="29" dataCellStyle="Total"/>
    <tableColumn id="5" name="4" totalsRowFunction="count" totalsRowDxfId="28" dataCellStyle="Total"/>
    <tableColumn id="6" name="5" totalsRowFunction="count" totalsRowDxfId="27" dataCellStyle="Total"/>
    <tableColumn id="7" name="6" totalsRowFunction="count" totalsRowDxfId="26" dataCellStyle="Total"/>
    <tableColumn id="8" name="7" totalsRowFunction="count" totalsRowDxfId="25" dataCellStyle="Total"/>
    <tableColumn id="9" name="8" totalsRowFunction="count" totalsRowDxfId="24" dataCellStyle="Total"/>
    <tableColumn id="10" name="9" totalsRowFunction="count" totalsRowDxfId="23" dataCellStyle="Total"/>
    <tableColumn id="11" name="10" totalsRowFunction="count" totalsRowDxfId="22" dataCellStyle="Total"/>
    <tableColumn id="12" name="11" totalsRowFunction="count" totalsRowDxfId="21" dataCellStyle="Total"/>
    <tableColumn id="13" name="12" totalsRowFunction="count" totalsRowDxfId="20" dataCellStyle="Total"/>
    <tableColumn id="14" name="13" totalsRowFunction="count" totalsRowDxfId="19" dataCellStyle="Total"/>
    <tableColumn id="15" name="14" totalsRowFunction="count" totalsRowDxfId="18" dataCellStyle="Total"/>
    <tableColumn id="16" name="15" totalsRowFunction="count" totalsRowDxfId="17" dataCellStyle="Total"/>
    <tableColumn id="17" name="16" totalsRowFunction="count" totalsRowDxfId="16" dataCellStyle="Total"/>
    <tableColumn id="18" name="17" totalsRowFunction="count" totalsRowDxfId="15" dataCellStyle="Total"/>
    <tableColumn id="19" name="18" totalsRowFunction="count" totalsRowDxfId="14" dataCellStyle="Total"/>
    <tableColumn id="20" name="19" totalsRowFunction="count" totalsRowDxfId="13" dataCellStyle="Total"/>
    <tableColumn id="21" name="20" totalsRowFunction="count" totalsRowDxfId="12" dataCellStyle="Total"/>
    <tableColumn id="22" name="21" totalsRowFunction="count" totalsRowDxfId="11" dataCellStyle="Total"/>
    <tableColumn id="23" name="22" totalsRowFunction="count" totalsRowDxfId="10" dataCellStyle="Total"/>
    <tableColumn id="24" name="23" totalsRowFunction="count" totalsRowDxfId="9" dataCellStyle="Total"/>
    <tableColumn id="25" name="24" totalsRowFunction="count" totalsRowDxfId="8" dataCellStyle="Total"/>
    <tableColumn id="26" name="25" totalsRowFunction="count" totalsRowDxfId="7" dataCellStyle="Total"/>
    <tableColumn id="27" name="26" totalsRowFunction="count" totalsRowDxfId="6" dataCellStyle="Total"/>
    <tableColumn id="28" name="27" totalsRowFunction="count" totalsRowDxfId="5" dataCellStyle="Total"/>
    <tableColumn id="29" name="28" totalsRowFunction="count" totalsRowDxfId="4" dataCellStyle="Total"/>
    <tableColumn id="30" name="29" totalsRowFunction="count" totalsRowDxfId="3" dataCellStyle="Total"/>
    <tableColumn id="31" name="30" totalsRowFunction="sum" totalsRowDxfId="2" dataCellStyle="Total"/>
    <tableColumn id="32" name=" " totalsRowDxfId="1" dataCellStyle="Total"/>
    <tableColumn id="33" name="Total Hours" totalsRowFunction="sum" dataDxfId="407" totalsRowDxfId="0" dataCellStyle="Total">
      <calculatedColumnFormula>SUBTOTAL(109,'Apr-Jun'!$B5:$AF5)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April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5.xml><?xml version="1.0" encoding="utf-8"?>
<table xmlns="http://schemas.openxmlformats.org/spreadsheetml/2006/main" id="1" name="tblMay" displayName="tblMay" ref="A41:AG72" totalsRowCount="1" headerRowDxfId="406" dataDxfId="405" totalsRowDxfId="404" headerRowCellStyle="Normal" dataCellStyle="Normal" totalsRowCellStyle="Normal">
  <tableColumns count="33">
    <tableColumn id="1" name="Employee Name" totalsRowFunction="custom" dataDxfId="403" totalsRowDxfId="402" dataCellStyle="Employee">
      <totalsRowFormula>A39&amp;" Total"</totalsRowFormula>
    </tableColumn>
    <tableColumn id="2" name="1" totalsRowFunction="count" totalsRowDxfId="401" dataCellStyle="Total"/>
    <tableColumn id="3" name="2" totalsRowFunction="count" totalsRowDxfId="400" dataCellStyle="Total"/>
    <tableColumn id="4" name="3" totalsRowFunction="count" totalsRowDxfId="399" dataCellStyle="Total"/>
    <tableColumn id="5" name="4" totalsRowFunction="count" totalsRowDxfId="398" dataCellStyle="Total"/>
    <tableColumn id="6" name="5" totalsRowFunction="count" totalsRowDxfId="397" dataCellStyle="Total"/>
    <tableColumn id="7" name="6" totalsRowFunction="count" totalsRowDxfId="396" dataCellStyle="Total"/>
    <tableColumn id="8" name="7" totalsRowFunction="count" totalsRowDxfId="395" dataCellStyle="Total"/>
    <tableColumn id="9" name="8" totalsRowFunction="count" totalsRowDxfId="394" dataCellStyle="Total"/>
    <tableColumn id="10" name="9" totalsRowFunction="count" totalsRowDxfId="393" dataCellStyle="Total"/>
    <tableColumn id="11" name="10" totalsRowFunction="count" totalsRowDxfId="392" dataCellStyle="Total"/>
    <tableColumn id="12" name="11" totalsRowFunction="count" totalsRowDxfId="391" dataCellStyle="Total"/>
    <tableColumn id="13" name="12" totalsRowFunction="count" totalsRowDxfId="390" dataCellStyle="Total"/>
    <tableColumn id="14" name="13" totalsRowFunction="count" totalsRowDxfId="389" dataCellStyle="Total"/>
    <tableColumn id="15" name="14" totalsRowFunction="count" totalsRowDxfId="388" dataCellStyle="Total"/>
    <tableColumn id="16" name="15" totalsRowFunction="count" totalsRowDxfId="387" dataCellStyle="Total"/>
    <tableColumn id="17" name="16" totalsRowFunction="count" totalsRowDxfId="386" dataCellStyle="Total"/>
    <tableColumn id="18" name="17" totalsRowFunction="count" totalsRowDxfId="385" dataCellStyle="Total"/>
    <tableColumn id="19" name="18" totalsRowFunction="count" totalsRowDxfId="384" dataCellStyle="Total"/>
    <tableColumn id="20" name="19" totalsRowFunction="count" totalsRowDxfId="383" dataCellStyle="Total"/>
    <tableColumn id="21" name="20" totalsRowFunction="count" totalsRowDxfId="382" dataCellStyle="Total"/>
    <tableColumn id="22" name="21" totalsRowFunction="count" totalsRowDxfId="381" dataCellStyle="Total"/>
    <tableColumn id="23" name="22" totalsRowFunction="count" totalsRowDxfId="380" dataCellStyle="Total"/>
    <tableColumn id="24" name="23" totalsRowFunction="count" totalsRowDxfId="379" dataCellStyle="Total"/>
    <tableColumn id="25" name="24" totalsRowFunction="count" totalsRowDxfId="378" dataCellStyle="Total"/>
    <tableColumn id="26" name="25" totalsRowFunction="count" totalsRowDxfId="377" dataCellStyle="Total"/>
    <tableColumn id="27" name="26" totalsRowFunction="count" totalsRowDxfId="376" dataCellStyle="Total"/>
    <tableColumn id="28" name="27" totalsRowFunction="count" totalsRowDxfId="375" dataCellStyle="Total"/>
    <tableColumn id="29" name="28" totalsRowFunction="count" totalsRowDxfId="374" dataCellStyle="Total"/>
    <tableColumn id="30" name="29" totalsRowFunction="count" totalsRowDxfId="373" dataCellStyle="Total"/>
    <tableColumn id="31" name="30" totalsRowFunction="sum" totalsRowDxfId="372" dataCellStyle="Total"/>
    <tableColumn id="32" name="31" totalsRowFunction="sum" totalsRowDxfId="371" dataCellStyle="Total"/>
    <tableColumn id="33" name="Total Hours" totalsRowFunction="sum" dataDxfId="370" totalsRowDxfId="369" dataCellStyle="Total">
      <calculatedColumnFormula>SUBTOTAL(109,'Apr-Jun'!$B42:$AF42)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Ma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6.xml><?xml version="1.0" encoding="utf-8"?>
<table xmlns="http://schemas.openxmlformats.org/spreadsheetml/2006/main" id="2" name="tblJune" displayName="tblJune" ref="A76:AG107" totalsRowCount="1" headerRowDxfId="368" dataDxfId="367" totalsRowDxfId="366" headerRowCellStyle="Normal" dataCellStyle="Normal" totalsRowCellStyle="Normal">
  <tableColumns count="33">
    <tableColumn id="1" name="Employee Name" totalsRowFunction="custom" dataDxfId="365" totalsRowDxfId="364" dataCellStyle="Employee">
      <totalsRowFormula>A74&amp;" Total"</totalsRowFormula>
    </tableColumn>
    <tableColumn id="2" name="1" totalsRowFunction="count" totalsRowDxfId="363" dataCellStyle="Total"/>
    <tableColumn id="3" name="2" totalsRowFunction="count" totalsRowDxfId="362" dataCellStyle="Total"/>
    <tableColumn id="4" name="3" totalsRowFunction="count" totalsRowDxfId="361" dataCellStyle="Total"/>
    <tableColumn id="5" name="4" totalsRowFunction="count" totalsRowDxfId="360" dataCellStyle="Total"/>
    <tableColumn id="6" name="5" totalsRowFunction="count" totalsRowDxfId="359" dataCellStyle="Total"/>
    <tableColumn id="7" name="6" totalsRowFunction="count" totalsRowDxfId="358" dataCellStyle="Total"/>
    <tableColumn id="8" name="7" totalsRowFunction="count" totalsRowDxfId="357" dataCellStyle="Total"/>
    <tableColumn id="9" name="8" totalsRowFunction="count" totalsRowDxfId="356" dataCellStyle="Total"/>
    <tableColumn id="10" name="9" totalsRowFunction="count" totalsRowDxfId="355" dataCellStyle="Total"/>
    <tableColumn id="11" name="10" totalsRowFunction="count" totalsRowDxfId="354" dataCellStyle="Total"/>
    <tableColumn id="12" name="11" totalsRowFunction="count" totalsRowDxfId="353" dataCellStyle="Total"/>
    <tableColumn id="13" name="12" totalsRowFunction="count" totalsRowDxfId="352" dataCellStyle="Total"/>
    <tableColumn id="14" name="13" totalsRowFunction="count" totalsRowDxfId="351" dataCellStyle="Total"/>
    <tableColumn id="15" name="14" totalsRowFunction="count" totalsRowDxfId="350" dataCellStyle="Total"/>
    <tableColumn id="16" name="15" totalsRowFunction="count" totalsRowDxfId="349" dataCellStyle="Total"/>
    <tableColumn id="17" name="16" totalsRowFunction="count" totalsRowDxfId="348" dataCellStyle="Total"/>
    <tableColumn id="18" name="17" totalsRowFunction="count" totalsRowDxfId="347" dataCellStyle="Total"/>
    <tableColumn id="19" name="18" totalsRowFunction="count" totalsRowDxfId="346" dataCellStyle="Total"/>
    <tableColumn id="20" name="19" totalsRowFunction="count" totalsRowDxfId="345" dataCellStyle="Total"/>
    <tableColumn id="21" name="20" totalsRowFunction="count" totalsRowDxfId="344" dataCellStyle="Total"/>
    <tableColumn id="22" name="21" totalsRowFunction="count" totalsRowDxfId="343" dataCellStyle="Total"/>
    <tableColumn id="23" name="22" totalsRowFunction="count" totalsRowDxfId="342" dataCellStyle="Total"/>
    <tableColumn id="24" name="23" totalsRowFunction="count" totalsRowDxfId="341" dataCellStyle="Total"/>
    <tableColumn id="25" name="24" totalsRowFunction="count" totalsRowDxfId="340" dataCellStyle="Total"/>
    <tableColumn id="26" name="25" totalsRowFunction="count" totalsRowDxfId="339" dataCellStyle="Total"/>
    <tableColumn id="27" name="26" totalsRowFunction="count" totalsRowDxfId="338" dataCellStyle="Total"/>
    <tableColumn id="28" name="27" totalsRowFunction="count" totalsRowDxfId="337" dataCellStyle="Total"/>
    <tableColumn id="29" name="28" totalsRowFunction="count" totalsRowDxfId="336" dataCellStyle="Total"/>
    <tableColumn id="30" name="29" totalsRowFunction="count" totalsRowDxfId="335" dataCellStyle="Total"/>
    <tableColumn id="31" name="30" totalsRowFunction="sum" totalsRowDxfId="334" dataCellStyle="Total"/>
    <tableColumn id="32" name=" " totalsRowDxfId="333" dataCellStyle="Total"/>
    <tableColumn id="33" name="Total Hours" totalsRowFunction="sum" dataDxfId="332" totalsRowDxfId="331" dataCellStyle="Total">
      <calculatedColumnFormula>SUBTOTAL(109,'Apr-Jun'!$B77:$AF77)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June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7.xml><?xml version="1.0" encoding="utf-8"?>
<table xmlns="http://schemas.openxmlformats.org/spreadsheetml/2006/main" id="7" name="tblJuly" displayName="tblJuly" ref="A4:AG35" totalsRowCount="1" headerRowDxfId="310" dataDxfId="309" totalsRowDxfId="308" headerRowCellStyle="Normal" dataCellStyle="Normal" totalsRowCellStyle="Normal">
  <tableColumns count="33">
    <tableColumn id="1" name="Employee Name" totalsRowFunction="custom" dataDxfId="307" totalsRowDxfId="306" dataCellStyle="Employee">
      <totalsRowFormula>MonthName&amp;" Total"</totalsRowFormula>
    </tableColumn>
    <tableColumn id="2" name="1" totalsRowFunction="count" totalsRowDxfId="305" dataCellStyle="Total"/>
    <tableColumn id="3" name="2" totalsRowFunction="count" totalsRowDxfId="304" dataCellStyle="Total"/>
    <tableColumn id="4" name="3" totalsRowFunction="count" totalsRowDxfId="303" dataCellStyle="Total"/>
    <tableColumn id="5" name="4" totalsRowFunction="count" totalsRowDxfId="302" dataCellStyle="Total"/>
    <tableColumn id="6" name="5" totalsRowFunction="count" totalsRowDxfId="301" dataCellStyle="Total"/>
    <tableColumn id="7" name="6" totalsRowFunction="count" totalsRowDxfId="300" dataCellStyle="Total"/>
    <tableColumn id="8" name="7" totalsRowFunction="count" totalsRowDxfId="299" dataCellStyle="Total"/>
    <tableColumn id="9" name="8" totalsRowFunction="count" totalsRowDxfId="298" dataCellStyle="Total"/>
    <tableColumn id="10" name="9" totalsRowFunction="count" totalsRowDxfId="297" dataCellStyle="Total"/>
    <tableColumn id="11" name="10" totalsRowFunction="count" totalsRowDxfId="296" dataCellStyle="Total"/>
    <tableColumn id="12" name="11" totalsRowFunction="count" totalsRowDxfId="295" dataCellStyle="Total"/>
    <tableColumn id="13" name="12" totalsRowFunction="count" totalsRowDxfId="294" dataCellStyle="Total"/>
    <tableColumn id="14" name="13" totalsRowFunction="count" totalsRowDxfId="293" dataCellStyle="Total"/>
    <tableColumn id="15" name="14" totalsRowFunction="count" totalsRowDxfId="292" dataCellStyle="Total"/>
    <tableColumn id="16" name="15" totalsRowFunction="count" totalsRowDxfId="291" dataCellStyle="Total"/>
    <tableColumn id="17" name="16" totalsRowFunction="count" totalsRowDxfId="290" dataCellStyle="Total"/>
    <tableColumn id="18" name="17" totalsRowFunction="count" totalsRowDxfId="289" dataCellStyle="Total"/>
    <tableColumn id="19" name="18" totalsRowFunction="count" totalsRowDxfId="288" dataCellStyle="Total"/>
    <tableColumn id="20" name="19" totalsRowFunction="count" totalsRowDxfId="287" dataCellStyle="Total"/>
    <tableColumn id="21" name="20" totalsRowFunction="count" totalsRowDxfId="286" dataCellStyle="Total"/>
    <tableColumn id="22" name="21" totalsRowFunction="count" totalsRowDxfId="285" dataCellStyle="Total"/>
    <tableColumn id="23" name="22" totalsRowFunction="count" totalsRowDxfId="284" dataCellStyle="Total"/>
    <tableColumn id="24" name="23" totalsRowFunction="count" totalsRowDxfId="283" dataCellStyle="Total"/>
    <tableColumn id="25" name="24" totalsRowFunction="count" totalsRowDxfId="282" dataCellStyle="Total"/>
    <tableColumn id="26" name="25" totalsRowFunction="count" totalsRowDxfId="281" dataCellStyle="Total"/>
    <tableColumn id="27" name="26" totalsRowFunction="count" totalsRowDxfId="280" dataCellStyle="Total"/>
    <tableColumn id="28" name="27" totalsRowFunction="count" totalsRowDxfId="279" dataCellStyle="Total"/>
    <tableColumn id="29" name="28" totalsRowFunction="count" totalsRowDxfId="278" dataCellStyle="Total"/>
    <tableColumn id="30" name="29" totalsRowFunction="count" totalsRowDxfId="277" dataCellStyle="Total"/>
    <tableColumn id="31" name="30" totalsRowFunction="sum" totalsRowDxfId="276" dataCellStyle="Total"/>
    <tableColumn id="32" name="31" totalsRowFunction="sum" totalsRowDxfId="275" dataCellStyle="Total"/>
    <tableColumn id="33" name="Total Hours" totalsRowFunction="sum" dataDxfId="274" totalsRowDxfId="273" dataCellStyle="Total">
      <calculatedColumnFormula>SUBTOTAL(109,'Jul-Sep'!$B5:$AF5)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Jul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8.xml><?xml version="1.0" encoding="utf-8"?>
<table xmlns="http://schemas.openxmlformats.org/spreadsheetml/2006/main" id="5" name="tblAugust" displayName="tblAugust" ref="A41:AG72" totalsRowCount="1" headerRowDxfId="272" dataDxfId="271" totalsRowDxfId="270" headerRowCellStyle="Normal" dataCellStyle="Normal" totalsRowCellStyle="Normal">
  <tableColumns count="33">
    <tableColumn id="1" name="Employee Name" totalsRowFunction="custom" dataDxfId="269" totalsRowDxfId="268" dataCellStyle="Employee">
      <totalsRowFormula>A39&amp;" Total"</totalsRowFormula>
    </tableColumn>
    <tableColumn id="2" name="1" totalsRowFunction="count" totalsRowDxfId="267" dataCellStyle="Total"/>
    <tableColumn id="3" name="2" totalsRowFunction="count" totalsRowDxfId="266" dataCellStyle="Total"/>
    <tableColumn id="4" name="3" totalsRowFunction="count" totalsRowDxfId="265" dataCellStyle="Total"/>
    <tableColumn id="5" name="4" totalsRowFunction="count" totalsRowDxfId="264" dataCellStyle="Total"/>
    <tableColumn id="6" name="5" totalsRowFunction="count" totalsRowDxfId="263" dataCellStyle="Total"/>
    <tableColumn id="7" name="6" totalsRowFunction="count" totalsRowDxfId="262" dataCellStyle="Total"/>
    <tableColumn id="8" name="7" totalsRowFunction="count" totalsRowDxfId="261" dataCellStyle="Total"/>
    <tableColumn id="9" name="8" totalsRowFunction="count" totalsRowDxfId="260" dataCellStyle="Total"/>
    <tableColumn id="10" name="9" totalsRowFunction="count" totalsRowDxfId="259" dataCellStyle="Total"/>
    <tableColumn id="11" name="10" totalsRowFunction="count" totalsRowDxfId="258" dataCellStyle="Total"/>
    <tableColumn id="12" name="11" totalsRowFunction="count" totalsRowDxfId="257" dataCellStyle="Total"/>
    <tableColumn id="13" name="12" totalsRowFunction="count" totalsRowDxfId="256" dataCellStyle="Total"/>
    <tableColumn id="14" name="13" totalsRowFunction="count" totalsRowDxfId="255" dataCellStyle="Total"/>
    <tableColumn id="15" name="14" totalsRowFunction="count" totalsRowDxfId="254" dataCellStyle="Total"/>
    <tableColumn id="16" name="15" totalsRowFunction="count" totalsRowDxfId="253" dataCellStyle="Total"/>
    <tableColumn id="17" name="16" totalsRowFunction="count" totalsRowDxfId="252" dataCellStyle="Total"/>
    <tableColumn id="18" name="17" totalsRowFunction="count" totalsRowDxfId="251" dataCellStyle="Total"/>
    <tableColumn id="19" name="18" totalsRowFunction="count" totalsRowDxfId="250" dataCellStyle="Total"/>
    <tableColumn id="20" name="19" totalsRowFunction="count" totalsRowDxfId="249" dataCellStyle="Total"/>
    <tableColumn id="21" name="20" totalsRowFunction="count" totalsRowDxfId="248" dataCellStyle="Total"/>
    <tableColumn id="22" name="21" totalsRowFunction="count" totalsRowDxfId="247" dataCellStyle="Total"/>
    <tableColumn id="23" name="22" totalsRowFunction="count" totalsRowDxfId="246" dataCellStyle="Total"/>
    <tableColumn id="24" name="23" totalsRowFunction="count" totalsRowDxfId="245" dataCellStyle="Total"/>
    <tableColumn id="25" name="24" totalsRowFunction="count" totalsRowDxfId="244" dataCellStyle="Total"/>
    <tableColumn id="26" name="25" totalsRowFunction="count" totalsRowDxfId="243" dataCellStyle="Total"/>
    <tableColumn id="27" name="26" totalsRowFunction="count" totalsRowDxfId="242" dataCellStyle="Total"/>
    <tableColumn id="28" name="27" totalsRowFunction="count" totalsRowDxfId="241" dataCellStyle="Total"/>
    <tableColumn id="29" name="28" totalsRowFunction="count" totalsRowDxfId="240" dataCellStyle="Total"/>
    <tableColumn id="30" name="29" totalsRowFunction="count" totalsRowDxfId="239" dataCellStyle="Total"/>
    <tableColumn id="31" name="30" totalsRowFunction="sum" totalsRowDxfId="238" dataCellStyle="Total"/>
    <tableColumn id="32" name="31" totalsRowFunction="sum" totalsRowDxfId="237" dataCellStyle="Total"/>
    <tableColumn id="33" name="Total Hours" totalsRowFunction="sum" dataDxfId="236" totalsRowDxfId="235" dataCellStyle="Total">
      <calculatedColumnFormula>SUBTOTAL(109,'Jul-Sep'!$B42:$AF42)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August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9.xml><?xml version="1.0" encoding="utf-8"?>
<table xmlns="http://schemas.openxmlformats.org/spreadsheetml/2006/main" id="6" name="tblSeptember" displayName="tblSeptember" ref="A76:AG107" totalsRowCount="1" headerRowDxfId="234" dataDxfId="233" totalsRowDxfId="232" headerRowCellStyle="Normal" dataCellStyle="Normal" totalsRowCellStyle="Normal">
  <tableColumns count="33">
    <tableColumn id="1" name="Employee Name" totalsRowFunction="custom" dataDxfId="231" totalsRowDxfId="230" dataCellStyle="Employee">
      <totalsRowFormula>A74&amp;" Total"</totalsRowFormula>
    </tableColumn>
    <tableColumn id="2" name="1" totalsRowFunction="count" totalsRowDxfId="229" dataCellStyle="Total"/>
    <tableColumn id="3" name="2" totalsRowFunction="count" totalsRowDxfId="228" dataCellStyle="Total"/>
    <tableColumn id="4" name="3" totalsRowFunction="count" totalsRowDxfId="227" dataCellStyle="Total"/>
    <tableColumn id="5" name="4" totalsRowFunction="count" totalsRowDxfId="226" dataCellStyle="Total"/>
    <tableColumn id="6" name="5" totalsRowFunction="count" totalsRowDxfId="225" dataCellStyle="Total"/>
    <tableColumn id="7" name="6" totalsRowFunction="count" totalsRowDxfId="224" dataCellStyle="Total"/>
    <tableColumn id="8" name="7" totalsRowFunction="count" totalsRowDxfId="223" dataCellStyle="Total"/>
    <tableColumn id="9" name="8" totalsRowFunction="count" totalsRowDxfId="222" dataCellStyle="Total"/>
    <tableColumn id="10" name="9" totalsRowFunction="count" totalsRowDxfId="221" dataCellStyle="Total"/>
    <tableColumn id="11" name="10" totalsRowFunction="count" totalsRowDxfId="220" dataCellStyle="Total"/>
    <tableColumn id="12" name="11" totalsRowFunction="count" totalsRowDxfId="219" dataCellStyle="Total"/>
    <tableColumn id="13" name="12" totalsRowFunction="count" totalsRowDxfId="218" dataCellStyle="Total"/>
    <tableColumn id="14" name="13" totalsRowFunction="count" totalsRowDxfId="217" dataCellStyle="Total"/>
    <tableColumn id="15" name="14" totalsRowFunction="count" totalsRowDxfId="216" dataCellStyle="Total"/>
    <tableColumn id="16" name="15" totalsRowFunction="count" totalsRowDxfId="215" dataCellStyle="Total"/>
    <tableColumn id="17" name="16" totalsRowFunction="count" totalsRowDxfId="214" dataCellStyle="Total"/>
    <tableColumn id="18" name="17" totalsRowFunction="count" totalsRowDxfId="213" dataCellStyle="Total"/>
    <tableColumn id="19" name="18" totalsRowFunction="count" totalsRowDxfId="212" dataCellStyle="Total"/>
    <tableColumn id="20" name="19" totalsRowFunction="count" totalsRowDxfId="211" dataCellStyle="Total"/>
    <tableColumn id="21" name="20" totalsRowFunction="count" totalsRowDxfId="210" dataCellStyle="Total"/>
    <tableColumn id="22" name="21" totalsRowFunction="count" totalsRowDxfId="209" dataCellStyle="Total"/>
    <tableColumn id="23" name="22" totalsRowFunction="count" totalsRowDxfId="208" dataCellStyle="Total"/>
    <tableColumn id="24" name="23" totalsRowFunction="count" totalsRowDxfId="207" dataCellStyle="Total"/>
    <tableColumn id="25" name="24" totalsRowFunction="count" totalsRowDxfId="206" dataCellStyle="Total"/>
    <tableColumn id="26" name="25" totalsRowFunction="count" totalsRowDxfId="205" dataCellStyle="Total"/>
    <tableColumn id="27" name="26" totalsRowFunction="count" totalsRowDxfId="204" dataCellStyle="Total"/>
    <tableColumn id="28" name="27" totalsRowFunction="count" totalsRowDxfId="203" dataCellStyle="Total"/>
    <tableColumn id="29" name="28" totalsRowFunction="count" totalsRowDxfId="202" dataCellStyle="Total"/>
    <tableColumn id="30" name="29" totalsRowFunction="count" totalsRowDxfId="201" dataCellStyle="Total"/>
    <tableColumn id="31" name="30" totalsRowFunction="sum" totalsRowDxfId="200" dataCellStyle="Total"/>
    <tableColumn id="32" name=" " totalsRowDxfId="199" dataCellStyle="Total"/>
    <tableColumn id="33" name="Total Hours" totalsRowFunction="sum" dataDxfId="198" totalsRowDxfId="197" dataCellStyle="Total">
      <calculatedColumnFormula>SUBTOTAL(109,'Jul-Sep'!$B77:$AF77)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Septem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" workbookViewId="0">
      <selection activeCell="E17" sqref="E17:E26"/>
    </sheetView>
  </sheetViews>
  <sheetFormatPr defaultRowHeight="15"/>
  <cols>
    <col min="4" max="4" width="12.7109375" bestFit="1" customWidth="1"/>
  </cols>
  <sheetData>
    <row r="1" spans="1:5">
      <c r="A1" t="s">
        <v>113</v>
      </c>
      <c r="B1" t="s">
        <v>114</v>
      </c>
      <c r="C1" t="s">
        <v>115</v>
      </c>
      <c r="D1" t="s">
        <v>116</v>
      </c>
      <c r="E1" t="s">
        <v>70</v>
      </c>
    </row>
    <row r="2" spans="1:5">
      <c r="A2">
        <v>1</v>
      </c>
      <c r="B2">
        <v>1</v>
      </c>
      <c r="C2" t="s">
        <v>99</v>
      </c>
      <c r="D2" s="67">
        <v>0.33333333333333331</v>
      </c>
      <c r="E2" s="72" t="s">
        <v>49</v>
      </c>
    </row>
    <row r="3" spans="1:5">
      <c r="A3">
        <v>2</v>
      </c>
      <c r="B3">
        <v>2</v>
      </c>
      <c r="C3" t="s">
        <v>106</v>
      </c>
      <c r="D3" s="67">
        <v>0.35416666666666669</v>
      </c>
      <c r="E3" s="103" t="s">
        <v>50</v>
      </c>
    </row>
    <row r="4" spans="1:5">
      <c r="A4">
        <v>3</v>
      </c>
      <c r="B4">
        <v>3</v>
      </c>
      <c r="C4" t="s">
        <v>107</v>
      </c>
      <c r="D4" s="67">
        <v>0.375</v>
      </c>
      <c r="E4" s="72" t="s">
        <v>51</v>
      </c>
    </row>
    <row r="5" spans="1:5">
      <c r="A5">
        <v>4</v>
      </c>
      <c r="B5">
        <v>4</v>
      </c>
      <c r="C5" t="s">
        <v>104</v>
      </c>
      <c r="D5" s="67">
        <v>0.39583333333333298</v>
      </c>
      <c r="E5" s="72" t="s">
        <v>52</v>
      </c>
    </row>
    <row r="6" spans="1:5">
      <c r="A6">
        <v>5</v>
      </c>
      <c r="B6">
        <v>5</v>
      </c>
      <c r="C6" t="s">
        <v>109</v>
      </c>
      <c r="D6" s="67">
        <v>0.41666666666666702</v>
      </c>
      <c r="E6" s="72" t="s">
        <v>53</v>
      </c>
    </row>
    <row r="7" spans="1:5">
      <c r="A7">
        <v>6</v>
      </c>
      <c r="B7">
        <v>6</v>
      </c>
      <c r="C7" t="s">
        <v>105</v>
      </c>
      <c r="D7" s="67">
        <v>0.4375</v>
      </c>
      <c r="E7" s="72" t="s">
        <v>54</v>
      </c>
    </row>
    <row r="8" spans="1:5">
      <c r="A8">
        <v>7</v>
      </c>
      <c r="B8">
        <v>7</v>
      </c>
      <c r="C8" t="s">
        <v>108</v>
      </c>
      <c r="D8" s="67">
        <v>0.45833333333333298</v>
      </c>
      <c r="E8" s="72" t="s">
        <v>55</v>
      </c>
    </row>
    <row r="9" spans="1:5">
      <c r="A9">
        <v>8</v>
      </c>
      <c r="B9">
        <v>8</v>
      </c>
      <c r="D9" s="67">
        <v>0.47916666666666702</v>
      </c>
      <c r="E9" s="72" t="s">
        <v>56</v>
      </c>
    </row>
    <row r="10" spans="1:5">
      <c r="A10">
        <v>9</v>
      </c>
      <c r="B10">
        <v>9</v>
      </c>
      <c r="D10" s="67">
        <v>0.5</v>
      </c>
      <c r="E10" s="72" t="s">
        <v>57</v>
      </c>
    </row>
    <row r="11" spans="1:5">
      <c r="A11">
        <v>10</v>
      </c>
      <c r="B11">
        <v>10</v>
      </c>
      <c r="D11" s="67">
        <v>0.52083333333333304</v>
      </c>
      <c r="E11" s="72" t="s">
        <v>58</v>
      </c>
    </row>
    <row r="12" spans="1:5">
      <c r="A12">
        <v>11</v>
      </c>
      <c r="B12">
        <v>11</v>
      </c>
      <c r="D12" s="67">
        <v>0.54166666666666696</v>
      </c>
      <c r="E12" s="72" t="s">
        <v>59</v>
      </c>
    </row>
    <row r="13" spans="1:5">
      <c r="A13">
        <v>12</v>
      </c>
      <c r="B13">
        <v>12</v>
      </c>
      <c r="D13" s="67">
        <v>0.5625</v>
      </c>
      <c r="E13" s="72" t="s">
        <v>60</v>
      </c>
    </row>
    <row r="14" spans="1:5">
      <c r="A14">
        <v>13</v>
      </c>
      <c r="B14">
        <v>13</v>
      </c>
      <c r="D14" s="67">
        <v>0.58333333333333304</v>
      </c>
      <c r="E14" s="72" t="s">
        <v>61</v>
      </c>
    </row>
    <row r="15" spans="1:5">
      <c r="A15">
        <v>14</v>
      </c>
      <c r="B15">
        <v>14</v>
      </c>
      <c r="D15" s="67">
        <v>0.60416666666666696</v>
      </c>
      <c r="E15" s="72" t="s">
        <v>62</v>
      </c>
    </row>
    <row r="16" spans="1:5">
      <c r="A16">
        <v>15</v>
      </c>
      <c r="B16">
        <v>15</v>
      </c>
      <c r="D16" s="67">
        <v>0.625</v>
      </c>
      <c r="E16" s="72" t="s">
        <v>67</v>
      </c>
    </row>
    <row r="17" spans="1:5">
      <c r="A17">
        <v>16</v>
      </c>
      <c r="B17">
        <v>16</v>
      </c>
      <c r="D17" s="67">
        <v>0.64583333333333404</v>
      </c>
      <c r="E17" t="s">
        <v>152</v>
      </c>
    </row>
    <row r="18" spans="1:5">
      <c r="A18">
        <v>17</v>
      </c>
      <c r="B18">
        <v>17</v>
      </c>
      <c r="D18" s="67">
        <v>0.66666666666666696</v>
      </c>
      <c r="E18" t="s">
        <v>153</v>
      </c>
    </row>
    <row r="19" spans="1:5">
      <c r="A19">
        <v>18</v>
      </c>
      <c r="B19">
        <v>18</v>
      </c>
      <c r="D19" s="67">
        <v>0.6875</v>
      </c>
      <c r="E19" t="s">
        <v>154</v>
      </c>
    </row>
    <row r="20" spans="1:5">
      <c r="A20">
        <v>19</v>
      </c>
      <c r="B20">
        <v>19</v>
      </c>
      <c r="D20" s="67">
        <v>0.70833333333333404</v>
      </c>
      <c r="E20" t="s">
        <v>155</v>
      </c>
    </row>
    <row r="21" spans="1:5">
      <c r="A21">
        <v>20</v>
      </c>
      <c r="B21">
        <v>20</v>
      </c>
      <c r="D21" s="67">
        <v>0.72916666666666696</v>
      </c>
      <c r="E21" t="s">
        <v>156</v>
      </c>
    </row>
    <row r="22" spans="1:5">
      <c r="A22">
        <v>21</v>
      </c>
      <c r="B22">
        <v>21</v>
      </c>
      <c r="D22" s="67">
        <v>0.75</v>
      </c>
      <c r="E22" t="s">
        <v>157</v>
      </c>
    </row>
    <row r="23" spans="1:5">
      <c r="A23">
        <v>22</v>
      </c>
      <c r="B23">
        <v>22</v>
      </c>
      <c r="D23" s="67">
        <v>0.77083333333333404</v>
      </c>
      <c r="E23" t="s">
        <v>158</v>
      </c>
    </row>
    <row r="24" spans="1:5">
      <c r="A24">
        <v>23</v>
      </c>
      <c r="B24">
        <v>23</v>
      </c>
      <c r="D24" s="67">
        <v>0.79166666666666696</v>
      </c>
      <c r="E24" t="s">
        <v>159</v>
      </c>
    </row>
    <row r="25" spans="1:5">
      <c r="A25">
        <v>24</v>
      </c>
      <c r="B25">
        <v>24</v>
      </c>
      <c r="D25" s="67">
        <v>0.812500000000001</v>
      </c>
      <c r="E25" t="s">
        <v>160</v>
      </c>
    </row>
    <row r="26" spans="1:5">
      <c r="A26">
        <v>25</v>
      </c>
      <c r="B26">
        <v>25</v>
      </c>
      <c r="D26" s="67">
        <v>0.83333333333333404</v>
      </c>
      <c r="E26" t="s">
        <v>161</v>
      </c>
    </row>
    <row r="27" spans="1:5">
      <c r="A27">
        <v>26</v>
      </c>
      <c r="B27">
        <v>26</v>
      </c>
      <c r="D27" s="67">
        <v>0.85416666666666696</v>
      </c>
    </row>
    <row r="28" spans="1:5">
      <c r="A28">
        <v>27</v>
      </c>
      <c r="B28">
        <v>27</v>
      </c>
      <c r="D28" s="67">
        <v>0.875000000000001</v>
      </c>
    </row>
    <row r="29" spans="1:5">
      <c r="A29">
        <v>28</v>
      </c>
      <c r="B29">
        <v>28</v>
      </c>
      <c r="D29" s="67">
        <v>0.89583333333333404</v>
      </c>
    </row>
    <row r="30" spans="1:5">
      <c r="A30">
        <v>29</v>
      </c>
      <c r="B30">
        <v>29</v>
      </c>
      <c r="D30" s="67">
        <v>0.91666666666666696</v>
      </c>
    </row>
    <row r="31" spans="1:5">
      <c r="A31">
        <v>30</v>
      </c>
      <c r="B31">
        <v>30</v>
      </c>
      <c r="D31" s="67">
        <v>0.937500000000001</v>
      </c>
    </row>
    <row r="32" spans="1:5">
      <c r="A32">
        <v>31</v>
      </c>
      <c r="B32">
        <v>31</v>
      </c>
      <c r="D32" s="67">
        <v>0.95833333333333404</v>
      </c>
    </row>
    <row r="33" spans="4:4">
      <c r="D33" s="67">
        <v>0.97916666666666696</v>
      </c>
    </row>
    <row r="34" spans="4:4">
      <c r="D34" s="68"/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G107"/>
  <sheetViews>
    <sheetView showGridLines="0" zoomScaleNormal="100" workbookViewId="0"/>
  </sheetViews>
  <sheetFormatPr defaultColWidth="9.140625"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>
      <c r="A1" s="1" t="s">
        <v>0</v>
      </c>
    </row>
    <row r="2" spans="1:33" ht="30" customHeight="1">
      <c r="A2" s="131" t="s">
        <v>46</v>
      </c>
      <c r="B2" s="132" t="s">
        <v>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3">
        <f>CalendarYear</f>
        <v>2017</v>
      </c>
    </row>
    <row r="3" spans="1:33" ht="15.75" customHeight="1">
      <c r="A3" s="131"/>
      <c r="B3" s="9" t="str">
        <f>TEXT(WEEKDAY(DATE(CalendarYear,10,1),1),"aaa")</f>
        <v>Sun</v>
      </c>
      <c r="C3" s="9" t="str">
        <f>TEXT(WEEKDAY(DATE(CalendarYear,10,2),1),"aaa")</f>
        <v>Mon</v>
      </c>
      <c r="D3" s="9" t="str">
        <f>TEXT(WEEKDAY(DATE(CalendarYear,10,3),1),"aaa")</f>
        <v>Tue</v>
      </c>
      <c r="E3" s="9" t="str">
        <f>TEXT(WEEKDAY(DATE(CalendarYear,10,4),1),"aaa")</f>
        <v>Wed</v>
      </c>
      <c r="F3" s="9" t="str">
        <f>TEXT(WEEKDAY(DATE(CalendarYear,10,5),1),"aaa")</f>
        <v>Thu</v>
      </c>
      <c r="G3" s="9" t="str">
        <f>TEXT(WEEKDAY(DATE(CalendarYear,10,6),1),"aaa")</f>
        <v>Fri</v>
      </c>
      <c r="H3" s="9" t="str">
        <f>TEXT(WEEKDAY(DATE(CalendarYear,10,7),1),"aaa")</f>
        <v>Sat</v>
      </c>
      <c r="I3" s="9" t="str">
        <f>TEXT(WEEKDAY(DATE(CalendarYear,10,8),1),"aaa")</f>
        <v>Sun</v>
      </c>
      <c r="J3" s="9" t="str">
        <f>TEXT(WEEKDAY(DATE(CalendarYear,10,9),1),"aaa")</f>
        <v>Mon</v>
      </c>
      <c r="K3" s="9" t="str">
        <f>TEXT(WEEKDAY(DATE(CalendarYear,10,10),1),"aaa")</f>
        <v>Tue</v>
      </c>
      <c r="L3" s="9" t="str">
        <f>TEXT(WEEKDAY(DATE(CalendarYear,10,11),1),"aaa")</f>
        <v>Wed</v>
      </c>
      <c r="M3" s="9" t="str">
        <f>TEXT(WEEKDAY(DATE(CalendarYear,10,12),1),"aaa")</f>
        <v>Thu</v>
      </c>
      <c r="N3" s="9" t="str">
        <f>TEXT(WEEKDAY(DATE(CalendarYear,10,13),1),"aaa")</f>
        <v>Fri</v>
      </c>
      <c r="O3" s="9" t="str">
        <f>TEXT(WEEKDAY(DATE(CalendarYear,10,14),1),"aaa")</f>
        <v>Sat</v>
      </c>
      <c r="P3" s="9" t="str">
        <f>TEXT(WEEKDAY(DATE(CalendarYear,10,15),1),"aaa")</f>
        <v>Sun</v>
      </c>
      <c r="Q3" s="9" t="str">
        <f>TEXT(WEEKDAY(DATE(CalendarYear,10,16),1),"aaa")</f>
        <v>Mon</v>
      </c>
      <c r="R3" s="9" t="str">
        <f>TEXT(WEEKDAY(DATE(CalendarYear,10,17),1),"aaa")</f>
        <v>Tue</v>
      </c>
      <c r="S3" s="9" t="str">
        <f>TEXT(WEEKDAY(DATE(CalendarYear,10,18),1),"aaa")</f>
        <v>Wed</v>
      </c>
      <c r="T3" s="9" t="str">
        <f>TEXT(WEEKDAY(DATE(CalendarYear,10,19),1),"aaa")</f>
        <v>Thu</v>
      </c>
      <c r="U3" s="9" t="str">
        <f>TEXT(WEEKDAY(DATE(CalendarYear,10,20),1),"aaa")</f>
        <v>Fri</v>
      </c>
      <c r="V3" s="9" t="str">
        <f>TEXT(WEEKDAY(DATE(CalendarYear,10,21),1),"aaa")</f>
        <v>Sat</v>
      </c>
      <c r="W3" s="9" t="str">
        <f>TEXT(WEEKDAY(DATE(CalendarYear,10,22),1),"aaa")</f>
        <v>Sun</v>
      </c>
      <c r="X3" s="9" t="str">
        <f>TEXT(WEEKDAY(DATE(CalendarYear,10,23),1),"aaa")</f>
        <v>Mon</v>
      </c>
      <c r="Y3" s="9" t="str">
        <f>TEXT(WEEKDAY(DATE(CalendarYear,10,24),1),"aaa")</f>
        <v>Tue</v>
      </c>
      <c r="Z3" s="9" t="str">
        <f>TEXT(WEEKDAY(DATE(CalendarYear,10,25),1),"aaa")</f>
        <v>Wed</v>
      </c>
      <c r="AA3" s="9" t="str">
        <f>TEXT(WEEKDAY(DATE(CalendarYear,10,26),1),"aaa")</f>
        <v>Thu</v>
      </c>
      <c r="AB3" s="9" t="str">
        <f>TEXT(WEEKDAY(DATE(CalendarYear,10,27),1),"aaa")</f>
        <v>Fri</v>
      </c>
      <c r="AC3" s="9" t="str">
        <f>TEXT(WEEKDAY(DATE(CalendarYear,10,28),1),"aaa")</f>
        <v>Sat</v>
      </c>
      <c r="AD3" s="9" t="str">
        <f>TEXT(WEEKDAY(DATE(CalendarYear,10,29),1),"aaa")</f>
        <v>Sun</v>
      </c>
      <c r="AE3" s="9" t="str">
        <f>TEXT(WEEKDAY(DATE(CalendarYear,10,30),1),"aaa")</f>
        <v>Mon</v>
      </c>
      <c r="AF3" s="9" t="str">
        <f>TEXT(WEEKDAY(DATE(CalendarYear,10,31),1),"aaa")</f>
        <v>Tue</v>
      </c>
      <c r="AG3" s="133"/>
    </row>
    <row r="4" spans="1:33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54" t="s">
        <v>90</v>
      </c>
    </row>
    <row r="5" spans="1:33">
      <c r="A5" s="26" t="s">
        <v>49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0">
        <f>SUBTOTAL(109,'Oct-Dec'!$B5:$AF5)</f>
        <v>0</v>
      </c>
    </row>
    <row r="6" spans="1:33">
      <c r="A6" s="26" t="s">
        <v>50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0">
        <f>SUBTOTAL(109,'Oct-Dec'!$B6:$AF6)</f>
        <v>0</v>
      </c>
    </row>
    <row r="7" spans="1:33" ht="15" customHeight="1">
      <c r="A7" s="26" t="s">
        <v>51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0">
        <f>SUBTOTAL(109,'Oct-Dec'!$B7:$AF7)</f>
        <v>0</v>
      </c>
    </row>
    <row r="8" spans="1:33" ht="15" customHeight="1">
      <c r="A8" s="26" t="s">
        <v>52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0">
        <f>SUBTOTAL(109,'Oct-Dec'!$B8:$AF8)</f>
        <v>0</v>
      </c>
    </row>
    <row r="9" spans="1:33" ht="15" customHeight="1">
      <c r="A9" s="26" t="s">
        <v>53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0">
        <f>SUBTOTAL(109,'Oct-Dec'!$B9:$AF9)</f>
        <v>0</v>
      </c>
    </row>
    <row r="10" spans="1:33" s="33" customFormat="1" ht="15" customHeight="1">
      <c r="A10" s="26" t="s">
        <v>54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>
        <f>SUBTOTAL(109,'Oct-Dec'!$B10:$AF10)</f>
        <v>0</v>
      </c>
    </row>
    <row r="11" spans="1:33" s="33" customFormat="1" ht="15" customHeight="1">
      <c r="A11" s="26" t="s">
        <v>55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>
        <f>SUBTOTAL(109,'Oct-Dec'!$B11:$AF11)</f>
        <v>0</v>
      </c>
    </row>
    <row r="12" spans="1:33" s="33" customFormat="1" ht="15" customHeight="1">
      <c r="A12" s="26" t="s">
        <v>56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>
        <f>SUBTOTAL(109,'Oct-Dec'!$B12:$AF12)</f>
        <v>0</v>
      </c>
    </row>
    <row r="13" spans="1:33" s="33" customFormat="1" ht="15" customHeight="1">
      <c r="A13" s="26" t="s">
        <v>57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>
        <f>SUBTOTAL(109,'Oct-Dec'!$B13:$AF13)</f>
        <v>0</v>
      </c>
    </row>
    <row r="14" spans="1:33" s="33" customFormat="1" ht="15" customHeight="1">
      <c r="A14" s="26" t="s">
        <v>58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>
        <f>SUBTOTAL(109,'Oct-Dec'!$B14:$AF14)</f>
        <v>0</v>
      </c>
    </row>
    <row r="15" spans="1:33" s="33" customFormat="1" ht="15" customHeight="1">
      <c r="A15" s="26" t="s">
        <v>59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>
        <f>SUBTOTAL(109,'Oct-Dec'!$B15:$AF15)</f>
        <v>0</v>
      </c>
    </row>
    <row r="16" spans="1:33" ht="15" customHeight="1">
      <c r="A16" s="26" t="s">
        <v>60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>
        <f>SUBTOTAL(109,'Oct-Dec'!$B16:$AF16)</f>
        <v>0</v>
      </c>
    </row>
    <row r="17" spans="1:33" ht="15" customHeight="1">
      <c r="A17" s="26" t="s">
        <v>61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>
        <f>SUBTOTAL(109,'Oct-Dec'!$B17:$AF17)</f>
        <v>0</v>
      </c>
    </row>
    <row r="18" spans="1:33" ht="15" customHeight="1">
      <c r="A18" s="26" t="s">
        <v>62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>
        <f>SUBTOTAL(109,'Oct-Dec'!$B18:$AF18)</f>
        <v>0</v>
      </c>
    </row>
    <row r="19" spans="1:33" s="33" customFormat="1" ht="15" customHeight="1">
      <c r="A19" s="40" t="s">
        <v>67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>
        <f>SUBTOTAL(109,'Oct-Dec'!$B19:$AF19)</f>
        <v>0</v>
      </c>
    </row>
    <row r="20" spans="1:33" s="102" customFormat="1" ht="15" customHeight="1">
      <c r="A20" s="106" t="s">
        <v>152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107">
        <f>SUBTOTAL(109,'Oct-Dec'!$B20:$AF20)</f>
        <v>0</v>
      </c>
    </row>
    <row r="21" spans="1:33" s="102" customFormat="1" ht="15" customHeight="1">
      <c r="A21" s="106" t="s">
        <v>153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107">
        <f>SUBTOTAL(109,'Oct-Dec'!$B21:$AF21)</f>
        <v>0</v>
      </c>
    </row>
    <row r="22" spans="1:33" s="102" customFormat="1" ht="15" customHeight="1">
      <c r="A22" s="106" t="s">
        <v>154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107">
        <f>SUBTOTAL(109,'Oct-Dec'!$B22:$AF22)</f>
        <v>0</v>
      </c>
    </row>
    <row r="23" spans="1:33" s="102" customFormat="1" ht="15" customHeight="1">
      <c r="A23" s="106" t="s">
        <v>155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107">
        <f>SUBTOTAL(109,'Oct-Dec'!$B23:$AF23)</f>
        <v>0</v>
      </c>
    </row>
    <row r="24" spans="1:33" s="102" customFormat="1" ht="15" customHeight="1">
      <c r="A24" s="106" t="s">
        <v>156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107">
        <f>SUBTOTAL(109,'Oct-Dec'!$B24:$AF24)</f>
        <v>0</v>
      </c>
    </row>
    <row r="25" spans="1:33" s="102" customFormat="1" ht="15" customHeight="1">
      <c r="A25" s="106" t="s">
        <v>157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107">
        <f>SUBTOTAL(109,'Oct-Dec'!$B25:$AF25)</f>
        <v>0</v>
      </c>
    </row>
    <row r="26" spans="1:33" s="102" customFormat="1" ht="15" customHeight="1">
      <c r="A26" s="106" t="s">
        <v>158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107">
        <f>SUBTOTAL(109,'Oct-Dec'!$B26:$AF26)</f>
        <v>0</v>
      </c>
    </row>
    <row r="27" spans="1:33" s="102" customFormat="1" ht="15" customHeight="1">
      <c r="A27" s="106" t="s">
        <v>159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107">
        <f>SUBTOTAL(109,'Oct-Dec'!$B27:$AF27)</f>
        <v>0</v>
      </c>
    </row>
    <row r="28" spans="1:33" s="102" customFormat="1" ht="15" customHeight="1">
      <c r="A28" s="106" t="s">
        <v>160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107">
        <f>SUBTOTAL(109,'Oct-Dec'!$B28:$AF28)</f>
        <v>0</v>
      </c>
    </row>
    <row r="29" spans="1:33" s="102" customFormat="1" ht="15" customHeight="1">
      <c r="A29" s="106" t="s">
        <v>161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107">
        <f>SUBTOTAL(109,'Oct-Dec'!$B29:$AF29)</f>
        <v>0</v>
      </c>
    </row>
    <row r="30" spans="1:33" s="102" customFormat="1" ht="15" customHeight="1">
      <c r="A30" s="106" t="s">
        <v>162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107">
        <f>SUBTOTAL(109,'Oct-Dec'!$B30:$AF30)</f>
        <v>0</v>
      </c>
    </row>
    <row r="31" spans="1:33" s="102" customFormat="1" ht="15" customHeight="1">
      <c r="A31" s="106" t="s">
        <v>162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107">
        <f>SUBTOTAL(109,'Oct-Dec'!$B31:$AF31)</f>
        <v>0</v>
      </c>
    </row>
    <row r="32" spans="1:33" s="102" customFormat="1" ht="15" customHeight="1">
      <c r="A32" s="106" t="s">
        <v>162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107">
        <f>SUBTOTAL(109,'Oct-Dec'!$B32:$AF32)</f>
        <v>0</v>
      </c>
    </row>
    <row r="33" spans="1:33" s="102" customFormat="1" ht="15" customHeight="1">
      <c r="A33" s="106" t="s">
        <v>162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107">
        <f>SUBTOTAL(109,'Oct-Dec'!$B33:$AF33)</f>
        <v>0</v>
      </c>
    </row>
    <row r="34" spans="1:33" s="102" customFormat="1" ht="15" customHeight="1">
      <c r="A34" s="106" t="s">
        <v>162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107">
        <f>SUBTOTAL(109,'Oct-Dec'!$B34:$AF34)</f>
        <v>0</v>
      </c>
    </row>
    <row r="35" spans="1:33" ht="15" customHeight="1">
      <c r="A35" s="15" t="str">
        <f>MonthName&amp;" Total"</f>
        <v>October Total</v>
      </c>
      <c r="B35" s="38">
        <f>SUBTOTAL(103,tblOctober[1])</f>
        <v>0</v>
      </c>
      <c r="C35" s="38">
        <f>SUBTOTAL(103,tblOctober[2])</f>
        <v>0</v>
      </c>
      <c r="D35" s="38">
        <f>SUBTOTAL(103,tblOctober[3])</f>
        <v>0</v>
      </c>
      <c r="E35" s="38">
        <f>SUBTOTAL(103,tblOctober[4])</f>
        <v>0</v>
      </c>
      <c r="F35" s="38">
        <f>SUBTOTAL(103,tblOctober[5])</f>
        <v>0</v>
      </c>
      <c r="G35" s="38">
        <f>SUBTOTAL(103,tblOctober[6])</f>
        <v>0</v>
      </c>
      <c r="H35" s="38">
        <f>SUBTOTAL(103,tblOctober[7])</f>
        <v>0</v>
      </c>
      <c r="I35" s="38">
        <f>SUBTOTAL(103,tblOctober[8])</f>
        <v>0</v>
      </c>
      <c r="J35" s="38">
        <f>SUBTOTAL(103,tblOctober[9])</f>
        <v>0</v>
      </c>
      <c r="K35" s="38">
        <f>SUBTOTAL(103,tblOctober[10])</f>
        <v>0</v>
      </c>
      <c r="L35" s="38">
        <f>SUBTOTAL(103,tblOctober[11])</f>
        <v>0</v>
      </c>
      <c r="M35" s="38">
        <f>SUBTOTAL(103,tblOctober[12])</f>
        <v>0</v>
      </c>
      <c r="N35" s="38">
        <f>SUBTOTAL(103,tblOctober[13])</f>
        <v>0</v>
      </c>
      <c r="O35" s="38">
        <f>SUBTOTAL(103,tblOctober[14])</f>
        <v>0</v>
      </c>
      <c r="P35" s="38">
        <f>SUBTOTAL(103,tblOctober[15])</f>
        <v>0</v>
      </c>
      <c r="Q35" s="38">
        <f>SUBTOTAL(103,tblOctober[16])</f>
        <v>0</v>
      </c>
      <c r="R35" s="38">
        <f>SUBTOTAL(103,tblOctober[17])</f>
        <v>0</v>
      </c>
      <c r="S35" s="38">
        <f>SUBTOTAL(103,tblOctober[18])</f>
        <v>0</v>
      </c>
      <c r="T35" s="38">
        <f>SUBTOTAL(103,tblOctober[19])</f>
        <v>0</v>
      </c>
      <c r="U35" s="38">
        <f>SUBTOTAL(103,tblOctober[20])</f>
        <v>0</v>
      </c>
      <c r="V35" s="38">
        <f>SUBTOTAL(103,tblOctober[21])</f>
        <v>0</v>
      </c>
      <c r="W35" s="38">
        <f>SUBTOTAL(103,tblOctober[22])</f>
        <v>0</v>
      </c>
      <c r="X35" s="38">
        <f>SUBTOTAL(103,tblOctober[23])</f>
        <v>0</v>
      </c>
      <c r="Y35" s="38">
        <f>SUBTOTAL(103,tblOctober[24])</f>
        <v>0</v>
      </c>
      <c r="Z35" s="38">
        <f>SUBTOTAL(103,tblOctober[25])</f>
        <v>0</v>
      </c>
      <c r="AA35" s="38">
        <f>SUBTOTAL(103,tblOctober[26])</f>
        <v>0</v>
      </c>
      <c r="AB35" s="38">
        <f>SUBTOTAL(103,tblOctober[27])</f>
        <v>0</v>
      </c>
      <c r="AC35" s="38">
        <f>SUBTOTAL(103,tblOctober[28])</f>
        <v>0</v>
      </c>
      <c r="AD35" s="38">
        <f>SUBTOTAL(103,tblOctober[29])</f>
        <v>0</v>
      </c>
      <c r="AE35" s="38">
        <f>SUBTOTAL(109,tblOctober[30])</f>
        <v>0</v>
      </c>
      <c r="AF35" s="38">
        <f>SUBTOTAL(109,tblOctober[31])</f>
        <v>0</v>
      </c>
      <c r="AG35" s="39">
        <f>SUBTOTAL(109,tblOctober[Total Hours])</f>
        <v>0</v>
      </c>
    </row>
    <row r="37" spans="1:33" ht="15" customHeight="1">
      <c r="B37" s="32" t="str">
        <f>'Jan-Mar'!B38</f>
        <v>Color Key</v>
      </c>
      <c r="C37" s="16"/>
      <c r="D37" s="23"/>
      <c r="E37" s="17" t="str">
        <f>KeyVacation</f>
        <v>N</v>
      </c>
      <c r="F37" s="18" t="str">
        <f>KeyVacationLabel</f>
        <v>公司年假</v>
      </c>
      <c r="G37" s="18"/>
      <c r="H37" s="18"/>
      <c r="I37" s="19" t="str">
        <f>KeyPersonal</f>
        <v>No.</v>
      </c>
      <c r="J37" s="18" t="str">
        <f>KeyPersonalLabel</f>
        <v>串休</v>
      </c>
      <c r="K37" s="18"/>
      <c r="L37" s="18"/>
      <c r="M37" s="20"/>
      <c r="N37" s="18"/>
      <c r="O37" s="18"/>
      <c r="P37" s="21"/>
      <c r="Q37" s="18"/>
      <c r="R37" s="18"/>
      <c r="S37" s="18"/>
      <c r="T37" s="22"/>
      <c r="U37" s="18"/>
      <c r="V37" s="18"/>
      <c r="W37" s="18"/>
    </row>
    <row r="39" spans="1:33" ht="15" customHeight="1">
      <c r="A39" s="131" t="s">
        <v>47</v>
      </c>
      <c r="B39" s="132" t="s">
        <v>1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3">
        <f>CalendarYear</f>
        <v>2017</v>
      </c>
    </row>
    <row r="40" spans="1:33" ht="15" customHeight="1">
      <c r="A40" s="131"/>
      <c r="B40" s="9" t="str">
        <f>TEXT(WEEKDAY(DATE(CalendarYear,11,1),1),"aaa")</f>
        <v>Wed</v>
      </c>
      <c r="C40" s="9" t="str">
        <f>TEXT(WEEKDAY(DATE(CalendarYear,11,2),1),"aaa")</f>
        <v>Thu</v>
      </c>
      <c r="D40" s="9" t="str">
        <f>TEXT(WEEKDAY(DATE(CalendarYear,11,3),1),"aaa")</f>
        <v>Fri</v>
      </c>
      <c r="E40" s="9" t="str">
        <f>TEXT(WEEKDAY(DATE(CalendarYear,11,4),1),"aaa")</f>
        <v>Sat</v>
      </c>
      <c r="F40" s="9" t="str">
        <f>TEXT(WEEKDAY(DATE(CalendarYear,11,5),1),"aaa")</f>
        <v>Sun</v>
      </c>
      <c r="G40" s="9" t="str">
        <f>TEXT(WEEKDAY(DATE(CalendarYear,11,6),1),"aaa")</f>
        <v>Mon</v>
      </c>
      <c r="H40" s="9" t="str">
        <f>TEXT(WEEKDAY(DATE(CalendarYear,11,7),1),"aaa")</f>
        <v>Tue</v>
      </c>
      <c r="I40" s="9" t="str">
        <f>TEXT(WEEKDAY(DATE(CalendarYear,11,8),1),"aaa")</f>
        <v>Wed</v>
      </c>
      <c r="J40" s="9" t="str">
        <f>TEXT(WEEKDAY(DATE(CalendarYear,11,9),1),"aaa")</f>
        <v>Thu</v>
      </c>
      <c r="K40" s="9" t="str">
        <f>TEXT(WEEKDAY(DATE(CalendarYear,11,10),1),"aaa")</f>
        <v>Fri</v>
      </c>
      <c r="L40" s="9" t="str">
        <f>TEXT(WEEKDAY(DATE(CalendarYear,11,11),1),"aaa")</f>
        <v>Sat</v>
      </c>
      <c r="M40" s="9" t="str">
        <f>TEXT(WEEKDAY(DATE(CalendarYear,11,12),1),"aaa")</f>
        <v>Sun</v>
      </c>
      <c r="N40" s="9" t="str">
        <f>TEXT(WEEKDAY(DATE(CalendarYear,11,13),1),"aaa")</f>
        <v>Mon</v>
      </c>
      <c r="O40" s="9" t="str">
        <f>TEXT(WEEKDAY(DATE(CalendarYear,11,14),1),"aaa")</f>
        <v>Tue</v>
      </c>
      <c r="P40" s="9" t="str">
        <f>TEXT(WEEKDAY(DATE(CalendarYear,11,15),1),"aaa")</f>
        <v>Wed</v>
      </c>
      <c r="Q40" s="9" t="str">
        <f>TEXT(WEEKDAY(DATE(CalendarYear,11,16),1),"aaa")</f>
        <v>Thu</v>
      </c>
      <c r="R40" s="9" t="str">
        <f>TEXT(WEEKDAY(DATE(CalendarYear,11,17),1),"aaa")</f>
        <v>Fri</v>
      </c>
      <c r="S40" s="9" t="str">
        <f>TEXT(WEEKDAY(DATE(CalendarYear,11,18),1),"aaa")</f>
        <v>Sat</v>
      </c>
      <c r="T40" s="9" t="str">
        <f>TEXT(WEEKDAY(DATE(CalendarYear,11,19),1),"aaa")</f>
        <v>Sun</v>
      </c>
      <c r="U40" s="9" t="str">
        <f>TEXT(WEEKDAY(DATE(CalendarYear,11,20),1),"aaa")</f>
        <v>Mon</v>
      </c>
      <c r="V40" s="9" t="str">
        <f>TEXT(WEEKDAY(DATE(CalendarYear,11,21),1),"aaa")</f>
        <v>Tue</v>
      </c>
      <c r="W40" s="9" t="str">
        <f>TEXT(WEEKDAY(DATE(CalendarYear,11,22),1),"aaa")</f>
        <v>Wed</v>
      </c>
      <c r="X40" s="9" t="str">
        <f>TEXT(WEEKDAY(DATE(CalendarYear,11,23),1),"aaa")</f>
        <v>Thu</v>
      </c>
      <c r="Y40" s="9" t="str">
        <f>TEXT(WEEKDAY(DATE(CalendarYear,11,24),1),"aaa")</f>
        <v>Fri</v>
      </c>
      <c r="Z40" s="9" t="str">
        <f>TEXT(WEEKDAY(DATE(CalendarYear,11,25),1),"aaa")</f>
        <v>Sat</v>
      </c>
      <c r="AA40" s="9" t="str">
        <f>TEXT(WEEKDAY(DATE(CalendarYear,11,26),1),"aaa")</f>
        <v>Sun</v>
      </c>
      <c r="AB40" s="9" t="str">
        <f>TEXT(WEEKDAY(DATE(CalendarYear,11,27),1),"aaa")</f>
        <v>Mon</v>
      </c>
      <c r="AC40" s="9" t="str">
        <f>TEXT(WEEKDAY(DATE(CalendarYear,11,28),1),"aaa")</f>
        <v>Tue</v>
      </c>
      <c r="AD40" s="9" t="str">
        <f>TEXT(WEEKDAY(DATE(CalendarYear,11,29),1),"aaa")</f>
        <v>Wed</v>
      </c>
      <c r="AE40" s="9" t="str">
        <f>TEXT(WEEKDAY(DATE(CalendarYear,11,30),1),"aaa")</f>
        <v>Thu</v>
      </c>
      <c r="AF40" s="9"/>
      <c r="AG40" s="133"/>
    </row>
    <row r="41" spans="1:33" ht="15" customHeight="1">
      <c r="A41" s="15" t="s">
        <v>2</v>
      </c>
      <c r="B41" s="9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9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9" t="s">
        <v>13</v>
      </c>
      <c r="M41" s="9" t="s">
        <v>14</v>
      </c>
      <c r="N41" s="9" t="s">
        <v>15</v>
      </c>
      <c r="O41" s="9" t="s">
        <v>16</v>
      </c>
      <c r="P41" s="9" t="s">
        <v>17</v>
      </c>
      <c r="Q41" s="9" t="s">
        <v>18</v>
      </c>
      <c r="R41" s="9" t="s">
        <v>19</v>
      </c>
      <c r="S41" s="9" t="s">
        <v>20</v>
      </c>
      <c r="T41" s="9" t="s">
        <v>21</v>
      </c>
      <c r="U41" s="9" t="s">
        <v>22</v>
      </c>
      <c r="V41" s="9" t="s">
        <v>23</v>
      </c>
      <c r="W41" s="9" t="s">
        <v>24</v>
      </c>
      <c r="X41" s="9" t="s">
        <v>25</v>
      </c>
      <c r="Y41" s="9" t="s">
        <v>26</v>
      </c>
      <c r="Z41" s="9" t="s">
        <v>27</v>
      </c>
      <c r="AA41" s="9" t="s">
        <v>28</v>
      </c>
      <c r="AB41" s="9" t="s">
        <v>29</v>
      </c>
      <c r="AC41" s="9" t="s">
        <v>30</v>
      </c>
      <c r="AD41" s="9" t="s">
        <v>31</v>
      </c>
      <c r="AE41" s="9" t="s">
        <v>32</v>
      </c>
      <c r="AF41" s="9" t="s">
        <v>34</v>
      </c>
      <c r="AG41" s="54" t="s">
        <v>90</v>
      </c>
    </row>
    <row r="42" spans="1:33" ht="15" customHeight="1">
      <c r="A42" s="26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0">
        <f>SUBTOTAL(109,'Oct-Dec'!$B42:$AF42)</f>
        <v>0</v>
      </c>
    </row>
    <row r="43" spans="1:33" ht="15" customHeight="1">
      <c r="A43" s="26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0">
        <f>SUBTOTAL(109,'Oct-Dec'!$B43:$AF43)</f>
        <v>0</v>
      </c>
    </row>
    <row r="44" spans="1:33" ht="15" customHeight="1">
      <c r="A44" s="26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0">
        <f>SUBTOTAL(109,'Oct-Dec'!$B44:$AF44)</f>
        <v>0</v>
      </c>
    </row>
    <row r="45" spans="1:33" ht="15" customHeight="1">
      <c r="A45" s="26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0">
        <f>SUBTOTAL(109,'Oct-Dec'!$B45:$AF45)</f>
        <v>0</v>
      </c>
    </row>
    <row r="46" spans="1:33" ht="15" customHeight="1">
      <c r="A46" s="26" t="s">
        <v>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0">
        <f>SUBTOTAL(109,'Oct-Dec'!$B46:$AF46)</f>
        <v>0</v>
      </c>
    </row>
    <row r="47" spans="1:33" ht="15" customHeight="1">
      <c r="A47" s="26" t="s">
        <v>54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30">
        <f>SUBTOTAL(109,'Oct-Dec'!$B47:$AF47)</f>
        <v>0</v>
      </c>
    </row>
    <row r="48" spans="1:33" ht="15" customHeight="1">
      <c r="A48" s="26" t="s">
        <v>55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30">
        <f>SUBTOTAL(109,'Oct-Dec'!$B48:$AF48)</f>
        <v>0</v>
      </c>
    </row>
    <row r="49" spans="1:33" ht="15" customHeight="1">
      <c r="A49" s="26" t="s">
        <v>56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30">
        <f>SUBTOTAL(109,'Oct-Dec'!$B49:$AF49)</f>
        <v>0</v>
      </c>
    </row>
    <row r="50" spans="1:33" ht="15" customHeight="1">
      <c r="A50" s="26" t="s">
        <v>57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30">
        <f>SUBTOTAL(109,'Oct-Dec'!$B50:$AF50)</f>
        <v>0</v>
      </c>
    </row>
    <row r="51" spans="1:33" ht="15" customHeight="1">
      <c r="A51" s="26" t="s">
        <v>58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>
        <f>SUBTOTAL(109,'Oct-Dec'!$B51:$AF51)</f>
        <v>0</v>
      </c>
    </row>
    <row r="52" spans="1:33" ht="15" customHeight="1">
      <c r="A52" s="26" t="s">
        <v>59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30">
        <f>SUBTOTAL(109,'Oct-Dec'!$B52:$AF52)</f>
        <v>0</v>
      </c>
    </row>
    <row r="53" spans="1:33" ht="15" customHeight="1">
      <c r="A53" s="26" t="s">
        <v>60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30">
        <f>SUBTOTAL(109,'Oct-Dec'!$B53:$AF53)</f>
        <v>0</v>
      </c>
    </row>
    <row r="54" spans="1:33" ht="15" customHeight="1">
      <c r="A54" s="26" t="s">
        <v>61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30">
        <f>SUBTOTAL(109,'Oct-Dec'!$B54:$AF54)</f>
        <v>0</v>
      </c>
    </row>
    <row r="55" spans="1:33" ht="15" customHeight="1">
      <c r="A55" s="26" t="s">
        <v>62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0">
        <f>SUBTOTAL(109,'Oct-Dec'!$B55:$AF55)</f>
        <v>0</v>
      </c>
    </row>
    <row r="56" spans="1:33" ht="15" customHeight="1">
      <c r="A56" s="40" t="s">
        <v>67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0">
        <f>SUBTOTAL(109,'Oct-Dec'!$B56:$AF56)</f>
        <v>0</v>
      </c>
    </row>
    <row r="57" spans="1:33" s="102" customFormat="1" ht="15" customHeight="1">
      <c r="A57" s="106" t="s">
        <v>152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107">
        <f>SUBTOTAL(109,'Oct-Dec'!$B57:$AF57)</f>
        <v>0</v>
      </c>
    </row>
    <row r="58" spans="1:33" s="102" customFormat="1" ht="15" customHeight="1">
      <c r="A58" s="106" t="s">
        <v>153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107">
        <f>SUBTOTAL(109,'Oct-Dec'!$B58:$AF58)</f>
        <v>0</v>
      </c>
    </row>
    <row r="59" spans="1:33" s="102" customFormat="1" ht="15" customHeight="1">
      <c r="A59" s="106" t="s">
        <v>154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107">
        <f>SUBTOTAL(109,'Oct-Dec'!$B59:$AF59)</f>
        <v>0</v>
      </c>
    </row>
    <row r="60" spans="1:33" s="102" customFormat="1" ht="15" customHeight="1">
      <c r="A60" s="106" t="s">
        <v>155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107">
        <f>SUBTOTAL(109,'Oct-Dec'!$B60:$AF60)</f>
        <v>0</v>
      </c>
    </row>
    <row r="61" spans="1:33" s="102" customFormat="1" ht="15" customHeight="1">
      <c r="A61" s="106" t="s">
        <v>156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107">
        <f>SUBTOTAL(109,'Oct-Dec'!$B61:$AF61)</f>
        <v>0</v>
      </c>
    </row>
    <row r="62" spans="1:33" s="102" customFormat="1" ht="15" customHeight="1">
      <c r="A62" s="106" t="s">
        <v>157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107">
        <f>SUBTOTAL(109,'Oct-Dec'!$B62:$AF62)</f>
        <v>0</v>
      </c>
    </row>
    <row r="63" spans="1:33" s="102" customFormat="1" ht="15" customHeight="1">
      <c r="A63" s="106" t="s">
        <v>158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107">
        <f>SUBTOTAL(109,'Oct-Dec'!$B63:$AF63)</f>
        <v>0</v>
      </c>
    </row>
    <row r="64" spans="1:33" s="102" customFormat="1" ht="15" customHeight="1">
      <c r="A64" s="106" t="s">
        <v>159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107">
        <f>SUBTOTAL(109,'Oct-Dec'!$B64:$AF64)</f>
        <v>0</v>
      </c>
    </row>
    <row r="65" spans="1:33" s="102" customFormat="1" ht="15" customHeight="1">
      <c r="A65" s="106" t="s">
        <v>160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107">
        <f>SUBTOTAL(109,'Oct-Dec'!$B65:$AF65)</f>
        <v>0</v>
      </c>
    </row>
    <row r="66" spans="1:33" s="102" customFormat="1" ht="15" customHeight="1">
      <c r="A66" s="106" t="s">
        <v>161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107">
        <f>SUBTOTAL(109,'Oct-Dec'!$B66:$AF66)</f>
        <v>0</v>
      </c>
    </row>
    <row r="67" spans="1:33" s="102" customFormat="1" ht="15" customHeight="1">
      <c r="A67" s="106" t="s">
        <v>162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107">
        <f>SUBTOTAL(109,'Oct-Dec'!$B67:$AF67)</f>
        <v>0</v>
      </c>
    </row>
    <row r="68" spans="1:33" s="102" customFormat="1" ht="15" customHeight="1">
      <c r="A68" s="106" t="s">
        <v>162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107">
        <f>SUBTOTAL(109,'Oct-Dec'!$B68:$AF68)</f>
        <v>0</v>
      </c>
    </row>
    <row r="69" spans="1:33" s="102" customFormat="1" ht="15" customHeight="1">
      <c r="A69" s="106" t="s">
        <v>162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107">
        <f>SUBTOTAL(109,'Oct-Dec'!$B69:$AF69)</f>
        <v>0</v>
      </c>
    </row>
    <row r="70" spans="1:33" s="102" customFormat="1" ht="15" customHeight="1">
      <c r="A70" s="106" t="s">
        <v>162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107">
        <f>SUBTOTAL(109,'Oct-Dec'!$B70:$AF70)</f>
        <v>0</v>
      </c>
    </row>
    <row r="71" spans="1:33" s="102" customFormat="1" ht="15" customHeight="1">
      <c r="A71" s="106" t="s">
        <v>162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107">
        <f>SUBTOTAL(109,'Oct-Dec'!$B71:$AF71)</f>
        <v>0</v>
      </c>
    </row>
    <row r="72" spans="1:33" ht="15" customHeight="1">
      <c r="A72" s="15" t="str">
        <f>A39&amp;" Total"</f>
        <v>November Total</v>
      </c>
      <c r="B72" s="38">
        <f>SUBTOTAL(103,tblNovember[1])</f>
        <v>0</v>
      </c>
      <c r="C72" s="38">
        <f>SUBTOTAL(103,tblNovember[2])</f>
        <v>0</v>
      </c>
      <c r="D72" s="38">
        <f>SUBTOTAL(103,tblNovember[3])</f>
        <v>0</v>
      </c>
      <c r="E72" s="38">
        <f>SUBTOTAL(103,tblNovember[4])</f>
        <v>0</v>
      </c>
      <c r="F72" s="38">
        <f>SUBTOTAL(103,tblNovember[5])</f>
        <v>0</v>
      </c>
      <c r="G72" s="38">
        <f>SUBTOTAL(103,tblNovember[6])</f>
        <v>0</v>
      </c>
      <c r="H72" s="38">
        <f>SUBTOTAL(103,tblNovember[7])</f>
        <v>0</v>
      </c>
      <c r="I72" s="38">
        <f>SUBTOTAL(103,tblNovember[8])</f>
        <v>0</v>
      </c>
      <c r="J72" s="38">
        <f>SUBTOTAL(103,tblNovember[9])</f>
        <v>0</v>
      </c>
      <c r="K72" s="38">
        <f>SUBTOTAL(103,tblNovember[10])</f>
        <v>0</v>
      </c>
      <c r="L72" s="38">
        <f>SUBTOTAL(103,tblNovember[11])</f>
        <v>0</v>
      </c>
      <c r="M72" s="38">
        <f>SUBTOTAL(103,tblNovember[12])</f>
        <v>0</v>
      </c>
      <c r="N72" s="38">
        <f>SUBTOTAL(103,tblNovember[13])</f>
        <v>0</v>
      </c>
      <c r="O72" s="38">
        <f>SUBTOTAL(103,tblNovember[14])</f>
        <v>0</v>
      </c>
      <c r="P72" s="38">
        <f>SUBTOTAL(103,tblNovember[15])</f>
        <v>0</v>
      </c>
      <c r="Q72" s="38">
        <f>SUBTOTAL(103,tblNovember[16])</f>
        <v>0</v>
      </c>
      <c r="R72" s="38">
        <f>SUBTOTAL(103,tblNovember[17])</f>
        <v>0</v>
      </c>
      <c r="S72" s="38">
        <f>SUBTOTAL(103,tblNovember[18])</f>
        <v>0</v>
      </c>
      <c r="T72" s="38">
        <f>SUBTOTAL(103,tblNovember[19])</f>
        <v>0</v>
      </c>
      <c r="U72" s="38">
        <f>SUBTOTAL(103,tblNovember[20])</f>
        <v>0</v>
      </c>
      <c r="V72" s="38">
        <f>SUBTOTAL(103,tblNovember[21])</f>
        <v>0</v>
      </c>
      <c r="W72" s="38">
        <f>SUBTOTAL(103,tblNovember[22])</f>
        <v>0</v>
      </c>
      <c r="X72" s="38">
        <f>SUBTOTAL(103,tblNovember[23])</f>
        <v>0</v>
      </c>
      <c r="Y72" s="38">
        <f>SUBTOTAL(103,tblNovember[24])</f>
        <v>0</v>
      </c>
      <c r="Z72" s="38">
        <f>SUBTOTAL(103,tblNovember[25])</f>
        <v>0</v>
      </c>
      <c r="AA72" s="38">
        <f>SUBTOTAL(103,tblNovember[26])</f>
        <v>0</v>
      </c>
      <c r="AB72" s="38">
        <f>SUBTOTAL(103,tblNovember[27])</f>
        <v>0</v>
      </c>
      <c r="AC72" s="38">
        <f>SUBTOTAL(103,tblNovember[28])</f>
        <v>0</v>
      </c>
      <c r="AD72" s="38">
        <f>SUBTOTAL(103,tblNovember[29])</f>
        <v>0</v>
      </c>
      <c r="AE72" s="38">
        <f>SUBTOTAL(109,tblNovember[30])</f>
        <v>0</v>
      </c>
      <c r="AF72" s="38"/>
      <c r="AG72" s="39">
        <f>SUBTOTAL(109,tblNovember[Total Hours])</f>
        <v>0</v>
      </c>
    </row>
    <row r="74" spans="1:33" ht="15" customHeight="1">
      <c r="A74" s="131" t="s">
        <v>48</v>
      </c>
      <c r="B74" s="132" t="s">
        <v>1</v>
      </c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3">
        <f>CalendarYear</f>
        <v>2017</v>
      </c>
    </row>
    <row r="75" spans="1:33" ht="15" customHeight="1">
      <c r="A75" s="131"/>
      <c r="B75" s="9" t="str">
        <f>TEXT(WEEKDAY(DATE(CalendarYear,12,1),1),"aaa")</f>
        <v>Fri</v>
      </c>
      <c r="C75" s="9" t="str">
        <f>TEXT(WEEKDAY(DATE(CalendarYear,12,2),1),"aaa")</f>
        <v>Sat</v>
      </c>
      <c r="D75" s="9" t="str">
        <f>TEXT(WEEKDAY(DATE(CalendarYear,12,3),1),"aaa")</f>
        <v>Sun</v>
      </c>
      <c r="E75" s="9" t="str">
        <f>TEXT(WEEKDAY(DATE(CalendarYear,12,4),1),"aaa")</f>
        <v>Mon</v>
      </c>
      <c r="F75" s="9" t="str">
        <f>TEXT(WEEKDAY(DATE(CalendarYear,12,5),1),"aaa")</f>
        <v>Tue</v>
      </c>
      <c r="G75" s="9" t="str">
        <f>TEXT(WEEKDAY(DATE(CalendarYear,12,6),1),"aaa")</f>
        <v>Wed</v>
      </c>
      <c r="H75" s="9" t="str">
        <f>TEXT(WEEKDAY(DATE(CalendarYear,12,7),1),"aaa")</f>
        <v>Thu</v>
      </c>
      <c r="I75" s="9" t="str">
        <f>TEXT(WEEKDAY(DATE(CalendarYear,12,8),1),"aaa")</f>
        <v>Fri</v>
      </c>
      <c r="J75" s="9" t="str">
        <f>TEXT(WEEKDAY(DATE(CalendarYear,12,9),1),"aaa")</f>
        <v>Sat</v>
      </c>
      <c r="K75" s="9" t="str">
        <f>TEXT(WEEKDAY(DATE(CalendarYear,12,10),1),"aaa")</f>
        <v>Sun</v>
      </c>
      <c r="L75" s="9" t="str">
        <f>TEXT(WEEKDAY(DATE(CalendarYear,12,11),1),"aaa")</f>
        <v>Mon</v>
      </c>
      <c r="M75" s="9" t="str">
        <f>TEXT(WEEKDAY(DATE(CalendarYear,12,12),1),"aaa")</f>
        <v>Tue</v>
      </c>
      <c r="N75" s="9" t="str">
        <f>TEXT(WEEKDAY(DATE(CalendarYear,12,13),1),"aaa")</f>
        <v>Wed</v>
      </c>
      <c r="O75" s="9" t="str">
        <f>TEXT(WEEKDAY(DATE(CalendarYear,12,14),1),"aaa")</f>
        <v>Thu</v>
      </c>
      <c r="P75" s="9" t="str">
        <f>TEXT(WEEKDAY(DATE(CalendarYear,12,15),1),"aaa")</f>
        <v>Fri</v>
      </c>
      <c r="Q75" s="9" t="str">
        <f>TEXT(WEEKDAY(DATE(CalendarYear,12,16),1),"aaa")</f>
        <v>Sat</v>
      </c>
      <c r="R75" s="9" t="str">
        <f>TEXT(WEEKDAY(DATE(CalendarYear,12,17),1),"aaa")</f>
        <v>Sun</v>
      </c>
      <c r="S75" s="9" t="str">
        <f>TEXT(WEEKDAY(DATE(CalendarYear,12,18),1),"aaa")</f>
        <v>Mon</v>
      </c>
      <c r="T75" s="9" t="str">
        <f>TEXT(WEEKDAY(DATE(CalendarYear,12,19),1),"aaa")</f>
        <v>Tue</v>
      </c>
      <c r="U75" s="9" t="str">
        <f>TEXT(WEEKDAY(DATE(CalendarYear,12,20),1),"aaa")</f>
        <v>Wed</v>
      </c>
      <c r="V75" s="9" t="str">
        <f>TEXT(WEEKDAY(DATE(CalendarYear,12,21),1),"aaa")</f>
        <v>Thu</v>
      </c>
      <c r="W75" s="9" t="str">
        <f>TEXT(WEEKDAY(DATE(CalendarYear,12,22),1),"aaa")</f>
        <v>Fri</v>
      </c>
      <c r="X75" s="9" t="str">
        <f>TEXT(WEEKDAY(DATE(CalendarYear,12,23),1),"aaa")</f>
        <v>Sat</v>
      </c>
      <c r="Y75" s="9" t="str">
        <f>TEXT(WEEKDAY(DATE(CalendarYear,12,24),1),"aaa")</f>
        <v>Sun</v>
      </c>
      <c r="Z75" s="9" t="str">
        <f>TEXT(WEEKDAY(DATE(CalendarYear,12,25),1),"aaa")</f>
        <v>Mon</v>
      </c>
      <c r="AA75" s="9" t="str">
        <f>TEXT(WEEKDAY(DATE(CalendarYear,12,26),1),"aaa")</f>
        <v>Tue</v>
      </c>
      <c r="AB75" s="9" t="str">
        <f>TEXT(WEEKDAY(DATE(CalendarYear,12,27),1),"aaa")</f>
        <v>Wed</v>
      </c>
      <c r="AC75" s="9" t="str">
        <f>TEXT(WEEKDAY(DATE(CalendarYear,12,28),1),"aaa")</f>
        <v>Thu</v>
      </c>
      <c r="AD75" s="9" t="str">
        <f>TEXT(WEEKDAY(DATE(CalendarYear,12,29),1),"aaa")</f>
        <v>Fri</v>
      </c>
      <c r="AE75" s="9" t="str">
        <f>TEXT(WEEKDAY(DATE(CalendarYear,12,30),1),"aaa")</f>
        <v>Sat</v>
      </c>
      <c r="AF75" s="9" t="str">
        <f>TEXT(WEEKDAY(DATE(CalendarYear,12,31),1),"aaa")</f>
        <v>Sun</v>
      </c>
      <c r="AG75" s="133"/>
    </row>
    <row r="76" spans="1:33" ht="15" customHeight="1">
      <c r="A76" s="10" t="s">
        <v>2</v>
      </c>
      <c r="B76" s="14" t="s">
        <v>3</v>
      </c>
      <c r="C76" s="14" t="s">
        <v>4</v>
      </c>
      <c r="D76" s="14" t="s">
        <v>5</v>
      </c>
      <c r="E76" s="14" t="s">
        <v>6</v>
      </c>
      <c r="F76" s="14" t="s">
        <v>7</v>
      </c>
      <c r="G76" s="14" t="s">
        <v>8</v>
      </c>
      <c r="H76" s="14" t="s">
        <v>9</v>
      </c>
      <c r="I76" s="14" t="s">
        <v>10</v>
      </c>
      <c r="J76" s="14" t="s">
        <v>11</v>
      </c>
      <c r="K76" s="14" t="s">
        <v>12</v>
      </c>
      <c r="L76" s="14" t="s">
        <v>13</v>
      </c>
      <c r="M76" s="14" t="s">
        <v>14</v>
      </c>
      <c r="N76" s="14" t="s">
        <v>15</v>
      </c>
      <c r="O76" s="14" t="s">
        <v>16</v>
      </c>
      <c r="P76" s="14" t="s">
        <v>17</v>
      </c>
      <c r="Q76" s="14" t="s">
        <v>18</v>
      </c>
      <c r="R76" s="14" t="s">
        <v>19</v>
      </c>
      <c r="S76" s="14" t="s">
        <v>20</v>
      </c>
      <c r="T76" s="14" t="s">
        <v>21</v>
      </c>
      <c r="U76" s="14" t="s">
        <v>22</v>
      </c>
      <c r="V76" s="14" t="s">
        <v>23</v>
      </c>
      <c r="W76" s="14" t="s">
        <v>24</v>
      </c>
      <c r="X76" s="14" t="s">
        <v>25</v>
      </c>
      <c r="Y76" s="14" t="s">
        <v>26</v>
      </c>
      <c r="Z76" s="14" t="s">
        <v>27</v>
      </c>
      <c r="AA76" s="14" t="s">
        <v>28</v>
      </c>
      <c r="AB76" s="14" t="s">
        <v>29</v>
      </c>
      <c r="AC76" s="14" t="s">
        <v>30</v>
      </c>
      <c r="AD76" s="14" t="s">
        <v>31</v>
      </c>
      <c r="AE76" s="14" t="s">
        <v>32</v>
      </c>
      <c r="AF76" s="14" t="s">
        <v>33</v>
      </c>
      <c r="AG76" s="54" t="s">
        <v>90</v>
      </c>
    </row>
    <row r="77" spans="1:33" ht="15" customHeight="1">
      <c r="A77" s="26" t="s">
        <v>49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30">
        <f>SUBTOTAL(109,'Oct-Dec'!$B77:$AF77)</f>
        <v>0</v>
      </c>
    </row>
    <row r="78" spans="1:33" ht="15" customHeight="1">
      <c r="A78" s="26" t="s">
        <v>50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30">
        <f>SUBTOTAL(109,'Oct-Dec'!$B78:$AF78)</f>
        <v>0</v>
      </c>
    </row>
    <row r="79" spans="1:33" ht="15" customHeight="1">
      <c r="A79" s="26" t="s">
        <v>51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30">
        <f>SUBTOTAL(109,'Oct-Dec'!$B79:$AF79)</f>
        <v>0</v>
      </c>
    </row>
    <row r="80" spans="1:33" ht="15" customHeight="1">
      <c r="A80" s="26" t="s">
        <v>52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30">
        <f>SUBTOTAL(109,'Oct-Dec'!$B80:$AF80)</f>
        <v>0</v>
      </c>
    </row>
    <row r="81" spans="1:33" ht="15" customHeight="1">
      <c r="A81" s="26" t="s">
        <v>53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30">
        <f>SUBTOTAL(109,'Oct-Dec'!$B81:$AF81)</f>
        <v>0</v>
      </c>
    </row>
    <row r="82" spans="1:33" ht="15" customHeight="1">
      <c r="A82" s="26" t="s">
        <v>54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28"/>
      <c r="AG82" s="30">
        <f>SUBTOTAL(109,'Oct-Dec'!$B82:$AF82)</f>
        <v>0</v>
      </c>
    </row>
    <row r="83" spans="1:33" ht="15" customHeight="1">
      <c r="A83" s="26" t="s">
        <v>55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28"/>
      <c r="AG83" s="30">
        <f>SUBTOTAL(109,'Oct-Dec'!$B83:$AF83)</f>
        <v>0</v>
      </c>
    </row>
    <row r="84" spans="1:33" ht="15" customHeight="1">
      <c r="A84" s="26" t="s">
        <v>56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28"/>
      <c r="AG84" s="30">
        <f>SUBTOTAL(109,'Oct-Dec'!$B84:$AF84)</f>
        <v>0</v>
      </c>
    </row>
    <row r="85" spans="1:33" ht="15" customHeight="1">
      <c r="A85" s="26" t="s">
        <v>57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28"/>
      <c r="AG85" s="30">
        <f>SUBTOTAL(109,'Oct-Dec'!$B85:$AF85)</f>
        <v>0</v>
      </c>
    </row>
    <row r="86" spans="1:33" ht="15" customHeight="1">
      <c r="A86" s="26" t="s">
        <v>58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28"/>
      <c r="AG86" s="30">
        <f>SUBTOTAL(109,'Oct-Dec'!$B86:$AF86)</f>
        <v>0</v>
      </c>
    </row>
    <row r="87" spans="1:33" ht="15" customHeight="1">
      <c r="A87" s="26" t="s">
        <v>59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28"/>
      <c r="AG87" s="30">
        <f>SUBTOTAL(109,'Oct-Dec'!$B87:$AF87)</f>
        <v>0</v>
      </c>
    </row>
    <row r="88" spans="1:33" ht="15" customHeight="1">
      <c r="A88" s="26" t="s">
        <v>60</v>
      </c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29"/>
      <c r="AG88" s="30">
        <f>SUBTOTAL(109,'Oct-Dec'!$B88:$AF88)</f>
        <v>0</v>
      </c>
    </row>
    <row r="89" spans="1:33" ht="15" customHeight="1">
      <c r="A89" s="26" t="s">
        <v>61</v>
      </c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29"/>
      <c r="AG89" s="30">
        <f>SUBTOTAL(109,'Oct-Dec'!$B89:$AF89)</f>
        <v>0</v>
      </c>
    </row>
    <row r="90" spans="1:33" ht="15" customHeight="1">
      <c r="A90" s="26" t="s">
        <v>62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29"/>
      <c r="AG90" s="30">
        <f>SUBTOTAL(109,'Oct-Dec'!$B90:$AF90)</f>
        <v>0</v>
      </c>
    </row>
    <row r="91" spans="1:33" ht="15" customHeight="1">
      <c r="A91" s="40" t="s">
        <v>67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29"/>
      <c r="AG91" s="30">
        <f>SUBTOTAL(109,'Oct-Dec'!$B91:$AF91)</f>
        <v>0</v>
      </c>
    </row>
    <row r="92" spans="1:33" s="102" customFormat="1" ht="15" customHeight="1">
      <c r="A92" s="106" t="s">
        <v>152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107">
        <f>SUBTOTAL(109,'Oct-Dec'!$B92:$AF92)</f>
        <v>0</v>
      </c>
    </row>
    <row r="93" spans="1:33" s="102" customFormat="1" ht="15" customHeight="1">
      <c r="A93" s="106" t="s">
        <v>153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107">
        <f>SUBTOTAL(109,'Oct-Dec'!$B93:$AF93)</f>
        <v>0</v>
      </c>
    </row>
    <row r="94" spans="1:33" s="102" customFormat="1" ht="15" customHeight="1">
      <c r="A94" s="106" t="s">
        <v>154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107">
        <f>SUBTOTAL(109,'Oct-Dec'!$B94:$AF94)</f>
        <v>0</v>
      </c>
    </row>
    <row r="95" spans="1:33" s="102" customFormat="1" ht="15" customHeight="1">
      <c r="A95" s="106" t="s">
        <v>155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107">
        <f>SUBTOTAL(109,'Oct-Dec'!$B95:$AF95)</f>
        <v>0</v>
      </c>
    </row>
    <row r="96" spans="1:33" s="102" customFormat="1" ht="15" customHeight="1">
      <c r="A96" s="106" t="s">
        <v>156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107">
        <f>SUBTOTAL(109,'Oct-Dec'!$B96:$AF96)</f>
        <v>0</v>
      </c>
    </row>
    <row r="97" spans="1:33" s="102" customFormat="1" ht="15" customHeight="1">
      <c r="A97" s="106" t="s">
        <v>157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107">
        <f>SUBTOTAL(109,'Oct-Dec'!$B97:$AF97)</f>
        <v>0</v>
      </c>
    </row>
    <row r="98" spans="1:33" s="102" customFormat="1" ht="15" customHeight="1">
      <c r="A98" s="106" t="s">
        <v>158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107">
        <f>SUBTOTAL(109,'Oct-Dec'!$B98:$AF98)</f>
        <v>0</v>
      </c>
    </row>
    <row r="99" spans="1:33" s="102" customFormat="1" ht="15" customHeight="1">
      <c r="A99" s="106" t="s">
        <v>159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107">
        <f>SUBTOTAL(109,'Oct-Dec'!$B99:$AF99)</f>
        <v>0</v>
      </c>
    </row>
    <row r="100" spans="1:33" s="102" customFormat="1" ht="15" customHeight="1">
      <c r="A100" s="106" t="s">
        <v>160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107">
        <f>SUBTOTAL(109,'Oct-Dec'!$B100:$AF100)</f>
        <v>0</v>
      </c>
    </row>
    <row r="101" spans="1:33" s="102" customFormat="1" ht="15" customHeight="1">
      <c r="A101" s="106" t="s">
        <v>161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107">
        <f>SUBTOTAL(109,'Oct-Dec'!$B101:$AF101)</f>
        <v>0</v>
      </c>
    </row>
    <row r="102" spans="1:33" s="102" customFormat="1" ht="15" customHeight="1">
      <c r="A102" s="106" t="s">
        <v>162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107">
        <f>SUBTOTAL(109,'Oct-Dec'!$B102:$AF102)</f>
        <v>0</v>
      </c>
    </row>
    <row r="103" spans="1:33" s="102" customFormat="1" ht="15" customHeight="1">
      <c r="A103" s="106" t="s">
        <v>162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107">
        <f>SUBTOTAL(109,'Oct-Dec'!$B103:$AF103)</f>
        <v>0</v>
      </c>
    </row>
    <row r="104" spans="1:33" s="102" customFormat="1" ht="15" customHeight="1">
      <c r="A104" s="106" t="s">
        <v>162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107">
        <f>SUBTOTAL(109,'Oct-Dec'!$B104:$AF104)</f>
        <v>0</v>
      </c>
    </row>
    <row r="105" spans="1:33" s="102" customFormat="1" ht="15" customHeight="1">
      <c r="A105" s="106" t="s">
        <v>162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107">
        <f>SUBTOTAL(109,'Oct-Dec'!$B105:$AF105)</f>
        <v>0</v>
      </c>
    </row>
    <row r="106" spans="1:33" s="102" customFormat="1" ht="15" customHeight="1">
      <c r="A106" s="106" t="s">
        <v>162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107">
        <f>SUBTOTAL(109,'Oct-Dec'!$B106:$AF106)</f>
        <v>0</v>
      </c>
    </row>
    <row r="107" spans="1:33" ht="15" customHeight="1">
      <c r="A107" s="10" t="str">
        <f>A74&amp;" Total"</f>
        <v>December Total</v>
      </c>
      <c r="B107" s="35">
        <f>SUBTOTAL(103,tblDecember[1])</f>
        <v>0</v>
      </c>
      <c r="C107" s="35">
        <f>SUBTOTAL(103,tblDecember[2])</f>
        <v>0</v>
      </c>
      <c r="D107" s="35">
        <f>SUBTOTAL(103,tblDecember[3])</f>
        <v>0</v>
      </c>
      <c r="E107" s="35">
        <f>SUBTOTAL(103,tblDecember[4])</f>
        <v>0</v>
      </c>
      <c r="F107" s="35">
        <f>SUBTOTAL(103,tblDecember[5])</f>
        <v>0</v>
      </c>
      <c r="G107" s="35">
        <f>SUBTOTAL(103,tblDecember[6])</f>
        <v>0</v>
      </c>
      <c r="H107" s="35">
        <f>SUBTOTAL(103,tblDecember[7])</f>
        <v>0</v>
      </c>
      <c r="I107" s="35">
        <f>SUBTOTAL(103,tblDecember[8])</f>
        <v>0</v>
      </c>
      <c r="J107" s="35">
        <f>SUBTOTAL(103,tblDecember[9])</f>
        <v>0</v>
      </c>
      <c r="K107" s="35">
        <f>SUBTOTAL(103,tblDecember[10])</f>
        <v>0</v>
      </c>
      <c r="L107" s="35">
        <f>SUBTOTAL(103,tblDecember[11])</f>
        <v>0</v>
      </c>
      <c r="M107" s="35">
        <f>SUBTOTAL(103,tblDecember[12])</f>
        <v>0</v>
      </c>
      <c r="N107" s="35">
        <f>SUBTOTAL(103,tblDecember[13])</f>
        <v>0</v>
      </c>
      <c r="O107" s="35">
        <f>SUBTOTAL(103,tblDecember[14])</f>
        <v>0</v>
      </c>
      <c r="P107" s="35">
        <f>SUBTOTAL(103,tblDecember[15])</f>
        <v>0</v>
      </c>
      <c r="Q107" s="35">
        <f>SUBTOTAL(103,tblDecember[16])</f>
        <v>0</v>
      </c>
      <c r="R107" s="35">
        <f>SUBTOTAL(103,tblDecember[17])</f>
        <v>0</v>
      </c>
      <c r="S107" s="35">
        <f>SUBTOTAL(103,tblDecember[18])</f>
        <v>0</v>
      </c>
      <c r="T107" s="35">
        <f>SUBTOTAL(103,tblDecember[19])</f>
        <v>0</v>
      </c>
      <c r="U107" s="35">
        <f>SUBTOTAL(103,tblDecember[20])</f>
        <v>0</v>
      </c>
      <c r="V107" s="35">
        <f>SUBTOTAL(103,tblDecember[21])</f>
        <v>0</v>
      </c>
      <c r="W107" s="35">
        <f>SUBTOTAL(103,tblDecember[22])</f>
        <v>0</v>
      </c>
      <c r="X107" s="35">
        <f>SUBTOTAL(103,tblDecember[23])</f>
        <v>0</v>
      </c>
      <c r="Y107" s="35">
        <f>SUBTOTAL(103,tblDecember[24])</f>
        <v>0</v>
      </c>
      <c r="Z107" s="35">
        <f>SUBTOTAL(103,tblDecember[25])</f>
        <v>0</v>
      </c>
      <c r="AA107" s="35">
        <f>SUBTOTAL(103,tblDecember[26])</f>
        <v>0</v>
      </c>
      <c r="AB107" s="35">
        <f>SUBTOTAL(103,tblDecember[27])</f>
        <v>0</v>
      </c>
      <c r="AC107" s="35">
        <f>SUBTOTAL(103,tblDecember[28])</f>
        <v>0</v>
      </c>
      <c r="AD107" s="35">
        <f>SUBTOTAL(103,tblDecember[29])</f>
        <v>0</v>
      </c>
      <c r="AE107" s="35">
        <f>SUBTOTAL(109,tblDecember[30])</f>
        <v>0</v>
      </c>
      <c r="AF107" s="35">
        <f>SUBTOTAL(109,tblDecember[31])</f>
        <v>0</v>
      </c>
      <c r="AG107" s="36">
        <f>SUBTOTAL(109,tblDecember[Total Hours])</f>
        <v>0</v>
      </c>
    </row>
  </sheetData>
  <mergeCells count="9">
    <mergeCell ref="A74:A75"/>
    <mergeCell ref="B74:AF74"/>
    <mergeCell ref="AG74:AG75"/>
    <mergeCell ref="A2:A3"/>
    <mergeCell ref="B2:AF2"/>
    <mergeCell ref="AG2:AG3"/>
    <mergeCell ref="A39:A40"/>
    <mergeCell ref="B39:AF39"/>
    <mergeCell ref="AG39:AG40"/>
  </mergeCells>
  <phoneticPr fontId="12" type="noConversion"/>
  <conditionalFormatting sqref="B5:AF34">
    <cfRule type="expression" priority="26" stopIfTrue="1">
      <formula>B5=""</formula>
    </cfRule>
  </conditionalFormatting>
  <conditionalFormatting sqref="B5:AF34">
    <cfRule type="expression" dxfId="196" priority="27" stopIfTrue="1">
      <formula>B5=KeyCustom2</formula>
    </cfRule>
    <cfRule type="expression" dxfId="195" priority="28" stopIfTrue="1">
      <formula>B5=KeyCustom1</formula>
    </cfRule>
    <cfRule type="expression" dxfId="194" priority="29" stopIfTrue="1">
      <formula>B5=KeySick</formula>
    </cfRule>
    <cfRule type="expression" dxfId="193" priority="30" stopIfTrue="1">
      <formula>B5=KeyPersonal</formula>
    </cfRule>
    <cfRule type="expression" dxfId="192" priority="31" stopIfTrue="1">
      <formula>B5=KeyVacation</formula>
    </cfRule>
  </conditionalFormatting>
  <conditionalFormatting sqref="B42:AF71">
    <cfRule type="expression" priority="19" stopIfTrue="1">
      <formula>B42=""</formula>
    </cfRule>
  </conditionalFormatting>
  <conditionalFormatting sqref="B42:AF71">
    <cfRule type="expression" dxfId="191" priority="20" stopIfTrue="1">
      <formula>B42=KeyCustom2</formula>
    </cfRule>
    <cfRule type="expression" dxfId="190" priority="21" stopIfTrue="1">
      <formula>B42=KeyCustom1</formula>
    </cfRule>
    <cfRule type="expression" dxfId="189" priority="22" stopIfTrue="1">
      <formula>B42=KeySick</formula>
    </cfRule>
    <cfRule type="expression" dxfId="188" priority="23" stopIfTrue="1">
      <formula>B42=KeyPersonal</formula>
    </cfRule>
    <cfRule type="expression" dxfId="187" priority="24" stopIfTrue="1">
      <formula>B42=KeyVacation</formula>
    </cfRule>
  </conditionalFormatting>
  <conditionalFormatting sqref="B77:AF91">
    <cfRule type="expression" priority="12" stopIfTrue="1">
      <formula>B77=""</formula>
    </cfRule>
  </conditionalFormatting>
  <conditionalFormatting sqref="B77:AF91">
    <cfRule type="expression" dxfId="186" priority="13" stopIfTrue="1">
      <formula>B77=KeyCustom2</formula>
    </cfRule>
    <cfRule type="expression" dxfId="185" priority="14" stopIfTrue="1">
      <formula>B77=KeyCustom1</formula>
    </cfRule>
    <cfRule type="expression" dxfId="184" priority="15" stopIfTrue="1">
      <formula>B77=KeySick</formula>
    </cfRule>
    <cfRule type="expression" dxfId="183" priority="16" stopIfTrue="1">
      <formula>B77=KeyPersonal</formula>
    </cfRule>
    <cfRule type="expression" dxfId="182" priority="17" stopIfTrue="1">
      <formula>B77=KeyVacation</formula>
    </cfRule>
  </conditionalFormatting>
  <conditionalFormatting sqref="AG5:AG34">
    <cfRule type="dataBar" priority="10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{7E5347D6-0FEF-49AF-A4BA-EEC0CA308595}</x14:id>
        </ext>
      </extLst>
    </cfRule>
  </conditionalFormatting>
  <conditionalFormatting sqref="AG42:AG71">
    <cfRule type="dataBar" priority="9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{73F9C67F-C924-4868-944F-3A27946309CF}</x14:id>
        </ext>
      </extLst>
    </cfRule>
  </conditionalFormatting>
  <conditionalFormatting sqref="AG77:AG91">
    <cfRule type="dataBar" priority="8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{7CC39F2C-69ED-4080-A2F4-7CC2253F554C}</x14:id>
        </ext>
      </extLst>
    </cfRule>
  </conditionalFormatting>
  <conditionalFormatting sqref="B92:AF106">
    <cfRule type="expression" priority="2" stopIfTrue="1">
      <formula>B92=""</formula>
    </cfRule>
  </conditionalFormatting>
  <conditionalFormatting sqref="B92:AF106">
    <cfRule type="expression" dxfId="181" priority="3" stopIfTrue="1">
      <formula>B92=KeyCustom2</formula>
    </cfRule>
    <cfRule type="expression" dxfId="180" priority="4" stopIfTrue="1">
      <formula>B92=KeyCustom1</formula>
    </cfRule>
    <cfRule type="expression" dxfId="179" priority="5" stopIfTrue="1">
      <formula>B92=KeySick</formula>
    </cfRule>
    <cfRule type="expression" dxfId="178" priority="6" stopIfTrue="1">
      <formula>B92=KeyPersonal</formula>
    </cfRule>
    <cfRule type="expression" dxfId="177" priority="7" stopIfTrue="1">
      <formula>B92=KeyVacation</formula>
    </cfRule>
  </conditionalFormatting>
  <conditionalFormatting sqref="AG92:AG106">
    <cfRule type="dataBar" priority="1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{7458E6C3-B483-4121-9ECB-BDF7F3102825}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347D6-0FEF-49AF-A4BA-EEC0CA308595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AG5:AG34</xm:sqref>
        </x14:conditionalFormatting>
        <x14:conditionalFormatting xmlns:xm="http://schemas.microsoft.com/office/excel/2006/main">
          <x14:cfRule type="dataBar" id="{73F9C67F-C924-4868-944F-3A27946309CF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AG42:AG71</xm:sqref>
        </x14:conditionalFormatting>
        <x14:conditionalFormatting xmlns:xm="http://schemas.microsoft.com/office/excel/2006/main">
          <x14:cfRule type="dataBar" id="{7CC39F2C-69ED-4080-A2F4-7CC2253F554C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AG77:AG91</xm:sqref>
        </x14:conditionalFormatting>
        <x14:conditionalFormatting xmlns:xm="http://schemas.microsoft.com/office/excel/2006/main">
          <x14:cfRule type="dataBar" id="{7458E6C3-B483-4121-9ECB-BDF7F3102825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AG92:AG106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workbookViewId="0">
      <pane xSplit="11" ySplit="3" topLeftCell="L4" activePane="bottomRight" state="frozen"/>
      <selection activeCell="C43" sqref="C43"/>
      <selection pane="topRight" activeCell="C43" sqref="C43"/>
      <selection pane="bottomLeft" activeCell="C43" sqref="C43"/>
      <selection pane="bottomRight" activeCell="D22" sqref="D22"/>
    </sheetView>
  </sheetViews>
  <sheetFormatPr defaultColWidth="9.140625" defaultRowHeight="15"/>
  <cols>
    <col min="1" max="1" width="16.140625" style="42" customWidth="1"/>
    <col min="2" max="2" width="37.5703125" style="42" customWidth="1"/>
    <col min="3" max="3" width="44.5703125" style="42" customWidth="1"/>
    <col min="4" max="5" width="5.140625" style="42" bestFit="1" customWidth="1"/>
    <col min="6" max="7" width="5.7109375" style="65" customWidth="1"/>
    <col min="8" max="8" width="11.28515625" style="47" customWidth="1"/>
    <col min="9" max="9" width="8.42578125" style="42" bestFit="1" customWidth="1"/>
    <col min="10" max="10" width="5.28515625" style="42" bestFit="1" customWidth="1"/>
    <col min="11" max="11" width="8" style="42" bestFit="1" customWidth="1"/>
    <col min="12" max="12" width="9.140625" style="42"/>
    <col min="13" max="13" width="10.140625" style="42" bestFit="1" customWidth="1"/>
    <col min="14" max="16384" width="9.140625" style="42"/>
  </cols>
  <sheetData>
    <row r="1" spans="1:12" ht="15.75" customHeight="1">
      <c r="A1" s="110" t="s">
        <v>110</v>
      </c>
      <c r="B1" s="111"/>
      <c r="C1" s="55" t="s">
        <v>92</v>
      </c>
      <c r="D1" s="55"/>
      <c r="E1" s="55"/>
      <c r="F1" s="55"/>
      <c r="G1" s="55"/>
      <c r="H1" s="56"/>
      <c r="I1" s="114" t="s">
        <v>93</v>
      </c>
      <c r="J1" s="117" t="s">
        <v>94</v>
      </c>
      <c r="K1" s="118" t="s">
        <v>95</v>
      </c>
    </row>
    <row r="2" spans="1:12" ht="15.75" customHeight="1">
      <c r="A2" s="112"/>
      <c r="B2" s="113"/>
      <c r="C2" s="57" t="s">
        <v>96</v>
      </c>
      <c r="D2" s="58"/>
      <c r="E2" s="58"/>
      <c r="F2" s="58"/>
      <c r="G2" s="58"/>
      <c r="H2" s="59"/>
      <c r="I2" s="115"/>
      <c r="J2" s="117"/>
      <c r="K2" s="118"/>
    </row>
    <row r="3" spans="1:12">
      <c r="A3" s="60" t="s">
        <v>70</v>
      </c>
      <c r="B3" s="61" t="s">
        <v>97</v>
      </c>
      <c r="C3" s="62" t="s">
        <v>98</v>
      </c>
      <c r="D3" s="62" t="s">
        <v>99</v>
      </c>
      <c r="E3" s="62" t="s">
        <v>100</v>
      </c>
      <c r="F3" s="63" t="s">
        <v>101</v>
      </c>
      <c r="G3" s="64" t="s">
        <v>102</v>
      </c>
      <c r="H3" s="62" t="s">
        <v>103</v>
      </c>
      <c r="I3" s="116"/>
      <c r="J3" s="117"/>
      <c r="K3" s="118"/>
    </row>
    <row r="4" spans="1:12">
      <c r="A4" s="73" t="s">
        <v>59</v>
      </c>
      <c r="B4" s="74" t="s">
        <v>121</v>
      </c>
      <c r="C4" s="75" t="s">
        <v>122</v>
      </c>
      <c r="D4" s="75">
        <v>1</v>
      </c>
      <c r="E4" s="75">
        <v>6</v>
      </c>
      <c r="F4" s="76">
        <v>0.33333333333333331</v>
      </c>
      <c r="G4" s="76">
        <v>0.75</v>
      </c>
      <c r="H4" s="77" t="s">
        <v>109</v>
      </c>
      <c r="I4" s="86">
        <f>IF(H4="Sat",G4*24-F4*24-1,IF(H4="Sun",G4*24-F4*24-1,G4*24-F4*24))</f>
        <v>10</v>
      </c>
      <c r="J4" s="87">
        <v>1</v>
      </c>
      <c r="K4" s="88">
        <f>I4*J4</f>
        <v>10</v>
      </c>
      <c r="L4" s="65"/>
    </row>
    <row r="5" spans="1:12">
      <c r="A5" s="73" t="s">
        <v>59</v>
      </c>
      <c r="B5" s="74" t="s">
        <v>121</v>
      </c>
      <c r="C5" s="79" t="s">
        <v>122</v>
      </c>
      <c r="D5" s="80">
        <v>1</v>
      </c>
      <c r="E5" s="79">
        <v>10</v>
      </c>
      <c r="F5" s="76">
        <v>0.79166666666666696</v>
      </c>
      <c r="G5" s="76">
        <v>0.875000000000001</v>
      </c>
      <c r="H5" s="81" t="s">
        <v>106</v>
      </c>
      <c r="I5" s="86">
        <f t="shared" ref="I5:I21" si="0">IF(H5="Sat",G5*24-F5*24-1,IF(H5="Sun",G5*24-F5*24-1,G5*24-F5*24))</f>
        <v>2.0000000000000178</v>
      </c>
      <c r="J5" s="87">
        <v>1</v>
      </c>
      <c r="K5" s="88">
        <f t="shared" ref="K5:K53" si="1">I5*J5</f>
        <v>2.0000000000000178</v>
      </c>
      <c r="L5" s="65"/>
    </row>
    <row r="6" spans="1:12">
      <c r="A6" s="73" t="s">
        <v>59</v>
      </c>
      <c r="B6" s="74" t="s">
        <v>121</v>
      </c>
      <c r="C6" s="79" t="s">
        <v>122</v>
      </c>
      <c r="D6" s="80">
        <v>1</v>
      </c>
      <c r="E6" s="79">
        <v>12</v>
      </c>
      <c r="F6" s="76">
        <v>0.79166666666666696</v>
      </c>
      <c r="G6" s="76">
        <v>0.91666666666666696</v>
      </c>
      <c r="H6" s="81" t="s">
        <v>104</v>
      </c>
      <c r="I6" s="86">
        <f t="shared" si="0"/>
        <v>3</v>
      </c>
      <c r="J6" s="87">
        <v>1</v>
      </c>
      <c r="K6" s="88">
        <f t="shared" si="1"/>
        <v>3</v>
      </c>
      <c r="L6" s="65"/>
    </row>
    <row r="7" spans="1:12">
      <c r="A7" s="73" t="s">
        <v>59</v>
      </c>
      <c r="B7" s="74" t="s">
        <v>121</v>
      </c>
      <c r="C7" s="79" t="s">
        <v>122</v>
      </c>
      <c r="D7" s="75">
        <v>1</v>
      </c>
      <c r="E7" s="79">
        <v>17</v>
      </c>
      <c r="F7" s="76">
        <v>0.79166666666666696</v>
      </c>
      <c r="G7" s="76">
        <v>0.875000000000001</v>
      </c>
      <c r="H7" s="81" t="s">
        <v>106</v>
      </c>
      <c r="I7" s="86">
        <f t="shared" si="0"/>
        <v>2.0000000000000178</v>
      </c>
      <c r="J7" s="87">
        <v>1</v>
      </c>
      <c r="K7" s="88">
        <f t="shared" si="1"/>
        <v>2.0000000000000178</v>
      </c>
      <c r="L7" s="65"/>
    </row>
    <row r="8" spans="1:12">
      <c r="A8" s="73" t="s">
        <v>59</v>
      </c>
      <c r="B8" s="74" t="s">
        <v>121</v>
      </c>
      <c r="C8" s="79" t="s">
        <v>122</v>
      </c>
      <c r="D8" s="80">
        <v>1</v>
      </c>
      <c r="E8" s="79">
        <v>18</v>
      </c>
      <c r="F8" s="76">
        <v>0.79166666666666696</v>
      </c>
      <c r="G8" s="76">
        <v>0.97916666666666696</v>
      </c>
      <c r="H8" s="81" t="s">
        <v>107</v>
      </c>
      <c r="I8" s="86">
        <f t="shared" si="0"/>
        <v>4.5</v>
      </c>
      <c r="J8" s="87">
        <v>1</v>
      </c>
      <c r="K8" s="88">
        <f t="shared" si="1"/>
        <v>4.5</v>
      </c>
      <c r="L8" s="65"/>
    </row>
    <row r="9" spans="1:12">
      <c r="A9" s="73" t="s">
        <v>59</v>
      </c>
      <c r="B9" s="74" t="s">
        <v>121</v>
      </c>
      <c r="C9" s="95" t="s">
        <v>123</v>
      </c>
      <c r="D9" s="80">
        <v>1</v>
      </c>
      <c r="E9" s="79">
        <v>24</v>
      </c>
      <c r="F9" s="76">
        <v>0.79166666666666696</v>
      </c>
      <c r="G9" s="76">
        <v>0.937500000000001</v>
      </c>
      <c r="H9" s="81" t="s">
        <v>106</v>
      </c>
      <c r="I9" s="86">
        <f t="shared" si="0"/>
        <v>3.5000000000000178</v>
      </c>
      <c r="J9" s="87">
        <v>1</v>
      </c>
      <c r="K9" s="88">
        <f t="shared" si="1"/>
        <v>3.5000000000000178</v>
      </c>
      <c r="L9" s="65"/>
    </row>
    <row r="10" spans="1:12">
      <c r="A10" s="73" t="s">
        <v>59</v>
      </c>
      <c r="B10" s="74" t="s">
        <v>121</v>
      </c>
      <c r="C10" s="96" t="s">
        <v>123</v>
      </c>
      <c r="D10" s="75">
        <v>1</v>
      </c>
      <c r="E10" s="80">
        <v>25</v>
      </c>
      <c r="F10" s="76">
        <v>0.79166666666666696</v>
      </c>
      <c r="G10" s="76">
        <v>0.95833333333333404</v>
      </c>
      <c r="H10" s="81" t="s">
        <v>107</v>
      </c>
      <c r="I10" s="89">
        <f t="shared" si="0"/>
        <v>4.0000000000000107</v>
      </c>
      <c r="J10" s="90">
        <v>1</v>
      </c>
      <c r="K10" s="91">
        <f t="shared" si="1"/>
        <v>4.0000000000000107</v>
      </c>
      <c r="L10" s="65"/>
    </row>
    <row r="11" spans="1:12">
      <c r="A11" s="73" t="s">
        <v>59</v>
      </c>
      <c r="B11" s="74" t="s">
        <v>121</v>
      </c>
      <c r="C11" s="96" t="s">
        <v>123</v>
      </c>
      <c r="D11" s="80">
        <v>1</v>
      </c>
      <c r="E11" s="80">
        <v>26</v>
      </c>
      <c r="F11" s="76">
        <v>0.79166666666666696</v>
      </c>
      <c r="G11" s="76">
        <v>0.95833333333333404</v>
      </c>
      <c r="H11" s="81" t="s">
        <v>104</v>
      </c>
      <c r="I11" s="89">
        <f t="shared" si="0"/>
        <v>4.0000000000000107</v>
      </c>
      <c r="J11" s="90">
        <v>1</v>
      </c>
      <c r="K11" s="91">
        <f t="shared" si="1"/>
        <v>4.0000000000000107</v>
      </c>
    </row>
    <row r="12" spans="1:12">
      <c r="A12" s="82" t="s">
        <v>57</v>
      </c>
      <c r="B12" s="96" t="s">
        <v>125</v>
      </c>
      <c r="C12" s="96" t="s">
        <v>124</v>
      </c>
      <c r="D12" s="80">
        <v>1</v>
      </c>
      <c r="E12" s="80">
        <v>3</v>
      </c>
      <c r="F12" s="76">
        <v>0.79166666666666696</v>
      </c>
      <c r="G12" s="76">
        <v>0.875000000000001</v>
      </c>
      <c r="H12" s="81" t="s">
        <v>99</v>
      </c>
      <c r="I12" s="89">
        <f t="shared" si="0"/>
        <v>2.0000000000000178</v>
      </c>
      <c r="J12" s="90">
        <v>1</v>
      </c>
      <c r="K12" s="91">
        <f t="shared" si="1"/>
        <v>2.0000000000000178</v>
      </c>
    </row>
    <row r="13" spans="1:12">
      <c r="A13" s="82" t="s">
        <v>57</v>
      </c>
      <c r="B13" s="96" t="s">
        <v>125</v>
      </c>
      <c r="C13" s="96" t="s">
        <v>124</v>
      </c>
      <c r="D13" s="80">
        <v>1</v>
      </c>
      <c r="E13" s="80">
        <v>4</v>
      </c>
      <c r="F13" s="76">
        <v>0.79166666666666696</v>
      </c>
      <c r="G13" s="76">
        <v>0.875000000000001</v>
      </c>
      <c r="H13" s="81" t="s">
        <v>106</v>
      </c>
      <c r="I13" s="89">
        <f t="shared" si="0"/>
        <v>2.0000000000000178</v>
      </c>
      <c r="J13" s="90">
        <v>1</v>
      </c>
      <c r="K13" s="91">
        <f t="shared" si="1"/>
        <v>2.0000000000000178</v>
      </c>
    </row>
    <row r="14" spans="1:12">
      <c r="A14" s="82" t="s">
        <v>57</v>
      </c>
      <c r="B14" s="96" t="s">
        <v>125</v>
      </c>
      <c r="C14" s="96" t="s">
        <v>124</v>
      </c>
      <c r="D14" s="80">
        <v>1</v>
      </c>
      <c r="E14" s="80">
        <v>5</v>
      </c>
      <c r="F14" s="76">
        <v>0.79166666666666696</v>
      </c>
      <c r="G14" s="76">
        <v>0.875000000000001</v>
      </c>
      <c r="H14" s="81" t="s">
        <v>107</v>
      </c>
      <c r="I14" s="89">
        <f t="shared" si="0"/>
        <v>2.0000000000000178</v>
      </c>
      <c r="J14" s="90">
        <v>1</v>
      </c>
      <c r="K14" s="91">
        <f t="shared" si="1"/>
        <v>2.0000000000000178</v>
      </c>
    </row>
    <row r="15" spans="1:12">
      <c r="A15" s="82" t="s">
        <v>57</v>
      </c>
      <c r="B15" s="96" t="s">
        <v>125</v>
      </c>
      <c r="C15" s="96" t="s">
        <v>124</v>
      </c>
      <c r="D15" s="80">
        <v>1</v>
      </c>
      <c r="E15" s="80">
        <v>7</v>
      </c>
      <c r="F15" s="76">
        <v>0.5</v>
      </c>
      <c r="G15" s="76">
        <v>0.75</v>
      </c>
      <c r="H15" s="81" t="s">
        <v>105</v>
      </c>
      <c r="I15" s="89">
        <f t="shared" si="0"/>
        <v>5</v>
      </c>
      <c r="J15" s="90">
        <v>1</v>
      </c>
      <c r="K15" s="91">
        <f t="shared" si="1"/>
        <v>5</v>
      </c>
    </row>
    <row r="16" spans="1:12">
      <c r="A16" s="82" t="s">
        <v>57</v>
      </c>
      <c r="B16" s="96" t="s">
        <v>125</v>
      </c>
      <c r="C16" s="96" t="s">
        <v>124</v>
      </c>
      <c r="D16" s="80">
        <v>1</v>
      </c>
      <c r="E16" s="80">
        <v>9</v>
      </c>
      <c r="F16" s="76">
        <v>0.79166666666666696</v>
      </c>
      <c r="G16" s="76">
        <v>0.83333333333333404</v>
      </c>
      <c r="H16" s="81" t="s">
        <v>99</v>
      </c>
      <c r="I16" s="89">
        <f t="shared" si="0"/>
        <v>1.0000000000000107</v>
      </c>
      <c r="J16" s="90">
        <v>1</v>
      </c>
      <c r="K16" s="91">
        <f t="shared" si="1"/>
        <v>1.0000000000000107</v>
      </c>
    </row>
    <row r="17" spans="1:12">
      <c r="A17" s="82" t="s">
        <v>57</v>
      </c>
      <c r="B17" s="96" t="s">
        <v>125</v>
      </c>
      <c r="C17" s="96" t="s">
        <v>124</v>
      </c>
      <c r="D17" s="80">
        <v>1</v>
      </c>
      <c r="E17" s="80">
        <v>10</v>
      </c>
      <c r="F17" s="76">
        <v>0.79166666666666696</v>
      </c>
      <c r="G17" s="76">
        <v>0.83333333333333404</v>
      </c>
      <c r="H17" s="81" t="s">
        <v>106</v>
      </c>
      <c r="I17" s="89">
        <f t="shared" si="0"/>
        <v>1.0000000000000107</v>
      </c>
      <c r="J17" s="90">
        <v>1</v>
      </c>
      <c r="K17" s="91">
        <f t="shared" si="1"/>
        <v>1.0000000000000107</v>
      </c>
    </row>
    <row r="18" spans="1:12">
      <c r="A18" s="82" t="s">
        <v>57</v>
      </c>
      <c r="B18" s="96" t="s">
        <v>125</v>
      </c>
      <c r="C18" s="96" t="s">
        <v>124</v>
      </c>
      <c r="D18" s="80">
        <v>1</v>
      </c>
      <c r="E18" s="80">
        <v>12</v>
      </c>
      <c r="F18" s="76">
        <v>0.79166666666666696</v>
      </c>
      <c r="G18" s="76">
        <v>0.875000000000001</v>
      </c>
      <c r="H18" s="81" t="s">
        <v>104</v>
      </c>
      <c r="I18" s="89">
        <f t="shared" si="0"/>
        <v>2.0000000000000178</v>
      </c>
      <c r="J18" s="90">
        <v>1</v>
      </c>
      <c r="K18" s="91">
        <f t="shared" si="1"/>
        <v>2.0000000000000178</v>
      </c>
    </row>
    <row r="19" spans="1:12">
      <c r="A19" s="82" t="s">
        <v>57</v>
      </c>
      <c r="B19" s="96" t="s">
        <v>125</v>
      </c>
      <c r="C19" s="96" t="s">
        <v>124</v>
      </c>
      <c r="D19" s="80">
        <v>1</v>
      </c>
      <c r="E19" s="80">
        <v>15</v>
      </c>
      <c r="F19" s="76">
        <v>0.54166666666666696</v>
      </c>
      <c r="G19" s="76">
        <v>0.75</v>
      </c>
      <c r="H19" s="81" t="s">
        <v>108</v>
      </c>
      <c r="I19" s="89">
        <f t="shared" si="0"/>
        <v>3.9999999999999929</v>
      </c>
      <c r="J19" s="90">
        <v>1</v>
      </c>
      <c r="K19" s="91">
        <f t="shared" si="1"/>
        <v>3.9999999999999929</v>
      </c>
    </row>
    <row r="20" spans="1:12">
      <c r="A20" s="82" t="s">
        <v>57</v>
      </c>
      <c r="B20" s="96" t="s">
        <v>125</v>
      </c>
      <c r="C20" s="96" t="s">
        <v>124</v>
      </c>
      <c r="D20" s="80">
        <v>1</v>
      </c>
      <c r="E20" s="80">
        <v>16</v>
      </c>
      <c r="F20" s="76">
        <v>0.79166666666666696</v>
      </c>
      <c r="G20" s="76">
        <v>0.83333333333333404</v>
      </c>
      <c r="H20" s="81" t="s">
        <v>99</v>
      </c>
      <c r="I20" s="89">
        <f t="shared" si="0"/>
        <v>1.0000000000000107</v>
      </c>
      <c r="J20" s="90">
        <v>1</v>
      </c>
      <c r="K20" s="91">
        <f t="shared" si="1"/>
        <v>1.0000000000000107</v>
      </c>
    </row>
    <row r="21" spans="1:12">
      <c r="A21" s="82" t="s">
        <v>57</v>
      </c>
      <c r="B21" s="96" t="s">
        <v>125</v>
      </c>
      <c r="C21" s="96" t="s">
        <v>124</v>
      </c>
      <c r="D21" s="80">
        <v>1</v>
      </c>
      <c r="E21" s="80">
        <v>18</v>
      </c>
      <c r="F21" s="76">
        <v>0.79166666666666696</v>
      </c>
      <c r="G21" s="76">
        <v>0.83333333333333404</v>
      </c>
      <c r="H21" s="81" t="s">
        <v>107</v>
      </c>
      <c r="I21" s="89">
        <f t="shared" si="0"/>
        <v>1.0000000000000107</v>
      </c>
      <c r="J21" s="90">
        <v>1</v>
      </c>
      <c r="K21" s="91">
        <f t="shared" si="1"/>
        <v>1.0000000000000107</v>
      </c>
    </row>
    <row r="22" spans="1:12">
      <c r="A22" s="82" t="s">
        <v>57</v>
      </c>
      <c r="B22" s="96" t="s">
        <v>125</v>
      </c>
      <c r="C22" s="96" t="s">
        <v>124</v>
      </c>
      <c r="D22" s="80">
        <v>1</v>
      </c>
      <c r="E22" s="80">
        <v>19</v>
      </c>
      <c r="F22" s="76">
        <v>0.79166666666666696</v>
      </c>
      <c r="G22" s="76">
        <v>0.83333333333333404</v>
      </c>
      <c r="H22" s="81" t="s">
        <v>104</v>
      </c>
      <c r="I22" s="89">
        <f t="shared" ref="I22:I53" si="2">IF(H22="Sat",G22*24-F22*24-1,IF(H22="Sun",G22*24-F22*24-1,G22*24-F22*24))</f>
        <v>1.0000000000000107</v>
      </c>
      <c r="J22" s="90">
        <v>1</v>
      </c>
      <c r="K22" s="91">
        <f t="shared" si="1"/>
        <v>1.0000000000000107</v>
      </c>
    </row>
    <row r="23" spans="1:12">
      <c r="A23" s="82" t="s">
        <v>57</v>
      </c>
      <c r="B23" s="96" t="s">
        <v>125</v>
      </c>
      <c r="C23" s="96" t="s">
        <v>124</v>
      </c>
      <c r="D23" s="80">
        <v>1</v>
      </c>
      <c r="E23" s="80">
        <v>21</v>
      </c>
      <c r="F23" s="76">
        <v>0.54166666666666696</v>
      </c>
      <c r="G23" s="76">
        <v>0.75</v>
      </c>
      <c r="H23" s="81" t="s">
        <v>105</v>
      </c>
      <c r="I23" s="89">
        <f t="shared" si="2"/>
        <v>3.9999999999999929</v>
      </c>
      <c r="J23" s="90">
        <v>1</v>
      </c>
      <c r="K23" s="91">
        <f t="shared" si="1"/>
        <v>3.9999999999999929</v>
      </c>
    </row>
    <row r="24" spans="1:12">
      <c r="A24" s="82" t="s">
        <v>57</v>
      </c>
      <c r="B24" s="96" t="s">
        <v>125</v>
      </c>
      <c r="C24" s="96" t="s">
        <v>126</v>
      </c>
      <c r="D24" s="80">
        <v>1</v>
      </c>
      <c r="E24" s="80">
        <v>22</v>
      </c>
      <c r="F24" s="76">
        <v>0.79166666666666696</v>
      </c>
      <c r="G24" s="76">
        <v>0.91666666666666696</v>
      </c>
      <c r="H24" s="81" t="s">
        <v>108</v>
      </c>
      <c r="I24" s="89">
        <f t="shared" si="2"/>
        <v>2</v>
      </c>
      <c r="J24" s="90">
        <v>1</v>
      </c>
      <c r="K24" s="91">
        <f t="shared" si="1"/>
        <v>2</v>
      </c>
    </row>
    <row r="25" spans="1:12">
      <c r="A25" s="82" t="s">
        <v>57</v>
      </c>
      <c r="B25" s="96" t="s">
        <v>125</v>
      </c>
      <c r="C25" s="96" t="s">
        <v>126</v>
      </c>
      <c r="D25" s="80">
        <v>2</v>
      </c>
      <c r="E25" s="80">
        <v>6</v>
      </c>
      <c r="F25" s="76">
        <v>0.79166666666666696</v>
      </c>
      <c r="G25" s="76">
        <v>0.89583333333333404</v>
      </c>
      <c r="H25" s="81" t="s">
        <v>99</v>
      </c>
      <c r="I25" s="89">
        <f t="shared" si="2"/>
        <v>2.5000000000000107</v>
      </c>
      <c r="J25" s="90">
        <v>1</v>
      </c>
      <c r="K25" s="91">
        <f t="shared" si="1"/>
        <v>2.5000000000000107</v>
      </c>
    </row>
    <row r="26" spans="1:12">
      <c r="A26" s="82" t="s">
        <v>57</v>
      </c>
      <c r="B26" s="96" t="s">
        <v>125</v>
      </c>
      <c r="C26" s="96" t="s">
        <v>124</v>
      </c>
      <c r="D26" s="80">
        <v>2</v>
      </c>
      <c r="E26" s="80">
        <v>7</v>
      </c>
      <c r="F26" s="76">
        <v>0.79166666666666696</v>
      </c>
      <c r="G26" s="76">
        <v>0.85416666666666696</v>
      </c>
      <c r="H26" s="81" t="s">
        <v>106</v>
      </c>
      <c r="I26" s="89">
        <f t="shared" si="2"/>
        <v>1.5</v>
      </c>
      <c r="J26" s="90">
        <v>1</v>
      </c>
      <c r="K26" s="91">
        <f t="shared" si="1"/>
        <v>1.5</v>
      </c>
    </row>
    <row r="27" spans="1:12">
      <c r="A27" s="82" t="s">
        <v>57</v>
      </c>
      <c r="B27" s="96" t="s">
        <v>125</v>
      </c>
      <c r="C27" s="96" t="s">
        <v>124</v>
      </c>
      <c r="D27" s="80">
        <v>2</v>
      </c>
      <c r="E27" s="80">
        <v>8</v>
      </c>
      <c r="F27" s="76">
        <v>0.79166666666666696</v>
      </c>
      <c r="G27" s="76">
        <v>0.89583333333333404</v>
      </c>
      <c r="H27" s="81" t="s">
        <v>107</v>
      </c>
      <c r="I27" s="89">
        <f t="shared" si="2"/>
        <v>2.5000000000000107</v>
      </c>
      <c r="J27" s="90">
        <v>1</v>
      </c>
      <c r="K27" s="91">
        <f t="shared" si="1"/>
        <v>2.5000000000000107</v>
      </c>
    </row>
    <row r="28" spans="1:12">
      <c r="A28" s="97" t="s">
        <v>50</v>
      </c>
      <c r="B28" s="96" t="s">
        <v>127</v>
      </c>
      <c r="C28" s="96" t="s">
        <v>128</v>
      </c>
      <c r="D28" s="80">
        <v>1</v>
      </c>
      <c r="E28" s="80">
        <v>23</v>
      </c>
      <c r="F28" s="76">
        <v>0.79166666666666696</v>
      </c>
      <c r="G28" s="76">
        <v>0.875000000000001</v>
      </c>
      <c r="H28" s="81" t="s">
        <v>99</v>
      </c>
      <c r="I28" s="89">
        <f t="shared" si="2"/>
        <v>2.0000000000000178</v>
      </c>
      <c r="J28" s="90">
        <v>1</v>
      </c>
      <c r="K28" s="91">
        <f t="shared" si="1"/>
        <v>2.0000000000000178</v>
      </c>
    </row>
    <row r="29" spans="1:12">
      <c r="A29" s="97" t="s">
        <v>50</v>
      </c>
      <c r="B29" s="96" t="s">
        <v>127</v>
      </c>
      <c r="C29" s="96" t="s">
        <v>128</v>
      </c>
      <c r="D29" s="80">
        <v>1</v>
      </c>
      <c r="E29" s="80">
        <v>24</v>
      </c>
      <c r="F29" s="76">
        <v>0.79166666666666696</v>
      </c>
      <c r="G29" s="76">
        <v>0.95833333333333404</v>
      </c>
      <c r="H29" s="81" t="s">
        <v>106</v>
      </c>
      <c r="I29" s="89">
        <f t="shared" si="2"/>
        <v>4.0000000000000107</v>
      </c>
      <c r="J29" s="90">
        <v>1</v>
      </c>
      <c r="K29" s="91">
        <f t="shared" si="1"/>
        <v>4.0000000000000107</v>
      </c>
    </row>
    <row r="30" spans="1:12">
      <c r="A30" s="97" t="s">
        <v>50</v>
      </c>
      <c r="B30" s="96" t="s">
        <v>127</v>
      </c>
      <c r="C30" s="96" t="s">
        <v>128</v>
      </c>
      <c r="D30" s="80">
        <v>1</v>
      </c>
      <c r="E30" s="80">
        <v>25</v>
      </c>
      <c r="F30" s="76">
        <v>0.33333333333333331</v>
      </c>
      <c r="G30" s="76">
        <v>0.41666666666666702</v>
      </c>
      <c r="H30" s="81" t="s">
        <v>107</v>
      </c>
      <c r="I30" s="89">
        <f t="shared" si="2"/>
        <v>2.0000000000000089</v>
      </c>
      <c r="J30" s="90">
        <v>1</v>
      </c>
      <c r="K30" s="91">
        <f t="shared" si="1"/>
        <v>2.0000000000000089</v>
      </c>
      <c r="L30" s="99" t="s">
        <v>130</v>
      </c>
    </row>
    <row r="31" spans="1:12">
      <c r="A31" s="97" t="s">
        <v>50</v>
      </c>
      <c r="B31" s="96" t="s">
        <v>127</v>
      </c>
      <c r="C31" s="96" t="s">
        <v>128</v>
      </c>
      <c r="D31" s="80">
        <v>1</v>
      </c>
      <c r="E31" s="80">
        <v>25</v>
      </c>
      <c r="F31" s="76">
        <v>0.79166666666666696</v>
      </c>
      <c r="G31" s="76">
        <v>0.95833333333333404</v>
      </c>
      <c r="H31" s="98" t="s">
        <v>107</v>
      </c>
      <c r="I31" s="89">
        <f t="shared" si="2"/>
        <v>4.0000000000000107</v>
      </c>
      <c r="J31" s="90">
        <v>1</v>
      </c>
      <c r="K31" s="91">
        <f t="shared" si="1"/>
        <v>4.0000000000000107</v>
      </c>
    </row>
    <row r="32" spans="1:12">
      <c r="A32" s="97" t="s">
        <v>50</v>
      </c>
      <c r="B32" s="96" t="s">
        <v>127</v>
      </c>
      <c r="C32" s="96" t="s">
        <v>128</v>
      </c>
      <c r="D32" s="80">
        <v>1</v>
      </c>
      <c r="E32" s="80">
        <v>26</v>
      </c>
      <c r="F32" s="76">
        <v>0.33333333333333331</v>
      </c>
      <c r="G32" s="76">
        <v>0.45833333333333298</v>
      </c>
      <c r="H32" s="98" t="s">
        <v>104</v>
      </c>
      <c r="I32" s="89">
        <f t="shared" si="2"/>
        <v>2.9999999999999911</v>
      </c>
      <c r="J32" s="90">
        <v>1</v>
      </c>
      <c r="K32" s="91">
        <f t="shared" si="1"/>
        <v>2.9999999999999911</v>
      </c>
      <c r="L32" s="99" t="s">
        <v>130</v>
      </c>
    </row>
    <row r="33" spans="1:12">
      <c r="A33" s="97" t="s">
        <v>50</v>
      </c>
      <c r="B33" s="96" t="s">
        <v>127</v>
      </c>
      <c r="C33" s="96" t="s">
        <v>128</v>
      </c>
      <c r="D33" s="80">
        <v>1</v>
      </c>
      <c r="E33" s="80">
        <v>27</v>
      </c>
      <c r="F33" s="76">
        <v>0.375</v>
      </c>
      <c r="G33" s="76">
        <v>0.95833333333333404</v>
      </c>
      <c r="H33" s="81" t="s">
        <v>109</v>
      </c>
      <c r="I33" s="89">
        <f t="shared" si="2"/>
        <v>14.000000000000018</v>
      </c>
      <c r="J33" s="90">
        <v>1</v>
      </c>
      <c r="K33" s="91">
        <f t="shared" si="1"/>
        <v>14.000000000000018</v>
      </c>
    </row>
    <row r="34" spans="1:12">
      <c r="A34" s="97" t="s">
        <v>50</v>
      </c>
      <c r="B34" s="96" t="s">
        <v>127</v>
      </c>
      <c r="C34" s="96" t="s">
        <v>128</v>
      </c>
      <c r="D34" s="80">
        <v>1</v>
      </c>
      <c r="E34" s="80">
        <v>28</v>
      </c>
      <c r="F34" s="76">
        <v>0.33333333333333331</v>
      </c>
      <c r="G34" s="76">
        <v>0.5</v>
      </c>
      <c r="H34" s="81" t="s">
        <v>105</v>
      </c>
      <c r="I34" s="89">
        <f t="shared" si="2"/>
        <v>3</v>
      </c>
      <c r="J34" s="90">
        <v>1</v>
      </c>
      <c r="K34" s="91">
        <f t="shared" si="1"/>
        <v>3</v>
      </c>
      <c r="L34" s="99" t="s">
        <v>130</v>
      </c>
    </row>
    <row r="35" spans="1:12">
      <c r="A35" s="97" t="s">
        <v>50</v>
      </c>
      <c r="B35" s="96" t="s">
        <v>127</v>
      </c>
      <c r="C35" s="96" t="s">
        <v>128</v>
      </c>
      <c r="D35" s="80">
        <v>1</v>
      </c>
      <c r="E35" s="80">
        <v>31</v>
      </c>
      <c r="F35" s="76">
        <v>0.70833333333333404</v>
      </c>
      <c r="G35" s="76">
        <v>0.95833333333333404</v>
      </c>
      <c r="H35" s="81" t="s">
        <v>106</v>
      </c>
      <c r="I35" s="89">
        <f t="shared" si="2"/>
        <v>6</v>
      </c>
      <c r="J35" s="90">
        <v>1</v>
      </c>
      <c r="K35" s="91">
        <f t="shared" si="1"/>
        <v>6</v>
      </c>
    </row>
    <row r="36" spans="1:12">
      <c r="A36" s="97" t="s">
        <v>50</v>
      </c>
      <c r="B36" s="96" t="s">
        <v>127</v>
      </c>
      <c r="C36" s="96" t="s">
        <v>129</v>
      </c>
      <c r="D36" s="80">
        <v>2</v>
      </c>
      <c r="E36" s="80">
        <v>10</v>
      </c>
      <c r="F36" s="76">
        <v>0.79166666666666696</v>
      </c>
      <c r="G36" s="76">
        <v>0.95833333333333404</v>
      </c>
      <c r="H36" s="81" t="s">
        <v>109</v>
      </c>
      <c r="I36" s="89">
        <f t="shared" si="2"/>
        <v>4.0000000000000107</v>
      </c>
      <c r="J36" s="90">
        <v>1</v>
      </c>
      <c r="K36" s="91">
        <f t="shared" si="1"/>
        <v>4.0000000000000107</v>
      </c>
    </row>
    <row r="37" spans="1:12">
      <c r="A37" s="97" t="s">
        <v>50</v>
      </c>
      <c r="B37" s="96" t="s">
        <v>127</v>
      </c>
      <c r="C37" s="96" t="s">
        <v>129</v>
      </c>
      <c r="D37" s="80">
        <v>2</v>
      </c>
      <c r="E37" s="80">
        <v>11</v>
      </c>
      <c r="F37" s="76">
        <v>0.33333333333333331</v>
      </c>
      <c r="G37" s="76">
        <v>0.625</v>
      </c>
      <c r="H37" s="81" t="s">
        <v>105</v>
      </c>
      <c r="I37" s="89">
        <f t="shared" si="2"/>
        <v>6</v>
      </c>
      <c r="J37" s="90">
        <v>1</v>
      </c>
      <c r="K37" s="91">
        <f t="shared" si="1"/>
        <v>6</v>
      </c>
      <c r="L37" s="99" t="s">
        <v>130</v>
      </c>
    </row>
    <row r="38" spans="1:12">
      <c r="A38" s="97" t="s">
        <v>50</v>
      </c>
      <c r="B38" s="96" t="s">
        <v>127</v>
      </c>
      <c r="C38" s="96" t="s">
        <v>129</v>
      </c>
      <c r="D38" s="80">
        <v>2</v>
      </c>
      <c r="E38" s="80">
        <v>11</v>
      </c>
      <c r="F38" s="76">
        <v>0.375</v>
      </c>
      <c r="G38" s="76">
        <v>0.95833333333333404</v>
      </c>
      <c r="H38" s="81" t="s">
        <v>105</v>
      </c>
      <c r="I38" s="89">
        <f t="shared" si="2"/>
        <v>13.000000000000018</v>
      </c>
      <c r="J38" s="90">
        <v>1</v>
      </c>
      <c r="K38" s="91">
        <f t="shared" si="1"/>
        <v>13.000000000000018</v>
      </c>
      <c r="L38" s="99"/>
    </row>
    <row r="39" spans="1:12">
      <c r="A39" s="97" t="s">
        <v>50</v>
      </c>
      <c r="B39" s="96" t="s">
        <v>127</v>
      </c>
      <c r="C39" s="96" t="s">
        <v>131</v>
      </c>
      <c r="D39" s="80">
        <v>2</v>
      </c>
      <c r="E39" s="80">
        <v>14</v>
      </c>
      <c r="F39" s="76">
        <v>0.79166666666666696</v>
      </c>
      <c r="G39" s="76">
        <v>0.95833333333333404</v>
      </c>
      <c r="H39" s="81" t="s">
        <v>106</v>
      </c>
      <c r="I39" s="89">
        <f t="shared" si="2"/>
        <v>4.0000000000000107</v>
      </c>
      <c r="J39" s="90">
        <v>1</v>
      </c>
      <c r="K39" s="91">
        <f t="shared" si="1"/>
        <v>4.0000000000000107</v>
      </c>
    </row>
    <row r="40" spans="1:12">
      <c r="A40" s="97" t="s">
        <v>50</v>
      </c>
      <c r="B40" s="96" t="s">
        <v>127</v>
      </c>
      <c r="C40" s="96" t="s">
        <v>131</v>
      </c>
      <c r="D40" s="80">
        <v>2</v>
      </c>
      <c r="E40" s="80">
        <v>15</v>
      </c>
      <c r="F40" s="76">
        <v>0.79166666666666696</v>
      </c>
      <c r="G40" s="76">
        <v>0.95833333333333404</v>
      </c>
      <c r="H40" s="81" t="s">
        <v>107</v>
      </c>
      <c r="I40" s="89">
        <f t="shared" si="2"/>
        <v>4.0000000000000107</v>
      </c>
      <c r="J40" s="90">
        <v>1</v>
      </c>
      <c r="K40" s="91">
        <f t="shared" si="1"/>
        <v>4.0000000000000107</v>
      </c>
    </row>
    <row r="41" spans="1:12">
      <c r="A41" s="97" t="s">
        <v>50</v>
      </c>
      <c r="B41" s="96" t="s">
        <v>127</v>
      </c>
      <c r="C41" s="96" t="s">
        <v>131</v>
      </c>
      <c r="D41" s="80">
        <v>2</v>
      </c>
      <c r="E41" s="80">
        <v>16</v>
      </c>
      <c r="F41" s="76">
        <v>0.33333333333333331</v>
      </c>
      <c r="G41" s="76">
        <v>0.375</v>
      </c>
      <c r="H41" s="81" t="s">
        <v>104</v>
      </c>
      <c r="I41" s="89">
        <f t="shared" si="2"/>
        <v>1</v>
      </c>
      <c r="J41" s="90">
        <v>1</v>
      </c>
      <c r="K41" s="91">
        <f t="shared" si="1"/>
        <v>1</v>
      </c>
      <c r="L41" s="99" t="s">
        <v>130</v>
      </c>
    </row>
    <row r="42" spans="1:12">
      <c r="A42" s="82" t="s">
        <v>49</v>
      </c>
      <c r="B42" s="96" t="s">
        <v>127</v>
      </c>
      <c r="C42" s="96" t="s">
        <v>128</v>
      </c>
      <c r="D42" s="80">
        <v>1</v>
      </c>
      <c r="E42" s="80">
        <v>27</v>
      </c>
      <c r="F42" s="76">
        <v>0.375</v>
      </c>
      <c r="G42" s="76">
        <v>0.79166666666666696</v>
      </c>
      <c r="H42" s="81" t="s">
        <v>109</v>
      </c>
      <c r="I42" s="89">
        <f t="shared" si="2"/>
        <v>10.000000000000007</v>
      </c>
      <c r="J42" s="90">
        <v>1</v>
      </c>
      <c r="K42" s="91">
        <f t="shared" si="1"/>
        <v>10.000000000000007</v>
      </c>
    </row>
    <row r="43" spans="1:12">
      <c r="A43" s="82" t="s">
        <v>49</v>
      </c>
      <c r="B43" s="96" t="s">
        <v>127</v>
      </c>
      <c r="C43" s="96" t="s">
        <v>128</v>
      </c>
      <c r="D43" s="80">
        <v>1</v>
      </c>
      <c r="E43" s="80">
        <v>31</v>
      </c>
      <c r="F43" s="76">
        <v>0.375</v>
      </c>
      <c r="G43" s="76">
        <v>0.75</v>
      </c>
      <c r="H43" s="81" t="s">
        <v>106</v>
      </c>
      <c r="I43" s="89">
        <f t="shared" si="2"/>
        <v>9</v>
      </c>
      <c r="J43" s="90">
        <v>1</v>
      </c>
      <c r="K43" s="91">
        <f t="shared" si="1"/>
        <v>9</v>
      </c>
    </row>
    <row r="44" spans="1:12">
      <c r="A44" s="82" t="s">
        <v>49</v>
      </c>
      <c r="B44" s="96" t="s">
        <v>127</v>
      </c>
      <c r="C44" s="96" t="s">
        <v>128</v>
      </c>
      <c r="D44" s="80">
        <v>2</v>
      </c>
      <c r="E44" s="80">
        <v>3</v>
      </c>
      <c r="F44" s="76">
        <v>0.33333333333333331</v>
      </c>
      <c r="G44" s="76">
        <v>0.45833333333333298</v>
      </c>
      <c r="H44" s="81" t="s">
        <v>109</v>
      </c>
      <c r="I44" s="89">
        <f t="shared" si="2"/>
        <v>2.9999999999999911</v>
      </c>
      <c r="J44" s="90">
        <v>1</v>
      </c>
      <c r="K44" s="91">
        <f t="shared" si="1"/>
        <v>2.9999999999999911</v>
      </c>
    </row>
    <row r="45" spans="1:12">
      <c r="A45" s="82" t="s">
        <v>57</v>
      </c>
      <c r="B45" s="96" t="s">
        <v>125</v>
      </c>
      <c r="C45" s="96" t="s">
        <v>124</v>
      </c>
      <c r="D45" s="80">
        <v>2</v>
      </c>
      <c r="E45" s="80">
        <v>18</v>
      </c>
      <c r="F45" s="76">
        <v>0.54166666666666696</v>
      </c>
      <c r="G45" s="76">
        <v>0.77083333333333404</v>
      </c>
      <c r="H45" s="81" t="s">
        <v>105</v>
      </c>
      <c r="I45" s="89">
        <f t="shared" si="2"/>
        <v>4.5000000000000107</v>
      </c>
      <c r="J45" s="90">
        <v>1</v>
      </c>
      <c r="K45" s="91">
        <f t="shared" si="1"/>
        <v>4.5000000000000107</v>
      </c>
    </row>
    <row r="46" spans="1:12">
      <c r="A46" s="97" t="s">
        <v>50</v>
      </c>
      <c r="B46" s="96" t="s">
        <v>127</v>
      </c>
      <c r="C46" s="96" t="s">
        <v>129</v>
      </c>
      <c r="D46" s="80">
        <v>2</v>
      </c>
      <c r="E46" s="80">
        <v>18</v>
      </c>
      <c r="F46" s="76">
        <v>0.375</v>
      </c>
      <c r="G46" s="76">
        <v>0.95833333333333404</v>
      </c>
      <c r="H46" s="81" t="s">
        <v>105</v>
      </c>
      <c r="I46" s="89">
        <f t="shared" si="2"/>
        <v>13.000000000000018</v>
      </c>
      <c r="J46" s="90">
        <v>1</v>
      </c>
      <c r="K46" s="91">
        <f t="shared" si="1"/>
        <v>13.000000000000018</v>
      </c>
    </row>
    <row r="47" spans="1:12">
      <c r="A47" s="97" t="s">
        <v>50</v>
      </c>
      <c r="B47" s="96" t="s">
        <v>127</v>
      </c>
      <c r="C47" s="96" t="s">
        <v>129</v>
      </c>
      <c r="D47" s="80">
        <v>2</v>
      </c>
      <c r="E47" s="80">
        <v>19</v>
      </c>
      <c r="F47" s="76">
        <v>0.41666666666666702</v>
      </c>
      <c r="G47" s="76">
        <v>0.79166666666666696</v>
      </c>
      <c r="H47" s="81" t="s">
        <v>108</v>
      </c>
      <c r="I47" s="89">
        <f t="shared" si="2"/>
        <v>7.9999999999999982</v>
      </c>
      <c r="J47" s="90">
        <v>1</v>
      </c>
      <c r="K47" s="91">
        <f t="shared" si="1"/>
        <v>7.9999999999999982</v>
      </c>
    </row>
    <row r="48" spans="1:12">
      <c r="A48" s="97" t="s">
        <v>50</v>
      </c>
      <c r="B48" s="96" t="s">
        <v>127</v>
      </c>
      <c r="C48" s="96" t="s">
        <v>129</v>
      </c>
      <c r="D48" s="80">
        <v>2</v>
      </c>
      <c r="E48" s="80">
        <v>20</v>
      </c>
      <c r="F48" s="76">
        <v>0.33333333333333331</v>
      </c>
      <c r="G48" s="76">
        <v>0.45833333333333298</v>
      </c>
      <c r="H48" s="81" t="s">
        <v>99</v>
      </c>
      <c r="I48" s="89">
        <f t="shared" si="2"/>
        <v>2.9999999999999911</v>
      </c>
      <c r="J48" s="90">
        <v>1</v>
      </c>
      <c r="K48" s="91">
        <f t="shared" si="1"/>
        <v>2.9999999999999911</v>
      </c>
      <c r="L48" s="99" t="s">
        <v>132</v>
      </c>
    </row>
    <row r="49" spans="1:11">
      <c r="A49" s="97" t="s">
        <v>50</v>
      </c>
      <c r="B49" s="96" t="s">
        <v>127</v>
      </c>
      <c r="C49" s="96" t="s">
        <v>129</v>
      </c>
      <c r="D49" s="85">
        <v>2</v>
      </c>
      <c r="E49" s="85">
        <v>20</v>
      </c>
      <c r="F49" s="76">
        <v>0.79166666666666696</v>
      </c>
      <c r="G49" s="76">
        <v>0.91666666666666696</v>
      </c>
      <c r="H49" s="81" t="s">
        <v>99</v>
      </c>
      <c r="I49" s="89">
        <f t="shared" si="2"/>
        <v>3</v>
      </c>
      <c r="J49" s="90">
        <v>1</v>
      </c>
      <c r="K49" s="91">
        <f t="shared" si="1"/>
        <v>3</v>
      </c>
    </row>
    <row r="50" spans="1:11">
      <c r="A50" s="82" t="s">
        <v>57</v>
      </c>
      <c r="B50" s="96" t="s">
        <v>125</v>
      </c>
      <c r="C50" s="96" t="s">
        <v>124</v>
      </c>
      <c r="D50" s="80">
        <v>2</v>
      </c>
      <c r="E50" s="80">
        <v>22</v>
      </c>
      <c r="F50" s="76">
        <v>0.79166666666666696</v>
      </c>
      <c r="G50" s="76">
        <v>0.85416666666666696</v>
      </c>
      <c r="H50" s="81" t="s">
        <v>107</v>
      </c>
      <c r="I50" s="89">
        <f t="shared" ref="I50" si="3">IF(H50="Sat",G50*24-F50*24-1,IF(H50="Sun",G50*24-F50*24-1,G50*24-F50*24))</f>
        <v>1.5</v>
      </c>
      <c r="J50" s="90">
        <v>1</v>
      </c>
      <c r="K50" s="91">
        <f t="shared" ref="K50" si="4">I50*J50</f>
        <v>1.5</v>
      </c>
    </row>
    <row r="51" spans="1:11">
      <c r="A51" s="97" t="s">
        <v>50</v>
      </c>
      <c r="B51" s="96" t="s">
        <v>127</v>
      </c>
      <c r="C51" s="96" t="s">
        <v>129</v>
      </c>
      <c r="D51" s="80">
        <v>2</v>
      </c>
      <c r="E51" s="100">
        <v>21</v>
      </c>
      <c r="F51" s="76">
        <v>0.79166666666666696</v>
      </c>
      <c r="G51" s="76">
        <v>0.91666666666666696</v>
      </c>
      <c r="H51" s="81" t="s">
        <v>106</v>
      </c>
      <c r="I51" s="89">
        <f t="shared" si="2"/>
        <v>3</v>
      </c>
      <c r="J51" s="90">
        <v>1</v>
      </c>
      <c r="K51" s="91">
        <f t="shared" si="1"/>
        <v>3</v>
      </c>
    </row>
    <row r="52" spans="1:11">
      <c r="A52" s="97" t="s">
        <v>50</v>
      </c>
      <c r="B52" s="96" t="s">
        <v>127</v>
      </c>
      <c r="C52" s="96" t="s">
        <v>129</v>
      </c>
      <c r="D52" s="80">
        <v>2</v>
      </c>
      <c r="E52" s="85">
        <v>23</v>
      </c>
      <c r="F52" s="76">
        <v>0.79166666666666696</v>
      </c>
      <c r="G52" s="76">
        <v>0.95833333333333404</v>
      </c>
      <c r="H52" s="81" t="s">
        <v>104</v>
      </c>
      <c r="I52" s="89">
        <f t="shared" si="2"/>
        <v>4.0000000000000107</v>
      </c>
      <c r="J52" s="90">
        <v>1</v>
      </c>
      <c r="K52" s="91">
        <f t="shared" si="1"/>
        <v>4.0000000000000107</v>
      </c>
    </row>
    <row r="53" spans="1:11">
      <c r="A53" s="82" t="s">
        <v>57</v>
      </c>
      <c r="B53" s="96" t="s">
        <v>125</v>
      </c>
      <c r="C53" s="96" t="s">
        <v>124</v>
      </c>
      <c r="D53" s="80">
        <v>2</v>
      </c>
      <c r="E53" s="80">
        <v>24</v>
      </c>
      <c r="F53" s="76">
        <v>0.79166666666666696</v>
      </c>
      <c r="G53" s="76">
        <v>0.83333333333333404</v>
      </c>
      <c r="H53" s="81" t="s">
        <v>109</v>
      </c>
      <c r="I53" s="89">
        <f t="shared" si="2"/>
        <v>1.0000000000000107</v>
      </c>
      <c r="J53" s="90">
        <v>1</v>
      </c>
      <c r="K53" s="91">
        <f t="shared" si="1"/>
        <v>1.0000000000000107</v>
      </c>
    </row>
    <row r="54" spans="1:11">
      <c r="A54" s="82" t="s">
        <v>57</v>
      </c>
      <c r="B54" s="96" t="s">
        <v>125</v>
      </c>
      <c r="C54" s="96" t="s">
        <v>124</v>
      </c>
      <c r="D54" s="80">
        <v>2</v>
      </c>
      <c r="E54" s="80">
        <v>27</v>
      </c>
      <c r="F54" s="76">
        <v>0.79166666666666696</v>
      </c>
      <c r="G54" s="76">
        <v>0.85416666666666696</v>
      </c>
      <c r="H54" s="81" t="s">
        <v>99</v>
      </c>
      <c r="I54" s="89">
        <f t="shared" ref="I54" si="5">IF(H54="Sat",G54*24-F54*24-1,IF(H54="Sun",G54*24-F54*24-1,G54*24-F54*24))</f>
        <v>1.5</v>
      </c>
      <c r="J54" s="90">
        <v>1</v>
      </c>
      <c r="K54" s="91">
        <f t="shared" ref="K54" si="6">I54*J54</f>
        <v>1.5</v>
      </c>
    </row>
    <row r="55" spans="1:11">
      <c r="A55" s="82" t="s">
        <v>57</v>
      </c>
      <c r="B55" s="96" t="s">
        <v>133</v>
      </c>
      <c r="C55" s="96" t="s">
        <v>124</v>
      </c>
      <c r="D55" s="80">
        <v>3</v>
      </c>
      <c r="E55" s="80">
        <v>1</v>
      </c>
      <c r="F55" s="76">
        <v>0.79166666666666696</v>
      </c>
      <c r="G55" s="76">
        <v>0.875000000000001</v>
      </c>
      <c r="H55" s="81" t="s">
        <v>107</v>
      </c>
      <c r="I55" s="89">
        <f t="shared" ref="I55:I56" si="7">IF(H55="Sat",G55*24-F55*24-1,IF(H55="Sun",G55*24-F55*24-1,G55*24-F55*24))</f>
        <v>2.0000000000000178</v>
      </c>
      <c r="J55" s="90">
        <v>1</v>
      </c>
      <c r="K55" s="91">
        <f t="shared" ref="K55:K56" si="8">I55*J55</f>
        <v>2.0000000000000178</v>
      </c>
    </row>
    <row r="56" spans="1:11">
      <c r="A56" s="82" t="s">
        <v>57</v>
      </c>
      <c r="B56" s="96" t="s">
        <v>133</v>
      </c>
      <c r="C56" s="96" t="s">
        <v>124</v>
      </c>
      <c r="D56" s="80">
        <v>3</v>
      </c>
      <c r="E56" s="80">
        <v>2</v>
      </c>
      <c r="F56" s="76">
        <v>0.79166666666666696</v>
      </c>
      <c r="G56" s="76">
        <v>0.875000000000001</v>
      </c>
      <c r="H56" s="81" t="s">
        <v>104</v>
      </c>
      <c r="I56" s="89">
        <f t="shared" si="7"/>
        <v>2.0000000000000178</v>
      </c>
      <c r="J56" s="90">
        <v>1</v>
      </c>
      <c r="K56" s="91">
        <f t="shared" si="8"/>
        <v>2.0000000000000178</v>
      </c>
    </row>
    <row r="57" spans="1:11">
      <c r="A57" s="82" t="s">
        <v>57</v>
      </c>
      <c r="B57" s="96" t="s">
        <v>133</v>
      </c>
      <c r="C57" s="96" t="s">
        <v>124</v>
      </c>
      <c r="D57" s="80">
        <v>3</v>
      </c>
      <c r="E57" s="80">
        <v>3</v>
      </c>
      <c r="F57" s="76">
        <v>0.79166666666666696</v>
      </c>
      <c r="G57" s="76">
        <v>0.875000000000001</v>
      </c>
      <c r="H57" s="81" t="s">
        <v>109</v>
      </c>
      <c r="I57" s="89">
        <f t="shared" ref="I57:I58" si="9">IF(H57="Sat",G57*24-F57*24-1,IF(H57="Sun",G57*24-F57*24-1,G57*24-F57*24))</f>
        <v>2.0000000000000178</v>
      </c>
      <c r="J57" s="90">
        <v>1</v>
      </c>
      <c r="K57" s="91">
        <f t="shared" ref="K57:K58" si="10">I57*J57</f>
        <v>2.0000000000000178</v>
      </c>
    </row>
    <row r="58" spans="1:11">
      <c r="A58" s="82" t="s">
        <v>57</v>
      </c>
      <c r="B58" s="96" t="s">
        <v>133</v>
      </c>
      <c r="C58" s="96" t="s">
        <v>124</v>
      </c>
      <c r="D58" s="80">
        <v>3</v>
      </c>
      <c r="E58" s="80">
        <v>6</v>
      </c>
      <c r="F58" s="76">
        <v>0.79166666666666696</v>
      </c>
      <c r="G58" s="76">
        <v>0.85416666666666696</v>
      </c>
      <c r="H58" s="81" t="s">
        <v>99</v>
      </c>
      <c r="I58" s="89">
        <f t="shared" si="9"/>
        <v>1.5</v>
      </c>
      <c r="J58" s="90">
        <v>1</v>
      </c>
      <c r="K58" s="91">
        <f t="shared" si="10"/>
        <v>1.5</v>
      </c>
    </row>
    <row r="59" spans="1:11">
      <c r="A59" s="82" t="s">
        <v>57</v>
      </c>
      <c r="B59" s="96" t="s">
        <v>125</v>
      </c>
      <c r="C59" s="96" t="s">
        <v>124</v>
      </c>
      <c r="D59" s="80">
        <v>3</v>
      </c>
      <c r="E59" s="80">
        <v>7</v>
      </c>
      <c r="F59" s="76">
        <v>0.79166666666666696</v>
      </c>
      <c r="G59" s="76">
        <v>0.875000000000001</v>
      </c>
      <c r="H59" s="81" t="s">
        <v>106</v>
      </c>
      <c r="I59" s="89">
        <f t="shared" ref="I59:I60" si="11">IF(H59="Sat",G59*24-F59*24-1,IF(H59="Sun",G59*24-F59*24-1,G59*24-F59*24))</f>
        <v>2.0000000000000178</v>
      </c>
      <c r="J59" s="90">
        <v>1</v>
      </c>
      <c r="K59" s="91">
        <f t="shared" ref="K59:K60" si="12">I59*J59</f>
        <v>2.0000000000000178</v>
      </c>
    </row>
    <row r="60" spans="1:11">
      <c r="A60" s="82" t="s">
        <v>57</v>
      </c>
      <c r="B60" s="96" t="s">
        <v>133</v>
      </c>
      <c r="C60" s="96" t="s">
        <v>124</v>
      </c>
      <c r="D60" s="80">
        <v>3</v>
      </c>
      <c r="E60" s="80">
        <v>8</v>
      </c>
      <c r="F60" s="76">
        <v>0.79166666666666696</v>
      </c>
      <c r="G60" s="76">
        <v>0.91666666666666696</v>
      </c>
      <c r="H60" s="81" t="s">
        <v>107</v>
      </c>
      <c r="I60" s="89">
        <f t="shared" si="11"/>
        <v>3</v>
      </c>
      <c r="J60" s="90">
        <v>1</v>
      </c>
      <c r="K60" s="91">
        <f t="shared" si="12"/>
        <v>3</v>
      </c>
    </row>
    <row r="61" spans="1:11">
      <c r="A61" s="82" t="s">
        <v>49</v>
      </c>
      <c r="B61" s="96" t="s">
        <v>134</v>
      </c>
      <c r="C61" s="96" t="s">
        <v>135</v>
      </c>
      <c r="D61" s="80">
        <v>3</v>
      </c>
      <c r="E61" s="80">
        <v>11</v>
      </c>
      <c r="F61" s="76">
        <v>0.375</v>
      </c>
      <c r="G61" s="76">
        <v>0.70833333333333404</v>
      </c>
      <c r="H61" s="81" t="s">
        <v>107</v>
      </c>
      <c r="I61" s="89">
        <f t="shared" ref="I61" si="13">IF(H61="Sat",G61*24-F61*24-1,IF(H61="Sun",G61*24-F61*24-1,G61*24-F61*24))</f>
        <v>8.0000000000000178</v>
      </c>
      <c r="J61" s="90">
        <v>1</v>
      </c>
      <c r="K61" s="91">
        <f t="shared" ref="K61" si="14">I61*J61</f>
        <v>8.0000000000000178</v>
      </c>
    </row>
    <row r="62" spans="1:11">
      <c r="A62" s="82" t="s">
        <v>49</v>
      </c>
      <c r="B62" s="96" t="s">
        <v>134</v>
      </c>
      <c r="C62" s="96" t="s">
        <v>135</v>
      </c>
      <c r="D62" s="80">
        <v>3</v>
      </c>
      <c r="E62" s="80">
        <v>25</v>
      </c>
      <c r="F62" s="76">
        <v>0.375</v>
      </c>
      <c r="G62" s="76">
        <v>0.70833333333333404</v>
      </c>
      <c r="H62" s="81" t="s">
        <v>107</v>
      </c>
      <c r="I62" s="89">
        <f t="shared" ref="I62" si="15">IF(H62="Sat",G62*24-F62*24-1,IF(H62="Sun",G62*24-F62*24-1,G62*24-F62*24))</f>
        <v>8.0000000000000178</v>
      </c>
      <c r="J62" s="90">
        <v>1</v>
      </c>
      <c r="K62" s="91">
        <f t="shared" ref="K62" si="16">I62*J62</f>
        <v>8.0000000000000178</v>
      </c>
    </row>
    <row r="63" spans="1:11">
      <c r="J63" s="66"/>
    </row>
    <row r="64" spans="1:11">
      <c r="J64" s="66"/>
    </row>
    <row r="65" spans="10:10">
      <c r="J65" s="66"/>
    </row>
    <row r="66" spans="10:10">
      <c r="J66" s="66"/>
    </row>
    <row r="67" spans="10:10">
      <c r="J67" s="66"/>
    </row>
    <row r="68" spans="10:10">
      <c r="J68" s="66"/>
    </row>
    <row r="69" spans="10:10">
      <c r="J69" s="66"/>
    </row>
    <row r="70" spans="10:10">
      <c r="J70" s="66"/>
    </row>
    <row r="71" spans="10:10">
      <c r="J71" s="66"/>
    </row>
    <row r="72" spans="10:10">
      <c r="J72" s="66"/>
    </row>
    <row r="73" spans="10:10">
      <c r="J73" s="66"/>
    </row>
    <row r="74" spans="10:10">
      <c r="J74" s="66"/>
    </row>
    <row r="75" spans="10:10">
      <c r="J75" s="66"/>
    </row>
    <row r="76" spans="10:10">
      <c r="J76" s="66"/>
    </row>
    <row r="77" spans="10:10">
      <c r="J77" s="66"/>
    </row>
    <row r="78" spans="10:10">
      <c r="J78" s="66"/>
    </row>
    <row r="79" spans="10:10">
      <c r="J79" s="66"/>
    </row>
    <row r="80" spans="10:10">
      <c r="J80" s="66"/>
    </row>
    <row r="81" spans="10:10">
      <c r="J81" s="66"/>
    </row>
    <row r="82" spans="10:10">
      <c r="J82" s="66"/>
    </row>
    <row r="83" spans="10:10">
      <c r="J83" s="66"/>
    </row>
    <row r="84" spans="10:10">
      <c r="J84" s="66"/>
    </row>
    <row r="85" spans="10:10">
      <c r="J85" s="66"/>
    </row>
    <row r="86" spans="10:10">
      <c r="J86" s="66"/>
    </row>
  </sheetData>
  <mergeCells count="4">
    <mergeCell ref="A1:B2"/>
    <mergeCell ref="I1:I3"/>
    <mergeCell ref="J1:J3"/>
    <mergeCell ref="K1:K3"/>
  </mergeCells>
  <phoneticPr fontId="12" type="noConversion"/>
  <pageMargins left="0.7" right="0.7" top="0.9448818897637794" bottom="0.9448818897637794" header="0.3" footer="0.3"/>
  <pageSetup orientation="landscape" r:id="rId1"/>
  <headerFooter>
    <oddHeader>&amp;L&amp;G&amp;C&amp;11REPORT&amp;B&amp;14_x000D_OT Tracking Tool&amp;R&amp;11&amp;P (&amp;N)</oddHeader>
    <oddFooter>&amp;L&amp;11Prepared: Rachel Nie&amp;C&amp;11Date: 2015-09-15
Sheet: &amp;A
Ericsson Internal&amp;R&amp;11_x000D_Rev: PA1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Database!$A$2:$A$4</xm:f>
          </x14:formula1>
          <xm:sqref>D12:D45 D50:D62</xm:sqref>
        </x14:dataValidation>
        <x14:dataValidation type="list" allowBlank="1" showInputMessage="1" showErrorMessage="1">
          <x14:formula1>
            <xm:f>'C:\00_Work\OBS\OT\[OT Tracker_2016.xlsx]Database'!#REF!</xm:f>
          </x14:formula1>
          <xm:sqref>J4:J62</xm:sqref>
        </x14:dataValidation>
        <x14:dataValidation type="list" allowBlank="1" showInputMessage="1" showErrorMessage="1">
          <x14:formula1>
            <xm:f>Database!$C$2:$C$8</xm:f>
          </x14:formula1>
          <xm:sqref>H12:H45 H50:H62</xm:sqref>
        </x14:dataValidation>
        <x14:dataValidation type="list" allowBlank="1" showInputMessage="1" showErrorMessage="1">
          <x14:formula1>
            <xm:f>Database!$B$2:$B$32</xm:f>
          </x14:formula1>
          <xm:sqref>E12:E45 E50:E51 E53:E62</xm:sqref>
        </x14:dataValidation>
        <x14:dataValidation type="list" allowBlank="1" showInputMessage="1" showErrorMessage="1">
          <x14:formula1>
            <xm:f>Database!$D$2:$D$33</xm:f>
          </x14:formula1>
          <xm:sqref>F12:G45 G50:G51 F50:F62 G53:G62</xm:sqref>
        </x14:dataValidation>
        <x14:dataValidation type="list" allowBlank="1" showInputMessage="1" showErrorMessage="1">
          <x14:formula1>
            <xm:f>'[OT and Leave Record_Y2017111.xlsx]Database'!#REF!</xm:f>
          </x14:formula1>
          <xm:sqref>D4:H11</xm:sqref>
        </x14:dataValidation>
        <x14:dataValidation type="list" allowBlank="1" showInputMessage="1" showErrorMessage="1">
          <x14:formula1>
            <xm:f>'C:\Users\EJIAZXU\Desktop\[OT and Leave Record_Y2017 (Repaired).xlsx]Database'!#REF!</xm:f>
          </x14:formula1>
          <xm:sqref>G52 D46:H49</xm:sqref>
        </x14:dataValidation>
        <x14:dataValidation type="list" allowBlank="1" showInputMessage="1" showErrorMessage="1">
          <x14:formula1>
            <xm:f>Database!$E$2:$E$50</xm:f>
          </x14:formula1>
          <xm:sqref>A4:A62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8"/>
  <sheetViews>
    <sheetView workbookViewId="0">
      <pane xSplit="11" ySplit="3" topLeftCell="L45" activePane="bottomRight" state="frozen"/>
      <selection activeCell="C43" sqref="C43"/>
      <selection pane="topRight" activeCell="C43" sqref="C43"/>
      <selection pane="bottomLeft" activeCell="C43" sqref="C43"/>
      <selection pane="bottomRight" activeCell="H58" sqref="H58"/>
    </sheetView>
  </sheetViews>
  <sheetFormatPr defaultColWidth="9.140625" defaultRowHeight="15"/>
  <cols>
    <col min="1" max="1" width="17.140625" style="42" customWidth="1"/>
    <col min="2" max="2" width="34" style="42" customWidth="1"/>
    <col min="3" max="3" width="44.5703125" style="42" customWidth="1"/>
    <col min="4" max="5" width="5.140625" style="42" bestFit="1" customWidth="1"/>
    <col min="6" max="7" width="5.7109375" style="65" customWidth="1"/>
    <col min="8" max="8" width="10" style="47" bestFit="1" customWidth="1"/>
    <col min="9" max="9" width="6.140625" style="42" bestFit="1" customWidth="1"/>
    <col min="10" max="10" width="5.28515625" style="42" bestFit="1" customWidth="1"/>
    <col min="11" max="11" width="8" style="42" bestFit="1" customWidth="1"/>
    <col min="12" max="16384" width="9.140625" style="42"/>
  </cols>
  <sheetData>
    <row r="1" spans="1:11" ht="15.75" customHeight="1">
      <c r="A1" s="110" t="s">
        <v>111</v>
      </c>
      <c r="B1" s="111"/>
      <c r="C1" s="55" t="s">
        <v>92</v>
      </c>
      <c r="D1" s="55"/>
      <c r="E1" s="55"/>
      <c r="F1" s="55"/>
      <c r="G1" s="55"/>
      <c r="H1" s="56"/>
      <c r="I1" s="114" t="s">
        <v>93</v>
      </c>
      <c r="J1" s="117" t="s">
        <v>94</v>
      </c>
      <c r="K1" s="118" t="s">
        <v>95</v>
      </c>
    </row>
    <row r="2" spans="1:11" ht="15.75" customHeight="1">
      <c r="A2" s="112"/>
      <c r="B2" s="113"/>
      <c r="C2" s="57" t="s">
        <v>96</v>
      </c>
      <c r="D2" s="58"/>
      <c r="E2" s="58"/>
      <c r="F2" s="58"/>
      <c r="G2" s="58"/>
      <c r="H2" s="59"/>
      <c r="I2" s="115"/>
      <c r="J2" s="117"/>
      <c r="K2" s="118"/>
    </row>
    <row r="3" spans="1:11">
      <c r="A3" s="60" t="s">
        <v>70</v>
      </c>
      <c r="B3" s="61" t="s">
        <v>97</v>
      </c>
      <c r="C3" s="62" t="s">
        <v>98</v>
      </c>
      <c r="D3" s="62" t="s">
        <v>99</v>
      </c>
      <c r="E3" s="62" t="s">
        <v>100</v>
      </c>
      <c r="F3" s="63" t="s">
        <v>101</v>
      </c>
      <c r="G3" s="64" t="s">
        <v>102</v>
      </c>
      <c r="H3" s="62" t="s">
        <v>103</v>
      </c>
      <c r="I3" s="116"/>
      <c r="J3" s="117"/>
      <c r="K3" s="118"/>
    </row>
    <row r="4" spans="1:11">
      <c r="A4" s="73"/>
      <c r="B4" s="75"/>
      <c r="C4" s="75"/>
      <c r="D4" s="75"/>
      <c r="E4" s="75"/>
      <c r="F4" s="76"/>
      <c r="G4" s="76"/>
      <c r="H4" s="77"/>
      <c r="I4" s="86">
        <f>IF(H4="Sat",G4*24-F4*24-1,IF(H4="Sun",G4*24-F4*24-1,G4*24-F4*24))</f>
        <v>0</v>
      </c>
      <c r="J4" s="87">
        <v>1</v>
      </c>
      <c r="K4" s="88">
        <f>I4*J4</f>
        <v>0</v>
      </c>
    </row>
    <row r="5" spans="1:11">
      <c r="A5" s="78"/>
      <c r="B5" s="79"/>
      <c r="C5" s="79"/>
      <c r="D5" s="80"/>
      <c r="E5" s="79"/>
      <c r="F5" s="76"/>
      <c r="G5" s="76"/>
      <c r="H5" s="81"/>
      <c r="I5" s="86">
        <f t="shared" ref="I5:I56" si="0">IF(H5="Sat",G5*24-F5*24-1,IF(H5="Sun",G5*24-F5*24-1,G5*24-F5*24))</f>
        <v>0</v>
      </c>
      <c r="J5" s="87">
        <v>1</v>
      </c>
      <c r="K5" s="88">
        <f t="shared" ref="K5:K56" si="1">I5*J5</f>
        <v>0</v>
      </c>
    </row>
    <row r="6" spans="1:11">
      <c r="A6" s="78"/>
      <c r="B6" s="79"/>
      <c r="C6" s="79"/>
      <c r="D6" s="80"/>
      <c r="E6" s="79"/>
      <c r="F6" s="76"/>
      <c r="G6" s="76"/>
      <c r="H6" s="81"/>
      <c r="I6" s="86">
        <f t="shared" si="0"/>
        <v>0</v>
      </c>
      <c r="J6" s="87">
        <v>1</v>
      </c>
      <c r="K6" s="88">
        <f t="shared" si="1"/>
        <v>0</v>
      </c>
    </row>
    <row r="7" spans="1:11">
      <c r="A7" s="78" t="s">
        <v>56</v>
      </c>
      <c r="B7" s="95" t="s">
        <v>136</v>
      </c>
      <c r="C7" s="95" t="s">
        <v>137</v>
      </c>
      <c r="D7" s="80">
        <v>4</v>
      </c>
      <c r="E7" s="79">
        <v>7</v>
      </c>
      <c r="F7" s="76">
        <v>0.79166666666666696</v>
      </c>
      <c r="G7" s="76">
        <v>0.875000000000001</v>
      </c>
      <c r="H7" s="81"/>
      <c r="I7" s="86">
        <f t="shared" si="0"/>
        <v>2.0000000000000178</v>
      </c>
      <c r="J7" s="87">
        <v>1</v>
      </c>
      <c r="K7" s="88">
        <f t="shared" si="1"/>
        <v>2.0000000000000178</v>
      </c>
    </row>
    <row r="8" spans="1:11">
      <c r="A8" s="78" t="s">
        <v>56</v>
      </c>
      <c r="B8" s="95" t="s">
        <v>136</v>
      </c>
      <c r="C8" s="95" t="s">
        <v>137</v>
      </c>
      <c r="D8" s="80">
        <v>4</v>
      </c>
      <c r="E8" s="79">
        <v>10</v>
      </c>
      <c r="F8" s="76">
        <v>0.79166666666666696</v>
      </c>
      <c r="G8" s="76">
        <v>0.875000000000001</v>
      </c>
      <c r="H8" s="81"/>
      <c r="I8" s="86">
        <f t="shared" si="0"/>
        <v>2.0000000000000178</v>
      </c>
      <c r="J8" s="87">
        <v>1</v>
      </c>
      <c r="K8" s="88">
        <f t="shared" si="1"/>
        <v>2.0000000000000178</v>
      </c>
    </row>
    <row r="9" spans="1:11">
      <c r="A9" s="78" t="s">
        <v>56</v>
      </c>
      <c r="B9" s="95" t="s">
        <v>136</v>
      </c>
      <c r="C9" s="95" t="s">
        <v>137</v>
      </c>
      <c r="D9" s="80">
        <v>4</v>
      </c>
      <c r="E9" s="79">
        <v>11</v>
      </c>
      <c r="F9" s="76">
        <v>0.79166666666666696</v>
      </c>
      <c r="G9" s="76">
        <v>0.875000000000001</v>
      </c>
      <c r="H9" s="81"/>
      <c r="I9" s="86">
        <f t="shared" si="0"/>
        <v>2.0000000000000178</v>
      </c>
      <c r="J9" s="87">
        <v>1</v>
      </c>
      <c r="K9" s="88">
        <f t="shared" si="1"/>
        <v>2.0000000000000178</v>
      </c>
    </row>
    <row r="10" spans="1:11">
      <c r="A10" s="78" t="s">
        <v>56</v>
      </c>
      <c r="B10" s="95" t="s">
        <v>136</v>
      </c>
      <c r="C10" s="95" t="s">
        <v>137</v>
      </c>
      <c r="D10" s="79">
        <v>4</v>
      </c>
      <c r="E10" s="80">
        <v>12</v>
      </c>
      <c r="F10" s="76">
        <v>0.79166666666666696</v>
      </c>
      <c r="G10" s="76">
        <v>0.875000000000001</v>
      </c>
      <c r="H10" s="81"/>
      <c r="I10" s="89">
        <f t="shared" si="0"/>
        <v>2.0000000000000178</v>
      </c>
      <c r="J10" s="90">
        <v>1</v>
      </c>
      <c r="K10" s="91">
        <f t="shared" si="1"/>
        <v>2.0000000000000178</v>
      </c>
    </row>
    <row r="11" spans="1:11">
      <c r="A11" s="78" t="s">
        <v>56</v>
      </c>
      <c r="B11" s="95" t="s">
        <v>136</v>
      </c>
      <c r="C11" s="95" t="s">
        <v>137</v>
      </c>
      <c r="D11" s="80">
        <v>4</v>
      </c>
      <c r="E11" s="80">
        <v>13</v>
      </c>
      <c r="F11" s="76">
        <v>0.79166666666666696</v>
      </c>
      <c r="G11" s="76">
        <v>0.875000000000001</v>
      </c>
      <c r="H11" s="81"/>
      <c r="I11" s="89">
        <f t="shared" si="0"/>
        <v>2.0000000000000178</v>
      </c>
      <c r="J11" s="90">
        <v>1</v>
      </c>
      <c r="K11" s="91">
        <f t="shared" si="1"/>
        <v>2.0000000000000178</v>
      </c>
    </row>
    <row r="12" spans="1:11">
      <c r="A12" s="101" t="s">
        <v>62</v>
      </c>
      <c r="B12" s="96" t="s">
        <v>143</v>
      </c>
      <c r="C12" s="96" t="s">
        <v>139</v>
      </c>
      <c r="D12" s="80">
        <v>4</v>
      </c>
      <c r="E12" s="80">
        <v>28</v>
      </c>
      <c r="F12" s="76">
        <v>0.77083333333333404</v>
      </c>
      <c r="G12" s="76">
        <v>0.85416666666666696</v>
      </c>
      <c r="H12" s="81"/>
      <c r="I12" s="89">
        <f t="shared" si="0"/>
        <v>1.9999999999999893</v>
      </c>
      <c r="J12" s="90">
        <v>1</v>
      </c>
      <c r="K12" s="91">
        <f t="shared" si="1"/>
        <v>1.9999999999999893</v>
      </c>
    </row>
    <row r="13" spans="1:11">
      <c r="A13" s="101" t="s">
        <v>138</v>
      </c>
      <c r="B13" s="96" t="s">
        <v>143</v>
      </c>
      <c r="C13" s="96" t="s">
        <v>140</v>
      </c>
      <c r="D13" s="80">
        <v>4</v>
      </c>
      <c r="E13" s="80">
        <v>30</v>
      </c>
      <c r="F13" s="76">
        <v>0.375</v>
      </c>
      <c r="G13" s="76">
        <v>0.70833333333333404</v>
      </c>
      <c r="H13" s="81"/>
      <c r="I13" s="89">
        <f t="shared" si="0"/>
        <v>8.0000000000000178</v>
      </c>
      <c r="J13" s="90">
        <v>1</v>
      </c>
      <c r="K13" s="91">
        <f t="shared" si="1"/>
        <v>8.0000000000000178</v>
      </c>
    </row>
    <row r="14" spans="1:11">
      <c r="A14" s="78" t="s">
        <v>62</v>
      </c>
      <c r="B14" s="96" t="s">
        <v>143</v>
      </c>
      <c r="C14" s="96" t="s">
        <v>141</v>
      </c>
      <c r="D14" s="80">
        <v>5</v>
      </c>
      <c r="E14" s="80">
        <v>2</v>
      </c>
      <c r="F14" s="76">
        <v>0.812500000000001</v>
      </c>
      <c r="G14" s="76">
        <v>0.91666666666666696</v>
      </c>
      <c r="H14" s="81"/>
      <c r="I14" s="89">
        <f t="shared" si="0"/>
        <v>2.4999999999999822</v>
      </c>
      <c r="J14" s="90">
        <v>1</v>
      </c>
      <c r="K14" s="91">
        <f t="shared" si="1"/>
        <v>2.4999999999999822</v>
      </c>
    </row>
    <row r="15" spans="1:11">
      <c r="A15" s="82" t="s">
        <v>62</v>
      </c>
      <c r="B15" s="96" t="s">
        <v>143</v>
      </c>
      <c r="C15" s="96" t="s">
        <v>142</v>
      </c>
      <c r="D15" s="80">
        <v>5</v>
      </c>
      <c r="E15" s="80">
        <v>3</v>
      </c>
      <c r="F15" s="76">
        <v>0.83333333333333404</v>
      </c>
      <c r="G15" s="76">
        <v>0.937500000000001</v>
      </c>
      <c r="H15" s="81"/>
      <c r="I15" s="89">
        <f t="shared" si="0"/>
        <v>2.5000000000000071</v>
      </c>
      <c r="J15" s="90">
        <v>1</v>
      </c>
      <c r="K15" s="91">
        <f t="shared" si="1"/>
        <v>2.5000000000000071</v>
      </c>
    </row>
    <row r="16" spans="1:11">
      <c r="A16" s="82" t="s">
        <v>57</v>
      </c>
      <c r="B16" s="96" t="s">
        <v>125</v>
      </c>
      <c r="C16" s="96" t="s">
        <v>124</v>
      </c>
      <c r="D16" s="80">
        <v>5</v>
      </c>
      <c r="E16" s="80">
        <v>3</v>
      </c>
      <c r="F16" s="76">
        <v>0.79166666666666696</v>
      </c>
      <c r="G16" s="76">
        <v>0.91666666666666696</v>
      </c>
      <c r="H16" s="81" t="s">
        <v>107</v>
      </c>
      <c r="I16" s="89">
        <f t="shared" si="0"/>
        <v>3</v>
      </c>
      <c r="J16" s="90">
        <v>1</v>
      </c>
      <c r="K16" s="91">
        <f t="shared" si="1"/>
        <v>3</v>
      </c>
    </row>
    <row r="17" spans="1:11">
      <c r="A17" s="82" t="s">
        <v>57</v>
      </c>
      <c r="B17" s="96" t="s">
        <v>125</v>
      </c>
      <c r="C17" s="96" t="s">
        <v>124</v>
      </c>
      <c r="D17" s="80">
        <v>5</v>
      </c>
      <c r="E17" s="80">
        <v>6</v>
      </c>
      <c r="F17" s="76">
        <v>0.375</v>
      </c>
      <c r="G17" s="76">
        <v>0.75</v>
      </c>
      <c r="H17" s="81" t="s">
        <v>105</v>
      </c>
      <c r="I17" s="89">
        <f t="shared" si="0"/>
        <v>8</v>
      </c>
      <c r="J17" s="90">
        <v>1</v>
      </c>
      <c r="K17" s="91">
        <f t="shared" si="1"/>
        <v>8</v>
      </c>
    </row>
    <row r="18" spans="1:11">
      <c r="A18" s="82" t="s">
        <v>57</v>
      </c>
      <c r="B18" s="96" t="s">
        <v>125</v>
      </c>
      <c r="C18" s="96" t="s">
        <v>124</v>
      </c>
      <c r="D18" s="80">
        <v>5</v>
      </c>
      <c r="E18" s="80">
        <v>7</v>
      </c>
      <c r="F18" s="76">
        <v>0.58333333333333304</v>
      </c>
      <c r="G18" s="76">
        <v>0.70833333333333404</v>
      </c>
      <c r="H18" s="81" t="s">
        <v>108</v>
      </c>
      <c r="I18" s="89">
        <f t="shared" si="0"/>
        <v>2.0000000000000249</v>
      </c>
      <c r="J18" s="90">
        <v>1</v>
      </c>
      <c r="K18" s="91">
        <f t="shared" si="1"/>
        <v>2.0000000000000249</v>
      </c>
    </row>
    <row r="19" spans="1:11">
      <c r="A19" s="82" t="s">
        <v>61</v>
      </c>
      <c r="B19" s="96" t="s">
        <v>144</v>
      </c>
      <c r="C19" s="96" t="s">
        <v>145</v>
      </c>
      <c r="D19" s="80">
        <v>5</v>
      </c>
      <c r="E19" s="80">
        <v>14</v>
      </c>
      <c r="F19" s="76">
        <v>0.375</v>
      </c>
      <c r="G19" s="76">
        <v>0.75</v>
      </c>
      <c r="H19" s="98" t="s">
        <v>108</v>
      </c>
      <c r="I19" s="89">
        <f t="shared" si="0"/>
        <v>8</v>
      </c>
      <c r="J19" s="90">
        <v>1</v>
      </c>
      <c r="K19" s="91">
        <f t="shared" si="1"/>
        <v>8</v>
      </c>
    </row>
    <row r="20" spans="1:11">
      <c r="A20" s="82" t="s">
        <v>61</v>
      </c>
      <c r="B20" s="96" t="s">
        <v>147</v>
      </c>
      <c r="C20" s="96" t="s">
        <v>146</v>
      </c>
      <c r="D20" s="80">
        <v>5</v>
      </c>
      <c r="E20" s="80">
        <v>21</v>
      </c>
      <c r="F20" s="76">
        <v>0.375</v>
      </c>
      <c r="G20" s="76">
        <v>0.75</v>
      </c>
      <c r="H20" s="81" t="s">
        <v>108</v>
      </c>
      <c r="I20" s="89">
        <f t="shared" si="0"/>
        <v>8</v>
      </c>
      <c r="J20" s="90">
        <v>1</v>
      </c>
      <c r="K20" s="91">
        <f t="shared" si="1"/>
        <v>8</v>
      </c>
    </row>
    <row r="21" spans="1:11">
      <c r="A21" s="82" t="s">
        <v>51</v>
      </c>
      <c r="B21" s="96" t="s">
        <v>148</v>
      </c>
      <c r="C21" s="96" t="s">
        <v>149</v>
      </c>
      <c r="D21" s="80">
        <v>5</v>
      </c>
      <c r="E21" s="80">
        <v>20</v>
      </c>
      <c r="F21" s="76">
        <v>0.375</v>
      </c>
      <c r="G21" s="76">
        <v>0.75</v>
      </c>
      <c r="H21" s="81" t="s">
        <v>105</v>
      </c>
      <c r="I21" s="89">
        <f t="shared" si="0"/>
        <v>8</v>
      </c>
      <c r="J21" s="90">
        <v>1</v>
      </c>
      <c r="K21" s="91">
        <f t="shared" si="1"/>
        <v>8</v>
      </c>
    </row>
    <row r="22" spans="1:11">
      <c r="A22" s="82" t="s">
        <v>49</v>
      </c>
      <c r="B22" s="96" t="s">
        <v>151</v>
      </c>
      <c r="C22" s="96" t="s">
        <v>150</v>
      </c>
      <c r="D22" s="80">
        <v>5</v>
      </c>
      <c r="E22" s="80">
        <v>20</v>
      </c>
      <c r="F22" s="76">
        <v>0.375</v>
      </c>
      <c r="G22" s="76">
        <v>0.75</v>
      </c>
      <c r="H22" s="81" t="s">
        <v>105</v>
      </c>
      <c r="I22" s="89">
        <f t="shared" ref="I22" si="2">IF(H22="Sat",G22*24-F22*24-1,IF(H22="Sun",G22*24-F22*24-1,G22*24-F22*24))</f>
        <v>8</v>
      </c>
      <c r="J22" s="90">
        <v>1</v>
      </c>
      <c r="K22" s="91">
        <f t="shared" ref="K22" si="3">I22*J22</f>
        <v>8</v>
      </c>
    </row>
    <row r="23" spans="1:11">
      <c r="A23" s="82" t="s">
        <v>51</v>
      </c>
      <c r="B23" s="96" t="s">
        <v>148</v>
      </c>
      <c r="C23" s="96" t="s">
        <v>149</v>
      </c>
      <c r="D23" s="80">
        <v>5</v>
      </c>
      <c r="E23" s="80">
        <v>28</v>
      </c>
      <c r="F23" s="76">
        <v>0.58333333333333304</v>
      </c>
      <c r="G23" s="76">
        <v>0.75</v>
      </c>
      <c r="H23" s="81" t="s">
        <v>99</v>
      </c>
      <c r="I23" s="89">
        <f t="shared" si="0"/>
        <v>4.0000000000000071</v>
      </c>
      <c r="J23" s="90">
        <v>1</v>
      </c>
      <c r="K23" s="91">
        <f t="shared" si="1"/>
        <v>4.0000000000000071</v>
      </c>
    </row>
    <row r="24" spans="1:11">
      <c r="A24" s="97" t="s">
        <v>61</v>
      </c>
      <c r="B24" s="96" t="s">
        <v>163</v>
      </c>
      <c r="C24" s="96" t="s">
        <v>164</v>
      </c>
      <c r="D24" s="80">
        <v>6</v>
      </c>
      <c r="E24" s="80">
        <v>10</v>
      </c>
      <c r="F24" s="76">
        <v>0.375</v>
      </c>
      <c r="G24" s="76">
        <v>0.91666666666666696</v>
      </c>
      <c r="H24" s="81" t="s">
        <v>105</v>
      </c>
      <c r="I24" s="89">
        <f t="shared" si="0"/>
        <v>12.000000000000007</v>
      </c>
      <c r="J24" s="90">
        <v>1</v>
      </c>
      <c r="K24" s="91">
        <f t="shared" si="1"/>
        <v>12.000000000000007</v>
      </c>
    </row>
    <row r="25" spans="1:11">
      <c r="A25" s="97" t="s">
        <v>61</v>
      </c>
      <c r="B25" s="96" t="s">
        <v>163</v>
      </c>
      <c r="C25" s="96" t="s">
        <v>165</v>
      </c>
      <c r="D25" s="80">
        <v>6</v>
      </c>
      <c r="E25" s="80">
        <v>12</v>
      </c>
      <c r="F25" s="76">
        <v>0.77083333333333404</v>
      </c>
      <c r="G25" s="76">
        <v>0.875000000000001</v>
      </c>
      <c r="H25" s="81" t="s">
        <v>99</v>
      </c>
      <c r="I25" s="89">
        <f t="shared" si="0"/>
        <v>2.5000000000000071</v>
      </c>
      <c r="J25" s="90">
        <v>1</v>
      </c>
      <c r="K25" s="91">
        <f t="shared" si="1"/>
        <v>2.5000000000000071</v>
      </c>
    </row>
    <row r="26" spans="1:11">
      <c r="A26" s="82" t="s">
        <v>153</v>
      </c>
      <c r="B26" s="96" t="s">
        <v>166</v>
      </c>
      <c r="C26" s="96" t="s">
        <v>167</v>
      </c>
      <c r="D26" s="80">
        <v>6</v>
      </c>
      <c r="E26" s="80">
        <v>5</v>
      </c>
      <c r="F26" s="76">
        <v>0.83333333333333404</v>
      </c>
      <c r="G26" s="76">
        <v>0.91666666666666696</v>
      </c>
      <c r="H26" s="81" t="s">
        <v>99</v>
      </c>
      <c r="I26" s="89">
        <f t="shared" si="0"/>
        <v>1.9999999999999893</v>
      </c>
      <c r="J26" s="90">
        <v>1</v>
      </c>
      <c r="K26" s="91">
        <f t="shared" si="1"/>
        <v>1.9999999999999893</v>
      </c>
    </row>
    <row r="27" spans="1:11">
      <c r="A27" s="82" t="s">
        <v>153</v>
      </c>
      <c r="B27" s="96" t="s">
        <v>166</v>
      </c>
      <c r="C27" s="96" t="s">
        <v>167</v>
      </c>
      <c r="D27" s="80">
        <v>6</v>
      </c>
      <c r="E27" s="80">
        <v>6</v>
      </c>
      <c r="F27" s="76">
        <v>0.83333333333333404</v>
      </c>
      <c r="G27" s="76">
        <v>0.91666666666666696</v>
      </c>
      <c r="H27" s="81" t="s">
        <v>106</v>
      </c>
      <c r="I27" s="89">
        <f t="shared" si="0"/>
        <v>1.9999999999999893</v>
      </c>
      <c r="J27" s="90">
        <v>1</v>
      </c>
      <c r="K27" s="91">
        <f t="shared" si="1"/>
        <v>1.9999999999999893</v>
      </c>
    </row>
    <row r="28" spans="1:11">
      <c r="A28" s="82" t="s">
        <v>153</v>
      </c>
      <c r="B28" s="96" t="s">
        <v>166</v>
      </c>
      <c r="C28" s="96" t="s">
        <v>167</v>
      </c>
      <c r="D28" s="80">
        <v>6</v>
      </c>
      <c r="E28" s="80">
        <v>7</v>
      </c>
      <c r="F28" s="76">
        <v>0.83333333333333404</v>
      </c>
      <c r="G28" s="76">
        <v>0.91666666666666696</v>
      </c>
      <c r="H28" s="81" t="s">
        <v>107</v>
      </c>
      <c r="I28" s="89">
        <f t="shared" si="0"/>
        <v>1.9999999999999893</v>
      </c>
      <c r="J28" s="90">
        <v>1</v>
      </c>
      <c r="K28" s="91">
        <f t="shared" si="1"/>
        <v>1.9999999999999893</v>
      </c>
    </row>
    <row r="29" spans="1:11">
      <c r="A29" s="82" t="s">
        <v>153</v>
      </c>
      <c r="B29" s="96" t="s">
        <v>166</v>
      </c>
      <c r="C29" s="96" t="s">
        <v>167</v>
      </c>
      <c r="D29" s="80">
        <v>6</v>
      </c>
      <c r="E29" s="80">
        <v>8</v>
      </c>
      <c r="F29" s="76">
        <v>0.83333333333333404</v>
      </c>
      <c r="G29" s="76">
        <v>0.91666666666666696</v>
      </c>
      <c r="H29" s="81" t="s">
        <v>104</v>
      </c>
      <c r="I29" s="89">
        <f t="shared" si="0"/>
        <v>1.9999999999999893</v>
      </c>
      <c r="J29" s="90">
        <v>1</v>
      </c>
      <c r="K29" s="91">
        <f t="shared" si="1"/>
        <v>1.9999999999999893</v>
      </c>
    </row>
    <row r="30" spans="1:11">
      <c r="A30" s="82" t="s">
        <v>153</v>
      </c>
      <c r="B30" s="96" t="s">
        <v>166</v>
      </c>
      <c r="C30" s="96" t="s">
        <v>167</v>
      </c>
      <c r="D30" s="80">
        <v>6</v>
      </c>
      <c r="E30" s="80">
        <v>9</v>
      </c>
      <c r="F30" s="76">
        <v>0.83333333333333404</v>
      </c>
      <c r="G30" s="76">
        <v>0.91666666666666696</v>
      </c>
      <c r="H30" s="81" t="s">
        <v>109</v>
      </c>
      <c r="I30" s="89">
        <f t="shared" si="0"/>
        <v>1.9999999999999893</v>
      </c>
      <c r="J30" s="90">
        <v>1</v>
      </c>
      <c r="K30" s="91">
        <f t="shared" si="1"/>
        <v>1.9999999999999893</v>
      </c>
    </row>
    <row r="31" spans="1:11">
      <c r="A31" s="82" t="s">
        <v>153</v>
      </c>
      <c r="B31" s="96" t="s">
        <v>166</v>
      </c>
      <c r="C31" s="96" t="s">
        <v>167</v>
      </c>
      <c r="D31" s="80">
        <v>6</v>
      </c>
      <c r="E31" s="80">
        <v>10</v>
      </c>
      <c r="F31" s="76">
        <v>0.375</v>
      </c>
      <c r="G31" s="76">
        <v>0.875000000000001</v>
      </c>
      <c r="H31" s="81" t="s">
        <v>105</v>
      </c>
      <c r="I31" s="89">
        <f t="shared" si="0"/>
        <v>11.000000000000025</v>
      </c>
      <c r="J31" s="90">
        <v>1</v>
      </c>
      <c r="K31" s="91">
        <f t="shared" si="1"/>
        <v>11.000000000000025</v>
      </c>
    </row>
    <row r="32" spans="1:11">
      <c r="A32" s="82" t="s">
        <v>153</v>
      </c>
      <c r="B32" s="96" t="s">
        <v>166</v>
      </c>
      <c r="C32" s="96" t="s">
        <v>167</v>
      </c>
      <c r="D32" s="80">
        <v>6</v>
      </c>
      <c r="E32" s="80">
        <v>11</v>
      </c>
      <c r="F32" s="76">
        <v>0.375</v>
      </c>
      <c r="G32" s="76">
        <v>0.875000000000001</v>
      </c>
      <c r="H32" s="81" t="s">
        <v>108</v>
      </c>
      <c r="I32" s="89">
        <f t="shared" si="0"/>
        <v>11.000000000000025</v>
      </c>
      <c r="J32" s="90">
        <v>1</v>
      </c>
      <c r="K32" s="91">
        <f t="shared" si="1"/>
        <v>11.000000000000025</v>
      </c>
    </row>
    <row r="33" spans="1:11">
      <c r="A33" s="82" t="s">
        <v>153</v>
      </c>
      <c r="B33" s="96" t="s">
        <v>166</v>
      </c>
      <c r="C33" s="96" t="s">
        <v>167</v>
      </c>
      <c r="D33" s="80">
        <v>6</v>
      </c>
      <c r="E33" s="80">
        <v>12</v>
      </c>
      <c r="F33" s="76">
        <v>0.83333333333333404</v>
      </c>
      <c r="G33" s="76">
        <v>0.91666666666666696</v>
      </c>
      <c r="H33" s="81" t="s">
        <v>99</v>
      </c>
      <c r="I33" s="89">
        <f t="shared" si="0"/>
        <v>1.9999999999999893</v>
      </c>
      <c r="J33" s="90">
        <v>1</v>
      </c>
      <c r="K33" s="91">
        <f t="shared" si="1"/>
        <v>1.9999999999999893</v>
      </c>
    </row>
    <row r="34" spans="1:11">
      <c r="A34" s="78" t="s">
        <v>152</v>
      </c>
      <c r="B34" s="96" t="s">
        <v>166</v>
      </c>
      <c r="C34" s="96" t="s">
        <v>167</v>
      </c>
      <c r="D34" s="80">
        <v>6</v>
      </c>
      <c r="E34" s="80">
        <v>5</v>
      </c>
      <c r="F34" s="76">
        <v>0.875000000000001</v>
      </c>
      <c r="G34" s="76">
        <v>0.95833333333333404</v>
      </c>
      <c r="H34" s="81" t="s">
        <v>99</v>
      </c>
      <c r="I34" s="89">
        <f t="shared" si="0"/>
        <v>1.9999999999999929</v>
      </c>
      <c r="J34" s="90">
        <v>1</v>
      </c>
      <c r="K34" s="91">
        <f t="shared" si="1"/>
        <v>1.9999999999999929</v>
      </c>
    </row>
    <row r="35" spans="1:11">
      <c r="A35" s="78" t="s">
        <v>152</v>
      </c>
      <c r="B35" s="96" t="s">
        <v>166</v>
      </c>
      <c r="C35" s="96" t="s">
        <v>167</v>
      </c>
      <c r="D35" s="80">
        <v>6</v>
      </c>
      <c r="E35" s="80">
        <v>6</v>
      </c>
      <c r="F35" s="76">
        <v>0.875000000000001</v>
      </c>
      <c r="G35" s="76">
        <v>0.95833333333333404</v>
      </c>
      <c r="H35" s="81" t="s">
        <v>106</v>
      </c>
      <c r="I35" s="89">
        <f t="shared" si="0"/>
        <v>1.9999999999999929</v>
      </c>
      <c r="J35" s="90">
        <v>1</v>
      </c>
      <c r="K35" s="91">
        <f t="shared" si="1"/>
        <v>1.9999999999999929</v>
      </c>
    </row>
    <row r="36" spans="1:11">
      <c r="A36" s="78" t="s">
        <v>152</v>
      </c>
      <c r="B36" s="96" t="s">
        <v>166</v>
      </c>
      <c r="C36" s="96" t="s">
        <v>167</v>
      </c>
      <c r="D36" s="80">
        <v>6</v>
      </c>
      <c r="E36" s="80">
        <v>7</v>
      </c>
      <c r="F36" s="76">
        <v>0.875000000000001</v>
      </c>
      <c r="G36" s="76">
        <v>0.95833333333333404</v>
      </c>
      <c r="H36" s="81" t="s">
        <v>107</v>
      </c>
      <c r="I36" s="89">
        <f t="shared" si="0"/>
        <v>1.9999999999999929</v>
      </c>
      <c r="J36" s="90">
        <v>1</v>
      </c>
      <c r="K36" s="91">
        <f t="shared" si="1"/>
        <v>1.9999999999999929</v>
      </c>
    </row>
    <row r="37" spans="1:11">
      <c r="A37" s="78" t="s">
        <v>152</v>
      </c>
      <c r="B37" s="96" t="s">
        <v>166</v>
      </c>
      <c r="C37" s="96" t="s">
        <v>167</v>
      </c>
      <c r="D37" s="80">
        <v>6</v>
      </c>
      <c r="E37" s="80">
        <v>8</v>
      </c>
      <c r="F37" s="76">
        <v>0.875000000000001</v>
      </c>
      <c r="G37" s="76">
        <v>0.95833333333333404</v>
      </c>
      <c r="H37" s="81" t="s">
        <v>104</v>
      </c>
      <c r="I37" s="89">
        <f t="shared" si="0"/>
        <v>1.9999999999999929</v>
      </c>
      <c r="J37" s="90">
        <v>1</v>
      </c>
      <c r="K37" s="91">
        <f t="shared" si="1"/>
        <v>1.9999999999999929</v>
      </c>
    </row>
    <row r="38" spans="1:11">
      <c r="A38" s="78" t="s">
        <v>152</v>
      </c>
      <c r="B38" s="96" t="s">
        <v>166</v>
      </c>
      <c r="C38" s="96" t="s">
        <v>167</v>
      </c>
      <c r="D38" s="80">
        <v>6</v>
      </c>
      <c r="E38" s="80">
        <v>9</v>
      </c>
      <c r="F38" s="76">
        <v>0.875000000000001</v>
      </c>
      <c r="G38" s="76">
        <v>0.95833333333333404</v>
      </c>
      <c r="H38" s="81" t="s">
        <v>109</v>
      </c>
      <c r="I38" s="89">
        <f t="shared" si="0"/>
        <v>1.9999999999999929</v>
      </c>
      <c r="J38" s="90">
        <v>1</v>
      </c>
      <c r="K38" s="91">
        <f t="shared" si="1"/>
        <v>1.9999999999999929</v>
      </c>
    </row>
    <row r="39" spans="1:11">
      <c r="A39" s="78" t="s">
        <v>152</v>
      </c>
      <c r="B39" s="96" t="s">
        <v>166</v>
      </c>
      <c r="C39" s="96" t="s">
        <v>167</v>
      </c>
      <c r="D39" s="80">
        <v>6</v>
      </c>
      <c r="E39" s="80">
        <v>10</v>
      </c>
      <c r="F39" s="76">
        <v>0.41666666666666702</v>
      </c>
      <c r="G39" s="76">
        <v>0.91666666666666696</v>
      </c>
      <c r="H39" s="81" t="s">
        <v>105</v>
      </c>
      <c r="I39" s="89">
        <f t="shared" si="0"/>
        <v>10.999999999999998</v>
      </c>
      <c r="J39" s="90">
        <v>1</v>
      </c>
      <c r="K39" s="91">
        <f t="shared" si="1"/>
        <v>10.999999999999998</v>
      </c>
    </row>
    <row r="40" spans="1:11">
      <c r="A40" s="78" t="s">
        <v>152</v>
      </c>
      <c r="B40" s="96" t="s">
        <v>166</v>
      </c>
      <c r="C40" s="96" t="s">
        <v>167</v>
      </c>
      <c r="D40" s="80">
        <v>6</v>
      </c>
      <c r="E40" s="80">
        <v>11</v>
      </c>
      <c r="F40" s="76">
        <v>0.41666666666666702</v>
      </c>
      <c r="G40" s="76">
        <v>0.91666666666666696</v>
      </c>
      <c r="H40" s="81" t="s">
        <v>108</v>
      </c>
      <c r="I40" s="89">
        <f t="shared" si="0"/>
        <v>10.999999999999998</v>
      </c>
      <c r="J40" s="90">
        <v>1</v>
      </c>
      <c r="K40" s="91">
        <f t="shared" si="1"/>
        <v>10.999999999999998</v>
      </c>
    </row>
    <row r="41" spans="1:11">
      <c r="A41" s="78" t="s">
        <v>152</v>
      </c>
      <c r="B41" s="96" t="s">
        <v>166</v>
      </c>
      <c r="C41" s="96" t="s">
        <v>167</v>
      </c>
      <c r="D41" s="80">
        <v>6</v>
      </c>
      <c r="E41" s="80">
        <v>12</v>
      </c>
      <c r="F41" s="76">
        <v>0.875000000000001</v>
      </c>
      <c r="G41" s="76">
        <v>0.95833333333333404</v>
      </c>
      <c r="H41" s="81" t="s">
        <v>99</v>
      </c>
      <c r="I41" s="89">
        <f t="shared" si="0"/>
        <v>1.9999999999999929</v>
      </c>
      <c r="J41" s="90">
        <v>1</v>
      </c>
      <c r="K41" s="91">
        <f t="shared" si="1"/>
        <v>1.9999999999999929</v>
      </c>
    </row>
    <row r="42" spans="1:11">
      <c r="A42" s="78" t="s">
        <v>56</v>
      </c>
      <c r="B42" s="96" t="s">
        <v>168</v>
      </c>
      <c r="C42" s="96" t="s">
        <v>169</v>
      </c>
      <c r="D42" s="80">
        <v>6</v>
      </c>
      <c r="E42" s="80">
        <v>10</v>
      </c>
      <c r="F42" s="76">
        <v>0.54166666666666696</v>
      </c>
      <c r="G42" s="76">
        <v>0.875000000000001</v>
      </c>
      <c r="H42" s="81" t="s">
        <v>105</v>
      </c>
      <c r="I42" s="89">
        <f t="shared" ref="I42" si="4">IF(H42="Sat",G42*24-F42*24-1,IF(H42="Sun",G42*24-F42*24-1,G42*24-F42*24))</f>
        <v>7.0000000000000178</v>
      </c>
      <c r="J42" s="90">
        <v>1</v>
      </c>
      <c r="K42" s="91">
        <f t="shared" ref="K42" si="5">I42*J42</f>
        <v>7.0000000000000178</v>
      </c>
    </row>
    <row r="43" spans="1:11">
      <c r="A43" s="82" t="s">
        <v>56</v>
      </c>
      <c r="B43" s="96" t="s">
        <v>168</v>
      </c>
      <c r="C43" s="96" t="s">
        <v>169</v>
      </c>
      <c r="D43" s="80">
        <v>6</v>
      </c>
      <c r="E43" s="80">
        <v>11</v>
      </c>
      <c r="F43" s="76">
        <v>0.54166666666666696</v>
      </c>
      <c r="G43" s="76">
        <v>0.875000000000001</v>
      </c>
      <c r="H43" s="81" t="s">
        <v>105</v>
      </c>
      <c r="I43" s="89">
        <f t="shared" si="0"/>
        <v>7.0000000000000178</v>
      </c>
      <c r="J43" s="90">
        <v>1</v>
      </c>
      <c r="K43" s="91">
        <f t="shared" si="1"/>
        <v>7.0000000000000178</v>
      </c>
    </row>
    <row r="44" spans="1:11">
      <c r="A44" s="82" t="s">
        <v>56</v>
      </c>
      <c r="B44" s="108" t="s">
        <v>170</v>
      </c>
      <c r="C44" s="96" t="s">
        <v>172</v>
      </c>
      <c r="D44" s="80">
        <v>6</v>
      </c>
      <c r="E44" s="80">
        <v>12</v>
      </c>
      <c r="F44" s="76">
        <v>0.83333333333333404</v>
      </c>
      <c r="G44" s="76">
        <v>0.875000000000001</v>
      </c>
      <c r="H44" s="81" t="s">
        <v>99</v>
      </c>
      <c r="I44" s="89">
        <f t="shared" si="0"/>
        <v>1.0000000000000071</v>
      </c>
      <c r="J44" s="90">
        <v>1</v>
      </c>
      <c r="K44" s="91">
        <f t="shared" si="1"/>
        <v>1.0000000000000071</v>
      </c>
    </row>
    <row r="45" spans="1:11">
      <c r="A45" s="82" t="s">
        <v>56</v>
      </c>
      <c r="B45" s="96" t="s">
        <v>171</v>
      </c>
      <c r="C45" s="96" t="s">
        <v>173</v>
      </c>
      <c r="D45" s="80">
        <v>6</v>
      </c>
      <c r="E45" s="80">
        <v>5</v>
      </c>
      <c r="F45" s="76">
        <v>0.75</v>
      </c>
      <c r="G45" s="76">
        <v>0.83333333333333404</v>
      </c>
      <c r="H45" s="81" t="s">
        <v>99</v>
      </c>
      <c r="I45" s="89">
        <f t="shared" si="0"/>
        <v>2.0000000000000178</v>
      </c>
      <c r="J45" s="90">
        <v>1</v>
      </c>
      <c r="K45" s="91">
        <f t="shared" si="1"/>
        <v>2.0000000000000178</v>
      </c>
    </row>
    <row r="46" spans="1:11">
      <c r="A46" s="82" t="s">
        <v>56</v>
      </c>
      <c r="B46" s="96" t="s">
        <v>171</v>
      </c>
      <c r="C46" s="96" t="s">
        <v>173</v>
      </c>
      <c r="D46" s="80">
        <v>6</v>
      </c>
      <c r="E46" s="80">
        <v>6</v>
      </c>
      <c r="F46" s="76">
        <v>0.75</v>
      </c>
      <c r="G46" s="76">
        <v>0.875000000000001</v>
      </c>
      <c r="H46" s="81" t="s">
        <v>106</v>
      </c>
      <c r="I46" s="89">
        <f t="shared" si="0"/>
        <v>3.0000000000000249</v>
      </c>
      <c r="J46" s="90">
        <v>1</v>
      </c>
      <c r="K46" s="91">
        <f t="shared" si="1"/>
        <v>3.0000000000000249</v>
      </c>
    </row>
    <row r="47" spans="1:11">
      <c r="A47" s="82" t="s">
        <v>153</v>
      </c>
      <c r="B47" s="96" t="s">
        <v>166</v>
      </c>
      <c r="C47" s="96" t="s">
        <v>167</v>
      </c>
      <c r="D47" s="80">
        <v>6</v>
      </c>
      <c r="E47" s="80">
        <v>13</v>
      </c>
      <c r="F47" s="76">
        <v>0.83333333333333404</v>
      </c>
      <c r="G47" s="76">
        <v>0.91666666666666696</v>
      </c>
      <c r="H47" s="81" t="s">
        <v>106</v>
      </c>
      <c r="I47" s="89">
        <f t="shared" si="0"/>
        <v>1.9999999999999893</v>
      </c>
      <c r="J47" s="90">
        <v>1</v>
      </c>
      <c r="K47" s="91">
        <f t="shared" si="1"/>
        <v>1.9999999999999893</v>
      </c>
    </row>
    <row r="48" spans="1:11">
      <c r="A48" s="82" t="s">
        <v>153</v>
      </c>
      <c r="B48" s="96" t="s">
        <v>166</v>
      </c>
      <c r="C48" s="96" t="s">
        <v>167</v>
      </c>
      <c r="D48" s="80">
        <v>6</v>
      </c>
      <c r="E48" s="80">
        <v>14</v>
      </c>
      <c r="F48" s="76">
        <v>0.875000000000001</v>
      </c>
      <c r="G48" s="76">
        <v>0.95833333333333404</v>
      </c>
      <c r="H48" s="81" t="s">
        <v>107</v>
      </c>
      <c r="I48" s="89">
        <f t="shared" si="0"/>
        <v>1.9999999999999929</v>
      </c>
      <c r="J48" s="90">
        <v>1</v>
      </c>
      <c r="K48" s="91">
        <f t="shared" si="1"/>
        <v>1.9999999999999929</v>
      </c>
    </row>
    <row r="49" spans="1:11">
      <c r="A49" s="82" t="s">
        <v>153</v>
      </c>
      <c r="B49" s="96" t="s">
        <v>166</v>
      </c>
      <c r="C49" s="96" t="s">
        <v>167</v>
      </c>
      <c r="D49" s="80">
        <v>6</v>
      </c>
      <c r="E49" s="80">
        <v>15</v>
      </c>
      <c r="F49" s="76">
        <v>0.89583333333333404</v>
      </c>
      <c r="G49" s="76">
        <v>0.97916666666666696</v>
      </c>
      <c r="H49" s="81" t="s">
        <v>104</v>
      </c>
      <c r="I49" s="89">
        <f t="shared" si="0"/>
        <v>1.9999999999999893</v>
      </c>
      <c r="J49" s="90">
        <v>1</v>
      </c>
      <c r="K49" s="91">
        <f t="shared" si="1"/>
        <v>1.9999999999999893</v>
      </c>
    </row>
    <row r="50" spans="1:11">
      <c r="A50" s="78" t="s">
        <v>152</v>
      </c>
      <c r="B50" s="96" t="s">
        <v>166</v>
      </c>
      <c r="C50" s="96" t="s">
        <v>167</v>
      </c>
      <c r="D50" s="80">
        <v>6</v>
      </c>
      <c r="E50" s="80">
        <v>13</v>
      </c>
      <c r="F50" s="76">
        <v>0.875000000000001</v>
      </c>
      <c r="G50" s="76">
        <v>0.95833333333333404</v>
      </c>
      <c r="H50" s="81" t="s">
        <v>106</v>
      </c>
      <c r="I50" s="89">
        <f t="shared" si="0"/>
        <v>1.9999999999999929</v>
      </c>
      <c r="J50" s="90">
        <v>1</v>
      </c>
      <c r="K50" s="91">
        <f t="shared" si="1"/>
        <v>1.9999999999999929</v>
      </c>
    </row>
    <row r="51" spans="1:11">
      <c r="A51" s="78" t="s">
        <v>152</v>
      </c>
      <c r="B51" s="96" t="s">
        <v>166</v>
      </c>
      <c r="C51" s="96" t="s">
        <v>167</v>
      </c>
      <c r="D51" s="80">
        <v>6</v>
      </c>
      <c r="E51" s="80">
        <v>14</v>
      </c>
      <c r="F51" s="76">
        <v>0.875000000000001</v>
      </c>
      <c r="G51" s="76">
        <v>0.95833333333333404</v>
      </c>
      <c r="H51" s="81" t="s">
        <v>107</v>
      </c>
      <c r="I51" s="89">
        <f t="shared" si="0"/>
        <v>1.9999999999999929</v>
      </c>
      <c r="J51" s="90">
        <v>1</v>
      </c>
      <c r="K51" s="91">
        <f t="shared" si="1"/>
        <v>1.9999999999999929</v>
      </c>
    </row>
    <row r="52" spans="1:11">
      <c r="A52" s="78" t="s">
        <v>152</v>
      </c>
      <c r="B52" s="96" t="s">
        <v>166</v>
      </c>
      <c r="C52" s="96" t="s">
        <v>167</v>
      </c>
      <c r="D52" s="80">
        <v>6</v>
      </c>
      <c r="E52" s="80">
        <v>15</v>
      </c>
      <c r="F52" s="76">
        <v>0.875000000000001</v>
      </c>
      <c r="G52" s="76">
        <v>0.95833333333333404</v>
      </c>
      <c r="H52" s="81" t="s">
        <v>104</v>
      </c>
      <c r="I52" s="89">
        <f t="shared" si="0"/>
        <v>1.9999999999999929</v>
      </c>
      <c r="J52" s="90">
        <v>1</v>
      </c>
      <c r="K52" s="91">
        <f t="shared" si="1"/>
        <v>1.9999999999999929</v>
      </c>
    </row>
    <row r="53" spans="1:11">
      <c r="A53" s="78" t="s">
        <v>152</v>
      </c>
      <c r="B53" s="109" t="s">
        <v>174</v>
      </c>
      <c r="C53" s="96" t="s">
        <v>167</v>
      </c>
      <c r="D53" s="100">
        <v>5</v>
      </c>
      <c r="E53" s="100">
        <v>15</v>
      </c>
      <c r="F53" s="76">
        <v>0.79166666666666696</v>
      </c>
      <c r="G53" s="76">
        <v>0.875000000000001</v>
      </c>
      <c r="H53" s="81" t="s">
        <v>99</v>
      </c>
      <c r="I53" s="89">
        <f t="shared" si="0"/>
        <v>2.0000000000000178</v>
      </c>
      <c r="J53" s="90">
        <v>1</v>
      </c>
      <c r="K53" s="91">
        <f t="shared" si="1"/>
        <v>2.0000000000000178</v>
      </c>
    </row>
    <row r="54" spans="1:11">
      <c r="A54" s="78" t="s">
        <v>152</v>
      </c>
      <c r="B54" s="109" t="s">
        <v>174</v>
      </c>
      <c r="C54" s="96" t="s">
        <v>167</v>
      </c>
      <c r="D54" s="100">
        <v>5</v>
      </c>
      <c r="E54" s="100">
        <v>19</v>
      </c>
      <c r="F54" s="76">
        <v>0.79166666666666696</v>
      </c>
      <c r="G54" s="76">
        <v>0.875000000000001</v>
      </c>
      <c r="H54" s="81" t="s">
        <v>109</v>
      </c>
      <c r="I54" s="89">
        <f t="shared" si="0"/>
        <v>2.0000000000000178</v>
      </c>
      <c r="J54" s="90">
        <v>1</v>
      </c>
      <c r="K54" s="91">
        <f t="shared" si="1"/>
        <v>2.0000000000000178</v>
      </c>
    </row>
    <row r="55" spans="1:11">
      <c r="A55" s="78"/>
      <c r="B55" s="109"/>
      <c r="C55" s="109"/>
      <c r="D55" s="100"/>
      <c r="E55" s="100"/>
      <c r="F55" s="76"/>
      <c r="G55" s="76"/>
      <c r="H55" s="81"/>
      <c r="I55" s="89"/>
      <c r="J55" s="90"/>
      <c r="K55" s="91"/>
    </row>
    <row r="56" spans="1:11">
      <c r="A56" s="84"/>
      <c r="B56" s="85"/>
      <c r="C56" s="85"/>
      <c r="D56" s="85"/>
      <c r="E56" s="85"/>
      <c r="F56" s="76"/>
      <c r="G56" s="76"/>
      <c r="H56" s="81"/>
      <c r="I56" s="89">
        <f t="shared" si="0"/>
        <v>0</v>
      </c>
      <c r="J56" s="90">
        <v>1</v>
      </c>
      <c r="K56" s="91">
        <f t="shared" si="1"/>
        <v>0</v>
      </c>
    </row>
    <row r="57" spans="1:11">
      <c r="J57" s="66"/>
    </row>
    <row r="58" spans="1:11">
      <c r="J58" s="66"/>
    </row>
    <row r="59" spans="1:11">
      <c r="J59" s="66"/>
    </row>
    <row r="60" spans="1:11">
      <c r="J60" s="66"/>
    </row>
    <row r="61" spans="1:11">
      <c r="J61" s="66"/>
    </row>
    <row r="62" spans="1:11">
      <c r="J62" s="66"/>
    </row>
    <row r="63" spans="1:11">
      <c r="J63" s="66"/>
    </row>
    <row r="64" spans="1:11">
      <c r="J64" s="66"/>
    </row>
    <row r="65" spans="10:10">
      <c r="J65" s="66"/>
    </row>
    <row r="66" spans="10:10">
      <c r="J66" s="66"/>
    </row>
    <row r="67" spans="10:10">
      <c r="J67" s="66"/>
    </row>
    <row r="68" spans="10:10">
      <c r="J68" s="66"/>
    </row>
    <row r="69" spans="10:10">
      <c r="J69" s="66"/>
    </row>
    <row r="70" spans="10:10">
      <c r="J70" s="66"/>
    </row>
    <row r="71" spans="10:10">
      <c r="J71" s="66"/>
    </row>
    <row r="72" spans="10:10">
      <c r="J72" s="66"/>
    </row>
    <row r="73" spans="10:10">
      <c r="J73" s="66"/>
    </row>
    <row r="74" spans="10:10">
      <c r="J74" s="66"/>
    </row>
    <row r="75" spans="10:10">
      <c r="J75" s="66"/>
    </row>
    <row r="76" spans="10:10">
      <c r="J76" s="66"/>
    </row>
    <row r="77" spans="10:10">
      <c r="J77" s="66"/>
    </row>
    <row r="78" spans="10:10">
      <c r="J78" s="66"/>
    </row>
    <row r="79" spans="10:10">
      <c r="J79" s="66"/>
    </row>
    <row r="80" spans="10:10">
      <c r="J80" s="66"/>
    </row>
    <row r="81" spans="10:10">
      <c r="J81" s="66"/>
    </row>
    <row r="82" spans="10:10">
      <c r="J82" s="66"/>
    </row>
    <row r="83" spans="10:10">
      <c r="J83" s="66"/>
    </row>
    <row r="84" spans="10:10">
      <c r="J84" s="66"/>
    </row>
    <row r="85" spans="10:10">
      <c r="J85" s="66"/>
    </row>
    <row r="86" spans="10:10">
      <c r="J86" s="66"/>
    </row>
    <row r="87" spans="10:10">
      <c r="J87" s="66"/>
    </row>
    <row r="88" spans="10:10">
      <c r="J88" s="66"/>
    </row>
  </sheetData>
  <mergeCells count="4">
    <mergeCell ref="A1:B2"/>
    <mergeCell ref="I1:I3"/>
    <mergeCell ref="J1:J3"/>
    <mergeCell ref="K1:K3"/>
  </mergeCells>
  <phoneticPr fontId="12" type="noConversion"/>
  <pageMargins left="0.7" right="0.7" top="0.9448818897637794" bottom="0.9448818897637794" header="0.3" footer="0.3"/>
  <pageSetup orientation="landscape" r:id="rId1"/>
  <headerFooter>
    <oddHeader>&amp;L&amp;G&amp;C&amp;11REPORT&amp;B&amp;14_x000D_OT Tracking Tool&amp;R&amp;11&amp;P (&amp;N)</oddHeader>
    <oddFooter>&amp;L&amp;11Prepared: Rachel Nie&amp;C&amp;11Date: 2015-09-15
Sheet: &amp;A
Ericsson Internal&amp;R&amp;11_x000D_Rev: PA1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'C:\00_Work\OBS\OT\[OT Tracker_2016.xlsx]Database'!#REF!</xm:f>
          </x14:formula1>
          <xm:sqref>J4:J56</xm:sqref>
        </x14:dataValidation>
        <x14:dataValidation type="list" allowBlank="1" showInputMessage="1" showErrorMessage="1">
          <x14:formula1>
            <xm:f>Database!$D$2:$D$33</xm:f>
          </x14:formula1>
          <xm:sqref>F4:G56</xm:sqref>
        </x14:dataValidation>
        <x14:dataValidation type="list" allowBlank="1" showInputMessage="1" showErrorMessage="1">
          <x14:formula1>
            <xm:f>Database!$B$2:$B$32</xm:f>
          </x14:formula1>
          <xm:sqref>E4:E56</xm:sqref>
        </x14:dataValidation>
        <x14:dataValidation type="list" allowBlank="1" showInputMessage="1" showErrorMessage="1">
          <x14:formula1>
            <xm:f>Database!$C$2:$C$8</xm:f>
          </x14:formula1>
          <xm:sqref>H4:H56</xm:sqref>
        </x14:dataValidation>
        <x14:dataValidation type="list" allowBlank="1" showInputMessage="1" showErrorMessage="1">
          <x14:formula1>
            <xm:f>Database!$A$5:$A$7</xm:f>
          </x14:formula1>
          <xm:sqref>D4:D56</xm:sqref>
        </x14:dataValidation>
        <x14:dataValidation type="list" allowBlank="1" showInputMessage="1" showErrorMessage="1">
          <x14:formula1>
            <xm:f>Database!$E$2:$E$50</xm:f>
          </x14:formula1>
          <xm:sqref>A4:A56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3"/>
  <sheetViews>
    <sheetView workbookViewId="0">
      <pane xSplit="11" ySplit="3" topLeftCell="L4" activePane="bottomRight" state="frozen"/>
      <selection activeCell="C43" sqref="C43"/>
      <selection pane="topRight" activeCell="C43" sqref="C43"/>
      <selection pane="bottomLeft" activeCell="C43" sqref="C43"/>
      <selection pane="bottomRight" sqref="A1:B2"/>
    </sheetView>
  </sheetViews>
  <sheetFormatPr defaultColWidth="9.140625" defaultRowHeight="15"/>
  <cols>
    <col min="1" max="1" width="15.28515625" style="42" customWidth="1"/>
    <col min="2" max="2" width="39.7109375" style="42" customWidth="1"/>
    <col min="3" max="3" width="44.5703125" style="42" customWidth="1"/>
    <col min="4" max="5" width="5.140625" style="42" bestFit="1" customWidth="1"/>
    <col min="6" max="7" width="5.7109375" style="65" customWidth="1"/>
    <col min="8" max="8" width="11.28515625" style="47" customWidth="1"/>
    <col min="9" max="9" width="6.140625" style="42" bestFit="1" customWidth="1"/>
    <col min="10" max="10" width="5.28515625" style="42" bestFit="1" customWidth="1"/>
    <col min="11" max="11" width="8" style="42" bestFit="1" customWidth="1"/>
    <col min="12" max="16384" width="9.140625" style="42"/>
  </cols>
  <sheetData>
    <row r="1" spans="1:11" ht="15.75" customHeight="1">
      <c r="A1" s="110" t="s">
        <v>119</v>
      </c>
      <c r="B1" s="111"/>
      <c r="C1" s="55" t="s">
        <v>92</v>
      </c>
      <c r="D1" s="55"/>
      <c r="E1" s="55"/>
      <c r="F1" s="55"/>
      <c r="G1" s="55"/>
      <c r="H1" s="56"/>
      <c r="I1" s="114" t="s">
        <v>93</v>
      </c>
      <c r="J1" s="117" t="s">
        <v>94</v>
      </c>
      <c r="K1" s="118" t="s">
        <v>95</v>
      </c>
    </row>
    <row r="2" spans="1:11" ht="15.75" customHeight="1">
      <c r="A2" s="112"/>
      <c r="B2" s="113"/>
      <c r="C2" s="57" t="s">
        <v>96</v>
      </c>
      <c r="D2" s="58"/>
      <c r="E2" s="58"/>
      <c r="F2" s="58"/>
      <c r="G2" s="58"/>
      <c r="H2" s="59"/>
      <c r="I2" s="115"/>
      <c r="J2" s="117"/>
      <c r="K2" s="118"/>
    </row>
    <row r="3" spans="1:11">
      <c r="A3" s="60" t="s">
        <v>70</v>
      </c>
      <c r="B3" s="61" t="s">
        <v>97</v>
      </c>
      <c r="C3" s="62" t="s">
        <v>98</v>
      </c>
      <c r="D3" s="62" t="s">
        <v>99</v>
      </c>
      <c r="E3" s="62" t="s">
        <v>100</v>
      </c>
      <c r="F3" s="63" t="s">
        <v>101</v>
      </c>
      <c r="G3" s="64" t="s">
        <v>102</v>
      </c>
      <c r="H3" s="62" t="s">
        <v>103</v>
      </c>
      <c r="I3" s="116"/>
      <c r="J3" s="117"/>
      <c r="K3" s="118"/>
    </row>
    <row r="4" spans="1:11">
      <c r="A4" s="92"/>
      <c r="B4" s="75"/>
      <c r="C4" s="75"/>
      <c r="D4" s="75"/>
      <c r="E4" s="75"/>
      <c r="F4" s="76"/>
      <c r="G4" s="76"/>
      <c r="H4" s="77"/>
      <c r="I4" s="86">
        <f>IF(H4="Sat",G4*24-F4*24-1,IF(H4="Sun",G4*24-F4*24-1,G4*24-F4*24))</f>
        <v>0</v>
      </c>
      <c r="J4" s="87">
        <v>1</v>
      </c>
      <c r="K4" s="88">
        <f>I4*J4</f>
        <v>0</v>
      </c>
    </row>
    <row r="5" spans="1:11">
      <c r="A5" s="78"/>
      <c r="B5" s="79"/>
      <c r="C5" s="79"/>
      <c r="D5" s="80"/>
      <c r="E5" s="79"/>
      <c r="F5" s="76"/>
      <c r="G5" s="76"/>
      <c r="H5" s="81"/>
      <c r="I5" s="86">
        <f t="shared" ref="I5:I49" si="0">IF(H5="Sat",G5*24-F5*24-1,IF(H5="Sun",G5*24-F5*24-1,G5*24-F5*24))</f>
        <v>0</v>
      </c>
      <c r="J5" s="87">
        <v>1</v>
      </c>
      <c r="K5" s="88">
        <f t="shared" ref="K5:K49" si="1">I5*J5</f>
        <v>0</v>
      </c>
    </row>
    <row r="6" spans="1:11">
      <c r="A6" s="78"/>
      <c r="B6" s="79"/>
      <c r="C6" s="79"/>
      <c r="D6" s="80"/>
      <c r="E6" s="79"/>
      <c r="F6" s="76"/>
      <c r="G6" s="76"/>
      <c r="H6" s="81"/>
      <c r="I6" s="86">
        <f t="shared" si="0"/>
        <v>0</v>
      </c>
      <c r="J6" s="87">
        <v>1</v>
      </c>
      <c r="K6" s="88">
        <f t="shared" si="1"/>
        <v>0</v>
      </c>
    </row>
    <row r="7" spans="1:11">
      <c r="A7" s="78"/>
      <c r="B7" s="79"/>
      <c r="C7" s="79"/>
      <c r="D7" s="80"/>
      <c r="E7" s="79"/>
      <c r="F7" s="76"/>
      <c r="G7" s="76"/>
      <c r="H7" s="81"/>
      <c r="I7" s="86">
        <f t="shared" si="0"/>
        <v>0</v>
      </c>
      <c r="J7" s="87">
        <v>1</v>
      </c>
      <c r="K7" s="88">
        <f t="shared" si="1"/>
        <v>0</v>
      </c>
    </row>
    <row r="8" spans="1:11">
      <c r="A8" s="78"/>
      <c r="B8" s="79"/>
      <c r="C8" s="79"/>
      <c r="D8" s="80"/>
      <c r="E8" s="79"/>
      <c r="F8" s="76"/>
      <c r="G8" s="76"/>
      <c r="H8" s="81"/>
      <c r="I8" s="86">
        <f t="shared" si="0"/>
        <v>0</v>
      </c>
      <c r="J8" s="87">
        <v>1</v>
      </c>
      <c r="K8" s="88">
        <f t="shared" si="1"/>
        <v>0</v>
      </c>
    </row>
    <row r="9" spans="1:11">
      <c r="A9" s="78"/>
      <c r="B9" s="79"/>
      <c r="C9" s="79"/>
      <c r="D9" s="80"/>
      <c r="E9" s="79"/>
      <c r="F9" s="76"/>
      <c r="G9" s="76"/>
      <c r="H9" s="81"/>
      <c r="I9" s="86">
        <f t="shared" si="0"/>
        <v>0</v>
      </c>
      <c r="J9" s="87">
        <v>1</v>
      </c>
      <c r="K9" s="88">
        <f t="shared" si="1"/>
        <v>0</v>
      </c>
    </row>
    <row r="10" spans="1:11">
      <c r="A10" s="78"/>
      <c r="B10" s="80"/>
      <c r="C10" s="80"/>
      <c r="D10" s="79"/>
      <c r="E10" s="80"/>
      <c r="F10" s="76"/>
      <c r="G10" s="76"/>
      <c r="H10" s="81"/>
      <c r="I10" s="89">
        <f t="shared" si="0"/>
        <v>0</v>
      </c>
      <c r="J10" s="90">
        <v>1</v>
      </c>
      <c r="K10" s="91">
        <f t="shared" si="1"/>
        <v>0</v>
      </c>
    </row>
    <row r="11" spans="1:11">
      <c r="A11" s="82"/>
      <c r="B11" s="80"/>
      <c r="C11" s="80"/>
      <c r="D11" s="80"/>
      <c r="E11" s="80"/>
      <c r="F11" s="76"/>
      <c r="G11" s="76"/>
      <c r="H11" s="81"/>
      <c r="I11" s="89">
        <f t="shared" si="0"/>
        <v>0</v>
      </c>
      <c r="J11" s="90">
        <v>1</v>
      </c>
      <c r="K11" s="91">
        <f t="shared" si="1"/>
        <v>0</v>
      </c>
    </row>
    <row r="12" spans="1:11">
      <c r="A12" s="82"/>
      <c r="B12" s="80"/>
      <c r="C12" s="80"/>
      <c r="D12" s="80"/>
      <c r="E12" s="80"/>
      <c r="F12" s="76"/>
      <c r="G12" s="76"/>
      <c r="H12" s="81"/>
      <c r="I12" s="89">
        <f t="shared" si="0"/>
        <v>0</v>
      </c>
      <c r="J12" s="90">
        <v>1</v>
      </c>
      <c r="K12" s="91">
        <f t="shared" si="1"/>
        <v>0</v>
      </c>
    </row>
    <row r="13" spans="1:11">
      <c r="A13" s="82"/>
      <c r="B13" s="80"/>
      <c r="C13" s="80"/>
      <c r="D13" s="80"/>
      <c r="E13" s="80"/>
      <c r="F13" s="76"/>
      <c r="G13" s="76"/>
      <c r="H13" s="81"/>
      <c r="I13" s="89">
        <f t="shared" si="0"/>
        <v>0</v>
      </c>
      <c r="J13" s="90">
        <v>1</v>
      </c>
      <c r="K13" s="91">
        <f t="shared" si="1"/>
        <v>0</v>
      </c>
    </row>
    <row r="14" spans="1:11">
      <c r="A14" s="78"/>
      <c r="B14" s="80"/>
      <c r="C14" s="80"/>
      <c r="D14" s="80"/>
      <c r="E14" s="80"/>
      <c r="F14" s="76"/>
      <c r="G14" s="76"/>
      <c r="H14" s="81"/>
      <c r="I14" s="89">
        <f t="shared" si="0"/>
        <v>0</v>
      </c>
      <c r="J14" s="90">
        <v>1</v>
      </c>
      <c r="K14" s="91">
        <f t="shared" si="1"/>
        <v>0</v>
      </c>
    </row>
    <row r="15" spans="1:11">
      <c r="A15" s="82"/>
      <c r="B15" s="80"/>
      <c r="C15" s="80"/>
      <c r="D15" s="80"/>
      <c r="E15" s="80"/>
      <c r="F15" s="76"/>
      <c r="G15" s="76"/>
      <c r="H15" s="81"/>
      <c r="I15" s="89">
        <f t="shared" si="0"/>
        <v>0</v>
      </c>
      <c r="J15" s="90">
        <v>1</v>
      </c>
      <c r="K15" s="91">
        <f t="shared" si="1"/>
        <v>0</v>
      </c>
    </row>
    <row r="16" spans="1:11">
      <c r="A16" s="82"/>
      <c r="B16" s="80"/>
      <c r="C16" s="83"/>
      <c r="D16" s="80"/>
      <c r="E16" s="80"/>
      <c r="F16" s="76"/>
      <c r="G16" s="76"/>
      <c r="H16" s="81"/>
      <c r="I16" s="89">
        <f t="shared" si="0"/>
        <v>0</v>
      </c>
      <c r="J16" s="90">
        <v>1</v>
      </c>
      <c r="K16" s="91">
        <f t="shared" si="1"/>
        <v>0</v>
      </c>
    </row>
    <row r="17" spans="1:11">
      <c r="A17" s="78"/>
      <c r="B17" s="80"/>
      <c r="C17" s="80"/>
      <c r="D17" s="80"/>
      <c r="E17" s="80"/>
      <c r="F17" s="76"/>
      <c r="G17" s="76"/>
      <c r="H17" s="81"/>
      <c r="I17" s="89">
        <f t="shared" si="0"/>
        <v>0</v>
      </c>
      <c r="J17" s="90">
        <v>1</v>
      </c>
      <c r="K17" s="91">
        <f t="shared" si="1"/>
        <v>0</v>
      </c>
    </row>
    <row r="18" spans="1:11">
      <c r="A18" s="82"/>
      <c r="B18" s="80"/>
      <c r="C18" s="80"/>
      <c r="D18" s="80"/>
      <c r="E18" s="80"/>
      <c r="F18" s="76"/>
      <c r="G18" s="76"/>
      <c r="H18" s="81"/>
      <c r="I18" s="89">
        <f t="shared" si="0"/>
        <v>0</v>
      </c>
      <c r="J18" s="90">
        <v>1</v>
      </c>
      <c r="K18" s="91">
        <f t="shared" si="1"/>
        <v>0</v>
      </c>
    </row>
    <row r="19" spans="1:11">
      <c r="A19" s="82"/>
      <c r="B19" s="80"/>
      <c r="C19" s="80"/>
      <c r="D19" s="80"/>
      <c r="E19" s="80"/>
      <c r="F19" s="76"/>
      <c r="G19" s="76"/>
      <c r="H19" s="81"/>
      <c r="I19" s="89">
        <f t="shared" si="0"/>
        <v>0</v>
      </c>
      <c r="J19" s="90">
        <v>1</v>
      </c>
      <c r="K19" s="91">
        <f t="shared" si="1"/>
        <v>0</v>
      </c>
    </row>
    <row r="20" spans="1:11">
      <c r="A20" s="82"/>
      <c r="B20" s="80"/>
      <c r="C20" s="80"/>
      <c r="D20" s="80"/>
      <c r="E20" s="80"/>
      <c r="F20" s="76"/>
      <c r="G20" s="76"/>
      <c r="H20" s="81"/>
      <c r="I20" s="89">
        <f t="shared" si="0"/>
        <v>0</v>
      </c>
      <c r="J20" s="90">
        <v>1</v>
      </c>
      <c r="K20" s="91">
        <f t="shared" si="1"/>
        <v>0</v>
      </c>
    </row>
    <row r="21" spans="1:11">
      <c r="A21" s="82"/>
      <c r="B21" s="80"/>
      <c r="C21" s="80"/>
      <c r="D21" s="80"/>
      <c r="E21" s="80"/>
      <c r="F21" s="76"/>
      <c r="G21" s="76"/>
      <c r="H21" s="81"/>
      <c r="I21" s="89">
        <f t="shared" si="0"/>
        <v>0</v>
      </c>
      <c r="J21" s="90">
        <v>1</v>
      </c>
      <c r="K21" s="91">
        <f t="shared" si="1"/>
        <v>0</v>
      </c>
    </row>
    <row r="22" spans="1:11">
      <c r="A22" s="82"/>
      <c r="B22" s="80"/>
      <c r="C22" s="80"/>
      <c r="D22" s="80"/>
      <c r="E22" s="80"/>
      <c r="F22" s="76"/>
      <c r="G22" s="76"/>
      <c r="H22" s="81"/>
      <c r="I22" s="89">
        <f t="shared" si="0"/>
        <v>0</v>
      </c>
      <c r="J22" s="90">
        <v>1</v>
      </c>
      <c r="K22" s="91">
        <f t="shared" si="1"/>
        <v>0</v>
      </c>
    </row>
    <row r="23" spans="1:11">
      <c r="A23" s="82"/>
      <c r="B23" s="80"/>
      <c r="C23" s="80"/>
      <c r="D23" s="80"/>
      <c r="E23" s="80"/>
      <c r="F23" s="76"/>
      <c r="G23" s="76"/>
      <c r="H23" s="81"/>
      <c r="I23" s="89">
        <f t="shared" si="0"/>
        <v>0</v>
      </c>
      <c r="J23" s="90">
        <v>1</v>
      </c>
      <c r="K23" s="91">
        <f t="shared" si="1"/>
        <v>0</v>
      </c>
    </row>
    <row r="24" spans="1:11">
      <c r="A24" s="82"/>
      <c r="B24" s="80"/>
      <c r="C24" s="80"/>
      <c r="D24" s="80"/>
      <c r="E24" s="80"/>
      <c r="F24" s="76"/>
      <c r="G24" s="76"/>
      <c r="H24" s="81"/>
      <c r="I24" s="89">
        <f t="shared" si="0"/>
        <v>0</v>
      </c>
      <c r="J24" s="90">
        <v>1</v>
      </c>
      <c r="K24" s="91">
        <f t="shared" si="1"/>
        <v>0</v>
      </c>
    </row>
    <row r="25" spans="1:11">
      <c r="A25" s="82"/>
      <c r="B25" s="80"/>
      <c r="C25" s="80"/>
      <c r="D25" s="80"/>
      <c r="E25" s="80"/>
      <c r="F25" s="76"/>
      <c r="G25" s="76"/>
      <c r="H25" s="81"/>
      <c r="I25" s="89">
        <f t="shared" si="0"/>
        <v>0</v>
      </c>
      <c r="J25" s="90">
        <v>1</v>
      </c>
      <c r="K25" s="91">
        <f t="shared" si="1"/>
        <v>0</v>
      </c>
    </row>
    <row r="26" spans="1:11">
      <c r="A26" s="82"/>
      <c r="B26" s="80"/>
      <c r="C26" s="80"/>
      <c r="D26" s="80"/>
      <c r="E26" s="80"/>
      <c r="F26" s="76"/>
      <c r="G26" s="76"/>
      <c r="H26" s="81"/>
      <c r="I26" s="89">
        <f t="shared" si="0"/>
        <v>0</v>
      </c>
      <c r="J26" s="90">
        <v>1</v>
      </c>
      <c r="K26" s="91">
        <f t="shared" si="1"/>
        <v>0</v>
      </c>
    </row>
    <row r="27" spans="1:11">
      <c r="A27" s="82"/>
      <c r="B27" s="80"/>
      <c r="C27" s="80"/>
      <c r="D27" s="80"/>
      <c r="E27" s="80"/>
      <c r="F27" s="76"/>
      <c r="G27" s="76"/>
      <c r="H27" s="81"/>
      <c r="I27" s="89">
        <f t="shared" si="0"/>
        <v>0</v>
      </c>
      <c r="J27" s="90">
        <v>1</v>
      </c>
      <c r="K27" s="91">
        <f t="shared" si="1"/>
        <v>0</v>
      </c>
    </row>
    <row r="28" spans="1:11">
      <c r="A28" s="82"/>
      <c r="B28" s="80"/>
      <c r="C28" s="80"/>
      <c r="D28" s="80"/>
      <c r="E28" s="80"/>
      <c r="F28" s="76"/>
      <c r="G28" s="76"/>
      <c r="H28" s="81"/>
      <c r="I28" s="89">
        <f t="shared" si="0"/>
        <v>0</v>
      </c>
      <c r="J28" s="90">
        <v>1</v>
      </c>
      <c r="K28" s="91">
        <f t="shared" si="1"/>
        <v>0</v>
      </c>
    </row>
    <row r="29" spans="1:11">
      <c r="A29" s="82"/>
      <c r="B29" s="80"/>
      <c r="C29" s="80"/>
      <c r="D29" s="80"/>
      <c r="E29" s="80"/>
      <c r="F29" s="76"/>
      <c r="G29" s="76"/>
      <c r="H29" s="81"/>
      <c r="I29" s="89">
        <f t="shared" si="0"/>
        <v>0</v>
      </c>
      <c r="J29" s="90">
        <v>1</v>
      </c>
      <c r="K29" s="91">
        <f t="shared" si="1"/>
        <v>0</v>
      </c>
    </row>
    <row r="30" spans="1:11">
      <c r="A30" s="82"/>
      <c r="B30" s="80"/>
      <c r="C30" s="80"/>
      <c r="D30" s="80"/>
      <c r="E30" s="80"/>
      <c r="F30" s="76"/>
      <c r="G30" s="76"/>
      <c r="H30" s="81"/>
      <c r="I30" s="89">
        <f t="shared" si="0"/>
        <v>0</v>
      </c>
      <c r="J30" s="90">
        <v>1</v>
      </c>
      <c r="K30" s="91">
        <f t="shared" si="1"/>
        <v>0</v>
      </c>
    </row>
    <row r="31" spans="1:11">
      <c r="A31" s="82"/>
      <c r="B31" s="80"/>
      <c r="C31" s="80"/>
      <c r="D31" s="80"/>
      <c r="E31" s="80"/>
      <c r="F31" s="76"/>
      <c r="G31" s="76"/>
      <c r="H31" s="81"/>
      <c r="I31" s="89">
        <f t="shared" si="0"/>
        <v>0</v>
      </c>
      <c r="J31" s="90">
        <v>1</v>
      </c>
      <c r="K31" s="91">
        <f t="shared" si="1"/>
        <v>0</v>
      </c>
    </row>
    <row r="32" spans="1:11">
      <c r="A32" s="82"/>
      <c r="B32" s="80"/>
      <c r="C32" s="80"/>
      <c r="D32" s="80"/>
      <c r="E32" s="80"/>
      <c r="F32" s="76"/>
      <c r="G32" s="76"/>
      <c r="H32" s="81"/>
      <c r="I32" s="89">
        <f t="shared" si="0"/>
        <v>0</v>
      </c>
      <c r="J32" s="90">
        <v>1</v>
      </c>
      <c r="K32" s="91">
        <f t="shared" si="1"/>
        <v>0</v>
      </c>
    </row>
    <row r="33" spans="1:11">
      <c r="A33" s="82"/>
      <c r="B33" s="80"/>
      <c r="C33" s="80"/>
      <c r="D33" s="80"/>
      <c r="E33" s="80"/>
      <c r="F33" s="76"/>
      <c r="G33" s="76"/>
      <c r="H33" s="81"/>
      <c r="I33" s="89">
        <f t="shared" si="0"/>
        <v>0</v>
      </c>
      <c r="J33" s="90">
        <v>1</v>
      </c>
      <c r="K33" s="91">
        <f t="shared" si="1"/>
        <v>0</v>
      </c>
    </row>
    <row r="34" spans="1:11">
      <c r="A34" s="78"/>
      <c r="B34" s="80"/>
      <c r="C34" s="80"/>
      <c r="D34" s="80"/>
      <c r="E34" s="80"/>
      <c r="F34" s="76"/>
      <c r="G34" s="76"/>
      <c r="H34" s="81"/>
      <c r="I34" s="89">
        <f t="shared" si="0"/>
        <v>0</v>
      </c>
      <c r="J34" s="90">
        <v>1</v>
      </c>
      <c r="K34" s="91">
        <f t="shared" si="1"/>
        <v>0</v>
      </c>
    </row>
    <row r="35" spans="1:11">
      <c r="A35" s="82"/>
      <c r="B35" s="80"/>
      <c r="C35" s="80"/>
      <c r="D35" s="80"/>
      <c r="E35" s="80"/>
      <c r="F35" s="76"/>
      <c r="G35" s="76"/>
      <c r="H35" s="81"/>
      <c r="I35" s="89">
        <f t="shared" si="0"/>
        <v>0</v>
      </c>
      <c r="J35" s="90">
        <v>1</v>
      </c>
      <c r="K35" s="91">
        <f t="shared" si="1"/>
        <v>0</v>
      </c>
    </row>
    <row r="36" spans="1:11">
      <c r="A36" s="82"/>
      <c r="B36" s="80"/>
      <c r="C36" s="80"/>
      <c r="D36" s="80"/>
      <c r="E36" s="80"/>
      <c r="F36" s="76"/>
      <c r="G36" s="76"/>
      <c r="H36" s="81"/>
      <c r="I36" s="89">
        <f t="shared" si="0"/>
        <v>0</v>
      </c>
      <c r="J36" s="90">
        <v>1</v>
      </c>
      <c r="K36" s="91">
        <f t="shared" si="1"/>
        <v>0</v>
      </c>
    </row>
    <row r="37" spans="1:11">
      <c r="A37" s="82"/>
      <c r="B37" s="80"/>
      <c r="C37" s="80"/>
      <c r="D37" s="80"/>
      <c r="E37" s="80"/>
      <c r="F37" s="76"/>
      <c r="G37" s="76"/>
      <c r="H37" s="81"/>
      <c r="I37" s="89">
        <f t="shared" si="0"/>
        <v>0</v>
      </c>
      <c r="J37" s="90">
        <v>1</v>
      </c>
      <c r="K37" s="91">
        <f t="shared" si="1"/>
        <v>0</v>
      </c>
    </row>
    <row r="38" spans="1:11">
      <c r="A38" s="82"/>
      <c r="B38" s="80"/>
      <c r="C38" s="80"/>
      <c r="D38" s="80"/>
      <c r="E38" s="80"/>
      <c r="F38" s="76"/>
      <c r="G38" s="76"/>
      <c r="H38" s="81"/>
      <c r="I38" s="89">
        <f t="shared" si="0"/>
        <v>0</v>
      </c>
      <c r="J38" s="90">
        <v>1</v>
      </c>
      <c r="K38" s="91">
        <f t="shared" si="1"/>
        <v>0</v>
      </c>
    </row>
    <row r="39" spans="1:11">
      <c r="A39" s="82"/>
      <c r="B39" s="80"/>
      <c r="C39" s="80"/>
      <c r="D39" s="80"/>
      <c r="E39" s="80"/>
      <c r="F39" s="76"/>
      <c r="G39" s="76"/>
      <c r="H39" s="81"/>
      <c r="I39" s="89">
        <f t="shared" si="0"/>
        <v>0</v>
      </c>
      <c r="J39" s="90">
        <v>1</v>
      </c>
      <c r="K39" s="91">
        <f t="shared" si="1"/>
        <v>0</v>
      </c>
    </row>
    <row r="40" spans="1:11">
      <c r="A40" s="82"/>
      <c r="B40" s="80"/>
      <c r="C40" s="80"/>
      <c r="D40" s="80"/>
      <c r="E40" s="80"/>
      <c r="F40" s="76"/>
      <c r="G40" s="76"/>
      <c r="H40" s="81"/>
      <c r="I40" s="89">
        <f t="shared" si="0"/>
        <v>0</v>
      </c>
      <c r="J40" s="90">
        <v>1</v>
      </c>
      <c r="K40" s="91">
        <f t="shared" si="1"/>
        <v>0</v>
      </c>
    </row>
    <row r="41" spans="1:11">
      <c r="A41" s="82"/>
      <c r="B41" s="80"/>
      <c r="C41" s="80"/>
      <c r="D41" s="80"/>
      <c r="E41" s="80"/>
      <c r="F41" s="76"/>
      <c r="G41" s="76"/>
      <c r="H41" s="81"/>
      <c r="I41" s="89">
        <f t="shared" si="0"/>
        <v>0</v>
      </c>
      <c r="J41" s="90">
        <v>1</v>
      </c>
      <c r="K41" s="91">
        <f t="shared" si="1"/>
        <v>0</v>
      </c>
    </row>
    <row r="42" spans="1:11">
      <c r="A42" s="82"/>
      <c r="B42" s="80"/>
      <c r="C42" s="80"/>
      <c r="D42" s="80"/>
      <c r="E42" s="80"/>
      <c r="F42" s="76"/>
      <c r="G42" s="76"/>
      <c r="H42" s="81"/>
      <c r="I42" s="89">
        <f t="shared" si="0"/>
        <v>0</v>
      </c>
      <c r="J42" s="90">
        <v>1</v>
      </c>
      <c r="K42" s="91">
        <f t="shared" si="1"/>
        <v>0</v>
      </c>
    </row>
    <row r="43" spans="1:11">
      <c r="A43" s="82"/>
      <c r="B43" s="80"/>
      <c r="C43" s="80"/>
      <c r="D43" s="80"/>
      <c r="E43" s="80"/>
      <c r="F43" s="76"/>
      <c r="G43" s="76"/>
      <c r="H43" s="81"/>
      <c r="I43" s="89">
        <f t="shared" si="0"/>
        <v>0</v>
      </c>
      <c r="J43" s="90">
        <v>1</v>
      </c>
      <c r="K43" s="91">
        <f t="shared" si="1"/>
        <v>0</v>
      </c>
    </row>
    <row r="44" spans="1:11">
      <c r="A44" s="82"/>
      <c r="B44" s="80"/>
      <c r="C44" s="80"/>
      <c r="D44" s="80"/>
      <c r="E44" s="80"/>
      <c r="F44" s="76"/>
      <c r="G44" s="76"/>
      <c r="H44" s="81"/>
      <c r="I44" s="89">
        <f t="shared" si="0"/>
        <v>0</v>
      </c>
      <c r="J44" s="90">
        <v>1</v>
      </c>
      <c r="K44" s="91">
        <f t="shared" si="1"/>
        <v>0</v>
      </c>
    </row>
    <row r="45" spans="1:11">
      <c r="A45" s="82"/>
      <c r="B45" s="80"/>
      <c r="C45" s="80"/>
      <c r="D45" s="80"/>
      <c r="E45" s="80"/>
      <c r="F45" s="76"/>
      <c r="G45" s="76"/>
      <c r="H45" s="81"/>
      <c r="I45" s="89">
        <f t="shared" si="0"/>
        <v>0</v>
      </c>
      <c r="J45" s="90">
        <v>1</v>
      </c>
      <c r="K45" s="91">
        <f t="shared" si="1"/>
        <v>0</v>
      </c>
    </row>
    <row r="46" spans="1:11">
      <c r="A46" s="82"/>
      <c r="B46" s="80"/>
      <c r="C46" s="80"/>
      <c r="D46" s="80"/>
      <c r="E46" s="80"/>
      <c r="F46" s="76"/>
      <c r="G46" s="76"/>
      <c r="H46" s="81"/>
      <c r="I46" s="89">
        <f t="shared" si="0"/>
        <v>0</v>
      </c>
      <c r="J46" s="90">
        <v>1</v>
      </c>
      <c r="K46" s="91">
        <f t="shared" si="1"/>
        <v>0</v>
      </c>
    </row>
    <row r="47" spans="1:11">
      <c r="A47" s="82"/>
      <c r="B47" s="80"/>
      <c r="C47" s="80"/>
      <c r="D47" s="80"/>
      <c r="E47" s="80"/>
      <c r="F47" s="76"/>
      <c r="G47" s="76"/>
      <c r="H47" s="81"/>
      <c r="I47" s="89">
        <f t="shared" si="0"/>
        <v>0</v>
      </c>
      <c r="J47" s="90">
        <v>1</v>
      </c>
      <c r="K47" s="91">
        <f t="shared" si="1"/>
        <v>0</v>
      </c>
    </row>
    <row r="48" spans="1:11">
      <c r="A48" s="82"/>
      <c r="B48" s="80"/>
      <c r="C48" s="80"/>
      <c r="D48" s="80"/>
      <c r="E48" s="80"/>
      <c r="F48" s="76"/>
      <c r="G48" s="76"/>
      <c r="H48" s="81"/>
      <c r="I48" s="89">
        <f t="shared" si="0"/>
        <v>0</v>
      </c>
      <c r="J48" s="90">
        <v>1</v>
      </c>
      <c r="K48" s="91">
        <f t="shared" si="1"/>
        <v>0</v>
      </c>
    </row>
    <row r="49" spans="1:11">
      <c r="A49" s="84"/>
      <c r="B49" s="85"/>
      <c r="C49" s="85"/>
      <c r="D49" s="85"/>
      <c r="E49" s="85"/>
      <c r="F49" s="76"/>
      <c r="G49" s="76"/>
      <c r="H49" s="81"/>
      <c r="I49" s="89">
        <f t="shared" si="0"/>
        <v>0</v>
      </c>
      <c r="J49" s="90">
        <v>1</v>
      </c>
      <c r="K49" s="91">
        <f t="shared" si="1"/>
        <v>0</v>
      </c>
    </row>
    <row r="50" spans="1:11">
      <c r="J50" s="66"/>
    </row>
    <row r="51" spans="1:11">
      <c r="J51" s="66"/>
    </row>
    <row r="52" spans="1:11">
      <c r="J52" s="66"/>
    </row>
    <row r="53" spans="1:11">
      <c r="J53" s="66"/>
    </row>
    <row r="54" spans="1:11">
      <c r="J54" s="66"/>
    </row>
    <row r="55" spans="1:11">
      <c r="J55" s="66"/>
    </row>
    <row r="56" spans="1:11">
      <c r="J56" s="66"/>
    </row>
    <row r="57" spans="1:11">
      <c r="J57" s="66"/>
    </row>
    <row r="58" spans="1:11">
      <c r="J58" s="66"/>
    </row>
    <row r="59" spans="1:11">
      <c r="J59" s="66"/>
    </row>
    <row r="60" spans="1:11">
      <c r="J60" s="66"/>
    </row>
    <row r="61" spans="1:11">
      <c r="J61" s="66"/>
    </row>
    <row r="62" spans="1:11">
      <c r="J62" s="66"/>
    </row>
    <row r="63" spans="1:11">
      <c r="J63" s="66"/>
    </row>
    <row r="64" spans="1:11">
      <c r="J64" s="66"/>
    </row>
    <row r="65" spans="10:10">
      <c r="J65" s="66"/>
    </row>
    <row r="66" spans="10:10">
      <c r="J66" s="66"/>
    </row>
    <row r="67" spans="10:10">
      <c r="J67" s="66"/>
    </row>
    <row r="68" spans="10:10">
      <c r="J68" s="66"/>
    </row>
    <row r="69" spans="10:10">
      <c r="J69" s="66"/>
    </row>
    <row r="70" spans="10:10">
      <c r="J70" s="66"/>
    </row>
    <row r="71" spans="10:10">
      <c r="J71" s="66"/>
    </row>
    <row r="72" spans="10:10">
      <c r="J72" s="66"/>
    </row>
    <row r="73" spans="10:10">
      <c r="J73" s="66"/>
    </row>
    <row r="74" spans="10:10">
      <c r="J74" s="66"/>
    </row>
    <row r="75" spans="10:10">
      <c r="J75" s="66"/>
    </row>
    <row r="76" spans="10:10">
      <c r="J76" s="66"/>
    </row>
    <row r="77" spans="10:10">
      <c r="J77" s="66"/>
    </row>
    <row r="78" spans="10:10">
      <c r="J78" s="66"/>
    </row>
    <row r="79" spans="10:10">
      <c r="J79" s="66"/>
    </row>
    <row r="80" spans="10:10">
      <c r="J80" s="66"/>
    </row>
    <row r="81" spans="10:10">
      <c r="J81" s="66"/>
    </row>
    <row r="82" spans="10:10">
      <c r="J82" s="66"/>
    </row>
    <row r="83" spans="10:10">
      <c r="J83" s="66"/>
    </row>
  </sheetData>
  <mergeCells count="4">
    <mergeCell ref="A1:B2"/>
    <mergeCell ref="I1:I3"/>
    <mergeCell ref="J1:J3"/>
    <mergeCell ref="K1:K3"/>
  </mergeCells>
  <phoneticPr fontId="12" type="noConversion"/>
  <pageMargins left="0.7" right="0.7" top="0.9448818897637794" bottom="0.9448818897637794" header="0.3" footer="0.3"/>
  <pageSetup orientation="landscape" r:id="rId1"/>
  <headerFooter>
    <oddHeader>&amp;L&amp;G&amp;C&amp;11REPORT&amp;B&amp;14_x000D_OT Tracking Tool&amp;R&amp;11&amp;P (&amp;N)</oddHeader>
    <oddFooter>&amp;L&amp;11Prepared: Rachel Nie&amp;C&amp;11Date: 2015-09-15
Sheet: &amp;A
Ericsson Internal&amp;R&amp;11_x000D_Rev: PA1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'C:\00_Work\OBS\OT\[OT Tracker_2016.xlsx]Database'!#REF!</xm:f>
          </x14:formula1>
          <xm:sqref>J4:J49</xm:sqref>
        </x14:dataValidation>
        <x14:dataValidation type="list" allowBlank="1" showInputMessage="1" showErrorMessage="1">
          <x14:formula1>
            <xm:f>Database!$A$8:$A$10</xm:f>
          </x14:formula1>
          <xm:sqref>D4:D49</xm:sqref>
        </x14:dataValidation>
        <x14:dataValidation type="list" allowBlank="1" showInputMessage="1" showErrorMessage="1">
          <x14:formula1>
            <xm:f>Database!$C$2:$C$8</xm:f>
          </x14:formula1>
          <xm:sqref>H4:H49</xm:sqref>
        </x14:dataValidation>
        <x14:dataValidation type="list" allowBlank="1" showInputMessage="1" showErrorMessage="1">
          <x14:formula1>
            <xm:f>Database!$B$2:$B$32</xm:f>
          </x14:formula1>
          <xm:sqref>E4:E49</xm:sqref>
        </x14:dataValidation>
        <x14:dataValidation type="list" allowBlank="1" showInputMessage="1" showErrorMessage="1">
          <x14:formula1>
            <xm:f>Database!$D$2:$D$33</xm:f>
          </x14:formula1>
          <xm:sqref>F4:G49</xm:sqref>
        </x14:dataValidation>
        <x14:dataValidation type="list" allowBlank="1" showInputMessage="1" showErrorMessage="1">
          <x14:formula1>
            <xm:f>Database!$E$2:$E$50</xm:f>
          </x14:formula1>
          <xm:sqref>A4:A49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3"/>
  <sheetViews>
    <sheetView workbookViewId="0">
      <pane xSplit="11" ySplit="3" topLeftCell="L4" activePane="bottomRight" state="frozen"/>
      <selection activeCell="C43" sqref="C43"/>
      <selection pane="topRight" activeCell="C43" sqref="C43"/>
      <selection pane="bottomLeft" activeCell="C43" sqref="C43"/>
      <selection pane="bottomRight" sqref="A1:B2"/>
    </sheetView>
  </sheetViews>
  <sheetFormatPr defaultColWidth="9.140625" defaultRowHeight="15"/>
  <cols>
    <col min="1" max="1" width="17.7109375" style="42" customWidth="1"/>
    <col min="2" max="2" width="38.5703125" style="42" customWidth="1"/>
    <col min="3" max="3" width="44.5703125" style="42" customWidth="1"/>
    <col min="4" max="5" width="5.140625" style="42" bestFit="1" customWidth="1"/>
    <col min="6" max="7" width="5.7109375" style="65" customWidth="1"/>
    <col min="8" max="8" width="11.28515625" style="47" customWidth="1"/>
    <col min="9" max="9" width="6.140625" style="42" bestFit="1" customWidth="1"/>
    <col min="10" max="10" width="5.28515625" style="42" bestFit="1" customWidth="1"/>
    <col min="11" max="11" width="8" style="42" bestFit="1" customWidth="1"/>
    <col min="12" max="16384" width="9.140625" style="42"/>
  </cols>
  <sheetData>
    <row r="1" spans="1:11" ht="15.75" customHeight="1">
      <c r="A1" s="110" t="s">
        <v>112</v>
      </c>
      <c r="B1" s="111"/>
      <c r="C1" s="55" t="s">
        <v>92</v>
      </c>
      <c r="D1" s="55"/>
      <c r="E1" s="55"/>
      <c r="F1" s="55"/>
      <c r="G1" s="55"/>
      <c r="H1" s="56"/>
      <c r="I1" s="114" t="s">
        <v>93</v>
      </c>
      <c r="J1" s="117" t="s">
        <v>94</v>
      </c>
      <c r="K1" s="118" t="s">
        <v>95</v>
      </c>
    </row>
    <row r="2" spans="1:11" ht="15.75" customHeight="1">
      <c r="A2" s="112"/>
      <c r="B2" s="113"/>
      <c r="C2" s="57" t="s">
        <v>96</v>
      </c>
      <c r="D2" s="58"/>
      <c r="E2" s="58"/>
      <c r="F2" s="58"/>
      <c r="G2" s="58"/>
      <c r="H2" s="59"/>
      <c r="I2" s="115"/>
      <c r="J2" s="117"/>
      <c r="K2" s="118"/>
    </row>
    <row r="3" spans="1:11">
      <c r="A3" s="60" t="s">
        <v>70</v>
      </c>
      <c r="B3" s="61" t="s">
        <v>97</v>
      </c>
      <c r="C3" s="62" t="s">
        <v>98</v>
      </c>
      <c r="D3" s="62" t="s">
        <v>99</v>
      </c>
      <c r="E3" s="62" t="s">
        <v>100</v>
      </c>
      <c r="F3" s="63" t="s">
        <v>101</v>
      </c>
      <c r="G3" s="64" t="s">
        <v>102</v>
      </c>
      <c r="H3" s="62" t="s">
        <v>103</v>
      </c>
      <c r="I3" s="116"/>
      <c r="J3" s="117"/>
      <c r="K3" s="118"/>
    </row>
    <row r="4" spans="1:11">
      <c r="A4" s="92"/>
      <c r="B4" s="75"/>
      <c r="C4" s="75"/>
      <c r="D4" s="75"/>
      <c r="E4" s="75"/>
      <c r="F4" s="76"/>
      <c r="G4" s="76"/>
      <c r="H4" s="77"/>
      <c r="I4" s="86">
        <f>IF(H4="Sat",G4*24-F4*24-1,IF(H4="Sun",G4*24-F4*24-1,G4*24-F4*24))</f>
        <v>0</v>
      </c>
      <c r="J4" s="87">
        <v>1</v>
      </c>
      <c r="K4" s="88">
        <f>I4*J4</f>
        <v>0</v>
      </c>
    </row>
    <row r="5" spans="1:11">
      <c r="A5" s="78"/>
      <c r="B5" s="79"/>
      <c r="C5" s="79"/>
      <c r="D5" s="80"/>
      <c r="E5" s="79"/>
      <c r="F5" s="76"/>
      <c r="G5" s="76"/>
      <c r="H5" s="81"/>
      <c r="I5" s="86">
        <f t="shared" ref="I5:I49" si="0">IF(H5="Sat",G5*24-F5*24-1,IF(H5="Sun",G5*24-F5*24-1,G5*24-F5*24))</f>
        <v>0</v>
      </c>
      <c r="J5" s="87">
        <v>1</v>
      </c>
      <c r="K5" s="88">
        <f t="shared" ref="K5:K49" si="1">I5*J5</f>
        <v>0</v>
      </c>
    </row>
    <row r="6" spans="1:11">
      <c r="A6" s="78"/>
      <c r="B6" s="79"/>
      <c r="C6" s="79"/>
      <c r="D6" s="80"/>
      <c r="E6" s="79"/>
      <c r="F6" s="76"/>
      <c r="G6" s="76"/>
      <c r="H6" s="81"/>
      <c r="I6" s="86">
        <f t="shared" si="0"/>
        <v>0</v>
      </c>
      <c r="J6" s="87">
        <v>1</v>
      </c>
      <c r="K6" s="88">
        <f t="shared" si="1"/>
        <v>0</v>
      </c>
    </row>
    <row r="7" spans="1:11">
      <c r="A7" s="78"/>
      <c r="B7" s="79"/>
      <c r="C7" s="79"/>
      <c r="D7" s="80"/>
      <c r="E7" s="79"/>
      <c r="F7" s="76"/>
      <c r="G7" s="76"/>
      <c r="H7" s="81"/>
      <c r="I7" s="86">
        <f t="shared" si="0"/>
        <v>0</v>
      </c>
      <c r="J7" s="87">
        <v>1</v>
      </c>
      <c r="K7" s="88">
        <f t="shared" si="1"/>
        <v>0</v>
      </c>
    </row>
    <row r="8" spans="1:11">
      <c r="A8" s="78"/>
      <c r="B8" s="79"/>
      <c r="C8" s="79"/>
      <c r="D8" s="80"/>
      <c r="E8" s="79"/>
      <c r="F8" s="76"/>
      <c r="G8" s="76"/>
      <c r="H8" s="81"/>
      <c r="I8" s="86">
        <f t="shared" si="0"/>
        <v>0</v>
      </c>
      <c r="J8" s="87">
        <v>1</v>
      </c>
      <c r="K8" s="88">
        <f t="shared" si="1"/>
        <v>0</v>
      </c>
    </row>
    <row r="9" spans="1:11">
      <c r="A9" s="78"/>
      <c r="B9" s="79"/>
      <c r="C9" s="79"/>
      <c r="D9" s="80"/>
      <c r="E9" s="79"/>
      <c r="F9" s="76"/>
      <c r="G9" s="76"/>
      <c r="H9" s="81"/>
      <c r="I9" s="86">
        <f t="shared" si="0"/>
        <v>0</v>
      </c>
      <c r="J9" s="87">
        <v>1</v>
      </c>
      <c r="K9" s="88">
        <f t="shared" si="1"/>
        <v>0</v>
      </c>
    </row>
    <row r="10" spans="1:11">
      <c r="A10" s="78"/>
      <c r="B10" s="80"/>
      <c r="C10" s="80"/>
      <c r="D10" s="79"/>
      <c r="E10" s="80"/>
      <c r="F10" s="76"/>
      <c r="G10" s="76"/>
      <c r="H10" s="81"/>
      <c r="I10" s="89">
        <f t="shared" si="0"/>
        <v>0</v>
      </c>
      <c r="J10" s="90">
        <v>1</v>
      </c>
      <c r="K10" s="91">
        <f t="shared" si="1"/>
        <v>0</v>
      </c>
    </row>
    <row r="11" spans="1:11">
      <c r="A11" s="82"/>
      <c r="B11" s="80"/>
      <c r="C11" s="80"/>
      <c r="D11" s="80"/>
      <c r="E11" s="80"/>
      <c r="F11" s="76"/>
      <c r="G11" s="76"/>
      <c r="H11" s="81"/>
      <c r="I11" s="89">
        <f t="shared" si="0"/>
        <v>0</v>
      </c>
      <c r="J11" s="90">
        <v>1</v>
      </c>
      <c r="K11" s="91">
        <f t="shared" si="1"/>
        <v>0</v>
      </c>
    </row>
    <row r="12" spans="1:11">
      <c r="A12" s="82"/>
      <c r="B12" s="80"/>
      <c r="C12" s="80"/>
      <c r="D12" s="80"/>
      <c r="E12" s="80"/>
      <c r="F12" s="76"/>
      <c r="G12" s="76"/>
      <c r="H12" s="81"/>
      <c r="I12" s="89">
        <f t="shared" si="0"/>
        <v>0</v>
      </c>
      <c r="J12" s="90">
        <v>1</v>
      </c>
      <c r="K12" s="91">
        <f t="shared" si="1"/>
        <v>0</v>
      </c>
    </row>
    <row r="13" spans="1:11">
      <c r="A13" s="82"/>
      <c r="B13" s="80"/>
      <c r="C13" s="80"/>
      <c r="D13" s="80"/>
      <c r="E13" s="80"/>
      <c r="F13" s="76"/>
      <c r="G13" s="76"/>
      <c r="H13" s="81"/>
      <c r="I13" s="89">
        <f t="shared" si="0"/>
        <v>0</v>
      </c>
      <c r="J13" s="90">
        <v>1</v>
      </c>
      <c r="K13" s="91">
        <f t="shared" si="1"/>
        <v>0</v>
      </c>
    </row>
    <row r="14" spans="1:11">
      <c r="A14" s="78"/>
      <c r="B14" s="80"/>
      <c r="C14" s="80"/>
      <c r="D14" s="80"/>
      <c r="E14" s="80"/>
      <c r="F14" s="76"/>
      <c r="G14" s="76"/>
      <c r="H14" s="81"/>
      <c r="I14" s="89">
        <f t="shared" si="0"/>
        <v>0</v>
      </c>
      <c r="J14" s="90">
        <v>1</v>
      </c>
      <c r="K14" s="91">
        <f t="shared" si="1"/>
        <v>0</v>
      </c>
    </row>
    <row r="15" spans="1:11">
      <c r="A15" s="82"/>
      <c r="B15" s="80"/>
      <c r="C15" s="80"/>
      <c r="D15" s="80"/>
      <c r="E15" s="80"/>
      <c r="F15" s="76"/>
      <c r="G15" s="76"/>
      <c r="H15" s="81"/>
      <c r="I15" s="89">
        <f t="shared" si="0"/>
        <v>0</v>
      </c>
      <c r="J15" s="90">
        <v>1</v>
      </c>
      <c r="K15" s="91">
        <f t="shared" si="1"/>
        <v>0</v>
      </c>
    </row>
    <row r="16" spans="1:11">
      <c r="A16" s="82"/>
      <c r="B16" s="80"/>
      <c r="C16" s="83"/>
      <c r="D16" s="80"/>
      <c r="E16" s="80"/>
      <c r="F16" s="76"/>
      <c r="G16" s="76"/>
      <c r="H16" s="81"/>
      <c r="I16" s="89">
        <f t="shared" si="0"/>
        <v>0</v>
      </c>
      <c r="J16" s="90">
        <v>1</v>
      </c>
      <c r="K16" s="91">
        <f t="shared" si="1"/>
        <v>0</v>
      </c>
    </row>
    <row r="17" spans="1:11">
      <c r="A17" s="78"/>
      <c r="B17" s="80"/>
      <c r="C17" s="80"/>
      <c r="D17" s="80"/>
      <c r="E17" s="80"/>
      <c r="F17" s="76"/>
      <c r="G17" s="76"/>
      <c r="H17" s="81"/>
      <c r="I17" s="89">
        <f t="shared" si="0"/>
        <v>0</v>
      </c>
      <c r="J17" s="90">
        <v>1</v>
      </c>
      <c r="K17" s="91">
        <f t="shared" si="1"/>
        <v>0</v>
      </c>
    </row>
    <row r="18" spans="1:11">
      <c r="A18" s="82"/>
      <c r="B18" s="80"/>
      <c r="C18" s="80"/>
      <c r="D18" s="80"/>
      <c r="E18" s="80"/>
      <c r="F18" s="76"/>
      <c r="G18" s="76"/>
      <c r="H18" s="81"/>
      <c r="I18" s="89">
        <f t="shared" si="0"/>
        <v>0</v>
      </c>
      <c r="J18" s="90">
        <v>1</v>
      </c>
      <c r="K18" s="91">
        <f t="shared" si="1"/>
        <v>0</v>
      </c>
    </row>
    <row r="19" spans="1:11">
      <c r="A19" s="82"/>
      <c r="B19" s="80"/>
      <c r="C19" s="80"/>
      <c r="D19" s="80"/>
      <c r="E19" s="80"/>
      <c r="F19" s="76"/>
      <c r="G19" s="76"/>
      <c r="H19" s="81"/>
      <c r="I19" s="89">
        <f t="shared" si="0"/>
        <v>0</v>
      </c>
      <c r="J19" s="90">
        <v>1</v>
      </c>
      <c r="K19" s="91">
        <f t="shared" si="1"/>
        <v>0</v>
      </c>
    </row>
    <row r="20" spans="1:11">
      <c r="A20" s="82"/>
      <c r="B20" s="80"/>
      <c r="C20" s="80"/>
      <c r="D20" s="80"/>
      <c r="E20" s="80"/>
      <c r="F20" s="76"/>
      <c r="G20" s="76"/>
      <c r="H20" s="81"/>
      <c r="I20" s="89">
        <f t="shared" si="0"/>
        <v>0</v>
      </c>
      <c r="J20" s="90">
        <v>1</v>
      </c>
      <c r="K20" s="91">
        <f t="shared" si="1"/>
        <v>0</v>
      </c>
    </row>
    <row r="21" spans="1:11">
      <c r="A21" s="82"/>
      <c r="B21" s="80"/>
      <c r="C21" s="80"/>
      <c r="D21" s="80"/>
      <c r="E21" s="80"/>
      <c r="F21" s="76"/>
      <c r="G21" s="76"/>
      <c r="H21" s="81"/>
      <c r="I21" s="89">
        <f t="shared" si="0"/>
        <v>0</v>
      </c>
      <c r="J21" s="90">
        <v>1</v>
      </c>
      <c r="K21" s="91">
        <f t="shared" si="1"/>
        <v>0</v>
      </c>
    </row>
    <row r="22" spans="1:11">
      <c r="A22" s="82"/>
      <c r="B22" s="80"/>
      <c r="C22" s="80"/>
      <c r="D22" s="80"/>
      <c r="E22" s="80"/>
      <c r="F22" s="76"/>
      <c r="G22" s="76"/>
      <c r="H22" s="81"/>
      <c r="I22" s="89">
        <f t="shared" si="0"/>
        <v>0</v>
      </c>
      <c r="J22" s="90">
        <v>1</v>
      </c>
      <c r="K22" s="91">
        <f t="shared" si="1"/>
        <v>0</v>
      </c>
    </row>
    <row r="23" spans="1:11">
      <c r="A23" s="82"/>
      <c r="B23" s="80"/>
      <c r="C23" s="80"/>
      <c r="D23" s="80"/>
      <c r="E23" s="80"/>
      <c r="F23" s="76"/>
      <c r="G23" s="76"/>
      <c r="H23" s="81"/>
      <c r="I23" s="89">
        <f t="shared" si="0"/>
        <v>0</v>
      </c>
      <c r="J23" s="90">
        <v>1</v>
      </c>
      <c r="K23" s="91">
        <f t="shared" si="1"/>
        <v>0</v>
      </c>
    </row>
    <row r="24" spans="1:11">
      <c r="A24" s="82"/>
      <c r="B24" s="80"/>
      <c r="C24" s="80"/>
      <c r="D24" s="80"/>
      <c r="E24" s="80"/>
      <c r="F24" s="76"/>
      <c r="G24" s="76"/>
      <c r="H24" s="81"/>
      <c r="I24" s="89">
        <f t="shared" si="0"/>
        <v>0</v>
      </c>
      <c r="J24" s="90">
        <v>1</v>
      </c>
      <c r="K24" s="91">
        <f t="shared" si="1"/>
        <v>0</v>
      </c>
    </row>
    <row r="25" spans="1:11">
      <c r="A25" s="82"/>
      <c r="B25" s="80"/>
      <c r="C25" s="80"/>
      <c r="D25" s="80"/>
      <c r="E25" s="80"/>
      <c r="F25" s="76"/>
      <c r="G25" s="76"/>
      <c r="H25" s="81"/>
      <c r="I25" s="89">
        <f t="shared" si="0"/>
        <v>0</v>
      </c>
      <c r="J25" s="90">
        <v>1</v>
      </c>
      <c r="K25" s="91">
        <f t="shared" si="1"/>
        <v>0</v>
      </c>
    </row>
    <row r="26" spans="1:11">
      <c r="A26" s="82"/>
      <c r="B26" s="80"/>
      <c r="C26" s="80"/>
      <c r="D26" s="80"/>
      <c r="E26" s="80"/>
      <c r="F26" s="76"/>
      <c r="G26" s="76"/>
      <c r="H26" s="81"/>
      <c r="I26" s="89">
        <f t="shared" si="0"/>
        <v>0</v>
      </c>
      <c r="J26" s="90">
        <v>1</v>
      </c>
      <c r="K26" s="91">
        <f t="shared" si="1"/>
        <v>0</v>
      </c>
    </row>
    <row r="27" spans="1:11">
      <c r="A27" s="82"/>
      <c r="B27" s="80"/>
      <c r="C27" s="80"/>
      <c r="D27" s="80"/>
      <c r="E27" s="80"/>
      <c r="F27" s="76"/>
      <c r="G27" s="76"/>
      <c r="H27" s="81"/>
      <c r="I27" s="89">
        <f t="shared" si="0"/>
        <v>0</v>
      </c>
      <c r="J27" s="90">
        <v>1</v>
      </c>
      <c r="K27" s="91">
        <f t="shared" si="1"/>
        <v>0</v>
      </c>
    </row>
    <row r="28" spans="1:11">
      <c r="A28" s="82"/>
      <c r="B28" s="80"/>
      <c r="C28" s="80"/>
      <c r="D28" s="80"/>
      <c r="E28" s="80"/>
      <c r="F28" s="76"/>
      <c r="G28" s="76"/>
      <c r="H28" s="81"/>
      <c r="I28" s="89">
        <f t="shared" si="0"/>
        <v>0</v>
      </c>
      <c r="J28" s="90">
        <v>1</v>
      </c>
      <c r="K28" s="91">
        <f t="shared" si="1"/>
        <v>0</v>
      </c>
    </row>
    <row r="29" spans="1:11">
      <c r="A29" s="82"/>
      <c r="B29" s="80"/>
      <c r="C29" s="80"/>
      <c r="D29" s="80"/>
      <c r="E29" s="80"/>
      <c r="F29" s="76"/>
      <c r="G29" s="76"/>
      <c r="H29" s="81"/>
      <c r="I29" s="89">
        <f t="shared" si="0"/>
        <v>0</v>
      </c>
      <c r="J29" s="90">
        <v>1</v>
      </c>
      <c r="K29" s="91">
        <f t="shared" si="1"/>
        <v>0</v>
      </c>
    </row>
    <row r="30" spans="1:11">
      <c r="A30" s="82"/>
      <c r="B30" s="80"/>
      <c r="C30" s="80"/>
      <c r="D30" s="80"/>
      <c r="E30" s="80"/>
      <c r="F30" s="76"/>
      <c r="G30" s="76"/>
      <c r="H30" s="81"/>
      <c r="I30" s="89">
        <f t="shared" si="0"/>
        <v>0</v>
      </c>
      <c r="J30" s="90">
        <v>1</v>
      </c>
      <c r="K30" s="91">
        <f t="shared" si="1"/>
        <v>0</v>
      </c>
    </row>
    <row r="31" spans="1:11">
      <c r="A31" s="82"/>
      <c r="B31" s="80"/>
      <c r="C31" s="80"/>
      <c r="D31" s="80"/>
      <c r="E31" s="80"/>
      <c r="F31" s="76"/>
      <c r="G31" s="76"/>
      <c r="H31" s="81"/>
      <c r="I31" s="89">
        <f t="shared" si="0"/>
        <v>0</v>
      </c>
      <c r="J31" s="90">
        <v>1</v>
      </c>
      <c r="K31" s="91">
        <f t="shared" si="1"/>
        <v>0</v>
      </c>
    </row>
    <row r="32" spans="1:11">
      <c r="A32" s="82"/>
      <c r="B32" s="80"/>
      <c r="C32" s="80"/>
      <c r="D32" s="80"/>
      <c r="E32" s="80"/>
      <c r="F32" s="76"/>
      <c r="G32" s="76"/>
      <c r="H32" s="81"/>
      <c r="I32" s="89">
        <f t="shared" si="0"/>
        <v>0</v>
      </c>
      <c r="J32" s="90">
        <v>1</v>
      </c>
      <c r="K32" s="91">
        <f t="shared" si="1"/>
        <v>0</v>
      </c>
    </row>
    <row r="33" spans="1:11">
      <c r="A33" s="82"/>
      <c r="B33" s="80"/>
      <c r="C33" s="80"/>
      <c r="D33" s="80"/>
      <c r="E33" s="80"/>
      <c r="F33" s="76"/>
      <c r="G33" s="76"/>
      <c r="H33" s="81"/>
      <c r="I33" s="89">
        <f t="shared" si="0"/>
        <v>0</v>
      </c>
      <c r="J33" s="90">
        <v>1</v>
      </c>
      <c r="K33" s="91">
        <f t="shared" si="1"/>
        <v>0</v>
      </c>
    </row>
    <row r="34" spans="1:11">
      <c r="A34" s="78"/>
      <c r="B34" s="80"/>
      <c r="C34" s="80"/>
      <c r="D34" s="80"/>
      <c r="E34" s="80"/>
      <c r="F34" s="76"/>
      <c r="G34" s="76"/>
      <c r="H34" s="81"/>
      <c r="I34" s="89">
        <f t="shared" si="0"/>
        <v>0</v>
      </c>
      <c r="J34" s="90">
        <v>1</v>
      </c>
      <c r="K34" s="91">
        <f t="shared" si="1"/>
        <v>0</v>
      </c>
    </row>
    <row r="35" spans="1:11">
      <c r="A35" s="82"/>
      <c r="B35" s="80"/>
      <c r="C35" s="80"/>
      <c r="D35" s="80"/>
      <c r="E35" s="80"/>
      <c r="F35" s="76"/>
      <c r="G35" s="76"/>
      <c r="H35" s="81"/>
      <c r="I35" s="89">
        <f t="shared" si="0"/>
        <v>0</v>
      </c>
      <c r="J35" s="90">
        <v>1</v>
      </c>
      <c r="K35" s="91">
        <f t="shared" si="1"/>
        <v>0</v>
      </c>
    </row>
    <row r="36" spans="1:11">
      <c r="A36" s="82"/>
      <c r="B36" s="80"/>
      <c r="C36" s="80"/>
      <c r="D36" s="80"/>
      <c r="E36" s="80"/>
      <c r="F36" s="76"/>
      <c r="G36" s="76"/>
      <c r="H36" s="81"/>
      <c r="I36" s="89">
        <f t="shared" si="0"/>
        <v>0</v>
      </c>
      <c r="J36" s="90">
        <v>1</v>
      </c>
      <c r="K36" s="91">
        <f t="shared" si="1"/>
        <v>0</v>
      </c>
    </row>
    <row r="37" spans="1:11">
      <c r="A37" s="82"/>
      <c r="B37" s="80"/>
      <c r="C37" s="80"/>
      <c r="D37" s="80"/>
      <c r="E37" s="80"/>
      <c r="F37" s="76"/>
      <c r="G37" s="76"/>
      <c r="H37" s="81"/>
      <c r="I37" s="89">
        <f t="shared" si="0"/>
        <v>0</v>
      </c>
      <c r="J37" s="90">
        <v>1</v>
      </c>
      <c r="K37" s="91">
        <f t="shared" si="1"/>
        <v>0</v>
      </c>
    </row>
    <row r="38" spans="1:11">
      <c r="A38" s="82"/>
      <c r="B38" s="80"/>
      <c r="C38" s="80"/>
      <c r="D38" s="80"/>
      <c r="E38" s="80"/>
      <c r="F38" s="76"/>
      <c r="G38" s="76"/>
      <c r="H38" s="81"/>
      <c r="I38" s="89">
        <f t="shared" si="0"/>
        <v>0</v>
      </c>
      <c r="J38" s="90">
        <v>1</v>
      </c>
      <c r="K38" s="91">
        <f t="shared" si="1"/>
        <v>0</v>
      </c>
    </row>
    <row r="39" spans="1:11">
      <c r="A39" s="82"/>
      <c r="B39" s="80"/>
      <c r="C39" s="80"/>
      <c r="D39" s="80"/>
      <c r="E39" s="80"/>
      <c r="F39" s="76"/>
      <c r="G39" s="76"/>
      <c r="H39" s="81"/>
      <c r="I39" s="89">
        <f t="shared" si="0"/>
        <v>0</v>
      </c>
      <c r="J39" s="90">
        <v>1</v>
      </c>
      <c r="K39" s="91">
        <f t="shared" si="1"/>
        <v>0</v>
      </c>
    </row>
    <row r="40" spans="1:11">
      <c r="A40" s="82"/>
      <c r="B40" s="80"/>
      <c r="C40" s="80"/>
      <c r="D40" s="80"/>
      <c r="E40" s="80"/>
      <c r="F40" s="76"/>
      <c r="G40" s="76"/>
      <c r="H40" s="81"/>
      <c r="I40" s="89">
        <f t="shared" si="0"/>
        <v>0</v>
      </c>
      <c r="J40" s="90">
        <v>1</v>
      </c>
      <c r="K40" s="91">
        <f t="shared" si="1"/>
        <v>0</v>
      </c>
    </row>
    <row r="41" spans="1:11">
      <c r="A41" s="82"/>
      <c r="B41" s="80"/>
      <c r="C41" s="80"/>
      <c r="D41" s="80"/>
      <c r="E41" s="80"/>
      <c r="F41" s="76"/>
      <c r="G41" s="76"/>
      <c r="H41" s="81"/>
      <c r="I41" s="89">
        <f t="shared" si="0"/>
        <v>0</v>
      </c>
      <c r="J41" s="90">
        <v>1</v>
      </c>
      <c r="K41" s="91">
        <f t="shared" si="1"/>
        <v>0</v>
      </c>
    </row>
    <row r="42" spans="1:11">
      <c r="A42" s="82"/>
      <c r="B42" s="80"/>
      <c r="C42" s="80"/>
      <c r="D42" s="80"/>
      <c r="E42" s="80"/>
      <c r="F42" s="76"/>
      <c r="G42" s="76"/>
      <c r="H42" s="81"/>
      <c r="I42" s="89">
        <f t="shared" si="0"/>
        <v>0</v>
      </c>
      <c r="J42" s="90">
        <v>1</v>
      </c>
      <c r="K42" s="91">
        <f t="shared" si="1"/>
        <v>0</v>
      </c>
    </row>
    <row r="43" spans="1:11">
      <c r="A43" s="82"/>
      <c r="B43" s="80"/>
      <c r="C43" s="80"/>
      <c r="D43" s="80"/>
      <c r="E43" s="80"/>
      <c r="F43" s="76"/>
      <c r="G43" s="76"/>
      <c r="H43" s="81"/>
      <c r="I43" s="89">
        <f t="shared" si="0"/>
        <v>0</v>
      </c>
      <c r="J43" s="90">
        <v>1</v>
      </c>
      <c r="K43" s="91">
        <f t="shared" si="1"/>
        <v>0</v>
      </c>
    </row>
    <row r="44" spans="1:11">
      <c r="A44" s="82"/>
      <c r="B44" s="80"/>
      <c r="C44" s="80"/>
      <c r="D44" s="80"/>
      <c r="E44" s="80"/>
      <c r="F44" s="76"/>
      <c r="G44" s="76"/>
      <c r="H44" s="81"/>
      <c r="I44" s="89">
        <f t="shared" si="0"/>
        <v>0</v>
      </c>
      <c r="J44" s="90">
        <v>1</v>
      </c>
      <c r="K44" s="91">
        <f t="shared" si="1"/>
        <v>0</v>
      </c>
    </row>
    <row r="45" spans="1:11">
      <c r="A45" s="82"/>
      <c r="B45" s="80"/>
      <c r="C45" s="80"/>
      <c r="D45" s="80"/>
      <c r="E45" s="80"/>
      <c r="F45" s="76"/>
      <c r="G45" s="76"/>
      <c r="H45" s="81"/>
      <c r="I45" s="89">
        <f t="shared" si="0"/>
        <v>0</v>
      </c>
      <c r="J45" s="90">
        <v>1</v>
      </c>
      <c r="K45" s="91">
        <f t="shared" si="1"/>
        <v>0</v>
      </c>
    </row>
    <row r="46" spans="1:11">
      <c r="A46" s="82"/>
      <c r="B46" s="80"/>
      <c r="C46" s="80"/>
      <c r="D46" s="80"/>
      <c r="E46" s="80"/>
      <c r="F46" s="76"/>
      <c r="G46" s="76"/>
      <c r="H46" s="81"/>
      <c r="I46" s="89">
        <f t="shared" si="0"/>
        <v>0</v>
      </c>
      <c r="J46" s="90">
        <v>1</v>
      </c>
      <c r="K46" s="91">
        <f t="shared" si="1"/>
        <v>0</v>
      </c>
    </row>
    <row r="47" spans="1:11">
      <c r="A47" s="82"/>
      <c r="B47" s="80"/>
      <c r="C47" s="80"/>
      <c r="D47" s="80"/>
      <c r="E47" s="80"/>
      <c r="F47" s="76"/>
      <c r="G47" s="76"/>
      <c r="H47" s="81"/>
      <c r="I47" s="89">
        <f t="shared" si="0"/>
        <v>0</v>
      </c>
      <c r="J47" s="90">
        <v>1</v>
      </c>
      <c r="K47" s="91">
        <f t="shared" si="1"/>
        <v>0</v>
      </c>
    </row>
    <row r="48" spans="1:11">
      <c r="A48" s="82"/>
      <c r="B48" s="80"/>
      <c r="C48" s="80"/>
      <c r="D48" s="80"/>
      <c r="E48" s="80"/>
      <c r="F48" s="76"/>
      <c r="G48" s="76"/>
      <c r="H48" s="81"/>
      <c r="I48" s="89">
        <f t="shared" si="0"/>
        <v>0</v>
      </c>
      <c r="J48" s="90">
        <v>1</v>
      </c>
      <c r="K48" s="91">
        <f t="shared" si="1"/>
        <v>0</v>
      </c>
    </row>
    <row r="49" spans="1:11">
      <c r="A49" s="84"/>
      <c r="B49" s="85"/>
      <c r="C49" s="85"/>
      <c r="D49" s="85"/>
      <c r="E49" s="85"/>
      <c r="F49" s="76"/>
      <c r="G49" s="76"/>
      <c r="H49" s="81"/>
      <c r="I49" s="89">
        <f t="shared" si="0"/>
        <v>0</v>
      </c>
      <c r="J49" s="90">
        <v>1</v>
      </c>
      <c r="K49" s="91">
        <f t="shared" si="1"/>
        <v>0</v>
      </c>
    </row>
    <row r="50" spans="1:11">
      <c r="J50" s="66"/>
    </row>
    <row r="51" spans="1:11">
      <c r="J51" s="66"/>
    </row>
    <row r="52" spans="1:11">
      <c r="J52" s="66"/>
    </row>
    <row r="53" spans="1:11">
      <c r="J53" s="66"/>
    </row>
    <row r="54" spans="1:11">
      <c r="J54" s="66"/>
    </row>
    <row r="55" spans="1:11">
      <c r="J55" s="66"/>
    </row>
    <row r="56" spans="1:11">
      <c r="J56" s="66"/>
    </row>
    <row r="57" spans="1:11">
      <c r="J57" s="66"/>
    </row>
    <row r="58" spans="1:11">
      <c r="J58" s="66"/>
    </row>
    <row r="59" spans="1:11">
      <c r="J59" s="66"/>
    </row>
    <row r="60" spans="1:11">
      <c r="J60" s="66"/>
    </row>
    <row r="61" spans="1:11">
      <c r="J61" s="66"/>
    </row>
    <row r="62" spans="1:11">
      <c r="J62" s="66"/>
    </row>
    <row r="63" spans="1:11">
      <c r="J63" s="66"/>
    </row>
    <row r="64" spans="1:11">
      <c r="J64" s="66"/>
    </row>
    <row r="65" spans="10:10">
      <c r="J65" s="66"/>
    </row>
    <row r="66" spans="10:10">
      <c r="J66" s="66"/>
    </row>
    <row r="67" spans="10:10">
      <c r="J67" s="66"/>
    </row>
    <row r="68" spans="10:10">
      <c r="J68" s="66"/>
    </row>
    <row r="69" spans="10:10">
      <c r="J69" s="66"/>
    </row>
    <row r="70" spans="10:10">
      <c r="J70" s="66"/>
    </row>
    <row r="71" spans="10:10">
      <c r="J71" s="66"/>
    </row>
    <row r="72" spans="10:10">
      <c r="J72" s="66"/>
    </row>
    <row r="73" spans="10:10">
      <c r="J73" s="66"/>
    </row>
    <row r="74" spans="10:10">
      <c r="J74" s="66"/>
    </row>
    <row r="75" spans="10:10">
      <c r="J75" s="66"/>
    </row>
    <row r="76" spans="10:10">
      <c r="J76" s="66"/>
    </row>
    <row r="77" spans="10:10">
      <c r="J77" s="66"/>
    </row>
    <row r="78" spans="10:10">
      <c r="J78" s="66"/>
    </row>
    <row r="79" spans="10:10">
      <c r="J79" s="66"/>
    </row>
    <row r="80" spans="10:10">
      <c r="J80" s="66"/>
    </row>
    <row r="81" spans="10:10">
      <c r="J81" s="66"/>
    </row>
    <row r="82" spans="10:10">
      <c r="J82" s="66"/>
    </row>
    <row r="83" spans="10:10">
      <c r="J83" s="66"/>
    </row>
  </sheetData>
  <mergeCells count="4">
    <mergeCell ref="A1:B2"/>
    <mergeCell ref="I1:I3"/>
    <mergeCell ref="J1:J3"/>
    <mergeCell ref="K1:K3"/>
  </mergeCells>
  <phoneticPr fontId="12" type="noConversion"/>
  <pageMargins left="0.7" right="0.7" top="0.9448818897637794" bottom="0.9448818897637794" header="0.3" footer="0.3"/>
  <pageSetup orientation="landscape" r:id="rId1"/>
  <headerFooter>
    <oddHeader>&amp;L&amp;G&amp;C&amp;11REPORT&amp;B&amp;14_x000D_OT Tracking Tool&amp;R&amp;11&amp;P (&amp;N)</oddHeader>
    <oddFooter>&amp;L&amp;11Prepared: Rachel Nie&amp;C&amp;11Date: 2015-09-15
Sheet: &amp;A
Ericsson Internal&amp;R&amp;11_x000D_Rev: PA1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'C:\00_Work\OBS\OT\[OT Tracker_2016.xlsx]Database'!#REF!</xm:f>
          </x14:formula1>
          <xm:sqref>J4:J49</xm:sqref>
        </x14:dataValidation>
        <x14:dataValidation type="list" allowBlank="1" showInputMessage="1" showErrorMessage="1">
          <x14:formula1>
            <xm:f>Database!$A$11:$A$13</xm:f>
          </x14:formula1>
          <xm:sqref>D4:D49</xm:sqref>
        </x14:dataValidation>
        <x14:dataValidation type="list" allowBlank="1" showInputMessage="1" showErrorMessage="1">
          <x14:formula1>
            <xm:f>Database!$C$2:$C$8</xm:f>
          </x14:formula1>
          <xm:sqref>H4:H49</xm:sqref>
        </x14:dataValidation>
        <x14:dataValidation type="list" allowBlank="1" showInputMessage="1" showErrorMessage="1">
          <x14:formula1>
            <xm:f>Database!$B$2:$B$32</xm:f>
          </x14:formula1>
          <xm:sqref>E4:E49</xm:sqref>
        </x14:dataValidation>
        <x14:dataValidation type="list" allowBlank="1" showInputMessage="1" showErrorMessage="1">
          <x14:formula1>
            <xm:f>Database!$D$2:$D$33</xm:f>
          </x14:formula1>
          <xm:sqref>F4:G49</xm:sqref>
        </x14:dataValidation>
        <x14:dataValidation type="list" allowBlank="1" showInputMessage="1" showErrorMessage="1">
          <x14:formula1>
            <xm:f>Database!$E$2:$E$50</xm:f>
          </x14:formula1>
          <xm:sqref>A4:A49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V131"/>
  <sheetViews>
    <sheetView topLeftCell="A14" zoomScaleNormal="100" workbookViewId="0">
      <selection activeCell="Y27" sqref="Y27"/>
    </sheetView>
  </sheetViews>
  <sheetFormatPr defaultColWidth="9.140625" defaultRowHeight="15"/>
  <cols>
    <col min="1" max="1" width="17.85546875" style="42" bestFit="1" customWidth="1"/>
    <col min="2" max="2" width="9.140625" style="47" customWidth="1"/>
    <col min="3" max="3" width="9.140625" style="42"/>
    <col min="4" max="4" width="14.7109375" style="42" bestFit="1" customWidth="1"/>
    <col min="5" max="5" width="11" style="42" customWidth="1"/>
    <col min="6" max="9" width="8.42578125" style="42" bestFit="1" customWidth="1"/>
    <col min="10" max="21" width="4.7109375" style="42" customWidth="1"/>
    <col min="22" max="16384" width="9.140625" style="42"/>
  </cols>
  <sheetData>
    <row r="1" spans="1:22">
      <c r="A1" s="121" t="s">
        <v>68</v>
      </c>
      <c r="B1" s="123" t="s">
        <v>69</v>
      </c>
      <c r="D1" s="125" t="s">
        <v>70</v>
      </c>
      <c r="E1" s="127" t="s">
        <v>117</v>
      </c>
      <c r="F1" s="129" t="s">
        <v>71</v>
      </c>
      <c r="G1" s="129"/>
      <c r="H1" s="129"/>
      <c r="I1" s="129"/>
      <c r="J1" s="130" t="s">
        <v>72</v>
      </c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19" t="s">
        <v>118</v>
      </c>
    </row>
    <row r="2" spans="1:22" ht="15" customHeight="1">
      <c r="A2" s="122"/>
      <c r="B2" s="124"/>
      <c r="D2" s="126"/>
      <c r="E2" s="128"/>
      <c r="F2" s="43" t="s">
        <v>73</v>
      </c>
      <c r="G2" s="43" t="s">
        <v>74</v>
      </c>
      <c r="H2" s="43" t="s">
        <v>75</v>
      </c>
      <c r="I2" s="43" t="s">
        <v>76</v>
      </c>
      <c r="J2" s="71" t="s">
        <v>77</v>
      </c>
      <c r="K2" s="71" t="s">
        <v>78</v>
      </c>
      <c r="L2" s="71" t="s">
        <v>79</v>
      </c>
      <c r="M2" s="71" t="s">
        <v>80</v>
      </c>
      <c r="N2" s="71" t="s">
        <v>41</v>
      </c>
      <c r="O2" s="71" t="s">
        <v>81</v>
      </c>
      <c r="P2" s="71" t="s">
        <v>82</v>
      </c>
      <c r="Q2" s="71" t="s">
        <v>83</v>
      </c>
      <c r="R2" s="94" t="s">
        <v>120</v>
      </c>
      <c r="S2" s="71" t="s">
        <v>84</v>
      </c>
      <c r="T2" s="71" t="s">
        <v>85</v>
      </c>
      <c r="U2" s="71" t="s">
        <v>86</v>
      </c>
      <c r="V2" s="120"/>
    </row>
    <row r="3" spans="1:22">
      <c r="A3" s="49" t="s">
        <v>49</v>
      </c>
      <c r="B3" s="44">
        <f>SUMIF('OT_Jan-Mar'!$A$4:$A$65538,Summary!$A3,'OT_Jan-Mar'!$I$4:$I$65538)</f>
        <v>38.000000000000036</v>
      </c>
      <c r="D3" s="49" t="s">
        <v>49</v>
      </c>
      <c r="E3" s="45">
        <v>0</v>
      </c>
      <c r="F3" s="69">
        <f>VLOOKUP(D:D,$A$3:$B$32,2,0)</f>
        <v>38.000000000000036</v>
      </c>
      <c r="G3" s="69">
        <f>VLOOKUP(D:D,$A$36:$B$65,2,0)</f>
        <v>8</v>
      </c>
      <c r="H3" s="69">
        <f>VLOOKUP(D:D,$A$69:$B$98,2,0)</f>
        <v>0</v>
      </c>
      <c r="I3" s="69">
        <f>VLOOKUP(D:D,$A$102:$B$131,2,0)</f>
        <v>0</v>
      </c>
      <c r="J3" s="70">
        <f>'Jan-Mar'!AG6</f>
        <v>0</v>
      </c>
      <c r="K3" s="70">
        <f>'Jan-Mar'!AG43</f>
        <v>0</v>
      </c>
      <c r="L3" s="70">
        <f>'Jan-Mar'!AG78</f>
        <v>10</v>
      </c>
      <c r="M3" s="70">
        <f>'Apr-Jun'!AG5</f>
        <v>8.5</v>
      </c>
      <c r="N3" s="70">
        <f>'Apr-Jun'!AG42</f>
        <v>37</v>
      </c>
      <c r="O3" s="70">
        <f>'Apr-Jun'!AG77</f>
        <v>0</v>
      </c>
      <c r="P3" s="70">
        <f>'Jul-Sep'!AG5</f>
        <v>0</v>
      </c>
      <c r="Q3" s="70">
        <f>'Jul-Sep'!AG42</f>
        <v>0</v>
      </c>
      <c r="R3" s="70">
        <f>'Jul-Sep'!AG77</f>
        <v>0</v>
      </c>
      <c r="S3" s="70">
        <f>'Oct-Dec'!AG5</f>
        <v>0</v>
      </c>
      <c r="T3" s="70">
        <f>'Oct-Dec'!AG42</f>
        <v>0</v>
      </c>
      <c r="U3" s="70">
        <f>'Oct-Dec'!AG77</f>
        <v>0</v>
      </c>
      <c r="V3" s="46">
        <f t="shared" ref="V3" si="0">E3+SUM(F3:I3)-SUM(J3:U3)</f>
        <v>-9.4999999999999645</v>
      </c>
    </row>
    <row r="4" spans="1:22">
      <c r="A4" s="49" t="s">
        <v>50</v>
      </c>
      <c r="B4" s="44">
        <f>SUMIF('OT_Jan-Mar'!$A$4:$A$65538,Summary!$A4,'OT_Jan-Mar'!$I$4:$I$65538)</f>
        <v>104.00000000000013</v>
      </c>
      <c r="D4" s="49" t="s">
        <v>50</v>
      </c>
      <c r="E4" s="45">
        <v>0</v>
      </c>
      <c r="F4" s="69">
        <f t="shared" ref="F4:F32" si="1">VLOOKUP(D:D,$A$3:$B$32,2,0)</f>
        <v>104.00000000000013</v>
      </c>
      <c r="G4" s="69">
        <f t="shared" ref="G4:G32" si="2">VLOOKUP(D:D,$A$36:$B$65,2,0)</f>
        <v>0</v>
      </c>
      <c r="H4" s="69">
        <f t="shared" ref="H4:H32" si="3">VLOOKUP(D:D,$A$69:$B$98,2,0)</f>
        <v>0</v>
      </c>
      <c r="I4" s="69">
        <f t="shared" ref="I4:I32" si="4">VLOOKUP(D:D,$A$102:$B$131,2,0)</f>
        <v>0</v>
      </c>
      <c r="J4" s="70">
        <f>'Jan-Mar'!AG7</f>
        <v>0</v>
      </c>
      <c r="K4" s="70">
        <f>'Jan-Mar'!AG44</f>
        <v>8</v>
      </c>
      <c r="L4" s="70">
        <f>'Jan-Mar'!AG79</f>
        <v>32</v>
      </c>
      <c r="M4" s="70">
        <f>'Apr-Jun'!AG6</f>
        <v>28</v>
      </c>
      <c r="N4" s="70">
        <f>'Apr-Jun'!AG43</f>
        <v>32</v>
      </c>
      <c r="O4" s="70">
        <f>'Apr-Jun'!AG78</f>
        <v>0</v>
      </c>
      <c r="P4" s="70">
        <f>'Jul-Sep'!AG6</f>
        <v>0</v>
      </c>
      <c r="Q4" s="70">
        <f>'Jul-Sep'!AG43</f>
        <v>0</v>
      </c>
      <c r="R4" s="70">
        <f>'Jul-Sep'!AG78</f>
        <v>0</v>
      </c>
      <c r="S4" s="70">
        <f>'Oct-Dec'!AG6</f>
        <v>0</v>
      </c>
      <c r="T4" s="70">
        <f>'Oct-Dec'!AG43</f>
        <v>0</v>
      </c>
      <c r="U4" s="70">
        <f>'Oct-Dec'!AG78</f>
        <v>0</v>
      </c>
      <c r="V4" s="46">
        <f>E4+SUM(F4:I4)-SUM(J4:U4)</f>
        <v>4.0000000000001279</v>
      </c>
    </row>
    <row r="5" spans="1:22">
      <c r="A5" s="49" t="s">
        <v>51</v>
      </c>
      <c r="B5" s="44">
        <f>SUMIF('OT_Jan-Mar'!$A$4:$A$65538,Summary!$A5,'OT_Jan-Mar'!$I$4:$I$65538)</f>
        <v>0</v>
      </c>
      <c r="D5" s="49" t="s">
        <v>51</v>
      </c>
      <c r="E5" s="45">
        <v>12</v>
      </c>
      <c r="F5" s="69">
        <f t="shared" si="1"/>
        <v>0</v>
      </c>
      <c r="G5" s="69">
        <f t="shared" si="2"/>
        <v>12.000000000000007</v>
      </c>
      <c r="H5" s="69">
        <f t="shared" si="3"/>
        <v>0</v>
      </c>
      <c r="I5" s="69">
        <f t="shared" si="4"/>
        <v>0</v>
      </c>
      <c r="J5" s="70">
        <f>'Jan-Mar'!AG8</f>
        <v>16</v>
      </c>
      <c r="K5" s="70">
        <f>'Jan-Mar'!AG45</f>
        <v>0</v>
      </c>
      <c r="L5" s="70">
        <f>'Jan-Mar'!AG80</f>
        <v>0</v>
      </c>
      <c r="M5" s="70">
        <f>'Apr-Jun'!AG7</f>
        <v>3</v>
      </c>
      <c r="N5" s="70">
        <f>'Apr-Jun'!AG44</f>
        <v>0</v>
      </c>
      <c r="O5" s="70">
        <f>'Apr-Jun'!AG79</f>
        <v>0</v>
      </c>
      <c r="P5" s="70">
        <f>'Jul-Sep'!AG7</f>
        <v>0</v>
      </c>
      <c r="Q5" s="70">
        <f>'Jul-Sep'!AG44</f>
        <v>0</v>
      </c>
      <c r="R5" s="70">
        <f>'Jul-Sep'!AG79</f>
        <v>0</v>
      </c>
      <c r="S5" s="70">
        <f>'Oct-Dec'!AG7</f>
        <v>0</v>
      </c>
      <c r="T5" s="70">
        <f>'Oct-Dec'!AG44</f>
        <v>0</v>
      </c>
      <c r="U5" s="70">
        <f>'Oct-Dec'!AG79</f>
        <v>0</v>
      </c>
      <c r="V5" s="46">
        <f t="shared" ref="V5:V12" si="5">E5+SUM(F5:I5)-SUM(J5:U5)</f>
        <v>5.0000000000000071</v>
      </c>
    </row>
    <row r="6" spans="1:22">
      <c r="A6" s="49" t="s">
        <v>52</v>
      </c>
      <c r="B6" s="44">
        <f>SUMIF('OT_Jan-Mar'!$A$4:$A$65538,Summary!$A6,'OT_Jan-Mar'!$I$4:$I$65538)</f>
        <v>0</v>
      </c>
      <c r="D6" s="49" t="s">
        <v>52</v>
      </c>
      <c r="E6" s="45">
        <v>0</v>
      </c>
      <c r="F6" s="69">
        <f t="shared" si="1"/>
        <v>0</v>
      </c>
      <c r="G6" s="69">
        <f t="shared" si="2"/>
        <v>0</v>
      </c>
      <c r="H6" s="69">
        <f t="shared" si="3"/>
        <v>0</v>
      </c>
      <c r="I6" s="69">
        <f t="shared" si="4"/>
        <v>0</v>
      </c>
      <c r="J6" s="70">
        <f>'Jan-Mar'!AG9</f>
        <v>0</v>
      </c>
      <c r="K6" s="70">
        <f>'Jan-Mar'!AG46</f>
        <v>0</v>
      </c>
      <c r="L6" s="70">
        <f>'Jan-Mar'!AG81</f>
        <v>0</v>
      </c>
      <c r="M6" s="70">
        <f>'Apr-Jun'!AG8</f>
        <v>20.5</v>
      </c>
      <c r="N6" s="70">
        <f>'Apr-Jun'!AG45</f>
        <v>3</v>
      </c>
      <c r="O6" s="70">
        <f>'Apr-Jun'!AG80</f>
        <v>0</v>
      </c>
      <c r="P6" s="70">
        <f>'Jul-Sep'!AG8</f>
        <v>0</v>
      </c>
      <c r="Q6" s="70">
        <f>'Jul-Sep'!AG45</f>
        <v>0</v>
      </c>
      <c r="R6" s="70">
        <f>'Jul-Sep'!AG80</f>
        <v>0</v>
      </c>
      <c r="S6" s="70">
        <f>'Oct-Dec'!AG8</f>
        <v>0</v>
      </c>
      <c r="T6" s="70">
        <f>'Oct-Dec'!AG45</f>
        <v>0</v>
      </c>
      <c r="U6" s="70">
        <f>'Oct-Dec'!AG80</f>
        <v>0</v>
      </c>
      <c r="V6" s="46">
        <f t="shared" si="5"/>
        <v>-23.5</v>
      </c>
    </row>
    <row r="7" spans="1:22">
      <c r="A7" s="49" t="s">
        <v>53</v>
      </c>
      <c r="B7" s="44">
        <f>SUMIF('OT_Jan-Mar'!$A$4:$A$65538,Summary!$A7,'OT_Jan-Mar'!$I$4:$I$65538)</f>
        <v>0</v>
      </c>
      <c r="D7" s="49" t="s">
        <v>53</v>
      </c>
      <c r="E7" s="45">
        <v>67</v>
      </c>
      <c r="F7" s="69">
        <f t="shared" si="1"/>
        <v>0</v>
      </c>
      <c r="G7" s="69">
        <f t="shared" si="2"/>
        <v>0</v>
      </c>
      <c r="H7" s="69">
        <f t="shared" si="3"/>
        <v>0</v>
      </c>
      <c r="I7" s="69">
        <f t="shared" si="4"/>
        <v>0</v>
      </c>
      <c r="J7" s="70">
        <f>'Jan-Mar'!AG10</f>
        <v>24</v>
      </c>
      <c r="K7" s="70">
        <f>'Jan-Mar'!AG47</f>
        <v>16</v>
      </c>
      <c r="L7" s="70">
        <f>'Jan-Mar'!AG82</f>
        <v>0</v>
      </c>
      <c r="M7" s="70">
        <f>'Apr-Jun'!AG9</f>
        <v>0</v>
      </c>
      <c r="N7" s="70">
        <f>'Apr-Jun'!AG46</f>
        <v>0</v>
      </c>
      <c r="O7" s="70">
        <f>'Apr-Jun'!AG81</f>
        <v>0</v>
      </c>
      <c r="P7" s="70">
        <f>'Jul-Sep'!AG9</f>
        <v>0</v>
      </c>
      <c r="Q7" s="70">
        <f>'Jul-Sep'!AG46</f>
        <v>0</v>
      </c>
      <c r="R7" s="70">
        <f>'Jul-Sep'!AG81</f>
        <v>0</v>
      </c>
      <c r="S7" s="70">
        <f>'Oct-Dec'!AG9</f>
        <v>0</v>
      </c>
      <c r="T7" s="70">
        <f>'Oct-Dec'!AG46</f>
        <v>0</v>
      </c>
      <c r="U7" s="70">
        <f>'Oct-Dec'!AG81</f>
        <v>0</v>
      </c>
      <c r="V7" s="46">
        <f t="shared" si="5"/>
        <v>27</v>
      </c>
    </row>
    <row r="8" spans="1:22">
      <c r="A8" s="49" t="s">
        <v>54</v>
      </c>
      <c r="B8" s="44">
        <f>SUMIF('OT_Jan-Mar'!$A$4:$A$65538,Summary!$A8,'OT_Jan-Mar'!$I$4:$I$65538)</f>
        <v>0</v>
      </c>
      <c r="D8" s="49" t="s">
        <v>54</v>
      </c>
      <c r="E8" s="45">
        <v>28.999999999999957</v>
      </c>
      <c r="F8" s="69">
        <f t="shared" si="1"/>
        <v>0</v>
      </c>
      <c r="G8" s="69">
        <f t="shared" si="2"/>
        <v>0</v>
      </c>
      <c r="H8" s="69">
        <f t="shared" si="3"/>
        <v>0</v>
      </c>
      <c r="I8" s="69">
        <f t="shared" si="4"/>
        <v>0</v>
      </c>
      <c r="J8" s="70">
        <f>'Jan-Mar'!AG11</f>
        <v>0</v>
      </c>
      <c r="K8" s="70">
        <f>'Jan-Mar'!AG48</f>
        <v>0</v>
      </c>
      <c r="L8" s="70">
        <f>'Jan-Mar'!AG83</f>
        <v>0</v>
      </c>
      <c r="M8" s="70">
        <f>'Apr-Jun'!AG10</f>
        <v>0</v>
      </c>
      <c r="N8" s="70">
        <f>'Apr-Jun'!AG47</f>
        <v>16</v>
      </c>
      <c r="O8" s="70">
        <f>'Apr-Jun'!AG82</f>
        <v>0</v>
      </c>
      <c r="P8" s="70">
        <f>'Jul-Sep'!AG10</f>
        <v>0</v>
      </c>
      <c r="Q8" s="70">
        <f>'Jul-Sep'!AG47</f>
        <v>0</v>
      </c>
      <c r="R8" s="70">
        <f>'Jul-Sep'!AG82</f>
        <v>0</v>
      </c>
      <c r="S8" s="70">
        <f>'Oct-Dec'!AG10</f>
        <v>0</v>
      </c>
      <c r="T8" s="70">
        <f>'Oct-Dec'!AG47</f>
        <v>0</v>
      </c>
      <c r="U8" s="70">
        <f>'Oct-Dec'!AG82</f>
        <v>0</v>
      </c>
      <c r="V8" s="46">
        <f t="shared" si="5"/>
        <v>12.999999999999957</v>
      </c>
    </row>
    <row r="9" spans="1:22">
      <c r="A9" s="49" t="s">
        <v>55</v>
      </c>
      <c r="B9" s="44">
        <f>SUMIF('OT_Jan-Mar'!$A$4:$A$65538,Summary!$A9,'OT_Jan-Mar'!$I$4:$I$65538)</f>
        <v>0</v>
      </c>
      <c r="D9" s="49" t="s">
        <v>55</v>
      </c>
      <c r="E9" s="45">
        <v>8</v>
      </c>
      <c r="F9" s="69">
        <f t="shared" si="1"/>
        <v>0</v>
      </c>
      <c r="G9" s="69">
        <f t="shared" si="2"/>
        <v>0</v>
      </c>
      <c r="H9" s="69">
        <f t="shared" si="3"/>
        <v>0</v>
      </c>
      <c r="I9" s="69">
        <f t="shared" si="4"/>
        <v>0</v>
      </c>
      <c r="J9" s="70">
        <f>'Jan-Mar'!AG12</f>
        <v>8</v>
      </c>
      <c r="K9" s="70">
        <f>'Jan-Mar'!AG49</f>
        <v>0</v>
      </c>
      <c r="L9" s="70">
        <f>'Jan-Mar'!AG84</f>
        <v>0</v>
      </c>
      <c r="M9" s="70">
        <f>'Apr-Jun'!AG11</f>
        <v>0</v>
      </c>
      <c r="N9" s="70">
        <f>'Apr-Jun'!AG48</f>
        <v>0</v>
      </c>
      <c r="O9" s="70">
        <f>'Apr-Jun'!AG83</f>
        <v>0</v>
      </c>
      <c r="P9" s="70">
        <f>'Jul-Sep'!AG11</f>
        <v>0</v>
      </c>
      <c r="Q9" s="70">
        <f>'Jul-Sep'!AG48</f>
        <v>0</v>
      </c>
      <c r="R9" s="70">
        <f>'Jul-Sep'!AG83</f>
        <v>0</v>
      </c>
      <c r="S9" s="70">
        <f>'Oct-Dec'!AG11</f>
        <v>0</v>
      </c>
      <c r="T9" s="70">
        <f>'Oct-Dec'!AG48</f>
        <v>0</v>
      </c>
      <c r="U9" s="70">
        <f>'Oct-Dec'!AG83</f>
        <v>0</v>
      </c>
      <c r="V9" s="46">
        <f t="shared" si="5"/>
        <v>0</v>
      </c>
    </row>
    <row r="10" spans="1:22">
      <c r="A10" s="49" t="s">
        <v>56</v>
      </c>
      <c r="B10" s="44">
        <f>SUMIF('OT_Jan-Mar'!$A$4:$A$65538,Summary!$A10,'OT_Jan-Mar'!$I$4:$I$65538)</f>
        <v>0</v>
      </c>
      <c r="D10" s="49" t="s">
        <v>56</v>
      </c>
      <c r="E10" s="45">
        <v>0</v>
      </c>
      <c r="F10" s="69">
        <f t="shared" si="1"/>
        <v>0</v>
      </c>
      <c r="G10" s="69">
        <f t="shared" si="2"/>
        <v>30.000000000000174</v>
      </c>
      <c r="H10" s="69">
        <f t="shared" si="3"/>
        <v>0</v>
      </c>
      <c r="I10" s="69">
        <f t="shared" si="4"/>
        <v>0</v>
      </c>
      <c r="J10" s="70">
        <f>'Jan-Mar'!AG13</f>
        <v>0</v>
      </c>
      <c r="K10" s="70">
        <f>'Jan-Mar'!AG50</f>
        <v>0</v>
      </c>
      <c r="L10" s="70">
        <f>'Jan-Mar'!AG85</f>
        <v>6</v>
      </c>
      <c r="M10" s="70">
        <f>'Apr-Jun'!AG12</f>
        <v>0</v>
      </c>
      <c r="N10" s="70">
        <f>'Apr-Jun'!AG49</f>
        <v>0</v>
      </c>
      <c r="O10" s="70">
        <f>'Apr-Jun'!AG84</f>
        <v>0</v>
      </c>
      <c r="P10" s="70">
        <f>'Jul-Sep'!AG12</f>
        <v>0</v>
      </c>
      <c r="Q10" s="70">
        <f>'Jul-Sep'!AG49</f>
        <v>0</v>
      </c>
      <c r="R10" s="70">
        <f>'Jul-Sep'!AG84</f>
        <v>0</v>
      </c>
      <c r="S10" s="70">
        <f>'Oct-Dec'!AG12</f>
        <v>0</v>
      </c>
      <c r="T10" s="70">
        <f>'Oct-Dec'!AG49</f>
        <v>0</v>
      </c>
      <c r="U10" s="70">
        <f>'Oct-Dec'!AG84</f>
        <v>0</v>
      </c>
      <c r="V10" s="46">
        <f t="shared" si="5"/>
        <v>24.000000000000174</v>
      </c>
    </row>
    <row r="11" spans="1:22">
      <c r="A11" s="49" t="s">
        <v>57</v>
      </c>
      <c r="B11" s="44">
        <f>SUMIF('OT_Jan-Mar'!$A$4:$A$65538,Summary!$A11,'OT_Jan-Mar'!$I$4:$I$65538)</f>
        <v>55.500000000000213</v>
      </c>
      <c r="D11" s="49" t="s">
        <v>57</v>
      </c>
      <c r="E11" s="45">
        <v>17</v>
      </c>
      <c r="F11" s="69">
        <f t="shared" si="1"/>
        <v>55.500000000000213</v>
      </c>
      <c r="G11" s="69">
        <f t="shared" si="2"/>
        <v>13.000000000000025</v>
      </c>
      <c r="H11" s="69">
        <f t="shared" si="3"/>
        <v>0</v>
      </c>
      <c r="I11" s="69">
        <f t="shared" si="4"/>
        <v>0</v>
      </c>
      <c r="J11" s="70">
        <f>'Jan-Mar'!AG14</f>
        <v>24</v>
      </c>
      <c r="K11" s="70">
        <f>'Jan-Mar'!AG51</f>
        <v>16</v>
      </c>
      <c r="L11" s="70">
        <f>'Jan-Mar'!AG86</f>
        <v>0</v>
      </c>
      <c r="M11" s="70">
        <f>'Apr-Jun'!AG13</f>
        <v>0</v>
      </c>
      <c r="N11" s="70">
        <f>'Apr-Jun'!AG50</f>
        <v>1</v>
      </c>
      <c r="O11" s="70">
        <f>'Apr-Jun'!AG85</f>
        <v>11</v>
      </c>
      <c r="P11" s="70">
        <f>'Jul-Sep'!AG13</f>
        <v>0</v>
      </c>
      <c r="Q11" s="70">
        <f>'Jul-Sep'!AG50</f>
        <v>0</v>
      </c>
      <c r="R11" s="70">
        <f>'Jul-Sep'!AG85</f>
        <v>0</v>
      </c>
      <c r="S11" s="70">
        <f>'Oct-Dec'!AG13</f>
        <v>0</v>
      </c>
      <c r="T11" s="70">
        <f>'Oct-Dec'!AG50</f>
        <v>0</v>
      </c>
      <c r="U11" s="70">
        <f>'Oct-Dec'!AG85</f>
        <v>0</v>
      </c>
      <c r="V11" s="46">
        <f t="shared" si="5"/>
        <v>33.500000000000242</v>
      </c>
    </row>
    <row r="12" spans="1:22">
      <c r="A12" s="49" t="s">
        <v>58</v>
      </c>
      <c r="B12" s="44">
        <f>SUMIF('OT_Jan-Mar'!$A$4:$A$65538,Summary!$A12,'OT_Jan-Mar'!$I$4:$I$65538)</f>
        <v>0</v>
      </c>
      <c r="D12" s="49" t="s">
        <v>58</v>
      </c>
      <c r="E12" s="45">
        <v>0</v>
      </c>
      <c r="F12" s="69">
        <f t="shared" si="1"/>
        <v>0</v>
      </c>
      <c r="G12" s="69">
        <f t="shared" si="2"/>
        <v>0</v>
      </c>
      <c r="H12" s="69">
        <f t="shared" si="3"/>
        <v>0</v>
      </c>
      <c r="I12" s="69">
        <f t="shared" si="4"/>
        <v>0</v>
      </c>
      <c r="J12" s="70">
        <f>'Jan-Mar'!AG15</f>
        <v>0</v>
      </c>
      <c r="K12" s="70">
        <f>'Jan-Mar'!AG52</f>
        <v>0</v>
      </c>
      <c r="L12" s="70">
        <f>'Jan-Mar'!AG87</f>
        <v>0</v>
      </c>
      <c r="M12" s="70">
        <f>'Apr-Jun'!AG14</f>
        <v>0</v>
      </c>
      <c r="N12" s="70">
        <f>'Apr-Jun'!AG51</f>
        <v>0</v>
      </c>
      <c r="O12" s="70">
        <f>'Apr-Jun'!AG86</f>
        <v>0</v>
      </c>
      <c r="P12" s="70">
        <f>'Jul-Sep'!AG14</f>
        <v>0</v>
      </c>
      <c r="Q12" s="70">
        <f>'Jul-Sep'!AG51</f>
        <v>0</v>
      </c>
      <c r="R12" s="70">
        <f>'Jul-Sep'!AG86</f>
        <v>0</v>
      </c>
      <c r="S12" s="70">
        <f>'Oct-Dec'!AG14</f>
        <v>0</v>
      </c>
      <c r="T12" s="70">
        <f>'Oct-Dec'!AG51</f>
        <v>0</v>
      </c>
      <c r="U12" s="70">
        <f>'Oct-Dec'!AG86</f>
        <v>0</v>
      </c>
      <c r="V12" s="46">
        <f t="shared" si="5"/>
        <v>0</v>
      </c>
    </row>
    <row r="13" spans="1:22">
      <c r="A13" s="49" t="s">
        <v>59</v>
      </c>
      <c r="B13" s="44">
        <f>SUMIF('OT_Jan-Mar'!$A$4:$A$65538,Summary!$A13,'OT_Jan-Mar'!$I$4:$I$65538)</f>
        <v>33.000000000000071</v>
      </c>
      <c r="D13" s="49" t="s">
        <v>59</v>
      </c>
      <c r="E13" s="45">
        <v>0</v>
      </c>
      <c r="F13" s="69">
        <f t="shared" si="1"/>
        <v>33.000000000000071</v>
      </c>
      <c r="G13" s="69">
        <f t="shared" si="2"/>
        <v>0</v>
      </c>
      <c r="H13" s="69">
        <f t="shared" si="3"/>
        <v>0</v>
      </c>
      <c r="I13" s="69">
        <f t="shared" si="4"/>
        <v>0</v>
      </c>
      <c r="J13" s="70">
        <f>'Jan-Mar'!AG16</f>
        <v>0</v>
      </c>
      <c r="K13" s="70">
        <f>'Jan-Mar'!AG53</f>
        <v>0</v>
      </c>
      <c r="L13" s="70">
        <f>'Jan-Mar'!AG88</f>
        <v>24</v>
      </c>
      <c r="M13" s="70">
        <f>'Apr-Jun'!AG15</f>
        <v>0</v>
      </c>
      <c r="N13" s="70">
        <f>'Apr-Jun'!AG52</f>
        <v>8</v>
      </c>
      <c r="O13" s="70">
        <f>'Apr-Jun'!AG87</f>
        <v>0</v>
      </c>
      <c r="P13" s="70">
        <f>'Jul-Sep'!AG15</f>
        <v>0</v>
      </c>
      <c r="Q13" s="70">
        <f>'Jul-Sep'!AG52</f>
        <v>0</v>
      </c>
      <c r="R13" s="70">
        <f>'Jul-Sep'!AG87</f>
        <v>0</v>
      </c>
      <c r="S13" s="70">
        <f>'Oct-Dec'!AG15</f>
        <v>0</v>
      </c>
      <c r="T13" s="70">
        <f>'Oct-Dec'!AG52</f>
        <v>0</v>
      </c>
      <c r="U13" s="70">
        <f>'Oct-Dec'!AG87</f>
        <v>0</v>
      </c>
      <c r="V13" s="46">
        <f t="shared" ref="V13:V17" si="6">E13+SUM(F13:I13)-SUM(J13:U13)</f>
        <v>1.0000000000000711</v>
      </c>
    </row>
    <row r="14" spans="1:22">
      <c r="A14" s="49" t="s">
        <v>60</v>
      </c>
      <c r="B14" s="44">
        <f>SUMIF('OT_Jan-Mar'!$A$4:$A$65538,Summary!$A14,'OT_Jan-Mar'!$I$4:$I$65538)</f>
        <v>0</v>
      </c>
      <c r="D14" s="49" t="s">
        <v>60</v>
      </c>
      <c r="E14" s="45">
        <v>0</v>
      </c>
      <c r="F14" s="69">
        <f t="shared" si="1"/>
        <v>0</v>
      </c>
      <c r="G14" s="69">
        <f t="shared" si="2"/>
        <v>0</v>
      </c>
      <c r="H14" s="69">
        <f t="shared" si="3"/>
        <v>0</v>
      </c>
      <c r="I14" s="69">
        <f t="shared" si="4"/>
        <v>0</v>
      </c>
      <c r="J14" s="70">
        <f>'Jan-Mar'!AG17</f>
        <v>0</v>
      </c>
      <c r="K14" s="70">
        <f>'Jan-Mar'!AG54</f>
        <v>0</v>
      </c>
      <c r="L14" s="70">
        <f>'Jan-Mar'!AG89</f>
        <v>0</v>
      </c>
      <c r="M14" s="70">
        <f>'Apr-Jun'!AG16</f>
        <v>0</v>
      </c>
      <c r="N14" s="70">
        <f>'Apr-Jun'!AG53</f>
        <v>0</v>
      </c>
      <c r="O14" s="70">
        <f>'Apr-Jun'!AG88</f>
        <v>0</v>
      </c>
      <c r="P14" s="70">
        <f>'Jul-Sep'!AG16</f>
        <v>0</v>
      </c>
      <c r="Q14" s="70">
        <f>'Jul-Sep'!AG53</f>
        <v>0</v>
      </c>
      <c r="R14" s="70">
        <f>'Jul-Sep'!AG88</f>
        <v>0</v>
      </c>
      <c r="S14" s="70">
        <f>'Oct-Dec'!AG16</f>
        <v>0</v>
      </c>
      <c r="T14" s="70">
        <f>'Oct-Dec'!AG53</f>
        <v>0</v>
      </c>
      <c r="U14" s="70">
        <f>'Oct-Dec'!AG88</f>
        <v>0</v>
      </c>
      <c r="V14" s="46">
        <f t="shared" si="6"/>
        <v>0</v>
      </c>
    </row>
    <row r="15" spans="1:22">
      <c r="A15" s="49" t="s">
        <v>61</v>
      </c>
      <c r="B15" s="44">
        <f>SUMIF('OT_Jan-Mar'!$A$4:$A$65538,Summary!$A15,'OT_Jan-Mar'!$I$4:$I$65538)</f>
        <v>0</v>
      </c>
      <c r="D15" s="49" t="s">
        <v>61</v>
      </c>
      <c r="E15" s="45">
        <v>0</v>
      </c>
      <c r="F15" s="69">
        <f t="shared" si="1"/>
        <v>0</v>
      </c>
      <c r="G15" s="69">
        <f t="shared" si="2"/>
        <v>30.500000000000014</v>
      </c>
      <c r="H15" s="69">
        <f t="shared" si="3"/>
        <v>0</v>
      </c>
      <c r="I15" s="69">
        <f t="shared" si="4"/>
        <v>0</v>
      </c>
      <c r="J15" s="70">
        <f>'Jan-Mar'!AG18</f>
        <v>0</v>
      </c>
      <c r="K15" s="70">
        <f>'Jan-Mar'!AG55</f>
        <v>0</v>
      </c>
      <c r="L15" s="70">
        <f>'Jan-Mar'!AG90</f>
        <v>0</v>
      </c>
      <c r="M15" s="70">
        <f>'Apr-Jun'!AG17</f>
        <v>0</v>
      </c>
      <c r="N15" s="70">
        <f>'Apr-Jun'!AG54</f>
        <v>0</v>
      </c>
      <c r="O15" s="70">
        <f>'Apr-Jun'!AG89</f>
        <v>0</v>
      </c>
      <c r="P15" s="70">
        <f>'Jul-Sep'!AG17</f>
        <v>0</v>
      </c>
      <c r="Q15" s="70">
        <f>'Jul-Sep'!AG54</f>
        <v>0</v>
      </c>
      <c r="R15" s="70">
        <f>'Jul-Sep'!AG89</f>
        <v>0</v>
      </c>
      <c r="S15" s="70">
        <f>'Oct-Dec'!AG17</f>
        <v>0</v>
      </c>
      <c r="T15" s="70">
        <f>'Oct-Dec'!AG54</f>
        <v>0</v>
      </c>
      <c r="U15" s="70">
        <f>'Oct-Dec'!AG89</f>
        <v>0</v>
      </c>
      <c r="V15" s="46">
        <f t="shared" si="6"/>
        <v>30.500000000000014</v>
      </c>
    </row>
    <row r="16" spans="1:22">
      <c r="A16" s="49" t="s">
        <v>62</v>
      </c>
      <c r="B16" s="44">
        <f>SUMIF('OT_Jan-Mar'!$A$4:$A$65538,Summary!$A16,'OT_Jan-Mar'!$I$4:$I$65538)</f>
        <v>0</v>
      </c>
      <c r="D16" s="49" t="s">
        <v>62</v>
      </c>
      <c r="E16" s="45">
        <v>24</v>
      </c>
      <c r="F16" s="69">
        <f t="shared" si="1"/>
        <v>0</v>
      </c>
      <c r="G16" s="69">
        <f t="shared" si="2"/>
        <v>14.999999999999996</v>
      </c>
      <c r="H16" s="69">
        <f t="shared" si="3"/>
        <v>0</v>
      </c>
      <c r="I16" s="69">
        <f t="shared" si="4"/>
        <v>0</v>
      </c>
      <c r="J16" s="70">
        <f>'Jan-Mar'!AG19</f>
        <v>16</v>
      </c>
      <c r="K16" s="70">
        <f>'Jan-Mar'!AG56</f>
        <v>0</v>
      </c>
      <c r="L16" s="70">
        <f>'Jan-Mar'!AG91</f>
        <v>0</v>
      </c>
      <c r="M16" s="70">
        <f>'Apr-Jun'!AG18</f>
        <v>8</v>
      </c>
      <c r="N16" s="70">
        <f>'Apr-Jun'!AG55</f>
        <v>0</v>
      </c>
      <c r="O16" s="70">
        <f>'Apr-Jun'!AG90</f>
        <v>0</v>
      </c>
      <c r="P16" s="70">
        <f>'Jul-Sep'!AG18</f>
        <v>0</v>
      </c>
      <c r="Q16" s="70">
        <f>'Jul-Sep'!AG55</f>
        <v>0</v>
      </c>
      <c r="R16" s="70">
        <f>'Jul-Sep'!AG90</f>
        <v>0</v>
      </c>
      <c r="S16" s="70">
        <f>'Oct-Dec'!AG18</f>
        <v>0</v>
      </c>
      <c r="T16" s="70">
        <f>'Oct-Dec'!AG55</f>
        <v>0</v>
      </c>
      <c r="U16" s="70">
        <f>'Oct-Dec'!AG90</f>
        <v>0</v>
      </c>
      <c r="V16" s="46">
        <f t="shared" si="6"/>
        <v>15</v>
      </c>
    </row>
    <row r="17" spans="1:22">
      <c r="A17" s="49" t="s">
        <v>67</v>
      </c>
      <c r="B17" s="44">
        <f>SUMIF('OT_Jan-Mar'!$A$4:$A$65538,Summary!$A17,'OT_Jan-Mar'!$I$4:$I$65538)</f>
        <v>0</v>
      </c>
      <c r="D17" s="49" t="s">
        <v>67</v>
      </c>
      <c r="E17" s="45">
        <v>0</v>
      </c>
      <c r="F17" s="69">
        <f t="shared" si="1"/>
        <v>0</v>
      </c>
      <c r="G17" s="69">
        <f t="shared" si="2"/>
        <v>0</v>
      </c>
      <c r="H17" s="69">
        <f t="shared" si="3"/>
        <v>0</v>
      </c>
      <c r="I17" s="69">
        <f t="shared" si="4"/>
        <v>0</v>
      </c>
      <c r="J17" s="70">
        <f>'Jan-Mar'!AG20</f>
        <v>0</v>
      </c>
      <c r="K17" s="70">
        <f>'Jan-Mar'!AG57</f>
        <v>0</v>
      </c>
      <c r="L17" s="70">
        <f>'Jan-Mar'!AG92</f>
        <v>0</v>
      </c>
      <c r="M17" s="70">
        <f>'Apr-Jun'!AG19</f>
        <v>0</v>
      </c>
      <c r="N17" s="70">
        <f>'Apr-Jun'!AG56</f>
        <v>0</v>
      </c>
      <c r="O17" s="70">
        <f>'Apr-Jun'!AG91</f>
        <v>0</v>
      </c>
      <c r="P17" s="70">
        <f>'Jul-Sep'!AG19</f>
        <v>0</v>
      </c>
      <c r="Q17" s="70">
        <f>'Jul-Sep'!AG56</f>
        <v>0</v>
      </c>
      <c r="R17" s="70">
        <f>'Jul-Sep'!AG91</f>
        <v>0</v>
      </c>
      <c r="S17" s="70">
        <f>'Oct-Dec'!AG19</f>
        <v>0</v>
      </c>
      <c r="T17" s="70">
        <f>'Oct-Dec'!AG56</f>
        <v>0</v>
      </c>
      <c r="U17" s="70">
        <f>'Oct-Dec'!AG91</f>
        <v>0</v>
      </c>
      <c r="V17" s="46">
        <f t="shared" si="6"/>
        <v>0</v>
      </c>
    </row>
    <row r="18" spans="1:22">
      <c r="A18" s="49" t="s">
        <v>152</v>
      </c>
      <c r="B18" s="44">
        <f>SUMIF('OT_Jan-Mar'!$A$4:$A$65538,Summary!$A18,'OT_Jan-Mar'!$I$4:$I$65538)</f>
        <v>0</v>
      </c>
      <c r="D18" s="49" t="s">
        <v>152</v>
      </c>
      <c r="E18" s="45">
        <v>0</v>
      </c>
      <c r="F18" s="69">
        <f t="shared" si="1"/>
        <v>0</v>
      </c>
      <c r="G18" s="69">
        <f t="shared" si="2"/>
        <v>43.999999999999972</v>
      </c>
      <c r="H18" s="69">
        <f t="shared" si="3"/>
        <v>0</v>
      </c>
      <c r="I18" s="69">
        <f t="shared" si="4"/>
        <v>0</v>
      </c>
      <c r="J18" s="70">
        <f>'Jan-Mar'!AG21</f>
        <v>0</v>
      </c>
      <c r="K18" s="70">
        <f>'Jan-Mar'!AG58</f>
        <v>0</v>
      </c>
      <c r="L18" s="70">
        <f>'Jan-Mar'!AG93</f>
        <v>0</v>
      </c>
      <c r="M18" s="70">
        <f>'Apr-Jun'!AG20</f>
        <v>0</v>
      </c>
      <c r="N18" s="70">
        <f>'Apr-Jun'!AG57</f>
        <v>0</v>
      </c>
      <c r="O18" s="70">
        <f>'Apr-Jun'!AG92</f>
        <v>0</v>
      </c>
      <c r="P18" s="70">
        <f>'Jul-Sep'!AG20</f>
        <v>0</v>
      </c>
      <c r="Q18" s="70">
        <f>'Jul-Sep'!AG57</f>
        <v>0</v>
      </c>
      <c r="R18" s="70">
        <f>'Jul-Sep'!AG92</f>
        <v>0</v>
      </c>
      <c r="S18" s="70">
        <f>'Oct-Dec'!AG20</f>
        <v>0</v>
      </c>
      <c r="T18" s="70">
        <f>'Oct-Dec'!AG57</f>
        <v>0</v>
      </c>
      <c r="U18" s="70">
        <f>'Oct-Dec'!AG92</f>
        <v>0</v>
      </c>
      <c r="V18" s="46">
        <f t="shared" ref="V18:V32" si="7">E18+SUM(F18:I18)-SUM(J18:U18)</f>
        <v>43.999999999999972</v>
      </c>
    </row>
    <row r="19" spans="1:22">
      <c r="A19" s="49" t="s">
        <v>153</v>
      </c>
      <c r="B19" s="44">
        <f>SUMIF('OT_Jan-Mar'!$A$4:$A$65538,Summary!$A19,'OT_Jan-Mar'!$I$4:$I$65538)</f>
        <v>0</v>
      </c>
      <c r="D19" s="49" t="s">
        <v>153</v>
      </c>
      <c r="E19" s="45">
        <v>0</v>
      </c>
      <c r="F19" s="69">
        <f t="shared" si="1"/>
        <v>0</v>
      </c>
      <c r="G19" s="69">
        <f t="shared" si="2"/>
        <v>39.999999999999957</v>
      </c>
      <c r="H19" s="69">
        <f t="shared" si="3"/>
        <v>0</v>
      </c>
      <c r="I19" s="69">
        <f t="shared" si="4"/>
        <v>0</v>
      </c>
      <c r="J19" s="70">
        <f>'Jan-Mar'!AG22</f>
        <v>0</v>
      </c>
      <c r="K19" s="70">
        <f>'Jan-Mar'!AG59</f>
        <v>0</v>
      </c>
      <c r="L19" s="70">
        <f>'Jan-Mar'!AG94</f>
        <v>0</v>
      </c>
      <c r="M19" s="70">
        <f>'Apr-Jun'!AG21</f>
        <v>0</v>
      </c>
      <c r="N19" s="70">
        <f>'Apr-Jun'!AG58</f>
        <v>0</v>
      </c>
      <c r="O19" s="70">
        <f>'Apr-Jun'!AG93</f>
        <v>0</v>
      </c>
      <c r="P19" s="70">
        <f>'Jul-Sep'!AG21</f>
        <v>0</v>
      </c>
      <c r="Q19" s="70">
        <f>'Jul-Sep'!AG58</f>
        <v>0</v>
      </c>
      <c r="R19" s="70">
        <f>'Jul-Sep'!AG93</f>
        <v>0</v>
      </c>
      <c r="S19" s="70">
        <f>'Oct-Dec'!AG21</f>
        <v>0</v>
      </c>
      <c r="T19" s="70">
        <f>'Oct-Dec'!AG58</f>
        <v>0</v>
      </c>
      <c r="U19" s="70">
        <f>'Oct-Dec'!AG93</f>
        <v>0</v>
      </c>
      <c r="V19" s="46">
        <f t="shared" si="7"/>
        <v>39.999999999999957</v>
      </c>
    </row>
    <row r="20" spans="1:22">
      <c r="A20" s="49" t="s">
        <v>154</v>
      </c>
      <c r="B20" s="44">
        <f>SUMIF('OT_Jan-Mar'!$A$4:$A$65538,Summary!$A20,'OT_Jan-Mar'!$I$4:$I$65538)</f>
        <v>0</v>
      </c>
      <c r="D20" s="49" t="s">
        <v>154</v>
      </c>
      <c r="E20" s="45">
        <v>0</v>
      </c>
      <c r="F20" s="69">
        <f t="shared" si="1"/>
        <v>0</v>
      </c>
      <c r="G20" s="69">
        <f t="shared" si="2"/>
        <v>0</v>
      </c>
      <c r="H20" s="69">
        <f t="shared" si="3"/>
        <v>0</v>
      </c>
      <c r="I20" s="69">
        <f t="shared" si="4"/>
        <v>0</v>
      </c>
      <c r="J20" s="70">
        <f>'Jan-Mar'!AG23</f>
        <v>0</v>
      </c>
      <c r="K20" s="70">
        <f>'Jan-Mar'!AG60</f>
        <v>0</v>
      </c>
      <c r="L20" s="70">
        <f>'Jan-Mar'!AG95</f>
        <v>0</v>
      </c>
      <c r="M20" s="70">
        <f>'Apr-Jun'!AG22</f>
        <v>0</v>
      </c>
      <c r="N20" s="70">
        <f>'Apr-Jun'!AG59</f>
        <v>0</v>
      </c>
      <c r="O20" s="70">
        <f>'Apr-Jun'!AG94</f>
        <v>0</v>
      </c>
      <c r="P20" s="70">
        <f>'Jul-Sep'!AG22</f>
        <v>0</v>
      </c>
      <c r="Q20" s="70">
        <f>'Jul-Sep'!AG59</f>
        <v>0</v>
      </c>
      <c r="R20" s="70">
        <f>'Jul-Sep'!AG94</f>
        <v>0</v>
      </c>
      <c r="S20" s="70">
        <f>'Oct-Dec'!AG22</f>
        <v>0</v>
      </c>
      <c r="T20" s="70">
        <f>'Oct-Dec'!AG59</f>
        <v>0</v>
      </c>
      <c r="U20" s="70">
        <f>'Oct-Dec'!AG94</f>
        <v>0</v>
      </c>
      <c r="V20" s="46">
        <f t="shared" si="7"/>
        <v>0</v>
      </c>
    </row>
    <row r="21" spans="1:22">
      <c r="A21" s="49" t="s">
        <v>155</v>
      </c>
      <c r="B21" s="44">
        <f>SUMIF('OT_Jan-Mar'!$A$4:$A$65538,Summary!$A21,'OT_Jan-Mar'!$I$4:$I$65538)</f>
        <v>0</v>
      </c>
      <c r="D21" s="49" t="s">
        <v>155</v>
      </c>
      <c r="E21" s="45">
        <v>0</v>
      </c>
      <c r="F21" s="69">
        <f t="shared" si="1"/>
        <v>0</v>
      </c>
      <c r="G21" s="69">
        <f t="shared" si="2"/>
        <v>0</v>
      </c>
      <c r="H21" s="69">
        <f t="shared" si="3"/>
        <v>0</v>
      </c>
      <c r="I21" s="69">
        <f t="shared" si="4"/>
        <v>0</v>
      </c>
      <c r="J21" s="70">
        <f>'Jan-Mar'!AG24</f>
        <v>0</v>
      </c>
      <c r="K21" s="70">
        <f>'Jan-Mar'!AG61</f>
        <v>0</v>
      </c>
      <c r="L21" s="70">
        <f>'Jan-Mar'!AG96</f>
        <v>0</v>
      </c>
      <c r="M21" s="70">
        <f>'Apr-Jun'!AG23</f>
        <v>0</v>
      </c>
      <c r="N21" s="70">
        <f>'Apr-Jun'!AG60</f>
        <v>0</v>
      </c>
      <c r="O21" s="70">
        <f>'Apr-Jun'!AG95</f>
        <v>0</v>
      </c>
      <c r="P21" s="70">
        <f>'Jul-Sep'!AG23</f>
        <v>0</v>
      </c>
      <c r="Q21" s="70">
        <f>'Jul-Sep'!AG60</f>
        <v>0</v>
      </c>
      <c r="R21" s="70">
        <f>'Jul-Sep'!AG95</f>
        <v>0</v>
      </c>
      <c r="S21" s="70">
        <f>'Oct-Dec'!AG23</f>
        <v>0</v>
      </c>
      <c r="T21" s="70">
        <f>'Oct-Dec'!AG60</f>
        <v>0</v>
      </c>
      <c r="U21" s="70">
        <f>'Oct-Dec'!AG95</f>
        <v>0</v>
      </c>
      <c r="V21" s="46">
        <f t="shared" si="7"/>
        <v>0</v>
      </c>
    </row>
    <row r="22" spans="1:22">
      <c r="A22" s="49" t="s">
        <v>156</v>
      </c>
      <c r="B22" s="44">
        <f>SUMIF('OT_Jan-Mar'!$A$4:$A$65538,Summary!$A22,'OT_Jan-Mar'!$I$4:$I$65538)</f>
        <v>0</v>
      </c>
      <c r="D22" s="49" t="s">
        <v>156</v>
      </c>
      <c r="E22" s="45">
        <v>0</v>
      </c>
      <c r="F22" s="69">
        <f t="shared" si="1"/>
        <v>0</v>
      </c>
      <c r="G22" s="69">
        <f t="shared" si="2"/>
        <v>0</v>
      </c>
      <c r="H22" s="69">
        <f t="shared" si="3"/>
        <v>0</v>
      </c>
      <c r="I22" s="69">
        <f t="shared" si="4"/>
        <v>0</v>
      </c>
      <c r="J22" s="70">
        <f>'Jan-Mar'!AG25</f>
        <v>0</v>
      </c>
      <c r="K22" s="70">
        <f>'Jan-Mar'!AG62</f>
        <v>0</v>
      </c>
      <c r="L22" s="70">
        <f>'Jan-Mar'!AG97</f>
        <v>0</v>
      </c>
      <c r="M22" s="70">
        <f>'Apr-Jun'!AG24</f>
        <v>0</v>
      </c>
      <c r="N22" s="70">
        <f>'Apr-Jun'!AG61</f>
        <v>0</v>
      </c>
      <c r="O22" s="70">
        <f>'Apr-Jun'!AG96</f>
        <v>0</v>
      </c>
      <c r="P22" s="70">
        <f>'Jul-Sep'!AG24</f>
        <v>0</v>
      </c>
      <c r="Q22" s="70">
        <f>'Jul-Sep'!AG61</f>
        <v>0</v>
      </c>
      <c r="R22" s="70">
        <f>'Jul-Sep'!AG96</f>
        <v>0</v>
      </c>
      <c r="S22" s="70">
        <f>'Oct-Dec'!AG24</f>
        <v>0</v>
      </c>
      <c r="T22" s="70">
        <f>'Oct-Dec'!AG61</f>
        <v>0</v>
      </c>
      <c r="U22" s="70">
        <f>'Oct-Dec'!AG96</f>
        <v>0</v>
      </c>
      <c r="V22" s="46">
        <f t="shared" si="7"/>
        <v>0</v>
      </c>
    </row>
    <row r="23" spans="1:22">
      <c r="A23" s="49" t="s">
        <v>157</v>
      </c>
      <c r="B23" s="44">
        <f>SUMIF('OT_Jan-Mar'!$A$4:$A$65538,Summary!$A23,'OT_Jan-Mar'!$I$4:$I$65538)</f>
        <v>0</v>
      </c>
      <c r="D23" s="49" t="s">
        <v>157</v>
      </c>
      <c r="E23" s="45">
        <v>0</v>
      </c>
      <c r="F23" s="69">
        <f t="shared" si="1"/>
        <v>0</v>
      </c>
      <c r="G23" s="69">
        <f t="shared" si="2"/>
        <v>0</v>
      </c>
      <c r="H23" s="69">
        <f t="shared" si="3"/>
        <v>0</v>
      </c>
      <c r="I23" s="69">
        <f t="shared" si="4"/>
        <v>0</v>
      </c>
      <c r="J23" s="70">
        <f>'Jan-Mar'!AG26</f>
        <v>0</v>
      </c>
      <c r="K23" s="70">
        <f>'Jan-Mar'!AG63</f>
        <v>0</v>
      </c>
      <c r="L23" s="70">
        <f>'Jan-Mar'!AG98</f>
        <v>0</v>
      </c>
      <c r="M23" s="70">
        <f>'Apr-Jun'!AG25</f>
        <v>0</v>
      </c>
      <c r="N23" s="70">
        <f>'Apr-Jun'!AG62</f>
        <v>0</v>
      </c>
      <c r="O23" s="70">
        <f>'Apr-Jun'!AG97</f>
        <v>0</v>
      </c>
      <c r="P23" s="70">
        <f>'Jul-Sep'!AG25</f>
        <v>0</v>
      </c>
      <c r="Q23" s="70">
        <f>'Jul-Sep'!AG62</f>
        <v>0</v>
      </c>
      <c r="R23" s="70">
        <f>'Jul-Sep'!AG97</f>
        <v>0</v>
      </c>
      <c r="S23" s="70">
        <f>'Oct-Dec'!AG25</f>
        <v>0</v>
      </c>
      <c r="T23" s="70">
        <f>'Oct-Dec'!AG62</f>
        <v>0</v>
      </c>
      <c r="U23" s="70">
        <f>'Oct-Dec'!AG97</f>
        <v>0</v>
      </c>
      <c r="V23" s="46">
        <f t="shared" si="7"/>
        <v>0</v>
      </c>
    </row>
    <row r="24" spans="1:22">
      <c r="A24" s="49" t="s">
        <v>158</v>
      </c>
      <c r="B24" s="44">
        <f>SUMIF('OT_Jan-Mar'!$A$4:$A$65538,Summary!$A24,'OT_Jan-Mar'!$I$4:$I$65538)</f>
        <v>0</v>
      </c>
      <c r="D24" s="49" t="s">
        <v>158</v>
      </c>
      <c r="E24" s="45">
        <v>0</v>
      </c>
      <c r="F24" s="69">
        <f t="shared" si="1"/>
        <v>0</v>
      </c>
      <c r="G24" s="69">
        <f t="shared" si="2"/>
        <v>0</v>
      </c>
      <c r="H24" s="69">
        <f t="shared" si="3"/>
        <v>0</v>
      </c>
      <c r="I24" s="69">
        <f t="shared" si="4"/>
        <v>0</v>
      </c>
      <c r="J24" s="70">
        <f>'Jan-Mar'!AG27</f>
        <v>0</v>
      </c>
      <c r="K24" s="70">
        <f>'Jan-Mar'!AG64</f>
        <v>0</v>
      </c>
      <c r="L24" s="70">
        <f>'Jan-Mar'!AG99</f>
        <v>0</v>
      </c>
      <c r="M24" s="70">
        <f>'Apr-Jun'!AG26</f>
        <v>0</v>
      </c>
      <c r="N24" s="70">
        <f>'Apr-Jun'!AG63</f>
        <v>0</v>
      </c>
      <c r="O24" s="70">
        <f>'Apr-Jun'!AG98</f>
        <v>0</v>
      </c>
      <c r="P24" s="70">
        <f>'Jul-Sep'!AG26</f>
        <v>0</v>
      </c>
      <c r="Q24" s="70">
        <f>'Jul-Sep'!AG63</f>
        <v>0</v>
      </c>
      <c r="R24" s="70">
        <f>'Jul-Sep'!AG98</f>
        <v>0</v>
      </c>
      <c r="S24" s="70">
        <f>'Oct-Dec'!AG26</f>
        <v>0</v>
      </c>
      <c r="T24" s="70">
        <f>'Oct-Dec'!AG63</f>
        <v>0</v>
      </c>
      <c r="U24" s="70">
        <f>'Oct-Dec'!AG98</f>
        <v>0</v>
      </c>
      <c r="V24" s="46">
        <f t="shared" si="7"/>
        <v>0</v>
      </c>
    </row>
    <row r="25" spans="1:22">
      <c r="A25" s="49" t="s">
        <v>159</v>
      </c>
      <c r="B25" s="44">
        <f>SUMIF('OT_Jan-Mar'!$A$4:$A$65538,Summary!$A25,'OT_Jan-Mar'!$I$4:$I$65538)</f>
        <v>0</v>
      </c>
      <c r="D25" s="49" t="s">
        <v>159</v>
      </c>
      <c r="E25" s="45">
        <v>0</v>
      </c>
      <c r="F25" s="69">
        <f t="shared" si="1"/>
        <v>0</v>
      </c>
      <c r="G25" s="69">
        <f t="shared" si="2"/>
        <v>0</v>
      </c>
      <c r="H25" s="69">
        <f t="shared" si="3"/>
        <v>0</v>
      </c>
      <c r="I25" s="69">
        <f t="shared" si="4"/>
        <v>0</v>
      </c>
      <c r="J25" s="70">
        <f>'Jan-Mar'!AG28</f>
        <v>0</v>
      </c>
      <c r="K25" s="70">
        <f>'Jan-Mar'!AG65</f>
        <v>0</v>
      </c>
      <c r="L25" s="70">
        <f>'Jan-Mar'!AG100</f>
        <v>0</v>
      </c>
      <c r="M25" s="70">
        <f>'Apr-Jun'!AG27</f>
        <v>0</v>
      </c>
      <c r="N25" s="70">
        <f>'Apr-Jun'!AG64</f>
        <v>0</v>
      </c>
      <c r="O25" s="70">
        <f>'Apr-Jun'!AG99</f>
        <v>0</v>
      </c>
      <c r="P25" s="70">
        <f>'Jul-Sep'!AG27</f>
        <v>0</v>
      </c>
      <c r="Q25" s="70">
        <f>'Jul-Sep'!AG64</f>
        <v>0</v>
      </c>
      <c r="R25" s="70">
        <f>'Jul-Sep'!AG99</f>
        <v>0</v>
      </c>
      <c r="S25" s="70">
        <f>'Oct-Dec'!AG27</f>
        <v>0</v>
      </c>
      <c r="T25" s="70">
        <f>'Oct-Dec'!AG64</f>
        <v>0</v>
      </c>
      <c r="U25" s="70">
        <f>'Oct-Dec'!AG99</f>
        <v>0</v>
      </c>
      <c r="V25" s="46">
        <f t="shared" si="7"/>
        <v>0</v>
      </c>
    </row>
    <row r="26" spans="1:22">
      <c r="A26" s="49" t="s">
        <v>160</v>
      </c>
      <c r="B26" s="44">
        <f>SUMIF('OT_Jan-Mar'!$A$4:$A$65538,Summary!$A26,'OT_Jan-Mar'!$I$4:$I$65538)</f>
        <v>0</v>
      </c>
      <c r="D26" s="49" t="s">
        <v>160</v>
      </c>
      <c r="E26" s="45">
        <v>0</v>
      </c>
      <c r="F26" s="69">
        <f t="shared" si="1"/>
        <v>0</v>
      </c>
      <c r="G26" s="69">
        <f t="shared" si="2"/>
        <v>0</v>
      </c>
      <c r="H26" s="69">
        <f t="shared" si="3"/>
        <v>0</v>
      </c>
      <c r="I26" s="69">
        <f t="shared" si="4"/>
        <v>0</v>
      </c>
      <c r="J26" s="70">
        <f>'Jan-Mar'!AG29</f>
        <v>0</v>
      </c>
      <c r="K26" s="70">
        <f>'Jan-Mar'!AG66</f>
        <v>0</v>
      </c>
      <c r="L26" s="70">
        <f>'Jan-Mar'!AG101</f>
        <v>0</v>
      </c>
      <c r="M26" s="70">
        <f>'Apr-Jun'!AG28</f>
        <v>0</v>
      </c>
      <c r="N26" s="70">
        <f>'Apr-Jun'!AG65</f>
        <v>0</v>
      </c>
      <c r="O26" s="70">
        <f>'Apr-Jun'!AG100</f>
        <v>0</v>
      </c>
      <c r="P26" s="70">
        <f>'Jul-Sep'!AG28</f>
        <v>0</v>
      </c>
      <c r="Q26" s="70">
        <f>'Jul-Sep'!AG65</f>
        <v>0</v>
      </c>
      <c r="R26" s="70">
        <f>'Jul-Sep'!AG100</f>
        <v>0</v>
      </c>
      <c r="S26" s="70">
        <f>'Oct-Dec'!AG28</f>
        <v>0</v>
      </c>
      <c r="T26" s="70">
        <f>'Oct-Dec'!AG65</f>
        <v>0</v>
      </c>
      <c r="U26" s="70">
        <f>'Oct-Dec'!AG100</f>
        <v>0</v>
      </c>
      <c r="V26" s="46">
        <f t="shared" si="7"/>
        <v>0</v>
      </c>
    </row>
    <row r="27" spans="1:22">
      <c r="A27" s="49" t="s">
        <v>161</v>
      </c>
      <c r="B27" s="44">
        <f>SUMIF('OT_Jan-Mar'!$A$4:$A$65538,Summary!$A27,'OT_Jan-Mar'!$I$4:$I$65538)</f>
        <v>0</v>
      </c>
      <c r="D27" s="49" t="s">
        <v>161</v>
      </c>
      <c r="E27" s="45">
        <v>0</v>
      </c>
      <c r="F27" s="69">
        <f t="shared" si="1"/>
        <v>0</v>
      </c>
      <c r="G27" s="69">
        <f t="shared" si="2"/>
        <v>0</v>
      </c>
      <c r="H27" s="69">
        <f t="shared" si="3"/>
        <v>0</v>
      </c>
      <c r="I27" s="69">
        <f t="shared" si="4"/>
        <v>0</v>
      </c>
      <c r="J27" s="70">
        <f>'Jan-Mar'!AG30</f>
        <v>0</v>
      </c>
      <c r="K27" s="70">
        <f>'Jan-Mar'!AG67</f>
        <v>0</v>
      </c>
      <c r="L27" s="70">
        <f>'Jan-Mar'!AG102</f>
        <v>0</v>
      </c>
      <c r="M27" s="70">
        <f>'Apr-Jun'!AG29</f>
        <v>0</v>
      </c>
      <c r="N27" s="70">
        <f>'Apr-Jun'!AG66</f>
        <v>0</v>
      </c>
      <c r="O27" s="70">
        <f>'Apr-Jun'!AG101</f>
        <v>0</v>
      </c>
      <c r="P27" s="70">
        <f>'Jul-Sep'!AG29</f>
        <v>0</v>
      </c>
      <c r="Q27" s="70">
        <f>'Jul-Sep'!AG66</f>
        <v>0</v>
      </c>
      <c r="R27" s="70">
        <f>'Jul-Sep'!AG101</f>
        <v>0</v>
      </c>
      <c r="S27" s="70">
        <f>'Oct-Dec'!AG29</f>
        <v>0</v>
      </c>
      <c r="T27" s="70">
        <f>'Oct-Dec'!AG66</f>
        <v>0</v>
      </c>
      <c r="U27" s="70">
        <f>'Oct-Dec'!AG101</f>
        <v>0</v>
      </c>
      <c r="V27" s="46">
        <f t="shared" si="7"/>
        <v>0</v>
      </c>
    </row>
    <row r="28" spans="1:22">
      <c r="A28" s="49" t="s">
        <v>162</v>
      </c>
      <c r="B28" s="44">
        <f>SUMIF('OT_Jan-Mar'!$A$4:$A$65538,Summary!$A28,'OT_Jan-Mar'!$I$4:$I$65538)</f>
        <v>0</v>
      </c>
      <c r="D28" s="49" t="s">
        <v>162</v>
      </c>
      <c r="E28" s="45">
        <v>0</v>
      </c>
      <c r="F28" s="69">
        <f t="shared" si="1"/>
        <v>0</v>
      </c>
      <c r="G28" s="69">
        <f t="shared" si="2"/>
        <v>0</v>
      </c>
      <c r="H28" s="69">
        <f t="shared" si="3"/>
        <v>0</v>
      </c>
      <c r="I28" s="69">
        <f t="shared" si="4"/>
        <v>0</v>
      </c>
      <c r="J28" s="70">
        <f>'Jan-Mar'!AG31</f>
        <v>0</v>
      </c>
      <c r="K28" s="70">
        <f>'Jan-Mar'!AG68</f>
        <v>0</v>
      </c>
      <c r="L28" s="70">
        <f>'Jan-Mar'!AG103</f>
        <v>0</v>
      </c>
      <c r="M28" s="70">
        <f>'Apr-Jun'!AG30</f>
        <v>0</v>
      </c>
      <c r="N28" s="70">
        <f>'Apr-Jun'!AG67</f>
        <v>0</v>
      </c>
      <c r="O28" s="70">
        <f>'Apr-Jun'!AG102</f>
        <v>0</v>
      </c>
      <c r="P28" s="70">
        <f>'Jul-Sep'!AG30</f>
        <v>0</v>
      </c>
      <c r="Q28" s="70">
        <f>'Jul-Sep'!AG67</f>
        <v>0</v>
      </c>
      <c r="R28" s="70">
        <f>'Jul-Sep'!AG102</f>
        <v>0</v>
      </c>
      <c r="S28" s="70">
        <f>'Oct-Dec'!AG30</f>
        <v>0</v>
      </c>
      <c r="T28" s="70">
        <f>'Oct-Dec'!AG67</f>
        <v>0</v>
      </c>
      <c r="U28" s="70">
        <f>'Oct-Dec'!AG102</f>
        <v>0</v>
      </c>
      <c r="V28" s="46">
        <f t="shared" si="7"/>
        <v>0</v>
      </c>
    </row>
    <row r="29" spans="1:22">
      <c r="A29" s="49" t="s">
        <v>162</v>
      </c>
      <c r="B29" s="44">
        <f>SUMIF('OT_Jan-Mar'!$A$4:$A$65538,Summary!$A29,'OT_Jan-Mar'!$I$4:$I$65538)</f>
        <v>0</v>
      </c>
      <c r="D29" s="49" t="s">
        <v>162</v>
      </c>
      <c r="E29" s="45">
        <v>0</v>
      </c>
      <c r="F29" s="69">
        <f t="shared" si="1"/>
        <v>0</v>
      </c>
      <c r="G29" s="69">
        <f t="shared" si="2"/>
        <v>0</v>
      </c>
      <c r="H29" s="69">
        <f t="shared" si="3"/>
        <v>0</v>
      </c>
      <c r="I29" s="69">
        <f t="shared" si="4"/>
        <v>0</v>
      </c>
      <c r="J29" s="70">
        <f>'Jan-Mar'!AG32</f>
        <v>0</v>
      </c>
      <c r="K29" s="70">
        <f>'Jan-Mar'!AG69</f>
        <v>0</v>
      </c>
      <c r="L29" s="70">
        <f>'Jan-Mar'!AG104</f>
        <v>0</v>
      </c>
      <c r="M29" s="70">
        <f>'Apr-Jun'!AG31</f>
        <v>0</v>
      </c>
      <c r="N29" s="70">
        <f>'Apr-Jun'!AG68</f>
        <v>0</v>
      </c>
      <c r="O29" s="70">
        <f>'Apr-Jun'!AG103</f>
        <v>0</v>
      </c>
      <c r="P29" s="70">
        <f>'Jul-Sep'!AG31</f>
        <v>0</v>
      </c>
      <c r="Q29" s="70">
        <f>'Jul-Sep'!AG68</f>
        <v>0</v>
      </c>
      <c r="R29" s="70">
        <f>'Jul-Sep'!AG103</f>
        <v>0</v>
      </c>
      <c r="S29" s="70">
        <f>'Oct-Dec'!AG31</f>
        <v>0</v>
      </c>
      <c r="T29" s="70">
        <f>'Oct-Dec'!AG68</f>
        <v>0</v>
      </c>
      <c r="U29" s="70">
        <f>'Oct-Dec'!AG103</f>
        <v>0</v>
      </c>
      <c r="V29" s="46">
        <f t="shared" si="7"/>
        <v>0</v>
      </c>
    </row>
    <row r="30" spans="1:22">
      <c r="A30" s="49" t="s">
        <v>162</v>
      </c>
      <c r="B30" s="44">
        <f>SUMIF('OT_Jan-Mar'!$A$4:$A$65538,Summary!$A30,'OT_Jan-Mar'!$I$4:$I$65538)</f>
        <v>0</v>
      </c>
      <c r="D30" s="49" t="s">
        <v>162</v>
      </c>
      <c r="E30" s="45">
        <v>0</v>
      </c>
      <c r="F30" s="69">
        <f t="shared" si="1"/>
        <v>0</v>
      </c>
      <c r="G30" s="69">
        <f t="shared" si="2"/>
        <v>0</v>
      </c>
      <c r="H30" s="69">
        <f t="shared" si="3"/>
        <v>0</v>
      </c>
      <c r="I30" s="69">
        <f t="shared" si="4"/>
        <v>0</v>
      </c>
      <c r="J30" s="70">
        <f>'Jan-Mar'!AG33</f>
        <v>0</v>
      </c>
      <c r="K30" s="70">
        <f>'Jan-Mar'!AG70</f>
        <v>0</v>
      </c>
      <c r="L30" s="70">
        <f>'Jan-Mar'!AG105</f>
        <v>0</v>
      </c>
      <c r="M30" s="70">
        <f>'Apr-Jun'!AG32</f>
        <v>0</v>
      </c>
      <c r="N30" s="70">
        <f>'Apr-Jun'!AG69</f>
        <v>0</v>
      </c>
      <c r="O30" s="70">
        <f>'Apr-Jun'!AG104</f>
        <v>0</v>
      </c>
      <c r="P30" s="70">
        <f>'Jul-Sep'!AG32</f>
        <v>0</v>
      </c>
      <c r="Q30" s="70">
        <f>'Jul-Sep'!AG69</f>
        <v>0</v>
      </c>
      <c r="R30" s="70">
        <f>'Jul-Sep'!AG104</f>
        <v>0</v>
      </c>
      <c r="S30" s="70">
        <f>'Oct-Dec'!AG32</f>
        <v>0</v>
      </c>
      <c r="T30" s="70">
        <f>'Oct-Dec'!AG69</f>
        <v>0</v>
      </c>
      <c r="U30" s="70">
        <f>'Oct-Dec'!AG104</f>
        <v>0</v>
      </c>
      <c r="V30" s="46">
        <f t="shared" si="7"/>
        <v>0</v>
      </c>
    </row>
    <row r="31" spans="1:22">
      <c r="A31" s="49" t="s">
        <v>162</v>
      </c>
      <c r="B31" s="44">
        <f>SUMIF('OT_Jan-Mar'!$A$4:$A$65538,Summary!$A31,'OT_Jan-Mar'!$I$4:$I$65538)</f>
        <v>0</v>
      </c>
      <c r="D31" s="49" t="s">
        <v>162</v>
      </c>
      <c r="E31" s="45">
        <v>0</v>
      </c>
      <c r="F31" s="69">
        <f t="shared" si="1"/>
        <v>0</v>
      </c>
      <c r="G31" s="69">
        <f t="shared" si="2"/>
        <v>0</v>
      </c>
      <c r="H31" s="69">
        <f t="shared" si="3"/>
        <v>0</v>
      </c>
      <c r="I31" s="69">
        <f t="shared" si="4"/>
        <v>0</v>
      </c>
      <c r="J31" s="70">
        <f>'Jan-Mar'!AG34</f>
        <v>0</v>
      </c>
      <c r="K31" s="70">
        <f>'Jan-Mar'!AG71</f>
        <v>0</v>
      </c>
      <c r="L31" s="70">
        <f>'Jan-Mar'!AG106</f>
        <v>0</v>
      </c>
      <c r="M31" s="70">
        <f>'Apr-Jun'!AG33</f>
        <v>0</v>
      </c>
      <c r="N31" s="70">
        <f>'Apr-Jun'!AG70</f>
        <v>0</v>
      </c>
      <c r="O31" s="70">
        <f>'Apr-Jun'!AG105</f>
        <v>0</v>
      </c>
      <c r="P31" s="70">
        <f>'Jul-Sep'!AG33</f>
        <v>0</v>
      </c>
      <c r="Q31" s="70">
        <f>'Jul-Sep'!AG70</f>
        <v>0</v>
      </c>
      <c r="R31" s="70">
        <f>'Jul-Sep'!AG105</f>
        <v>0</v>
      </c>
      <c r="S31" s="70">
        <f>'Oct-Dec'!AG33</f>
        <v>0</v>
      </c>
      <c r="T31" s="70">
        <f>'Oct-Dec'!AG70</f>
        <v>0</v>
      </c>
      <c r="U31" s="70">
        <f>'Oct-Dec'!AG105</f>
        <v>0</v>
      </c>
      <c r="V31" s="46">
        <f t="shared" si="7"/>
        <v>0</v>
      </c>
    </row>
    <row r="32" spans="1:22">
      <c r="A32" s="49" t="s">
        <v>162</v>
      </c>
      <c r="B32" s="44">
        <f>SUMIF('OT_Jan-Mar'!$A$4:$A$65538,Summary!$A32,'OT_Jan-Mar'!$I$4:$I$65538)</f>
        <v>0</v>
      </c>
      <c r="D32" s="49" t="s">
        <v>162</v>
      </c>
      <c r="E32" s="45">
        <v>0</v>
      </c>
      <c r="F32" s="69">
        <f t="shared" si="1"/>
        <v>0</v>
      </c>
      <c r="G32" s="69">
        <f t="shared" si="2"/>
        <v>0</v>
      </c>
      <c r="H32" s="69">
        <f t="shared" si="3"/>
        <v>0</v>
      </c>
      <c r="I32" s="69">
        <f t="shared" si="4"/>
        <v>0</v>
      </c>
      <c r="J32" s="70">
        <f>'Jan-Mar'!AG35</f>
        <v>0</v>
      </c>
      <c r="K32" s="70">
        <f>'Jan-Mar'!AG72</f>
        <v>0</v>
      </c>
      <c r="L32" s="70">
        <f>'Jan-Mar'!AG107</f>
        <v>0</v>
      </c>
      <c r="M32" s="70">
        <f>'Apr-Jun'!AG34</f>
        <v>0</v>
      </c>
      <c r="N32" s="70">
        <f>'Apr-Jun'!AG71</f>
        <v>0</v>
      </c>
      <c r="O32" s="70">
        <f>'Apr-Jun'!AG106</f>
        <v>0</v>
      </c>
      <c r="P32" s="70">
        <f>'Jul-Sep'!AG34</f>
        <v>0</v>
      </c>
      <c r="Q32" s="70">
        <f>'Jul-Sep'!AG71</f>
        <v>0</v>
      </c>
      <c r="R32" s="70">
        <f>'Jul-Sep'!AG106</f>
        <v>0</v>
      </c>
      <c r="S32" s="70">
        <f>'Oct-Dec'!AG34</f>
        <v>0</v>
      </c>
      <c r="T32" s="70">
        <f>'Oct-Dec'!AG71</f>
        <v>0</v>
      </c>
      <c r="U32" s="70">
        <f>'Oct-Dec'!AG106</f>
        <v>0</v>
      </c>
      <c r="V32" s="46">
        <f t="shared" si="7"/>
        <v>0</v>
      </c>
    </row>
    <row r="33" spans="1:4">
      <c r="B33" s="42"/>
      <c r="D33" s="50"/>
    </row>
    <row r="34" spans="1:4">
      <c r="A34" s="121" t="s">
        <v>87</v>
      </c>
      <c r="B34" s="123" t="s">
        <v>69</v>
      </c>
      <c r="D34" s="48"/>
    </row>
    <row r="35" spans="1:4">
      <c r="A35" s="122"/>
      <c r="B35" s="124"/>
      <c r="D35" s="48"/>
    </row>
    <row r="36" spans="1:4">
      <c r="A36" s="49" t="s">
        <v>49</v>
      </c>
      <c r="B36" s="44">
        <f>SUMIF('OT_Apr-Jun'!$A$4:$A$65544,Summary!$A36,'OT_Apr-Jun'!$I$4:$I$65544)</f>
        <v>8</v>
      </c>
      <c r="D36" s="48"/>
    </row>
    <row r="37" spans="1:4">
      <c r="A37" s="49" t="s">
        <v>50</v>
      </c>
      <c r="B37" s="44">
        <f>SUMIF('OT_Apr-Jun'!$A$4:$A$65544,Summary!$A37,'OT_Apr-Jun'!$I$4:$I$65544)</f>
        <v>0</v>
      </c>
      <c r="D37" s="48"/>
    </row>
    <row r="38" spans="1:4">
      <c r="A38" s="49" t="s">
        <v>51</v>
      </c>
      <c r="B38" s="44">
        <f>SUMIF('OT_Apr-Jun'!$A$4:$A$65544,Summary!$A38,'OT_Apr-Jun'!$I$4:$I$65544)</f>
        <v>12.000000000000007</v>
      </c>
      <c r="D38" s="48"/>
    </row>
    <row r="39" spans="1:4">
      <c r="A39" s="49" t="s">
        <v>52</v>
      </c>
      <c r="B39" s="44">
        <f>SUMIF('OT_Apr-Jun'!$A$4:$A$65544,Summary!$A39,'OT_Apr-Jun'!$I$4:$I$65544)</f>
        <v>0</v>
      </c>
      <c r="D39" s="48"/>
    </row>
    <row r="40" spans="1:4">
      <c r="A40" s="49" t="s">
        <v>53</v>
      </c>
      <c r="B40" s="44">
        <f>SUMIF('OT_Apr-Jun'!$A$4:$A$65544,Summary!$A40,'OT_Apr-Jun'!$I$4:$I$65544)</f>
        <v>0</v>
      </c>
      <c r="D40" s="48"/>
    </row>
    <row r="41" spans="1:4">
      <c r="A41" s="49" t="s">
        <v>54</v>
      </c>
      <c r="B41" s="44">
        <f>SUMIF('OT_Apr-Jun'!$A$4:$A$65544,Summary!$A41,'OT_Apr-Jun'!$I$4:$I$65544)</f>
        <v>0</v>
      </c>
      <c r="D41" s="48"/>
    </row>
    <row r="42" spans="1:4">
      <c r="A42" s="49" t="s">
        <v>55</v>
      </c>
      <c r="B42" s="44">
        <f>SUMIF('OT_Apr-Jun'!$A$4:$A$65544,Summary!$A42,'OT_Apr-Jun'!$I$4:$I$65544)</f>
        <v>0</v>
      </c>
      <c r="D42" s="48"/>
    </row>
    <row r="43" spans="1:4" ht="15" customHeight="1">
      <c r="A43" s="49" t="s">
        <v>56</v>
      </c>
      <c r="B43" s="44">
        <f>SUMIF('OT_Apr-Jun'!$A$4:$A$65544,Summary!$A43,'OT_Apr-Jun'!$I$4:$I$65544)</f>
        <v>30.000000000000174</v>
      </c>
      <c r="D43" s="48"/>
    </row>
    <row r="44" spans="1:4" ht="15" customHeight="1">
      <c r="A44" s="49" t="s">
        <v>57</v>
      </c>
      <c r="B44" s="44">
        <f>SUMIF('OT_Apr-Jun'!$A$4:$A$65544,Summary!$A44,'OT_Apr-Jun'!$I$4:$I$65544)</f>
        <v>13.000000000000025</v>
      </c>
    </row>
    <row r="45" spans="1:4">
      <c r="A45" s="49" t="s">
        <v>58</v>
      </c>
      <c r="B45" s="44">
        <f>SUMIF('OT_Apr-Jun'!$A$4:$A$65544,Summary!$A45,'OT_Apr-Jun'!$I$4:$I$65544)</f>
        <v>0</v>
      </c>
    </row>
    <row r="46" spans="1:4">
      <c r="A46" s="49" t="s">
        <v>59</v>
      </c>
      <c r="B46" s="44">
        <f>SUMIF('OT_Apr-Jun'!$A$4:$A$65544,Summary!$A46,'OT_Apr-Jun'!$I$4:$I$65544)</f>
        <v>0</v>
      </c>
    </row>
    <row r="47" spans="1:4">
      <c r="A47" s="49" t="s">
        <v>60</v>
      </c>
      <c r="B47" s="44">
        <f>SUMIF('OT_Apr-Jun'!$A$4:$A$65544,Summary!$A47,'OT_Apr-Jun'!$I$4:$I$65544)</f>
        <v>0</v>
      </c>
    </row>
    <row r="48" spans="1:4">
      <c r="A48" s="49" t="s">
        <v>61</v>
      </c>
      <c r="B48" s="44">
        <f>SUMIF('OT_Apr-Jun'!$A$4:$A$65544,Summary!$A48,'OT_Apr-Jun'!$I$4:$I$65544)</f>
        <v>30.500000000000014</v>
      </c>
    </row>
    <row r="49" spans="1:2">
      <c r="A49" s="49" t="s">
        <v>62</v>
      </c>
      <c r="B49" s="44">
        <f>SUMIF('OT_Apr-Jun'!$A$4:$A$65544,Summary!$A49,'OT_Apr-Jun'!$I$4:$I$65544)</f>
        <v>14.999999999999996</v>
      </c>
    </row>
    <row r="50" spans="1:2">
      <c r="A50" s="49" t="s">
        <v>67</v>
      </c>
      <c r="B50" s="44">
        <f>SUMIF('OT_Apr-Jun'!$A$4:$A$65544,Summary!$A50,'OT_Apr-Jun'!$I$4:$I$65544)</f>
        <v>0</v>
      </c>
    </row>
    <row r="51" spans="1:2">
      <c r="A51" s="49" t="s">
        <v>152</v>
      </c>
      <c r="B51" s="44">
        <f>SUMIF('OT_Apr-Jun'!$A$4:$A$65544,Summary!$A51,'OT_Apr-Jun'!$I$4:$I$65544)</f>
        <v>43.999999999999972</v>
      </c>
    </row>
    <row r="52" spans="1:2">
      <c r="A52" s="49" t="s">
        <v>153</v>
      </c>
      <c r="B52" s="44">
        <f>SUMIF('OT_Apr-Jun'!$A$4:$A$65544,Summary!$A52,'OT_Apr-Jun'!$I$4:$I$65544)</f>
        <v>39.999999999999957</v>
      </c>
    </row>
    <row r="53" spans="1:2">
      <c r="A53" s="49" t="s">
        <v>154</v>
      </c>
      <c r="B53" s="44">
        <f>SUMIF('OT_Apr-Jun'!$A$4:$A$65544,Summary!$A53,'OT_Apr-Jun'!$I$4:$I$65544)</f>
        <v>0</v>
      </c>
    </row>
    <row r="54" spans="1:2">
      <c r="A54" s="49" t="s">
        <v>155</v>
      </c>
      <c r="B54" s="44">
        <f>SUMIF('OT_Apr-Jun'!$A$4:$A$65544,Summary!$A54,'OT_Apr-Jun'!$I$4:$I$65544)</f>
        <v>0</v>
      </c>
    </row>
    <row r="55" spans="1:2">
      <c r="A55" s="49" t="s">
        <v>156</v>
      </c>
      <c r="B55" s="44">
        <f>SUMIF('OT_Apr-Jun'!$A$4:$A$65544,Summary!$A55,'OT_Apr-Jun'!$I$4:$I$65544)</f>
        <v>0</v>
      </c>
    </row>
    <row r="56" spans="1:2">
      <c r="A56" s="49" t="s">
        <v>157</v>
      </c>
      <c r="B56" s="44">
        <f>SUMIF('OT_Apr-Jun'!$A$4:$A$65544,Summary!$A56,'OT_Apr-Jun'!$I$4:$I$65544)</f>
        <v>0</v>
      </c>
    </row>
    <row r="57" spans="1:2">
      <c r="A57" s="49" t="s">
        <v>158</v>
      </c>
      <c r="B57" s="44">
        <f>SUMIF('OT_Apr-Jun'!$A$4:$A$65544,Summary!$A57,'OT_Apr-Jun'!$I$4:$I$65544)</f>
        <v>0</v>
      </c>
    </row>
    <row r="58" spans="1:2">
      <c r="A58" s="49" t="s">
        <v>159</v>
      </c>
      <c r="B58" s="44">
        <f>SUMIF('OT_Apr-Jun'!$A$4:$A$65544,Summary!$A58,'OT_Apr-Jun'!$I$4:$I$65544)</f>
        <v>0</v>
      </c>
    </row>
    <row r="59" spans="1:2" ht="15" customHeight="1">
      <c r="A59" s="49" t="s">
        <v>160</v>
      </c>
      <c r="B59" s="44">
        <f>SUMIF('OT_Apr-Jun'!$A$4:$A$65544,Summary!$A59,'OT_Apr-Jun'!$I$4:$I$65544)</f>
        <v>0</v>
      </c>
    </row>
    <row r="60" spans="1:2">
      <c r="A60" s="49" t="s">
        <v>161</v>
      </c>
      <c r="B60" s="44">
        <f>SUMIF('OT_Apr-Jun'!$A$4:$A$65544,Summary!$A60,'OT_Apr-Jun'!$I$4:$I$65544)</f>
        <v>0</v>
      </c>
    </row>
    <row r="61" spans="1:2">
      <c r="A61" s="49" t="s">
        <v>162</v>
      </c>
      <c r="B61" s="44">
        <f>SUMIF('OT_Apr-Jun'!$A$4:$A$65544,Summary!$A61,'OT_Apr-Jun'!$I$4:$I$65544)</f>
        <v>0</v>
      </c>
    </row>
    <row r="62" spans="1:2">
      <c r="A62" s="49" t="s">
        <v>162</v>
      </c>
      <c r="B62" s="44">
        <f>SUMIF('OT_Apr-Jun'!$A$4:$A$65544,Summary!$A62,'OT_Apr-Jun'!$I$4:$I$65544)</f>
        <v>0</v>
      </c>
    </row>
    <row r="63" spans="1:2">
      <c r="A63" s="49" t="s">
        <v>162</v>
      </c>
      <c r="B63" s="44">
        <f>SUMIF('OT_Apr-Jun'!$A$4:$A$65544,Summary!$A63,'OT_Apr-Jun'!$I$4:$I$65544)</f>
        <v>0</v>
      </c>
    </row>
    <row r="64" spans="1:2">
      <c r="A64" s="49" t="s">
        <v>162</v>
      </c>
      <c r="B64" s="44">
        <f>SUMIF('OT_Apr-Jun'!$A$4:$A$65544,Summary!$A64,'OT_Apr-Jun'!$I$4:$I$65544)</f>
        <v>0</v>
      </c>
    </row>
    <row r="65" spans="1:2">
      <c r="A65" s="49" t="s">
        <v>162</v>
      </c>
      <c r="B65" s="44">
        <f>SUMIF('OT_Apr-Jun'!$A$4:$A$65544,Summary!$A65,'OT_Apr-Jun'!$I$4:$I$65544)</f>
        <v>0</v>
      </c>
    </row>
    <row r="66" spans="1:2">
      <c r="B66" s="42"/>
    </row>
    <row r="67" spans="1:2">
      <c r="A67" s="121" t="s">
        <v>88</v>
      </c>
      <c r="B67" s="123" t="s">
        <v>69</v>
      </c>
    </row>
    <row r="68" spans="1:2">
      <c r="A68" s="122"/>
      <c r="B68" s="124"/>
    </row>
    <row r="69" spans="1:2">
      <c r="A69" s="49" t="s">
        <v>49</v>
      </c>
      <c r="B69" s="44">
        <f>SUMIF('OT_Jul-Sep'!$A$4:$A$65537,Summary!$A69,'OT_Jul-Sep'!$I$4:$I$65537)</f>
        <v>0</v>
      </c>
    </row>
    <row r="70" spans="1:2">
      <c r="A70" s="49" t="s">
        <v>50</v>
      </c>
      <c r="B70" s="44">
        <f>SUMIF('OT_Jul-Sep'!$A$4:$A$65537,Summary!$A70,'OT_Jul-Sep'!$I$4:$I$65537)</f>
        <v>0</v>
      </c>
    </row>
    <row r="71" spans="1:2">
      <c r="A71" s="49" t="s">
        <v>51</v>
      </c>
      <c r="B71" s="44">
        <f>SUMIF('OT_Jul-Sep'!$A$4:$A$65537,Summary!$A71,'OT_Jul-Sep'!$I$4:$I$65537)</f>
        <v>0</v>
      </c>
    </row>
    <row r="72" spans="1:2">
      <c r="A72" s="49" t="s">
        <v>52</v>
      </c>
      <c r="B72" s="44">
        <f>SUMIF('OT_Jul-Sep'!$A$4:$A$65537,Summary!$A72,'OT_Jul-Sep'!$I$4:$I$65537)</f>
        <v>0</v>
      </c>
    </row>
    <row r="73" spans="1:2">
      <c r="A73" s="49" t="s">
        <v>53</v>
      </c>
      <c r="B73" s="44">
        <f>SUMIF('OT_Jul-Sep'!$A$4:$A$65537,Summary!$A73,'OT_Jul-Sep'!$I$4:$I$65537)</f>
        <v>0</v>
      </c>
    </row>
    <row r="74" spans="1:2">
      <c r="A74" s="49" t="s">
        <v>54</v>
      </c>
      <c r="B74" s="44">
        <f>SUMIF('OT_Jul-Sep'!$A$4:$A$65537,Summary!$A74,'OT_Jul-Sep'!$I$4:$I$65537)</f>
        <v>0</v>
      </c>
    </row>
    <row r="75" spans="1:2">
      <c r="A75" s="49" t="s">
        <v>55</v>
      </c>
      <c r="B75" s="44">
        <f>SUMIF('OT_Jul-Sep'!$A$4:$A$65537,Summary!$A75,'OT_Jul-Sep'!$I$4:$I$65537)</f>
        <v>0</v>
      </c>
    </row>
    <row r="76" spans="1:2">
      <c r="A76" s="49" t="s">
        <v>56</v>
      </c>
      <c r="B76" s="44">
        <f>SUMIF('OT_Jul-Sep'!$A$4:$A$65537,Summary!$A76,'OT_Jul-Sep'!$I$4:$I$65537)</f>
        <v>0</v>
      </c>
    </row>
    <row r="77" spans="1:2">
      <c r="A77" s="49" t="s">
        <v>57</v>
      </c>
      <c r="B77" s="44">
        <f>SUMIF('OT_Jul-Sep'!$A$4:$A$65537,Summary!$A77,'OT_Jul-Sep'!$I$4:$I$65537)</f>
        <v>0</v>
      </c>
    </row>
    <row r="78" spans="1:2">
      <c r="A78" s="49" t="s">
        <v>58</v>
      </c>
      <c r="B78" s="44">
        <f>SUMIF('OT_Jul-Sep'!$A$4:$A$65537,Summary!$A78,'OT_Jul-Sep'!$I$4:$I$65537)</f>
        <v>0</v>
      </c>
    </row>
    <row r="79" spans="1:2">
      <c r="A79" s="49" t="s">
        <v>59</v>
      </c>
      <c r="B79" s="44">
        <f>SUMIF('OT_Jul-Sep'!$A$4:$A$65537,Summary!$A79,'OT_Jul-Sep'!$I$4:$I$65537)</f>
        <v>0</v>
      </c>
    </row>
    <row r="80" spans="1:2">
      <c r="A80" s="49" t="s">
        <v>60</v>
      </c>
      <c r="B80" s="44">
        <f>SUMIF('OT_Jul-Sep'!$A$4:$A$65537,Summary!$A80,'OT_Jul-Sep'!$I$4:$I$65537)</f>
        <v>0</v>
      </c>
    </row>
    <row r="81" spans="1:2">
      <c r="A81" s="49" t="s">
        <v>61</v>
      </c>
      <c r="B81" s="44">
        <f>SUMIF('OT_Jul-Sep'!$A$4:$A$65537,Summary!$A81,'OT_Jul-Sep'!$I$4:$I$65537)</f>
        <v>0</v>
      </c>
    </row>
    <row r="82" spans="1:2">
      <c r="A82" s="49" t="s">
        <v>62</v>
      </c>
      <c r="B82" s="44">
        <f>SUMIF('OT_Jul-Sep'!$A$4:$A$65537,Summary!$A82,'OT_Jul-Sep'!$I$4:$I$65537)</f>
        <v>0</v>
      </c>
    </row>
    <row r="83" spans="1:2">
      <c r="A83" s="49" t="s">
        <v>67</v>
      </c>
      <c r="B83" s="44">
        <f>SUMIF('OT_Jul-Sep'!$A$4:$A$65537,Summary!$A83,'OT_Jul-Sep'!$I$4:$I$65537)</f>
        <v>0</v>
      </c>
    </row>
    <row r="84" spans="1:2">
      <c r="A84" s="49" t="s">
        <v>152</v>
      </c>
      <c r="B84" s="44">
        <f>SUMIF('OT_Jul-Sep'!$A$4:$A$65537,Summary!$A84,'OT_Jul-Sep'!$I$4:$I$65537)</f>
        <v>0</v>
      </c>
    </row>
    <row r="85" spans="1:2">
      <c r="A85" s="49" t="s">
        <v>153</v>
      </c>
      <c r="B85" s="44">
        <f>SUMIF('OT_Jul-Sep'!$A$4:$A$65537,Summary!$A85,'OT_Jul-Sep'!$I$4:$I$65537)</f>
        <v>0</v>
      </c>
    </row>
    <row r="86" spans="1:2">
      <c r="A86" s="49" t="s">
        <v>154</v>
      </c>
      <c r="B86" s="44">
        <f>SUMIF('OT_Jul-Sep'!$A$4:$A$65537,Summary!$A86,'OT_Jul-Sep'!$I$4:$I$65537)</f>
        <v>0</v>
      </c>
    </row>
    <row r="87" spans="1:2">
      <c r="A87" s="49" t="s">
        <v>155</v>
      </c>
      <c r="B87" s="44">
        <f>SUMIF('OT_Jul-Sep'!$A$4:$A$65537,Summary!$A87,'OT_Jul-Sep'!$I$4:$I$65537)</f>
        <v>0</v>
      </c>
    </row>
    <row r="88" spans="1:2">
      <c r="A88" s="49" t="s">
        <v>156</v>
      </c>
      <c r="B88" s="44">
        <f>SUMIF('OT_Jul-Sep'!$A$4:$A$65537,Summary!$A88,'OT_Jul-Sep'!$I$4:$I$65537)</f>
        <v>0</v>
      </c>
    </row>
    <row r="89" spans="1:2">
      <c r="A89" s="49" t="s">
        <v>157</v>
      </c>
      <c r="B89" s="44">
        <f>SUMIF('OT_Jul-Sep'!$A$4:$A$65537,Summary!$A89,'OT_Jul-Sep'!$I$4:$I$65537)</f>
        <v>0</v>
      </c>
    </row>
    <row r="90" spans="1:2">
      <c r="A90" s="49" t="s">
        <v>158</v>
      </c>
      <c r="B90" s="44">
        <f>SUMIF('OT_Jul-Sep'!$A$4:$A$65537,Summary!$A90,'OT_Jul-Sep'!$I$4:$I$65537)</f>
        <v>0</v>
      </c>
    </row>
    <row r="91" spans="1:2">
      <c r="A91" s="49" t="s">
        <v>159</v>
      </c>
      <c r="B91" s="44">
        <f>SUMIF('OT_Jul-Sep'!$A$4:$A$65537,Summary!$A91,'OT_Jul-Sep'!$I$4:$I$65537)</f>
        <v>0</v>
      </c>
    </row>
    <row r="92" spans="1:2">
      <c r="A92" s="49" t="s">
        <v>160</v>
      </c>
      <c r="B92" s="44">
        <f>SUMIF('OT_Jul-Sep'!$A$4:$A$65537,Summary!$A92,'OT_Jul-Sep'!$I$4:$I$65537)</f>
        <v>0</v>
      </c>
    </row>
    <row r="93" spans="1:2">
      <c r="A93" s="49" t="s">
        <v>161</v>
      </c>
      <c r="B93" s="44">
        <f>SUMIF('OT_Jul-Sep'!$A$4:$A$65537,Summary!$A93,'OT_Jul-Sep'!$I$4:$I$65537)</f>
        <v>0</v>
      </c>
    </row>
    <row r="94" spans="1:2">
      <c r="A94" s="49" t="s">
        <v>162</v>
      </c>
      <c r="B94" s="44">
        <f>SUMIF('OT_Jul-Sep'!$A$4:$A$65537,Summary!$A94,'OT_Jul-Sep'!$I$4:$I$65537)</f>
        <v>0</v>
      </c>
    </row>
    <row r="95" spans="1:2">
      <c r="A95" s="49" t="s">
        <v>162</v>
      </c>
      <c r="B95" s="44">
        <f>SUMIF('OT_Jul-Sep'!$A$4:$A$65537,Summary!$A95,'OT_Jul-Sep'!$I$4:$I$65537)</f>
        <v>0</v>
      </c>
    </row>
    <row r="96" spans="1:2">
      <c r="A96" s="49" t="s">
        <v>162</v>
      </c>
      <c r="B96" s="44">
        <f>SUMIF('OT_Jul-Sep'!$A$4:$A$65537,Summary!$A96,'OT_Jul-Sep'!$I$4:$I$65537)</f>
        <v>0</v>
      </c>
    </row>
    <row r="97" spans="1:2">
      <c r="A97" s="49" t="s">
        <v>162</v>
      </c>
      <c r="B97" s="44">
        <f>SUMIF('OT_Jul-Sep'!$A$4:$A$65537,Summary!$A97,'OT_Jul-Sep'!$I$4:$I$65537)</f>
        <v>0</v>
      </c>
    </row>
    <row r="98" spans="1:2">
      <c r="A98" s="49" t="s">
        <v>162</v>
      </c>
      <c r="B98" s="44">
        <f>SUMIF('OT_Jul-Sep'!$A$4:$A$65537,Summary!$A98,'OT_Jul-Sep'!$I$4:$I$65537)</f>
        <v>0</v>
      </c>
    </row>
    <row r="100" spans="1:2">
      <c r="A100" s="121" t="s">
        <v>89</v>
      </c>
      <c r="B100" s="123" t="s">
        <v>69</v>
      </c>
    </row>
    <row r="101" spans="1:2">
      <c r="A101" s="122"/>
      <c r="B101" s="124"/>
    </row>
    <row r="102" spans="1:2">
      <c r="A102" s="49" t="s">
        <v>49</v>
      </c>
      <c r="B102" s="44">
        <f>SUMIF('OT_Oct-Dec'!$A$4:$A$65537,Summary!$A102,'OT_Oct-Dec'!$I$4:$I$65537)</f>
        <v>0</v>
      </c>
    </row>
    <row r="103" spans="1:2">
      <c r="A103" s="49" t="s">
        <v>50</v>
      </c>
      <c r="B103" s="44">
        <f>SUMIF('OT_Oct-Dec'!$A$4:$A$65537,Summary!$A103,'OT_Oct-Dec'!$I$4:$I$65537)</f>
        <v>0</v>
      </c>
    </row>
    <row r="104" spans="1:2">
      <c r="A104" s="49" t="s">
        <v>51</v>
      </c>
      <c r="B104" s="44">
        <f>SUMIF('OT_Oct-Dec'!$A$4:$A$65537,Summary!$A104,'OT_Oct-Dec'!$I$4:$I$65537)</f>
        <v>0</v>
      </c>
    </row>
    <row r="105" spans="1:2">
      <c r="A105" s="49" t="s">
        <v>52</v>
      </c>
      <c r="B105" s="44">
        <f>SUMIF('OT_Oct-Dec'!$A$4:$A$65537,Summary!$A105,'OT_Oct-Dec'!$I$4:$I$65537)</f>
        <v>0</v>
      </c>
    </row>
    <row r="106" spans="1:2">
      <c r="A106" s="49" t="s">
        <v>53</v>
      </c>
      <c r="B106" s="44">
        <f>SUMIF('OT_Oct-Dec'!$A$4:$A$65537,Summary!$A106,'OT_Oct-Dec'!$I$4:$I$65537)</f>
        <v>0</v>
      </c>
    </row>
    <row r="107" spans="1:2">
      <c r="A107" s="49" t="s">
        <v>54</v>
      </c>
      <c r="B107" s="44">
        <f>SUMIF('OT_Oct-Dec'!$A$4:$A$65537,Summary!$A107,'OT_Oct-Dec'!$I$4:$I$65537)</f>
        <v>0</v>
      </c>
    </row>
    <row r="108" spans="1:2">
      <c r="A108" s="49" t="s">
        <v>55</v>
      </c>
      <c r="B108" s="44">
        <f>SUMIF('OT_Oct-Dec'!$A$4:$A$65537,Summary!$A108,'OT_Oct-Dec'!$I$4:$I$65537)</f>
        <v>0</v>
      </c>
    </row>
    <row r="109" spans="1:2">
      <c r="A109" s="49" t="s">
        <v>56</v>
      </c>
      <c r="B109" s="44">
        <f>SUMIF('OT_Oct-Dec'!$A$4:$A$65537,Summary!$A109,'OT_Oct-Dec'!$I$4:$I$65537)</f>
        <v>0</v>
      </c>
    </row>
    <row r="110" spans="1:2">
      <c r="A110" s="49" t="s">
        <v>57</v>
      </c>
      <c r="B110" s="44">
        <f>SUMIF('OT_Oct-Dec'!$A$4:$A$65537,Summary!$A110,'OT_Oct-Dec'!$I$4:$I$65537)</f>
        <v>0</v>
      </c>
    </row>
    <row r="111" spans="1:2">
      <c r="A111" s="49" t="s">
        <v>58</v>
      </c>
      <c r="B111" s="44">
        <f>SUMIF('OT_Oct-Dec'!$A$4:$A$65537,Summary!$A111,'OT_Oct-Dec'!$I$4:$I$65537)</f>
        <v>0</v>
      </c>
    </row>
    <row r="112" spans="1:2">
      <c r="A112" s="49" t="s">
        <v>59</v>
      </c>
      <c r="B112" s="44">
        <f>SUMIF('OT_Oct-Dec'!$A$4:$A$65537,Summary!$A112,'OT_Oct-Dec'!$I$4:$I$65537)</f>
        <v>0</v>
      </c>
    </row>
    <row r="113" spans="1:2">
      <c r="A113" s="49" t="s">
        <v>60</v>
      </c>
      <c r="B113" s="44">
        <f>SUMIF('OT_Oct-Dec'!$A$4:$A$65537,Summary!$A113,'OT_Oct-Dec'!$I$4:$I$65537)</f>
        <v>0</v>
      </c>
    </row>
    <row r="114" spans="1:2">
      <c r="A114" s="49" t="s">
        <v>61</v>
      </c>
      <c r="B114" s="44">
        <f>SUMIF('OT_Oct-Dec'!$A$4:$A$65537,Summary!$A114,'OT_Oct-Dec'!$I$4:$I$65537)</f>
        <v>0</v>
      </c>
    </row>
    <row r="115" spans="1:2">
      <c r="A115" s="49" t="s">
        <v>62</v>
      </c>
      <c r="B115" s="44">
        <f>SUMIF('OT_Oct-Dec'!$A$4:$A$65537,Summary!$A115,'OT_Oct-Dec'!$I$4:$I$65537)</f>
        <v>0</v>
      </c>
    </row>
    <row r="116" spans="1:2">
      <c r="A116" s="49" t="s">
        <v>67</v>
      </c>
      <c r="B116" s="44">
        <f>SUMIF('OT_Oct-Dec'!$A$4:$A$65537,Summary!$A116,'OT_Oct-Dec'!$I$4:$I$65537)</f>
        <v>0</v>
      </c>
    </row>
    <row r="117" spans="1:2">
      <c r="A117" s="49" t="s">
        <v>152</v>
      </c>
      <c r="B117" s="44">
        <f>SUMIF('OT_Oct-Dec'!$A$4:$A$65537,Summary!$A117,'OT_Oct-Dec'!$I$4:$I$65537)</f>
        <v>0</v>
      </c>
    </row>
    <row r="118" spans="1:2">
      <c r="A118" s="49" t="s">
        <v>153</v>
      </c>
      <c r="B118" s="44">
        <f>SUMIF('OT_Oct-Dec'!$A$4:$A$65537,Summary!$A118,'OT_Oct-Dec'!$I$4:$I$65537)</f>
        <v>0</v>
      </c>
    </row>
    <row r="119" spans="1:2">
      <c r="A119" s="49" t="s">
        <v>154</v>
      </c>
      <c r="B119" s="44">
        <f>SUMIF('OT_Oct-Dec'!$A$4:$A$65537,Summary!$A119,'OT_Oct-Dec'!$I$4:$I$65537)</f>
        <v>0</v>
      </c>
    </row>
    <row r="120" spans="1:2">
      <c r="A120" s="49" t="s">
        <v>155</v>
      </c>
      <c r="B120" s="44">
        <f>SUMIF('OT_Oct-Dec'!$A$4:$A$65537,Summary!$A120,'OT_Oct-Dec'!$I$4:$I$65537)</f>
        <v>0</v>
      </c>
    </row>
    <row r="121" spans="1:2">
      <c r="A121" s="49" t="s">
        <v>156</v>
      </c>
      <c r="B121" s="44">
        <f>SUMIF('OT_Oct-Dec'!$A$4:$A$65537,Summary!$A121,'OT_Oct-Dec'!$I$4:$I$65537)</f>
        <v>0</v>
      </c>
    </row>
    <row r="122" spans="1:2">
      <c r="A122" s="49" t="s">
        <v>157</v>
      </c>
      <c r="B122" s="44">
        <f>SUMIF('OT_Oct-Dec'!$A$4:$A$65537,Summary!$A122,'OT_Oct-Dec'!$I$4:$I$65537)</f>
        <v>0</v>
      </c>
    </row>
    <row r="123" spans="1:2">
      <c r="A123" s="49" t="s">
        <v>158</v>
      </c>
      <c r="B123" s="44">
        <f>SUMIF('OT_Oct-Dec'!$A$4:$A$65537,Summary!$A123,'OT_Oct-Dec'!$I$4:$I$65537)</f>
        <v>0</v>
      </c>
    </row>
    <row r="124" spans="1:2">
      <c r="A124" s="49" t="s">
        <v>159</v>
      </c>
      <c r="B124" s="44">
        <f>SUMIF('OT_Oct-Dec'!$A$4:$A$65537,Summary!$A124,'OT_Oct-Dec'!$I$4:$I$65537)</f>
        <v>0</v>
      </c>
    </row>
    <row r="125" spans="1:2">
      <c r="A125" s="49" t="s">
        <v>160</v>
      </c>
      <c r="B125" s="44">
        <f>SUMIF('OT_Oct-Dec'!$A$4:$A$65537,Summary!$A125,'OT_Oct-Dec'!$I$4:$I$65537)</f>
        <v>0</v>
      </c>
    </row>
    <row r="126" spans="1:2">
      <c r="A126" s="49" t="s">
        <v>161</v>
      </c>
      <c r="B126" s="44">
        <f>SUMIF('OT_Oct-Dec'!$A$4:$A$65537,Summary!$A126,'OT_Oct-Dec'!$I$4:$I$65537)</f>
        <v>0</v>
      </c>
    </row>
    <row r="127" spans="1:2">
      <c r="A127" s="49" t="s">
        <v>162</v>
      </c>
      <c r="B127" s="44">
        <f>SUMIF('OT_Oct-Dec'!$A$4:$A$65537,Summary!$A127,'OT_Oct-Dec'!$I$4:$I$65537)</f>
        <v>0</v>
      </c>
    </row>
    <row r="128" spans="1:2">
      <c r="A128" s="49" t="s">
        <v>162</v>
      </c>
      <c r="B128" s="44">
        <f>SUMIF('OT_Oct-Dec'!$A$4:$A$65537,Summary!$A128,'OT_Oct-Dec'!$I$4:$I$65537)</f>
        <v>0</v>
      </c>
    </row>
    <row r="129" spans="1:2">
      <c r="A129" s="49" t="s">
        <v>162</v>
      </c>
      <c r="B129" s="44">
        <f>SUMIF('OT_Oct-Dec'!$A$4:$A$65537,Summary!$A129,'OT_Oct-Dec'!$I$4:$I$65537)</f>
        <v>0</v>
      </c>
    </row>
    <row r="130" spans="1:2">
      <c r="A130" s="49" t="s">
        <v>162</v>
      </c>
      <c r="B130" s="44">
        <f>SUMIF('OT_Oct-Dec'!$A$4:$A$65537,Summary!$A130,'OT_Oct-Dec'!$I$4:$I$65537)</f>
        <v>0</v>
      </c>
    </row>
    <row r="131" spans="1:2">
      <c r="A131" s="49" t="s">
        <v>162</v>
      </c>
      <c r="B131" s="44">
        <f>SUMIF('OT_Oct-Dec'!$A$4:$A$65537,Summary!$A131,'OT_Oct-Dec'!$I$4:$I$65537)</f>
        <v>0</v>
      </c>
    </row>
  </sheetData>
  <mergeCells count="13">
    <mergeCell ref="A34:A35"/>
    <mergeCell ref="B34:B35"/>
    <mergeCell ref="A67:A68"/>
    <mergeCell ref="B67:B68"/>
    <mergeCell ref="A100:A101"/>
    <mergeCell ref="B100:B101"/>
    <mergeCell ref="V1:V2"/>
    <mergeCell ref="A1:A2"/>
    <mergeCell ref="B1:B2"/>
    <mergeCell ref="D1:D2"/>
    <mergeCell ref="E1:E2"/>
    <mergeCell ref="F1:I1"/>
    <mergeCell ref="J1:U1"/>
  </mergeCells>
  <phoneticPr fontId="12" type="noConversion"/>
  <pageMargins left="0.7" right="0.7" top="0.9448818897637794" bottom="0.9448818897637794" header="0.3" footer="0.3"/>
  <pageSetup orientation="landscape" r:id="rId1"/>
  <headerFooter>
    <oddHeader>&amp;L&amp;G&amp;C&amp;11REPORT&amp;B&amp;14_x000D_OT Tracking Tool&amp;R&amp;11&amp;P (&amp;N)</oddHeader>
    <oddFooter>&amp;L&amp;11Prepared: Rachel Nie&amp;C&amp;11Date: 2015-09-15
Sheet: &amp;A
Ericsson Internal&amp;R&amp;11_x000D_Rev: PA1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G108"/>
  <sheetViews>
    <sheetView showGridLines="0" topLeftCell="A10" zoomScaleNormal="100" workbookViewId="0">
      <selection activeCell="A21" sqref="A21:A35"/>
    </sheetView>
  </sheetViews>
  <sheetFormatPr defaultColWidth="9.140625"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>
      <c r="A1" s="1" t="s">
        <v>0</v>
      </c>
    </row>
    <row r="2" spans="1:33" ht="30" customHeight="1">
      <c r="A2" s="131" t="s">
        <v>36</v>
      </c>
      <c r="B2" s="134" t="s">
        <v>1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5">
        <v>2017</v>
      </c>
    </row>
    <row r="3" spans="1:33" ht="15.75" customHeight="1">
      <c r="A3" s="131"/>
      <c r="B3" s="9" t="str">
        <f>TEXT(WEEKDAY(DATE(CalendarYear,1,1),1),"aaa")</f>
        <v>Sun</v>
      </c>
      <c r="C3" s="9" t="str">
        <f>TEXT(WEEKDAY(DATE(CalendarYear,1,2),1),"aaa")</f>
        <v>Mon</v>
      </c>
      <c r="D3" s="9" t="str">
        <f>TEXT(WEEKDAY(DATE(CalendarYear,1,3),1),"aaa")</f>
        <v>Tue</v>
      </c>
      <c r="E3" s="9" t="str">
        <f>TEXT(WEEKDAY(DATE(CalendarYear,1,4),1),"aaa")</f>
        <v>Wed</v>
      </c>
      <c r="F3" s="9" t="str">
        <f>TEXT(WEEKDAY(DATE(CalendarYear,1,5),1),"aaa")</f>
        <v>Thu</v>
      </c>
      <c r="G3" s="9" t="str">
        <f>TEXT(WEEKDAY(DATE(CalendarYear,1,6),1),"aaa")</f>
        <v>Fri</v>
      </c>
      <c r="H3" s="9" t="str">
        <f>TEXT(WEEKDAY(DATE(CalendarYear,1,7),1),"aaa")</f>
        <v>Sat</v>
      </c>
      <c r="I3" s="9" t="str">
        <f>TEXT(WEEKDAY(DATE(CalendarYear,1,8),1),"aaa")</f>
        <v>Sun</v>
      </c>
      <c r="J3" s="9" t="str">
        <f>TEXT(WEEKDAY(DATE(CalendarYear,1,9),1),"aaa")</f>
        <v>Mon</v>
      </c>
      <c r="K3" s="9" t="str">
        <f>TEXT(WEEKDAY(DATE(CalendarYear,1,10),1),"aaa")</f>
        <v>Tue</v>
      </c>
      <c r="L3" s="9" t="str">
        <f>TEXT(WEEKDAY(DATE(CalendarYear,1,11),1),"aaa")</f>
        <v>Wed</v>
      </c>
      <c r="M3" s="9" t="str">
        <f>TEXT(WEEKDAY(DATE(CalendarYear,1,12),1),"aaa")</f>
        <v>Thu</v>
      </c>
      <c r="N3" s="9" t="str">
        <f>TEXT(WEEKDAY(DATE(CalendarYear,1,13),1),"aaa")</f>
        <v>Fri</v>
      </c>
      <c r="O3" s="9" t="str">
        <f>TEXT(WEEKDAY(DATE(CalendarYear,1,14),1),"aaa")</f>
        <v>Sat</v>
      </c>
      <c r="P3" s="9" t="str">
        <f>TEXT(WEEKDAY(DATE(CalendarYear,1,15),1),"aaa")</f>
        <v>Sun</v>
      </c>
      <c r="Q3" s="9" t="str">
        <f>TEXT(WEEKDAY(DATE(CalendarYear,1,16),1),"aaa")</f>
        <v>Mon</v>
      </c>
      <c r="R3" s="9" t="str">
        <f>TEXT(WEEKDAY(DATE(CalendarYear,1,17),1),"aaa")</f>
        <v>Tue</v>
      </c>
      <c r="S3" s="9" t="str">
        <f>TEXT(WEEKDAY(DATE(CalendarYear,1,18),1),"aaa")</f>
        <v>Wed</v>
      </c>
      <c r="T3" s="9" t="str">
        <f>TEXT(WEEKDAY(DATE(CalendarYear,1,19),1),"aaa")</f>
        <v>Thu</v>
      </c>
      <c r="U3" s="9" t="str">
        <f>TEXT(WEEKDAY(DATE(CalendarYear,1,20),1),"aaa")</f>
        <v>Fri</v>
      </c>
      <c r="V3" s="9" t="str">
        <f>TEXT(WEEKDAY(DATE(CalendarYear,1,21),1),"aaa")</f>
        <v>Sat</v>
      </c>
      <c r="W3" s="9" t="str">
        <f>TEXT(WEEKDAY(DATE(CalendarYear,1,22),1),"aaa")</f>
        <v>Sun</v>
      </c>
      <c r="X3" s="9" t="str">
        <f>TEXT(WEEKDAY(DATE(CalendarYear,1,23),1),"aaa")</f>
        <v>Mon</v>
      </c>
      <c r="Y3" s="9" t="str">
        <f>TEXT(WEEKDAY(DATE(CalendarYear,1,24),1),"aaa")</f>
        <v>Tue</v>
      </c>
      <c r="Z3" s="9" t="str">
        <f>TEXT(WEEKDAY(DATE(CalendarYear,1,25),1),"aaa")</f>
        <v>Wed</v>
      </c>
      <c r="AA3" s="9" t="str">
        <f>TEXT(WEEKDAY(DATE(CalendarYear,1,26),1),"aaa")</f>
        <v>Thu</v>
      </c>
      <c r="AB3" s="9" t="str">
        <f>TEXT(WEEKDAY(DATE(CalendarYear,1,27),1),"aaa")</f>
        <v>Fri</v>
      </c>
      <c r="AC3" s="9" t="str">
        <f>TEXT(WEEKDAY(DATE(CalendarYear,1,28),1),"aaa")</f>
        <v>Sat</v>
      </c>
      <c r="AD3" s="9" t="str">
        <f>TEXT(WEEKDAY(DATE(CalendarYear,1,29),1),"aaa")</f>
        <v>Sun</v>
      </c>
      <c r="AE3" s="9" t="str">
        <f>TEXT(WEEKDAY(DATE(CalendarYear,1,30),1),"aaa")</f>
        <v>Mon</v>
      </c>
      <c r="AF3" s="9" t="str">
        <f>TEXT(WEEKDAY(DATE(CalendarYear,1,31),1),"aaa")</f>
        <v>Tue</v>
      </c>
      <c r="AG3" s="135"/>
    </row>
    <row r="4" spans="1:33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2" t="s">
        <v>90</v>
      </c>
    </row>
    <row r="5" spans="1:33" s="33" customFormat="1">
      <c r="A5" s="93" t="s">
        <v>66</v>
      </c>
      <c r="B5" s="41"/>
      <c r="C5" s="41"/>
      <c r="D5" s="41"/>
      <c r="E5" s="41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>
        <v>8</v>
      </c>
      <c r="Z5" s="27">
        <v>4</v>
      </c>
      <c r="AA5" s="41" t="s">
        <v>64</v>
      </c>
      <c r="AB5" s="27"/>
      <c r="AC5" s="27"/>
      <c r="AD5" s="27"/>
      <c r="AE5" s="27"/>
      <c r="AF5" s="27"/>
      <c r="AG5" s="27">
        <f>SUBTOTAL(109,'Jan-Mar'!$B5:$AF5)</f>
        <v>12</v>
      </c>
    </row>
    <row r="6" spans="1:33">
      <c r="A6" s="26" t="s">
        <v>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7">
        <f>SUBTOTAL(109,'Jan-Mar'!$B6:$AF6)</f>
        <v>0</v>
      </c>
    </row>
    <row r="7" spans="1:33">
      <c r="A7" s="105" t="s">
        <v>50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27">
        <f>SUBTOTAL(109,'Jan-Mar'!$B7:$AF7)</f>
        <v>0</v>
      </c>
    </row>
    <row r="8" spans="1:33">
      <c r="A8" s="26" t="s">
        <v>51</v>
      </c>
      <c r="B8" s="11"/>
      <c r="C8" s="11"/>
      <c r="D8" s="11"/>
      <c r="E8" s="11"/>
      <c r="F8" s="11"/>
      <c r="G8" s="11"/>
      <c r="H8" s="11"/>
      <c r="I8" s="11"/>
      <c r="J8" s="11">
        <v>8</v>
      </c>
      <c r="K8" s="11">
        <v>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27">
        <f>SUBTOTAL(109,'Jan-Mar'!$B8:$AF8)</f>
        <v>16</v>
      </c>
    </row>
    <row r="9" spans="1:33">
      <c r="A9" s="26" t="s">
        <v>52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27">
        <f>SUBTOTAL(109,'Jan-Mar'!$B9:$AF9)</f>
        <v>0</v>
      </c>
    </row>
    <row r="10" spans="1:33">
      <c r="A10" s="26" t="s">
        <v>53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8</v>
      </c>
      <c r="Z10" s="11">
        <v>8</v>
      </c>
      <c r="AA10" s="11">
        <v>8</v>
      </c>
      <c r="AB10" s="11"/>
      <c r="AC10" s="11"/>
      <c r="AD10" s="11"/>
      <c r="AE10" s="11"/>
      <c r="AF10" s="11"/>
      <c r="AG10" s="27">
        <f>SUBTOTAL(109,'Jan-Mar'!$B10:$AF10)</f>
        <v>24</v>
      </c>
    </row>
    <row r="11" spans="1:33" s="33" customFormat="1">
      <c r="A11" s="26" t="s">
        <v>54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7">
        <f>SUBTOTAL(109,'Jan-Mar'!$B11:$AF11)</f>
        <v>0</v>
      </c>
    </row>
    <row r="12" spans="1:33" s="33" customFormat="1">
      <c r="A12" s="26" t="s">
        <v>55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>
        <v>8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7">
        <f>SUBTOTAL(109,'Jan-Mar'!$B12:$AF12)</f>
        <v>8</v>
      </c>
    </row>
    <row r="13" spans="1:33" s="33" customFormat="1">
      <c r="A13" s="26" t="s">
        <v>56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7">
        <f>SUBTOTAL(109,'Jan-Mar'!$B13:$AF13)</f>
        <v>0</v>
      </c>
    </row>
    <row r="14" spans="1:33" s="33" customFormat="1">
      <c r="A14" s="26" t="s">
        <v>57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8</v>
      </c>
      <c r="Z14" s="28">
        <v>8</v>
      </c>
      <c r="AA14" s="28">
        <v>8</v>
      </c>
      <c r="AB14" s="28"/>
      <c r="AC14" s="28"/>
      <c r="AD14" s="28"/>
      <c r="AE14" s="28"/>
      <c r="AF14" s="28"/>
      <c r="AG14" s="27">
        <f>SUBTOTAL(109,'Jan-Mar'!$B14:$AF14)</f>
        <v>24</v>
      </c>
    </row>
    <row r="15" spans="1:33" s="33" customFormat="1">
      <c r="A15" s="26" t="s">
        <v>58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7">
        <f>SUBTOTAL(109,'Jan-Mar'!$B15:$AF15)</f>
        <v>0</v>
      </c>
    </row>
    <row r="16" spans="1:33" s="33" customFormat="1">
      <c r="A16" s="26" t="s">
        <v>59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7">
        <f>SUBTOTAL(109,'Jan-Mar'!$B16:$AF16)</f>
        <v>0</v>
      </c>
    </row>
    <row r="17" spans="1:33" ht="15" customHeight="1">
      <c r="A17" s="26" t="s">
        <v>60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7">
        <f>SUBTOTAL(109,'Jan-Mar'!$B17:$AF17)</f>
        <v>0</v>
      </c>
    </row>
    <row r="18" spans="1:33" ht="15" customHeight="1">
      <c r="A18" s="26" t="s">
        <v>61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7">
        <f>SUBTOTAL(109,'Jan-Mar'!$B18:$AF18)</f>
        <v>0</v>
      </c>
    </row>
    <row r="19" spans="1:33" s="25" customFormat="1" ht="15" customHeight="1">
      <c r="A19" s="26" t="s">
        <v>62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>
        <v>8</v>
      </c>
      <c r="AA19" s="29">
        <v>8</v>
      </c>
      <c r="AB19" s="29"/>
      <c r="AC19" s="29"/>
      <c r="AD19" s="29"/>
      <c r="AE19" s="29"/>
      <c r="AF19" s="29"/>
      <c r="AG19" s="27">
        <f>SUBTOTAL(109,'Jan-Mar'!$B19:$AF19)</f>
        <v>16</v>
      </c>
    </row>
    <row r="20" spans="1:33" s="33" customFormat="1" ht="15" customHeight="1">
      <c r="A20" s="40" t="s">
        <v>67</v>
      </c>
      <c r="B20" s="29"/>
      <c r="C20" s="29"/>
      <c r="D20" s="29"/>
      <c r="E20" s="29"/>
      <c r="F20" s="29"/>
      <c r="G20" s="29"/>
      <c r="H20" s="29"/>
      <c r="I20" s="52"/>
      <c r="J20" s="52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7">
        <f>SUBTOTAL(109,'Jan-Mar'!$B20:$AF20)</f>
        <v>0</v>
      </c>
    </row>
    <row r="21" spans="1:33" s="102" customFormat="1" ht="15" customHeight="1">
      <c r="A21" s="26" t="s">
        <v>152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104">
        <f>SUBTOTAL(109,'Jan-Mar'!$B21:$AF21)</f>
        <v>0</v>
      </c>
    </row>
    <row r="22" spans="1:33" s="102" customFormat="1" ht="15" customHeight="1">
      <c r="A22" s="26" t="s">
        <v>153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104">
        <f>SUBTOTAL(109,'Jan-Mar'!$B22:$AF22)</f>
        <v>0</v>
      </c>
    </row>
    <row r="23" spans="1:33" s="102" customFormat="1" ht="15" customHeight="1">
      <c r="A23" s="26" t="s">
        <v>154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104">
        <f>SUBTOTAL(109,'Jan-Mar'!$B23:$AF23)</f>
        <v>0</v>
      </c>
    </row>
    <row r="24" spans="1:33" s="102" customFormat="1" ht="15" customHeight="1">
      <c r="A24" s="26" t="s">
        <v>155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104">
        <f>SUBTOTAL(109,'Jan-Mar'!$B24:$AF24)</f>
        <v>0</v>
      </c>
    </row>
    <row r="25" spans="1:33" s="102" customFormat="1" ht="15" customHeight="1">
      <c r="A25" s="26" t="s">
        <v>156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104">
        <f>SUBTOTAL(109,'Jan-Mar'!$B25:$AF25)</f>
        <v>0</v>
      </c>
    </row>
    <row r="26" spans="1:33" s="102" customFormat="1" ht="15" customHeight="1">
      <c r="A26" s="26" t="s">
        <v>157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104">
        <f>SUBTOTAL(109,'Jan-Mar'!$B26:$AF26)</f>
        <v>0</v>
      </c>
    </row>
    <row r="27" spans="1:33" s="102" customFormat="1" ht="15" customHeight="1">
      <c r="A27" s="26" t="s">
        <v>158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104">
        <f>SUBTOTAL(109,'Jan-Mar'!$B27:$AF27)</f>
        <v>0</v>
      </c>
    </row>
    <row r="28" spans="1:33" s="102" customFormat="1" ht="15" customHeight="1">
      <c r="A28" s="26" t="s">
        <v>159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104">
        <f>SUBTOTAL(109,'Jan-Mar'!$B28:$AF28)</f>
        <v>0</v>
      </c>
    </row>
    <row r="29" spans="1:33" s="102" customFormat="1" ht="15" customHeight="1">
      <c r="A29" s="26" t="s">
        <v>160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104">
        <f>SUBTOTAL(109,'Jan-Mar'!$B29:$AF29)</f>
        <v>0</v>
      </c>
    </row>
    <row r="30" spans="1:33" s="102" customFormat="1" ht="15" customHeight="1">
      <c r="A30" s="26" t="s">
        <v>161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104">
        <f>SUBTOTAL(109,'Jan-Mar'!$B30:$AF30)</f>
        <v>0</v>
      </c>
    </row>
    <row r="31" spans="1:33" s="102" customFormat="1" ht="15" customHeight="1">
      <c r="A31" s="40" t="s">
        <v>162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104">
        <f>SUBTOTAL(109,'Jan-Mar'!$B31:$AF31)</f>
        <v>0</v>
      </c>
    </row>
    <row r="32" spans="1:33" s="102" customFormat="1" ht="15" customHeight="1">
      <c r="A32" s="40" t="s">
        <v>162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104">
        <f>SUBTOTAL(109,'Jan-Mar'!$B32:$AF32)</f>
        <v>0</v>
      </c>
    </row>
    <row r="33" spans="1:33" s="102" customFormat="1" ht="15" customHeight="1">
      <c r="A33" s="40" t="s">
        <v>162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104">
        <f>SUBTOTAL(109,'Jan-Mar'!$B33:$AF33)</f>
        <v>0</v>
      </c>
    </row>
    <row r="34" spans="1:33" s="102" customFormat="1" ht="15" customHeight="1">
      <c r="A34" s="40" t="s">
        <v>162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104">
        <f>SUBTOTAL(109,'Jan-Mar'!$B34:$AF34)</f>
        <v>0</v>
      </c>
    </row>
    <row r="35" spans="1:33" s="102" customFormat="1" ht="15" customHeight="1">
      <c r="A35" s="40" t="s">
        <v>162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104">
        <f>SUBTOTAL(109,'Jan-Mar'!$B35:$AF35)</f>
        <v>0</v>
      </c>
    </row>
    <row r="36" spans="1:33" s="25" customFormat="1" ht="15" customHeight="1">
      <c r="A36" s="10" t="str">
        <f>MonthName&amp;" Total"</f>
        <v>January Total</v>
      </c>
      <c r="B36" s="35">
        <f>SUBTOTAL(103,'Jan-Mar'!$B$5:$B$35)</f>
        <v>0</v>
      </c>
      <c r="C36" s="35">
        <f>SUBTOTAL(103,'Jan-Mar'!$C$5:$C$35)</f>
        <v>0</v>
      </c>
      <c r="D36" s="35">
        <f>SUBTOTAL(103,'Jan-Mar'!$D$5:$D$35)</f>
        <v>0</v>
      </c>
      <c r="E36" s="35">
        <f>SUBTOTAL(103,'Jan-Mar'!$E$5:$E$35)</f>
        <v>0</v>
      </c>
      <c r="F36" s="35">
        <f>SUBTOTAL(103,'Jan-Mar'!$F$5:$F$35)</f>
        <v>0</v>
      </c>
      <c r="G36" s="35">
        <f>SUBTOTAL(103,'Jan-Mar'!$G$5:$G$35)</f>
        <v>0</v>
      </c>
      <c r="H36" s="35">
        <f>SUBTOTAL(103,'Jan-Mar'!$H$5:$H$35)</f>
        <v>0</v>
      </c>
      <c r="I36" s="35">
        <f>SUBTOTAL(103,'Jan-Mar'!$I$5:$I$35)</f>
        <v>0</v>
      </c>
      <c r="J36" s="35">
        <f>SUBTOTAL(103,'Jan-Mar'!$J$5:$J$35)</f>
        <v>1</v>
      </c>
      <c r="K36" s="35">
        <f>SUBTOTAL(103,'Jan-Mar'!$K$5:$K$35)</f>
        <v>1</v>
      </c>
      <c r="L36" s="35">
        <f>SUBTOTAL(103,'Jan-Mar'!$L$5:$L$35)</f>
        <v>0</v>
      </c>
      <c r="M36" s="35">
        <f>SUBTOTAL(103,'Jan-Mar'!$M$5:$M$35)</f>
        <v>0</v>
      </c>
      <c r="N36" s="35">
        <f>SUBTOTAL(103,'Jan-Mar'!$N$5:$N$35)</f>
        <v>0</v>
      </c>
      <c r="O36" s="35">
        <f>SUBTOTAL(103,'Jan-Mar'!$O$5:$O$35)</f>
        <v>0</v>
      </c>
      <c r="P36" s="35">
        <f>SUBTOTAL(103,'Jan-Mar'!$P$5:$P$35)</f>
        <v>0</v>
      </c>
      <c r="Q36" s="35">
        <f>SUBTOTAL(103,'Jan-Mar'!$Q$5:$Q$35)</f>
        <v>0</v>
      </c>
      <c r="R36" s="35">
        <f>SUBTOTAL(103,'Jan-Mar'!$R$5:$R$35)</f>
        <v>0</v>
      </c>
      <c r="S36" s="35">
        <f>SUBTOTAL(103,'Jan-Mar'!$S$5:$S$35)</f>
        <v>0</v>
      </c>
      <c r="T36" s="35">
        <f>SUBTOTAL(103,'Jan-Mar'!$T$5:$T$35)</f>
        <v>0</v>
      </c>
      <c r="U36" s="35">
        <f>SUBTOTAL(103,'Jan-Mar'!$U$5:$U$35)</f>
        <v>1</v>
      </c>
      <c r="V36" s="35">
        <f>SUBTOTAL(103,'Jan-Mar'!$V$5:$V$35)</f>
        <v>0</v>
      </c>
      <c r="W36" s="35">
        <f>SUBTOTAL(103,'Jan-Mar'!$W$5:$W$35)</f>
        <v>0</v>
      </c>
      <c r="X36" s="35">
        <f>SUBTOTAL(103,'Jan-Mar'!$X$5:$X$35)</f>
        <v>0</v>
      </c>
      <c r="Y36" s="35">
        <f>SUBTOTAL(103,'Jan-Mar'!$Y$5:$Y$35)</f>
        <v>3</v>
      </c>
      <c r="Z36" s="35">
        <f>SUBTOTAL(103,'Jan-Mar'!$Z$5:$Z$35)</f>
        <v>4</v>
      </c>
      <c r="AA36" s="35">
        <f>SUBTOTAL(103,'Jan-Mar'!$AA$5:$AA$35)</f>
        <v>4</v>
      </c>
      <c r="AB36" s="35">
        <f>SUBTOTAL(103,'Jan-Mar'!$AB$5:$AB$35)</f>
        <v>0</v>
      </c>
      <c r="AC36" s="35">
        <f>SUBTOTAL(103,'Jan-Mar'!$AC$5:$AC$35)</f>
        <v>0</v>
      </c>
      <c r="AD36" s="35">
        <f>SUBTOTAL(103,'Jan-Mar'!$AD$5:$AD$35)</f>
        <v>0</v>
      </c>
      <c r="AE36" s="35">
        <f>SUBTOTAL(103,'Jan-Mar'!$AE$5:$AE$35)</f>
        <v>0</v>
      </c>
      <c r="AF36" s="35">
        <f>SUBTOTAL(103,'Jan-Mar'!$AF$5:$AF$35)</f>
        <v>0</v>
      </c>
      <c r="AG36" s="36">
        <f>SUBTOTAL(109,tblJanuary[Total Hours])</f>
        <v>0</v>
      </c>
    </row>
    <row r="37" spans="1:33" s="25" customFormat="1" ht="15" customHeight="1"/>
    <row r="38" spans="1:33" ht="15" customHeight="1">
      <c r="B38" s="31" t="s">
        <v>37</v>
      </c>
      <c r="C38" s="34"/>
      <c r="D38" s="34"/>
      <c r="E38" s="4" t="s">
        <v>64</v>
      </c>
      <c r="F38" s="37" t="s">
        <v>65</v>
      </c>
      <c r="G38" s="5"/>
      <c r="H38" s="5"/>
      <c r="I38" s="13" t="s">
        <v>91</v>
      </c>
      <c r="J38" s="37" t="s">
        <v>63</v>
      </c>
      <c r="K38" s="5"/>
      <c r="L38" s="5"/>
      <c r="M38" s="6"/>
      <c r="N38" s="5"/>
      <c r="O38" s="5"/>
      <c r="P38" s="7"/>
      <c r="Q38" s="5"/>
      <c r="R38" s="5"/>
      <c r="S38" s="5"/>
      <c r="T38" s="8"/>
      <c r="U38" s="5"/>
      <c r="V38" s="5"/>
      <c r="W38" s="5"/>
    </row>
    <row r="40" spans="1:33" ht="29.25" customHeight="1">
      <c r="A40" s="131" t="s">
        <v>38</v>
      </c>
      <c r="B40" s="132" t="s">
        <v>1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3">
        <f>CalendarYear</f>
        <v>2017</v>
      </c>
    </row>
    <row r="41" spans="1:33" ht="15" customHeight="1">
      <c r="A41" s="131"/>
      <c r="B41" s="9" t="str">
        <f>TEXT(WEEKDAY(DATE(CalendarYear,2,1),1),"aaa")</f>
        <v>Wed</v>
      </c>
      <c r="C41" s="9" t="str">
        <f>TEXT(WEEKDAY(DATE(CalendarYear,2,2),1),"aaa")</f>
        <v>Thu</v>
      </c>
      <c r="D41" s="9" t="str">
        <f>TEXT(WEEKDAY(DATE(CalendarYear,2,3),1),"aaa")</f>
        <v>Fri</v>
      </c>
      <c r="E41" s="9" t="str">
        <f>TEXT(WEEKDAY(DATE(CalendarYear,2,4),1),"aaa")</f>
        <v>Sat</v>
      </c>
      <c r="F41" s="9" t="str">
        <f>TEXT(WEEKDAY(DATE(CalendarYear,2,5),1),"aaa")</f>
        <v>Sun</v>
      </c>
      <c r="G41" s="9" t="str">
        <f>TEXT(WEEKDAY(DATE(CalendarYear,2,6),1),"aaa")</f>
        <v>Mon</v>
      </c>
      <c r="H41" s="9" t="str">
        <f>TEXT(WEEKDAY(DATE(CalendarYear,2,7),1),"aaa")</f>
        <v>Tue</v>
      </c>
      <c r="I41" s="9" t="str">
        <f>TEXT(WEEKDAY(DATE(CalendarYear,2,8),1),"aaa")</f>
        <v>Wed</v>
      </c>
      <c r="J41" s="9" t="str">
        <f>TEXT(WEEKDAY(DATE(CalendarYear,2,9),1),"aaa")</f>
        <v>Thu</v>
      </c>
      <c r="K41" s="9" t="str">
        <f>TEXT(WEEKDAY(DATE(CalendarYear,2,10),1),"aaa")</f>
        <v>Fri</v>
      </c>
      <c r="L41" s="9" t="str">
        <f>TEXT(WEEKDAY(DATE(CalendarYear,2,11),1),"aaa")</f>
        <v>Sat</v>
      </c>
      <c r="M41" s="9" t="str">
        <f>TEXT(WEEKDAY(DATE(CalendarYear,2,12),1),"aaa")</f>
        <v>Sun</v>
      </c>
      <c r="N41" s="9" t="str">
        <f>TEXT(WEEKDAY(DATE(CalendarYear,2,13),1),"aaa")</f>
        <v>Mon</v>
      </c>
      <c r="O41" s="9" t="str">
        <f>TEXT(WEEKDAY(DATE(CalendarYear,2,14),1),"aaa")</f>
        <v>Tue</v>
      </c>
      <c r="P41" s="9" t="str">
        <f>TEXT(WEEKDAY(DATE(CalendarYear,2,15),1),"aaa")</f>
        <v>Wed</v>
      </c>
      <c r="Q41" s="9" t="str">
        <f>TEXT(WEEKDAY(DATE(CalendarYear,2,16),1),"aaa")</f>
        <v>Thu</v>
      </c>
      <c r="R41" s="9" t="str">
        <f>TEXT(WEEKDAY(DATE(CalendarYear,2,17),1),"aaa")</f>
        <v>Fri</v>
      </c>
      <c r="S41" s="9" t="str">
        <f>TEXT(WEEKDAY(DATE(CalendarYear,2,18),1),"aaa")</f>
        <v>Sat</v>
      </c>
      <c r="T41" s="9" t="str">
        <f>TEXT(WEEKDAY(DATE(CalendarYear,2,19),1),"aaa")</f>
        <v>Sun</v>
      </c>
      <c r="U41" s="9" t="str">
        <f>TEXT(WEEKDAY(DATE(CalendarYear,2,20),1),"aaa")</f>
        <v>Mon</v>
      </c>
      <c r="V41" s="9" t="str">
        <f>TEXT(WEEKDAY(DATE(CalendarYear,2,21),1),"aaa")</f>
        <v>Tue</v>
      </c>
      <c r="W41" s="9" t="str">
        <f>TEXT(WEEKDAY(DATE(CalendarYear,2,22),1),"aaa")</f>
        <v>Wed</v>
      </c>
      <c r="X41" s="9" t="str">
        <f>TEXT(WEEKDAY(DATE(CalendarYear,2,23),1),"aaa")</f>
        <v>Thu</v>
      </c>
      <c r="Y41" s="9" t="str">
        <f>TEXT(WEEKDAY(DATE(CalendarYear,2,24),1),"aaa")</f>
        <v>Fri</v>
      </c>
      <c r="Z41" s="9" t="str">
        <f>TEXT(WEEKDAY(DATE(CalendarYear,2,25),1),"aaa")</f>
        <v>Sat</v>
      </c>
      <c r="AA41" s="9" t="str">
        <f>TEXT(WEEKDAY(DATE(CalendarYear,2,26),1),"aaa")</f>
        <v>Sun</v>
      </c>
      <c r="AB41" s="9" t="str">
        <f>TEXT(WEEKDAY(DATE(CalendarYear,2,27),1),"aaa")</f>
        <v>Mon</v>
      </c>
      <c r="AC41" s="9" t="str">
        <f>TEXT(WEEKDAY(DATE(CalendarYear,2,28),1),"aaa")</f>
        <v>Tue</v>
      </c>
      <c r="AD41" s="9" t="str">
        <f>TEXT(WEEKDAY(DATE(CalendarYear,2,29),1),"aaa")</f>
        <v>Wed</v>
      </c>
      <c r="AE41" s="9"/>
      <c r="AF41" s="9"/>
      <c r="AG41" s="133"/>
    </row>
    <row r="42" spans="1:33" ht="15" customHeight="1">
      <c r="A42" s="10" t="s">
        <v>2</v>
      </c>
      <c r="B42" s="14" t="s">
        <v>3</v>
      </c>
      <c r="C42" s="14" t="s">
        <v>4</v>
      </c>
      <c r="D42" s="14" t="s">
        <v>5</v>
      </c>
      <c r="E42" s="14" t="s">
        <v>6</v>
      </c>
      <c r="F42" s="14" t="s">
        <v>7</v>
      </c>
      <c r="G42" s="14" t="s">
        <v>8</v>
      </c>
      <c r="H42" s="14" t="s">
        <v>9</v>
      </c>
      <c r="I42" s="14" t="s">
        <v>10</v>
      </c>
      <c r="J42" s="14" t="s">
        <v>11</v>
      </c>
      <c r="K42" s="14" t="s">
        <v>12</v>
      </c>
      <c r="L42" s="14" t="s">
        <v>13</v>
      </c>
      <c r="M42" s="14" t="s">
        <v>14</v>
      </c>
      <c r="N42" s="14" t="s">
        <v>15</v>
      </c>
      <c r="O42" s="14" t="s">
        <v>16</v>
      </c>
      <c r="P42" s="14" t="s">
        <v>17</v>
      </c>
      <c r="Q42" s="14" t="s">
        <v>18</v>
      </c>
      <c r="R42" s="14" t="s">
        <v>19</v>
      </c>
      <c r="S42" s="14" t="s">
        <v>20</v>
      </c>
      <c r="T42" s="14" t="s">
        <v>21</v>
      </c>
      <c r="U42" s="14" t="s">
        <v>22</v>
      </c>
      <c r="V42" s="14" t="s">
        <v>23</v>
      </c>
      <c r="W42" s="14" t="s">
        <v>24</v>
      </c>
      <c r="X42" s="14" t="s">
        <v>25</v>
      </c>
      <c r="Y42" s="14" t="s">
        <v>26</v>
      </c>
      <c r="Z42" s="14" t="s">
        <v>27</v>
      </c>
      <c r="AA42" s="14" t="s">
        <v>28</v>
      </c>
      <c r="AB42" s="14" t="s">
        <v>29</v>
      </c>
      <c r="AC42" s="14" t="s">
        <v>30</v>
      </c>
      <c r="AD42" s="14" t="s">
        <v>31</v>
      </c>
      <c r="AE42" s="14" t="s">
        <v>34</v>
      </c>
      <c r="AF42" s="14" t="s">
        <v>35</v>
      </c>
      <c r="AG42" s="12" t="s">
        <v>90</v>
      </c>
    </row>
    <row r="43" spans="1:33" ht="15" customHeight="1">
      <c r="A43" s="26" t="s">
        <v>49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27">
        <f>SUBTOTAL(109,'Jan-Mar'!$B43:$AF43)</f>
        <v>0</v>
      </c>
    </row>
    <row r="44" spans="1:33" ht="15" customHeight="1">
      <c r="A44" s="105" t="s">
        <v>50</v>
      </c>
      <c r="B44" s="11"/>
      <c r="C44" s="11"/>
      <c r="D44" s="11"/>
      <c r="E44" s="13">
        <v>8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27">
        <f>SUBTOTAL(109,'Jan-Mar'!$B44:$AF44)</f>
        <v>8</v>
      </c>
    </row>
    <row r="45" spans="1:33" ht="15" customHeight="1">
      <c r="A45" s="26" t="s">
        <v>51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27">
        <f>SUBTOTAL(109,'Jan-Mar'!$B45:$AF45)</f>
        <v>0</v>
      </c>
    </row>
    <row r="46" spans="1:33" ht="15" customHeight="1">
      <c r="A46" s="26" t="s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27">
        <f>SUBTOTAL(109,'Jan-Mar'!$B46:$AF46)</f>
        <v>0</v>
      </c>
    </row>
    <row r="47" spans="1:33" ht="15" customHeight="1">
      <c r="A47" s="26" t="s">
        <v>53</v>
      </c>
      <c r="B47" s="11"/>
      <c r="C47" s="11"/>
      <c r="D47" s="11">
        <v>8</v>
      </c>
      <c r="E47" s="11">
        <v>8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27">
        <f>SUBTOTAL(109,'Jan-Mar'!$B47:$AF47)</f>
        <v>16</v>
      </c>
    </row>
    <row r="48" spans="1:33" ht="15" customHeight="1">
      <c r="A48" s="26" t="s">
        <v>54</v>
      </c>
      <c r="B48" s="28"/>
      <c r="C48" s="28"/>
      <c r="D48" s="28"/>
      <c r="E48" s="28"/>
      <c r="F48" s="51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7">
        <f>SUBTOTAL(109,'Jan-Mar'!$B48:$AF48)</f>
        <v>0</v>
      </c>
    </row>
    <row r="49" spans="1:33" ht="15" customHeight="1">
      <c r="A49" s="26" t="s">
        <v>55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7">
        <f>SUBTOTAL(109,'Jan-Mar'!$B49:$AF49)</f>
        <v>0</v>
      </c>
    </row>
    <row r="50" spans="1:33" ht="15" customHeight="1">
      <c r="A50" s="26" t="s">
        <v>56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7">
        <f>SUBTOTAL(109,'Jan-Mar'!$B50:$AF50)</f>
        <v>0</v>
      </c>
    </row>
    <row r="51" spans="1:33" ht="15" customHeight="1">
      <c r="A51" s="26" t="s">
        <v>57</v>
      </c>
      <c r="B51" s="28"/>
      <c r="C51" s="28"/>
      <c r="D51" s="28">
        <v>8</v>
      </c>
      <c r="E51" s="28">
        <v>8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7">
        <f>SUBTOTAL(109,'Jan-Mar'!$B51:$AF51)</f>
        <v>16</v>
      </c>
    </row>
    <row r="52" spans="1:33" ht="15" customHeight="1">
      <c r="A52" s="26" t="s">
        <v>58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7">
        <f>SUBTOTAL(109,'Jan-Mar'!$B52:$AF52)</f>
        <v>0</v>
      </c>
    </row>
    <row r="53" spans="1:33" ht="15" customHeight="1">
      <c r="A53" s="26" t="s">
        <v>59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7">
        <f>SUBTOTAL(109,'Jan-Mar'!$B53:$AF53)</f>
        <v>0</v>
      </c>
    </row>
    <row r="54" spans="1:33" ht="15" customHeight="1">
      <c r="A54" s="26" t="s">
        <v>60</v>
      </c>
      <c r="B54" s="28"/>
      <c r="C54" s="28"/>
      <c r="D54" s="51" t="s">
        <v>64</v>
      </c>
      <c r="E54" s="51" t="s">
        <v>64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7">
        <f>SUBTOTAL(109,'Jan-Mar'!$B54:$AF54)</f>
        <v>0</v>
      </c>
    </row>
    <row r="55" spans="1:33" ht="15" customHeight="1">
      <c r="A55" s="26" t="s">
        <v>61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7">
        <f>SUBTOTAL(109,'Jan-Mar'!$B55:$AF55)</f>
        <v>0</v>
      </c>
    </row>
    <row r="56" spans="1:33" ht="15" customHeight="1">
      <c r="A56" s="26" t="s">
        <v>62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7">
        <f>SUBTOTAL(109,'Jan-Mar'!$B56:$AF56)</f>
        <v>0</v>
      </c>
    </row>
    <row r="57" spans="1:33" ht="15" customHeight="1">
      <c r="A57" s="40" t="s">
        <v>67</v>
      </c>
      <c r="B57" s="28"/>
      <c r="C57" s="28"/>
      <c r="D57" s="28"/>
      <c r="E57" s="28"/>
      <c r="F57" s="51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7">
        <f>SUBTOTAL(109,'Jan-Mar'!$B57:$AF57)</f>
        <v>0</v>
      </c>
    </row>
    <row r="58" spans="1:33" s="102" customFormat="1" ht="15" customHeight="1">
      <c r="A58" s="26" t="s">
        <v>152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7">
        <f>SUBTOTAL(109,'Jan-Mar'!$B58:$AF58)</f>
        <v>0</v>
      </c>
    </row>
    <row r="59" spans="1:33" s="102" customFormat="1" ht="15" customHeight="1">
      <c r="A59" s="26" t="s">
        <v>153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7">
        <f>SUBTOTAL(109,'Jan-Mar'!$B59:$AF59)</f>
        <v>0</v>
      </c>
    </row>
    <row r="60" spans="1:33" s="102" customFormat="1" ht="15" customHeight="1">
      <c r="A60" s="26" t="s">
        <v>154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7">
        <f>SUBTOTAL(109,'Jan-Mar'!$B60:$AF60)</f>
        <v>0</v>
      </c>
    </row>
    <row r="61" spans="1:33" s="102" customFormat="1" ht="15" customHeight="1">
      <c r="A61" s="26" t="s">
        <v>155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7">
        <f>SUBTOTAL(109,'Jan-Mar'!$B61:$AF61)</f>
        <v>0</v>
      </c>
    </row>
    <row r="62" spans="1:33" s="102" customFormat="1" ht="15" customHeight="1">
      <c r="A62" s="26" t="s">
        <v>156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7">
        <f>SUBTOTAL(109,'Jan-Mar'!$B62:$AF62)</f>
        <v>0</v>
      </c>
    </row>
    <row r="63" spans="1:33" s="102" customFormat="1" ht="15" customHeight="1">
      <c r="A63" s="26" t="s">
        <v>157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7">
        <f>SUBTOTAL(109,'Jan-Mar'!$B63:$AF63)</f>
        <v>0</v>
      </c>
    </row>
    <row r="64" spans="1:33" s="102" customFormat="1" ht="15" customHeight="1">
      <c r="A64" s="26" t="s">
        <v>158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7">
        <f>SUBTOTAL(109,'Jan-Mar'!$B64:$AF64)</f>
        <v>0</v>
      </c>
    </row>
    <row r="65" spans="1:33" s="102" customFormat="1" ht="15" customHeight="1">
      <c r="A65" s="26" t="s">
        <v>159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7">
        <f>SUBTOTAL(109,'Jan-Mar'!$B65:$AF65)</f>
        <v>0</v>
      </c>
    </row>
    <row r="66" spans="1:33" s="102" customFormat="1" ht="15" customHeight="1">
      <c r="A66" s="26" t="s">
        <v>160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7">
        <f>SUBTOTAL(109,'Jan-Mar'!$B66:$AF66)</f>
        <v>0</v>
      </c>
    </row>
    <row r="67" spans="1:33" s="102" customFormat="1" ht="15" customHeight="1">
      <c r="A67" s="26" t="s">
        <v>161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7">
        <f>SUBTOTAL(109,'Jan-Mar'!$B67:$AF67)</f>
        <v>0</v>
      </c>
    </row>
    <row r="68" spans="1:33" s="102" customFormat="1" ht="15" customHeight="1">
      <c r="A68" s="26" t="s">
        <v>162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7">
        <f>SUBTOTAL(109,'Jan-Mar'!$B68:$AF68)</f>
        <v>0</v>
      </c>
    </row>
    <row r="69" spans="1:33" s="102" customFormat="1" ht="15" customHeight="1">
      <c r="A69" s="26" t="s">
        <v>162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7">
        <f>SUBTOTAL(109,'Jan-Mar'!$B69:$AF69)</f>
        <v>0</v>
      </c>
    </row>
    <row r="70" spans="1:33" s="102" customFormat="1" ht="15" customHeight="1">
      <c r="A70" s="26" t="s">
        <v>162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7">
        <f>SUBTOTAL(109,'Jan-Mar'!$B70:$AF70)</f>
        <v>0</v>
      </c>
    </row>
    <row r="71" spans="1:33" s="102" customFormat="1" ht="15" customHeight="1">
      <c r="A71" s="26" t="s">
        <v>162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7">
        <f>SUBTOTAL(109,'Jan-Mar'!$B71:$AF71)</f>
        <v>0</v>
      </c>
    </row>
    <row r="72" spans="1:33" s="102" customFormat="1" ht="15" customHeight="1">
      <c r="A72" s="26" t="s">
        <v>162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7">
        <f>SUBTOTAL(109,'Jan-Mar'!$B72:$AF72)</f>
        <v>0</v>
      </c>
    </row>
    <row r="73" spans="1:33" ht="15" customHeight="1">
      <c r="A73" s="10" t="str">
        <f>A40&amp;" Total"</f>
        <v>February Total</v>
      </c>
      <c r="B73" s="35">
        <f>SUBTOTAL(103,tblFebruary[1])</f>
        <v>0</v>
      </c>
      <c r="C73" s="35">
        <f>SUBTOTAL(103,tblFebruary[2])</f>
        <v>0</v>
      </c>
      <c r="D73" s="35">
        <f>SUBTOTAL(103,tblFebruary[3])</f>
        <v>3</v>
      </c>
      <c r="E73" s="35">
        <f>SUBTOTAL(103,tblFebruary[4])</f>
        <v>4</v>
      </c>
      <c r="F73" s="35">
        <f>SUBTOTAL(103,tblFebruary[5])</f>
        <v>0</v>
      </c>
      <c r="G73" s="35">
        <f>SUBTOTAL(103,tblFebruary[6])</f>
        <v>0</v>
      </c>
      <c r="H73" s="35">
        <f>SUBTOTAL(103,tblFebruary[7])</f>
        <v>0</v>
      </c>
      <c r="I73" s="35">
        <f>SUBTOTAL(103,tblFebruary[8])</f>
        <v>0</v>
      </c>
      <c r="J73" s="35">
        <f>SUBTOTAL(103,tblFebruary[9])</f>
        <v>0</v>
      </c>
      <c r="K73" s="35">
        <f>SUBTOTAL(103,tblFebruary[10])</f>
        <v>0</v>
      </c>
      <c r="L73" s="35">
        <f>SUBTOTAL(103,tblFebruary[11])</f>
        <v>0</v>
      </c>
      <c r="M73" s="35">
        <f>SUBTOTAL(103,tblFebruary[12])</f>
        <v>0</v>
      </c>
      <c r="N73" s="35">
        <f>SUBTOTAL(103,tblFebruary[13])</f>
        <v>0</v>
      </c>
      <c r="O73" s="35">
        <f>SUBTOTAL(103,tblFebruary[14])</f>
        <v>0</v>
      </c>
      <c r="P73" s="35">
        <f>SUBTOTAL(103,tblFebruary[15])</f>
        <v>0</v>
      </c>
      <c r="Q73" s="35">
        <f>SUBTOTAL(103,tblFebruary[16])</f>
        <v>0</v>
      </c>
      <c r="R73" s="35">
        <f>SUBTOTAL(103,tblFebruary[17])</f>
        <v>0</v>
      </c>
      <c r="S73" s="35">
        <f>SUBTOTAL(103,tblFebruary[18])</f>
        <v>0</v>
      </c>
      <c r="T73" s="35">
        <f>SUBTOTAL(103,tblFebruary[19])</f>
        <v>0</v>
      </c>
      <c r="U73" s="35">
        <f>SUBTOTAL(103,tblFebruary[20])</f>
        <v>0</v>
      </c>
      <c r="V73" s="35">
        <f>SUBTOTAL(103,tblFebruary[21])</f>
        <v>0</v>
      </c>
      <c r="W73" s="35">
        <f>SUBTOTAL(103,tblFebruary[22])</f>
        <v>0</v>
      </c>
      <c r="X73" s="35">
        <f>SUBTOTAL(103,tblFebruary[23])</f>
        <v>0</v>
      </c>
      <c r="Y73" s="35">
        <f>SUBTOTAL(103,tblFebruary[24])</f>
        <v>0</v>
      </c>
      <c r="Z73" s="35">
        <f>SUBTOTAL(103,tblFebruary[25])</f>
        <v>0</v>
      </c>
      <c r="AA73" s="35">
        <f>SUBTOTAL(103,tblFebruary[26])</f>
        <v>0</v>
      </c>
      <c r="AB73" s="35">
        <f>SUBTOTAL(103,tblFebruary[27])</f>
        <v>0</v>
      </c>
      <c r="AC73" s="35">
        <f>SUBTOTAL(103,tblFebruary[28])</f>
        <v>0</v>
      </c>
      <c r="AD73" s="35">
        <f>SUBTOTAL(103,tblFebruary[29])</f>
        <v>0</v>
      </c>
      <c r="AE73" s="35"/>
      <c r="AF73" s="35"/>
      <c r="AG73" s="36">
        <f>SUBTOTAL(109,tblFebruary[Total Hours])</f>
        <v>0</v>
      </c>
    </row>
    <row r="75" spans="1:33" ht="34.5" customHeight="1">
      <c r="A75" s="131" t="s">
        <v>39</v>
      </c>
      <c r="B75" s="132" t="s">
        <v>1</v>
      </c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3">
        <f>CalendarYear</f>
        <v>2017</v>
      </c>
    </row>
    <row r="76" spans="1:33" ht="15" customHeight="1">
      <c r="A76" s="131"/>
      <c r="B76" s="9" t="str">
        <f>TEXT(WEEKDAY(DATE(CalendarYear,3,1),1),"aaa")</f>
        <v>Wed</v>
      </c>
      <c r="C76" s="9" t="str">
        <f>TEXT(WEEKDAY(DATE(CalendarYear,3,2),1),"aaa")</f>
        <v>Thu</v>
      </c>
      <c r="D76" s="9" t="str">
        <f>TEXT(WEEKDAY(DATE(CalendarYear,3,3),1),"aaa")</f>
        <v>Fri</v>
      </c>
      <c r="E76" s="9" t="str">
        <f>TEXT(WEEKDAY(DATE(CalendarYear,3,4),1),"aaa")</f>
        <v>Sat</v>
      </c>
      <c r="F76" s="9" t="str">
        <f>TEXT(WEEKDAY(DATE(CalendarYear,3,5),1),"aaa")</f>
        <v>Sun</v>
      </c>
      <c r="G76" s="9" t="str">
        <f>TEXT(WEEKDAY(DATE(CalendarYear,3,6),1),"aaa")</f>
        <v>Mon</v>
      </c>
      <c r="H76" s="9" t="str">
        <f>TEXT(WEEKDAY(DATE(CalendarYear,3,7),1),"aaa")</f>
        <v>Tue</v>
      </c>
      <c r="I76" s="9" t="str">
        <f>TEXT(WEEKDAY(DATE(CalendarYear,3,8),1),"aaa")</f>
        <v>Wed</v>
      </c>
      <c r="J76" s="9" t="str">
        <f>TEXT(WEEKDAY(DATE(CalendarYear,3,9),1),"aaa")</f>
        <v>Thu</v>
      </c>
      <c r="K76" s="9" t="str">
        <f>TEXT(WEEKDAY(DATE(CalendarYear,3,10),1),"aaa")</f>
        <v>Fri</v>
      </c>
      <c r="L76" s="9" t="str">
        <f>TEXT(WEEKDAY(DATE(CalendarYear,3,11),1),"aaa")</f>
        <v>Sat</v>
      </c>
      <c r="M76" s="9" t="str">
        <f>TEXT(WEEKDAY(DATE(CalendarYear,3,12),1),"aaa")</f>
        <v>Sun</v>
      </c>
      <c r="N76" s="9" t="str">
        <f>TEXT(WEEKDAY(DATE(CalendarYear,3,13),1),"aaa")</f>
        <v>Mon</v>
      </c>
      <c r="O76" s="9" t="str">
        <f>TEXT(WEEKDAY(DATE(CalendarYear,3,14),1),"aaa")</f>
        <v>Tue</v>
      </c>
      <c r="P76" s="9" t="str">
        <f>TEXT(WEEKDAY(DATE(CalendarYear,3,15),1),"aaa")</f>
        <v>Wed</v>
      </c>
      <c r="Q76" s="9" t="str">
        <f>TEXT(WEEKDAY(DATE(CalendarYear,3,16),1),"aaa")</f>
        <v>Thu</v>
      </c>
      <c r="R76" s="9" t="str">
        <f>TEXT(WEEKDAY(DATE(CalendarYear,3,17),1),"aaa")</f>
        <v>Fri</v>
      </c>
      <c r="S76" s="9" t="str">
        <f>TEXT(WEEKDAY(DATE(CalendarYear,3,18),1),"aaa")</f>
        <v>Sat</v>
      </c>
      <c r="T76" s="9" t="str">
        <f>TEXT(WEEKDAY(DATE(CalendarYear,3,19),1),"aaa")</f>
        <v>Sun</v>
      </c>
      <c r="U76" s="9" t="str">
        <f>TEXT(WEEKDAY(DATE(CalendarYear,3,20),1),"aaa")</f>
        <v>Mon</v>
      </c>
      <c r="V76" s="9" t="str">
        <f>TEXT(WEEKDAY(DATE(CalendarYear,3,21),1),"aaa")</f>
        <v>Tue</v>
      </c>
      <c r="W76" s="9" t="str">
        <f>TEXT(WEEKDAY(DATE(CalendarYear,3,22),1),"aaa")</f>
        <v>Wed</v>
      </c>
      <c r="X76" s="9" t="str">
        <f>TEXT(WEEKDAY(DATE(CalendarYear,3,23),1),"aaa")</f>
        <v>Thu</v>
      </c>
      <c r="Y76" s="9" t="str">
        <f>TEXT(WEEKDAY(DATE(CalendarYear,3,24),1),"aaa")</f>
        <v>Fri</v>
      </c>
      <c r="Z76" s="9" t="str">
        <f>TEXT(WEEKDAY(DATE(CalendarYear,3,25),1),"aaa")</f>
        <v>Sat</v>
      </c>
      <c r="AA76" s="9" t="str">
        <f>TEXT(WEEKDAY(DATE(CalendarYear,3,26),1),"aaa")</f>
        <v>Sun</v>
      </c>
      <c r="AB76" s="9" t="str">
        <f>TEXT(WEEKDAY(DATE(CalendarYear,3,27),1),"aaa")</f>
        <v>Mon</v>
      </c>
      <c r="AC76" s="9" t="str">
        <f>TEXT(WEEKDAY(DATE(CalendarYear,3,28),1),"aaa")</f>
        <v>Tue</v>
      </c>
      <c r="AD76" s="9" t="str">
        <f>TEXT(WEEKDAY(DATE(CalendarYear,3,29),1),"aaa")</f>
        <v>Wed</v>
      </c>
      <c r="AE76" s="9" t="str">
        <f>TEXT(WEEKDAY(DATE(CalendarYear,3,30),1),"aaa")</f>
        <v>Thu</v>
      </c>
      <c r="AF76" s="9" t="str">
        <f>TEXT(WEEKDAY(DATE(CalendarYear,3,31),1),"aaa")</f>
        <v>Fri</v>
      </c>
      <c r="AG76" s="133"/>
    </row>
    <row r="77" spans="1:33" ht="15" customHeight="1">
      <c r="A77" s="15" t="s">
        <v>2</v>
      </c>
      <c r="B77" s="9" t="s">
        <v>3</v>
      </c>
      <c r="C77" s="9" t="s">
        <v>4</v>
      </c>
      <c r="D77" s="9" t="s">
        <v>5</v>
      </c>
      <c r="E77" s="9" t="s">
        <v>6</v>
      </c>
      <c r="F77" s="9" t="s">
        <v>7</v>
      </c>
      <c r="G77" s="9" t="s">
        <v>8</v>
      </c>
      <c r="H77" s="9" t="s">
        <v>9</v>
      </c>
      <c r="I77" s="9" t="s">
        <v>10</v>
      </c>
      <c r="J77" s="9" t="s">
        <v>11</v>
      </c>
      <c r="K77" s="9" t="s">
        <v>12</v>
      </c>
      <c r="L77" s="9" t="s">
        <v>13</v>
      </c>
      <c r="M77" s="9" t="s">
        <v>14</v>
      </c>
      <c r="N77" s="9" t="s">
        <v>15</v>
      </c>
      <c r="O77" s="9" t="s">
        <v>16</v>
      </c>
      <c r="P77" s="9" t="s">
        <v>17</v>
      </c>
      <c r="Q77" s="9" t="s">
        <v>18</v>
      </c>
      <c r="R77" s="9" t="s">
        <v>19</v>
      </c>
      <c r="S77" s="9" t="s">
        <v>20</v>
      </c>
      <c r="T77" s="9" t="s">
        <v>21</v>
      </c>
      <c r="U77" s="9" t="s">
        <v>22</v>
      </c>
      <c r="V77" s="9" t="s">
        <v>23</v>
      </c>
      <c r="W77" s="9" t="s">
        <v>24</v>
      </c>
      <c r="X77" s="9" t="s">
        <v>25</v>
      </c>
      <c r="Y77" s="9" t="s">
        <v>26</v>
      </c>
      <c r="Z77" s="9" t="s">
        <v>27</v>
      </c>
      <c r="AA77" s="9" t="s">
        <v>28</v>
      </c>
      <c r="AB77" s="9" t="s">
        <v>29</v>
      </c>
      <c r="AC77" s="9" t="s">
        <v>30</v>
      </c>
      <c r="AD77" s="9" t="s">
        <v>31</v>
      </c>
      <c r="AE77" s="9" t="s">
        <v>32</v>
      </c>
      <c r="AF77" s="9" t="s">
        <v>33</v>
      </c>
      <c r="AG77" s="12" t="s">
        <v>90</v>
      </c>
    </row>
    <row r="78" spans="1:33" ht="15" customHeight="1">
      <c r="A78" s="26" t="s">
        <v>49</v>
      </c>
      <c r="B78" s="3"/>
      <c r="C78" s="3"/>
      <c r="D78" s="3"/>
      <c r="E78" s="3"/>
      <c r="F78" s="3"/>
      <c r="G78" s="3"/>
      <c r="H78" s="3"/>
      <c r="I78" s="3"/>
      <c r="J78" s="3">
        <v>4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>
        <v>3</v>
      </c>
      <c r="W78" s="3"/>
      <c r="X78" s="3">
        <v>3</v>
      </c>
      <c r="Y78" s="3"/>
      <c r="Z78" s="3"/>
      <c r="AA78" s="3"/>
      <c r="AB78" s="3"/>
      <c r="AC78" s="3"/>
      <c r="AD78" s="3"/>
      <c r="AE78" s="3"/>
      <c r="AF78" s="3"/>
      <c r="AG78" s="27">
        <f>SUBTOTAL(109,'Jan-Mar'!$B78:$AF78)</f>
        <v>10</v>
      </c>
    </row>
    <row r="79" spans="1:33" ht="15" customHeight="1">
      <c r="A79" s="105" t="s">
        <v>50</v>
      </c>
      <c r="B79" s="3"/>
      <c r="C79" s="3"/>
      <c r="D79" s="3"/>
      <c r="E79" s="3"/>
      <c r="F79" s="3"/>
      <c r="G79" s="3">
        <v>8</v>
      </c>
      <c r="H79" s="3">
        <v>8</v>
      </c>
      <c r="I79" s="3">
        <v>8</v>
      </c>
      <c r="J79" s="3">
        <v>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27">
        <f>SUBTOTAL(109,'Jan-Mar'!$B79:$AF79)</f>
        <v>32</v>
      </c>
    </row>
    <row r="80" spans="1:33" ht="15" customHeight="1">
      <c r="A80" s="26" t="s">
        <v>51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27">
        <f>SUBTOTAL(109,'Jan-Mar'!$B80:$AF80)</f>
        <v>0</v>
      </c>
    </row>
    <row r="81" spans="1:33" ht="15" customHeight="1">
      <c r="A81" s="26" t="s">
        <v>52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27">
        <f>SUBTOTAL(109,'Jan-Mar'!$B81:$AF81)</f>
        <v>0</v>
      </c>
    </row>
    <row r="82" spans="1:33" ht="15" customHeight="1">
      <c r="A82" s="26" t="s">
        <v>53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27">
        <f>SUBTOTAL(109,'Jan-Mar'!$B82:$AF82)</f>
        <v>0</v>
      </c>
    </row>
    <row r="83" spans="1:33" ht="15" customHeight="1">
      <c r="A83" s="26" t="s">
        <v>54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7">
        <f>SUBTOTAL(109,'Jan-Mar'!$B83:$AF83)</f>
        <v>0</v>
      </c>
    </row>
    <row r="84" spans="1:33" ht="15" customHeight="1">
      <c r="A84" s="26" t="s">
        <v>55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7">
        <f>SUBTOTAL(109,'Jan-Mar'!$B84:$AF84)</f>
        <v>0</v>
      </c>
    </row>
    <row r="85" spans="1:33" ht="15" customHeight="1">
      <c r="A85" s="26" t="s">
        <v>56</v>
      </c>
      <c r="B85" s="29"/>
      <c r="C85" s="29"/>
      <c r="D85" s="29"/>
      <c r="E85" s="29"/>
      <c r="F85" s="29"/>
      <c r="G85" s="29">
        <v>3</v>
      </c>
      <c r="H85" s="29">
        <v>3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7">
        <f>SUBTOTAL(109,'Jan-Mar'!$B85:$AF85)</f>
        <v>6</v>
      </c>
    </row>
    <row r="86" spans="1:33" ht="15" customHeight="1">
      <c r="A86" s="26" t="s">
        <v>57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7">
        <f>SUBTOTAL(109,'Jan-Mar'!$B86:$AF86)</f>
        <v>0</v>
      </c>
    </row>
    <row r="87" spans="1:33" ht="15" customHeight="1">
      <c r="A87" s="26" t="s">
        <v>58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7">
        <f>SUBTOTAL(109,'Jan-Mar'!$B87:$AF87)</f>
        <v>0</v>
      </c>
    </row>
    <row r="88" spans="1:33" ht="15" customHeight="1">
      <c r="A88" s="26" t="s">
        <v>59</v>
      </c>
      <c r="B88" s="29"/>
      <c r="C88" s="29"/>
      <c r="D88" s="29"/>
      <c r="E88" s="29"/>
      <c r="F88" s="29"/>
      <c r="G88" s="29">
        <v>8</v>
      </c>
      <c r="H88" s="29"/>
      <c r="I88" s="29"/>
      <c r="J88" s="29"/>
      <c r="K88" s="29"/>
      <c r="L88" s="29"/>
      <c r="M88" s="29"/>
      <c r="N88" s="29">
        <v>8</v>
      </c>
      <c r="O88" s="29">
        <v>8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7">
        <f>SUBTOTAL(109,'Jan-Mar'!$B88:$AF88)</f>
        <v>24</v>
      </c>
    </row>
    <row r="89" spans="1:33" ht="15" customHeight="1">
      <c r="A89" s="26" t="s">
        <v>60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7">
        <f>SUBTOTAL(109,'Jan-Mar'!$B89:$AF89)</f>
        <v>0</v>
      </c>
    </row>
    <row r="90" spans="1:33" ht="15" customHeight="1">
      <c r="A90" s="26" t="s">
        <v>61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7">
        <f>SUBTOTAL(109,'Jan-Mar'!$B90:$AF90)</f>
        <v>0</v>
      </c>
    </row>
    <row r="91" spans="1:33" ht="15" customHeight="1">
      <c r="A91" s="26" t="s">
        <v>62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7">
        <f>SUBTOTAL(109,'Jan-Mar'!$B91:$AF91)</f>
        <v>0</v>
      </c>
    </row>
    <row r="92" spans="1:33" ht="15" customHeight="1">
      <c r="A92" s="40" t="s">
        <v>67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7">
        <f>SUBTOTAL(109,'Jan-Mar'!$B92:$AF92)</f>
        <v>0</v>
      </c>
    </row>
    <row r="93" spans="1:33" s="102" customFormat="1" ht="15" customHeight="1">
      <c r="A93" s="26" t="s">
        <v>152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7">
        <f>SUBTOTAL(109,'Jan-Mar'!$B93:$AF93)</f>
        <v>0</v>
      </c>
    </row>
    <row r="94" spans="1:33" s="102" customFormat="1" ht="15" customHeight="1">
      <c r="A94" s="26" t="s">
        <v>153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7">
        <f>SUBTOTAL(109,'Jan-Mar'!$B94:$AF94)</f>
        <v>0</v>
      </c>
    </row>
    <row r="95" spans="1:33" s="102" customFormat="1" ht="15" customHeight="1">
      <c r="A95" s="26" t="s">
        <v>154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7">
        <f>SUBTOTAL(109,'Jan-Mar'!$B95:$AF95)</f>
        <v>0</v>
      </c>
    </row>
    <row r="96" spans="1:33" s="102" customFormat="1" ht="15" customHeight="1">
      <c r="A96" s="26" t="s">
        <v>155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7">
        <f>SUBTOTAL(109,'Jan-Mar'!$B96:$AF96)</f>
        <v>0</v>
      </c>
    </row>
    <row r="97" spans="1:33" s="102" customFormat="1" ht="15" customHeight="1">
      <c r="A97" s="26" t="s">
        <v>156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7">
        <f>SUBTOTAL(109,'Jan-Mar'!$B97:$AF97)</f>
        <v>0</v>
      </c>
    </row>
    <row r="98" spans="1:33" s="102" customFormat="1" ht="15" customHeight="1">
      <c r="A98" s="26" t="s">
        <v>157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7">
        <f>SUBTOTAL(109,'Jan-Mar'!$B98:$AF98)</f>
        <v>0</v>
      </c>
    </row>
    <row r="99" spans="1:33" s="102" customFormat="1" ht="15" customHeight="1">
      <c r="A99" s="26" t="s">
        <v>158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7">
        <f>SUBTOTAL(109,'Jan-Mar'!$B99:$AF99)</f>
        <v>0</v>
      </c>
    </row>
    <row r="100" spans="1:33" s="102" customFormat="1" ht="15" customHeight="1">
      <c r="A100" s="26" t="s">
        <v>159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7">
        <f>SUBTOTAL(109,'Jan-Mar'!$B100:$AF100)</f>
        <v>0</v>
      </c>
    </row>
    <row r="101" spans="1:33" s="102" customFormat="1" ht="15" customHeight="1">
      <c r="A101" s="26" t="s">
        <v>160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7">
        <f>SUBTOTAL(109,'Jan-Mar'!$B101:$AF101)</f>
        <v>0</v>
      </c>
    </row>
    <row r="102" spans="1:33" s="102" customFormat="1" ht="15" customHeight="1">
      <c r="A102" s="26" t="s">
        <v>161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7">
        <f>SUBTOTAL(109,'Jan-Mar'!$B102:$AF102)</f>
        <v>0</v>
      </c>
    </row>
    <row r="103" spans="1:33" s="102" customFormat="1" ht="15" customHeight="1">
      <c r="A103" s="26" t="s">
        <v>162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7">
        <f>SUBTOTAL(109,'Jan-Mar'!$B103:$AF103)</f>
        <v>0</v>
      </c>
    </row>
    <row r="104" spans="1:33" s="102" customFormat="1" ht="15" customHeight="1">
      <c r="A104" s="26" t="s">
        <v>162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7">
        <f>SUBTOTAL(109,'Jan-Mar'!$B104:$AF104)</f>
        <v>0</v>
      </c>
    </row>
    <row r="105" spans="1:33" s="102" customFormat="1" ht="15" customHeight="1">
      <c r="A105" s="26" t="s">
        <v>162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7">
        <f>SUBTOTAL(109,'Jan-Mar'!$B105:$AF105)</f>
        <v>0</v>
      </c>
    </row>
    <row r="106" spans="1:33" s="102" customFormat="1" ht="15" customHeight="1">
      <c r="A106" s="26" t="s">
        <v>162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7">
        <f>SUBTOTAL(109,'Jan-Mar'!$B106:$AF106)</f>
        <v>0</v>
      </c>
    </row>
    <row r="107" spans="1:33" s="102" customFormat="1" ht="15" customHeight="1">
      <c r="A107" s="26" t="s">
        <v>162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7">
        <f>SUBTOTAL(109,'Jan-Mar'!$B107:$AF107)</f>
        <v>0</v>
      </c>
    </row>
    <row r="108" spans="1:33" ht="15" customHeight="1">
      <c r="A108" s="15" t="str">
        <f>A75&amp;" Total"</f>
        <v>March Total</v>
      </c>
      <c r="B108" s="38">
        <f>SUBTOTAL(103,tblMarch[1])</f>
        <v>0</v>
      </c>
      <c r="C108" s="38">
        <f>SUBTOTAL(103,tblMarch[2])</f>
        <v>0</v>
      </c>
      <c r="D108" s="38">
        <f>SUBTOTAL(103,tblMarch[3])</f>
        <v>0</v>
      </c>
      <c r="E108" s="38">
        <f>SUBTOTAL(103,tblMarch[4])</f>
        <v>0</v>
      </c>
      <c r="F108" s="38">
        <f>SUBTOTAL(103,tblMarch[5])</f>
        <v>0</v>
      </c>
      <c r="G108" s="38">
        <f>SUBTOTAL(103,tblMarch[6])</f>
        <v>3</v>
      </c>
      <c r="H108" s="38">
        <f>SUBTOTAL(103,tblMarch[7])</f>
        <v>2</v>
      </c>
      <c r="I108" s="38">
        <f>SUBTOTAL(103,tblMarch[8])</f>
        <v>1</v>
      </c>
      <c r="J108" s="38">
        <f>SUBTOTAL(103,tblMarch[9])</f>
        <v>2</v>
      </c>
      <c r="K108" s="38">
        <f>SUBTOTAL(103,tblMarch[10])</f>
        <v>0</v>
      </c>
      <c r="L108" s="38">
        <f>SUBTOTAL(103,tblMarch[11])</f>
        <v>0</v>
      </c>
      <c r="M108" s="38">
        <f>SUBTOTAL(103,tblMarch[12])</f>
        <v>0</v>
      </c>
      <c r="N108" s="38">
        <f>SUBTOTAL(103,tblMarch[13])</f>
        <v>1</v>
      </c>
      <c r="O108" s="38">
        <f>SUBTOTAL(103,tblMarch[14])</f>
        <v>1</v>
      </c>
      <c r="P108" s="38">
        <f>SUBTOTAL(103,tblMarch[15])</f>
        <v>0</v>
      </c>
      <c r="Q108" s="38">
        <f>SUBTOTAL(103,tblMarch[16])</f>
        <v>0</v>
      </c>
      <c r="R108" s="38">
        <f>SUBTOTAL(103,tblMarch[17])</f>
        <v>0</v>
      </c>
      <c r="S108" s="38">
        <f>SUBTOTAL(103,tblMarch[18])</f>
        <v>0</v>
      </c>
      <c r="T108" s="38">
        <f>SUBTOTAL(103,tblMarch[19])</f>
        <v>0</v>
      </c>
      <c r="U108" s="38">
        <f>SUBTOTAL(103,tblMarch[20])</f>
        <v>0</v>
      </c>
      <c r="V108" s="38">
        <f>SUBTOTAL(103,tblMarch[21])</f>
        <v>1</v>
      </c>
      <c r="W108" s="38">
        <f>SUBTOTAL(103,tblMarch[22])</f>
        <v>0</v>
      </c>
      <c r="X108" s="38">
        <f>SUBTOTAL(103,tblMarch[23])</f>
        <v>1</v>
      </c>
      <c r="Y108" s="38">
        <f>SUBTOTAL(103,tblMarch[24])</f>
        <v>0</v>
      </c>
      <c r="Z108" s="38">
        <f>SUBTOTAL(103,tblMarch[25])</f>
        <v>0</v>
      </c>
      <c r="AA108" s="38">
        <f>SUBTOTAL(103,tblMarch[26])</f>
        <v>0</v>
      </c>
      <c r="AB108" s="38">
        <f>SUBTOTAL(103,tblMarch[27])</f>
        <v>0</v>
      </c>
      <c r="AC108" s="38">
        <f>SUBTOTAL(103,tblMarch[28])</f>
        <v>0</v>
      </c>
      <c r="AD108" s="38">
        <f>SUBTOTAL(103,tblMarch[29])</f>
        <v>0</v>
      </c>
      <c r="AE108" s="38">
        <f>SUBTOTAL(109,tblMarch[30])</f>
        <v>0</v>
      </c>
      <c r="AF108" s="38">
        <f>SUBTOTAL(109,tblMarch[31])</f>
        <v>0</v>
      </c>
      <c r="AG108" s="36">
        <f>SUBTOTAL(109,tblMarch[Total Hours])</f>
        <v>0</v>
      </c>
    </row>
  </sheetData>
  <mergeCells count="9">
    <mergeCell ref="A75:A76"/>
    <mergeCell ref="B75:AF75"/>
    <mergeCell ref="AG75:AG76"/>
    <mergeCell ref="B2:AF2"/>
    <mergeCell ref="A2:A3"/>
    <mergeCell ref="AG2:AG3"/>
    <mergeCell ref="A40:A41"/>
    <mergeCell ref="B40:AF40"/>
    <mergeCell ref="AG40:AG41"/>
  </mergeCells>
  <phoneticPr fontId="12" type="noConversion"/>
  <conditionalFormatting sqref="B5:AF35">
    <cfRule type="expression" priority="26" stopIfTrue="1">
      <formula>B5=""</formula>
    </cfRule>
    <cfRule type="expression" dxfId="571" priority="31" stopIfTrue="1">
      <formula>B5=KeyCustom2</formula>
    </cfRule>
    <cfRule type="expression" dxfId="570" priority="32" stopIfTrue="1">
      <formula>B5=KeyCustom1</formula>
    </cfRule>
    <cfRule type="expression" dxfId="569" priority="33" stopIfTrue="1">
      <formula>B5=KeySick</formula>
    </cfRule>
    <cfRule type="expression" dxfId="568" priority="34" stopIfTrue="1">
      <formula>B5=KeyPersonal</formula>
    </cfRule>
    <cfRule type="expression" dxfId="567" priority="35" stopIfTrue="1">
      <formula>B5=KeyVacation</formula>
    </cfRule>
  </conditionalFormatting>
  <conditionalFormatting sqref="AG5:AG35">
    <cfRule type="dataBar" priority="193">
      <dataBar>
        <cfvo type="min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AD42">
    <cfRule type="expression" dxfId="566" priority="24">
      <formula>MONTH(DATE(CalendarYear,2,29))&lt;&gt;2</formula>
    </cfRule>
  </conditionalFormatting>
  <conditionalFormatting sqref="AD41">
    <cfRule type="expression" dxfId="565" priority="23">
      <formula>MONTH(DATE(CalendarYear,2,29))&lt;&gt;2</formula>
    </cfRule>
  </conditionalFormatting>
  <conditionalFormatting sqref="B43:AF43 B45:AF71 B44:D44 F44:AF44">
    <cfRule type="expression" priority="17" stopIfTrue="1">
      <formula>B43=""</formula>
    </cfRule>
    <cfRule type="expression" dxfId="564" priority="18" stopIfTrue="1">
      <formula>B43=KeyCustom2</formula>
    </cfRule>
  </conditionalFormatting>
  <conditionalFormatting sqref="B43:AF43 B45:AF71 B44:D44 F44:AF44">
    <cfRule type="expression" dxfId="563" priority="19" stopIfTrue="1">
      <formula>B43=KeyCustom1</formula>
    </cfRule>
    <cfRule type="expression" dxfId="562" priority="20" stopIfTrue="1">
      <formula>B43=KeySick</formula>
    </cfRule>
    <cfRule type="expression" dxfId="561" priority="21" stopIfTrue="1">
      <formula>B43=KeyPersonal</formula>
    </cfRule>
    <cfRule type="expression" dxfId="560" priority="22" stopIfTrue="1">
      <formula>B43=KeyVacation</formula>
    </cfRule>
  </conditionalFormatting>
  <conditionalFormatting sqref="B78:AF92">
    <cfRule type="expression" priority="11" stopIfTrue="1">
      <formula>B78=""</formula>
    </cfRule>
  </conditionalFormatting>
  <conditionalFormatting sqref="B78:AF92">
    <cfRule type="expression" dxfId="559" priority="12" stopIfTrue="1">
      <formula>B78=KeyCustom2</formula>
    </cfRule>
    <cfRule type="expression" dxfId="558" priority="13" stopIfTrue="1">
      <formula>B78=KeyCustom1</formula>
    </cfRule>
    <cfRule type="expression" dxfId="557" priority="14" stopIfTrue="1">
      <formula>B78=KeySick</formula>
    </cfRule>
    <cfRule type="expression" dxfId="556" priority="15" stopIfTrue="1">
      <formula>B78=KeyPersonal</formula>
    </cfRule>
    <cfRule type="expression" dxfId="555" priority="16" stopIfTrue="1">
      <formula>B78=KeyVacation</formula>
    </cfRule>
  </conditionalFormatting>
  <conditionalFormatting sqref="AG43:AG72">
    <cfRule type="dataBar" priority="9">
      <dataBar>
        <cfvo type="min"/>
        <cfvo type="num" val="31"/>
        <color theme="2" tint="-0.249977111117893"/>
      </dataBar>
      <extLst>
        <ext xmlns:x14="http://schemas.microsoft.com/office/spreadsheetml/2009/9/main" uri="{B025F937-C7B1-47D3-B67F-A62EFF666E3E}">
          <x14:id>{C71F1349-6476-4287-879D-ACD97EADE8F2}</x14:id>
        </ext>
      </extLst>
    </cfRule>
  </conditionalFormatting>
  <conditionalFormatting sqref="AG78:AG92">
    <cfRule type="dataBar" priority="8">
      <dataBar>
        <cfvo type="min"/>
        <cfvo type="num" val="31"/>
        <color theme="2" tint="-0.249977111117893"/>
      </dataBar>
      <extLst>
        <ext xmlns:x14="http://schemas.microsoft.com/office/spreadsheetml/2009/9/main" uri="{B025F937-C7B1-47D3-B67F-A62EFF666E3E}">
          <x14:id>{5F93F597-C2EA-4C13-9016-E4BB3EE79CC7}</x14:id>
        </ext>
      </extLst>
    </cfRule>
  </conditionalFormatting>
  <conditionalFormatting sqref="B93:AF106">
    <cfRule type="expression" priority="2" stopIfTrue="1">
      <formula>B93=""</formula>
    </cfRule>
    <cfRule type="expression" dxfId="554" priority="3" stopIfTrue="1">
      <formula>B93=KeyCustom2</formula>
    </cfRule>
  </conditionalFormatting>
  <conditionalFormatting sqref="B93:AF106">
    <cfRule type="expression" dxfId="553" priority="4" stopIfTrue="1">
      <formula>B93=KeyCustom1</formula>
    </cfRule>
    <cfRule type="expression" dxfId="552" priority="5" stopIfTrue="1">
      <formula>B93=KeySick</formula>
    </cfRule>
    <cfRule type="expression" dxfId="551" priority="6" stopIfTrue="1">
      <formula>B93=KeyPersonal</formula>
    </cfRule>
    <cfRule type="expression" dxfId="550" priority="7" stopIfTrue="1">
      <formula>B93=KeyVacation</formula>
    </cfRule>
  </conditionalFormatting>
  <conditionalFormatting sqref="AG93:AG107">
    <cfRule type="dataBar" priority="1">
      <dataBar>
        <cfvo type="min"/>
        <cfvo type="num" val="31"/>
        <color theme="2" tint="-0.249977111117893"/>
      </dataBar>
      <extLst>
        <ext xmlns:x14="http://schemas.microsoft.com/office/spreadsheetml/2009/9/main" uri="{B025F937-C7B1-47D3-B67F-A62EFF666E3E}">
          <x14:id>{D80D47FB-C492-4636-9E10-678725090247}</x14:id>
        </ext>
      </extLst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AG5:AG35</xm:sqref>
        </x14:conditionalFormatting>
        <x14:conditionalFormatting xmlns:xm="http://schemas.microsoft.com/office/excel/2006/main">
          <x14:cfRule type="dataBar" id="{C71F1349-6476-4287-879D-ACD97EADE8F2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AG43:AG72</xm:sqref>
        </x14:conditionalFormatting>
        <x14:conditionalFormatting xmlns:xm="http://schemas.microsoft.com/office/excel/2006/main">
          <x14:cfRule type="dataBar" id="{5F93F597-C2EA-4C13-9016-E4BB3EE79CC7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AG78:AG92</xm:sqref>
        </x14:conditionalFormatting>
        <x14:conditionalFormatting xmlns:xm="http://schemas.microsoft.com/office/excel/2006/main">
          <x14:cfRule type="dataBar" id="{D80D47FB-C492-4636-9E10-678725090247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AG93:AG107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G107"/>
  <sheetViews>
    <sheetView showGridLines="0" tabSelected="1" zoomScaleNormal="100" workbookViewId="0">
      <selection activeCell="AG11" sqref="AG11"/>
    </sheetView>
  </sheetViews>
  <sheetFormatPr defaultColWidth="9.140625"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>
      <c r="A1" s="1" t="s">
        <v>0</v>
      </c>
    </row>
    <row r="2" spans="1:33" ht="30" customHeight="1">
      <c r="A2" s="131" t="s">
        <v>40</v>
      </c>
      <c r="B2" s="132" t="s">
        <v>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3">
        <f>CalendarYear</f>
        <v>2017</v>
      </c>
    </row>
    <row r="3" spans="1:33" ht="15.75" customHeight="1">
      <c r="A3" s="131"/>
      <c r="B3" s="9" t="str">
        <f>TEXT(WEEKDAY(DATE(CalendarYear,4,1),1),"aaa")</f>
        <v>Sat</v>
      </c>
      <c r="C3" s="9" t="str">
        <f>TEXT(WEEKDAY(DATE(CalendarYear,4,2),1),"aaa")</f>
        <v>Sun</v>
      </c>
      <c r="D3" s="9" t="str">
        <f>TEXT(WEEKDAY(DATE(CalendarYear,4,3),1),"aaa")</f>
        <v>Mon</v>
      </c>
      <c r="E3" s="9" t="str">
        <f>TEXT(WEEKDAY(DATE(CalendarYear,4,4),1),"aaa")</f>
        <v>Tue</v>
      </c>
      <c r="F3" s="9" t="str">
        <f>TEXT(WEEKDAY(DATE(CalendarYear,4,5),1),"aaa")</f>
        <v>Wed</v>
      </c>
      <c r="G3" s="9" t="str">
        <f>TEXT(WEEKDAY(DATE(CalendarYear,4,6),1),"aaa")</f>
        <v>Thu</v>
      </c>
      <c r="H3" s="9" t="str">
        <f>TEXT(WEEKDAY(DATE(CalendarYear,4,7),1),"aaa")</f>
        <v>Fri</v>
      </c>
      <c r="I3" s="9" t="str">
        <f>TEXT(WEEKDAY(DATE(CalendarYear,4,8),1),"aaa")</f>
        <v>Sat</v>
      </c>
      <c r="J3" s="9" t="str">
        <f>TEXT(WEEKDAY(DATE(CalendarYear,4,9),1),"aaa")</f>
        <v>Sun</v>
      </c>
      <c r="K3" s="9" t="str">
        <f>TEXT(WEEKDAY(DATE(CalendarYear,4,10),1),"aaa")</f>
        <v>Mon</v>
      </c>
      <c r="L3" s="9" t="str">
        <f>TEXT(WEEKDAY(DATE(CalendarYear,4,11),1),"aaa")</f>
        <v>Tue</v>
      </c>
      <c r="M3" s="9" t="str">
        <f>TEXT(WEEKDAY(DATE(CalendarYear,4,12),1),"aaa")</f>
        <v>Wed</v>
      </c>
      <c r="N3" s="9" t="str">
        <f>TEXT(WEEKDAY(DATE(CalendarYear,4,13),1),"aaa")</f>
        <v>Thu</v>
      </c>
      <c r="O3" s="9" t="str">
        <f>TEXT(WEEKDAY(DATE(CalendarYear,4,14),1),"aaa")</f>
        <v>Fri</v>
      </c>
      <c r="P3" s="9" t="str">
        <f>TEXT(WEEKDAY(DATE(CalendarYear,4,15),1),"aaa")</f>
        <v>Sat</v>
      </c>
      <c r="Q3" s="9" t="str">
        <f>TEXT(WEEKDAY(DATE(CalendarYear,4,16),1),"aaa")</f>
        <v>Sun</v>
      </c>
      <c r="R3" s="9" t="str">
        <f>TEXT(WEEKDAY(DATE(CalendarYear,4,17),1),"aaa")</f>
        <v>Mon</v>
      </c>
      <c r="S3" s="9" t="str">
        <f>TEXT(WEEKDAY(DATE(CalendarYear,4,18),1),"aaa")</f>
        <v>Tue</v>
      </c>
      <c r="T3" s="9" t="str">
        <f>TEXT(WEEKDAY(DATE(CalendarYear,4,19),1),"aaa")</f>
        <v>Wed</v>
      </c>
      <c r="U3" s="9" t="str">
        <f>TEXT(WEEKDAY(DATE(CalendarYear,4,20),1),"aaa")</f>
        <v>Thu</v>
      </c>
      <c r="V3" s="9" t="str">
        <f>TEXT(WEEKDAY(DATE(CalendarYear,4,21),1),"aaa")</f>
        <v>Fri</v>
      </c>
      <c r="W3" s="9" t="str">
        <f>TEXT(WEEKDAY(DATE(CalendarYear,4,22),1),"aaa")</f>
        <v>Sat</v>
      </c>
      <c r="X3" s="9" t="str">
        <f>TEXT(WEEKDAY(DATE(CalendarYear,4,23),1),"aaa")</f>
        <v>Sun</v>
      </c>
      <c r="Y3" s="9" t="str">
        <f>TEXT(WEEKDAY(DATE(CalendarYear,4,24),1),"aaa")</f>
        <v>Mon</v>
      </c>
      <c r="Z3" s="9" t="str">
        <f>TEXT(WEEKDAY(DATE(CalendarYear,4,25),1),"aaa")</f>
        <v>Tue</v>
      </c>
      <c r="AA3" s="9" t="str">
        <f>TEXT(WEEKDAY(DATE(CalendarYear,4,26),1),"aaa")</f>
        <v>Wed</v>
      </c>
      <c r="AB3" s="9" t="str">
        <f>TEXT(WEEKDAY(DATE(CalendarYear,4,27),1),"aaa")</f>
        <v>Thu</v>
      </c>
      <c r="AC3" s="9" t="str">
        <f>TEXT(WEEKDAY(DATE(CalendarYear,4,28),1),"aaa")</f>
        <v>Fri</v>
      </c>
      <c r="AD3" s="9" t="str">
        <f>TEXT(WEEKDAY(DATE(CalendarYear,4,29),1),"aaa")</f>
        <v>Sat</v>
      </c>
      <c r="AE3" s="9" t="str">
        <f>TEXT(WEEKDAY(DATE(CalendarYear,4,30),1),"aaa")</f>
        <v>Sun</v>
      </c>
      <c r="AF3" s="9"/>
      <c r="AG3" s="133"/>
    </row>
    <row r="4" spans="1:33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34</v>
      </c>
      <c r="AG4" s="54" t="s">
        <v>90</v>
      </c>
    </row>
    <row r="5" spans="1:33">
      <c r="A5" s="26" t="s">
        <v>49</v>
      </c>
      <c r="B5" s="3"/>
      <c r="C5" s="3"/>
      <c r="D5" s="3"/>
      <c r="E5" s="3"/>
      <c r="F5" s="3">
        <v>3</v>
      </c>
      <c r="G5" s="3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2.5</v>
      </c>
      <c r="AD5" s="3"/>
      <c r="AE5" s="3"/>
      <c r="AF5" s="3"/>
      <c r="AG5" s="30">
        <f>SUBTOTAL(109,'Apr-Jun'!$B5:$AF5)</f>
        <v>8.5</v>
      </c>
    </row>
    <row r="6" spans="1:33">
      <c r="A6" s="26" t="s">
        <v>50</v>
      </c>
      <c r="B6" s="3"/>
      <c r="C6" s="3"/>
      <c r="D6" s="3"/>
      <c r="E6" s="3"/>
      <c r="F6" s="3">
        <v>8</v>
      </c>
      <c r="G6" s="3">
        <v>8</v>
      </c>
      <c r="H6" s="3">
        <v>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4</v>
      </c>
      <c r="AD6" s="3"/>
      <c r="AE6" s="3"/>
      <c r="AF6" s="3"/>
      <c r="AG6" s="30">
        <f>SUBTOTAL(109,'Apr-Jun'!$B6:$AF6)</f>
        <v>28</v>
      </c>
    </row>
    <row r="7" spans="1:33" ht="15" customHeight="1">
      <c r="A7" s="26" t="s">
        <v>51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3</v>
      </c>
      <c r="X7" s="3"/>
      <c r="Y7" s="3"/>
      <c r="Z7" s="3"/>
      <c r="AA7" s="3"/>
      <c r="AB7" s="3"/>
      <c r="AC7" s="3"/>
      <c r="AD7" s="3"/>
      <c r="AE7" s="3"/>
      <c r="AF7" s="3"/>
      <c r="AG7" s="30">
        <f>SUBTOTAL(109,'Apr-Jun'!$B7:$AF7)</f>
        <v>3</v>
      </c>
    </row>
    <row r="8" spans="1:33" ht="15" customHeight="1">
      <c r="A8" s="26" t="s">
        <v>52</v>
      </c>
      <c r="B8" s="3"/>
      <c r="C8" s="3"/>
      <c r="D8" s="3"/>
      <c r="E8" s="3"/>
      <c r="F8" s="3">
        <v>3</v>
      </c>
      <c r="G8" s="3"/>
      <c r="H8" s="3"/>
      <c r="I8" s="3"/>
      <c r="J8" s="3"/>
      <c r="K8" s="3"/>
      <c r="L8" s="3"/>
      <c r="M8" s="3"/>
      <c r="N8" s="3">
        <v>8</v>
      </c>
      <c r="O8" s="3">
        <v>8</v>
      </c>
      <c r="P8" s="3"/>
      <c r="Q8" s="3"/>
      <c r="R8" s="3"/>
      <c r="S8" s="3"/>
      <c r="T8" s="3">
        <v>1.5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0">
        <f>SUBTOTAL(109,'Apr-Jun'!$B8:$AF8)</f>
        <v>20.5</v>
      </c>
    </row>
    <row r="9" spans="1:33" ht="15" customHeight="1">
      <c r="A9" s="26" t="s">
        <v>53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0">
        <f>SUBTOTAL(109,'Apr-Jun'!$B9:$AF9)</f>
        <v>0</v>
      </c>
    </row>
    <row r="10" spans="1:33" s="33" customFormat="1" ht="15" customHeight="1">
      <c r="A10" s="26" t="s">
        <v>54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>
        <f>SUBTOTAL(109,'Apr-Jun'!$B10:$AF10)</f>
        <v>0</v>
      </c>
    </row>
    <row r="11" spans="1:33" s="33" customFormat="1" ht="15" customHeight="1">
      <c r="A11" s="26" t="s">
        <v>55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>
        <f>SUBTOTAL(109,'Apr-Jun'!$B11:$AF11)</f>
        <v>0</v>
      </c>
    </row>
    <row r="12" spans="1:33" s="33" customFormat="1" ht="15" customHeight="1">
      <c r="A12" s="26" t="s">
        <v>56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>
        <f>SUBTOTAL(109,'Apr-Jun'!$B12:$AF12)</f>
        <v>0</v>
      </c>
    </row>
    <row r="13" spans="1:33" s="33" customFormat="1" ht="15" customHeight="1">
      <c r="A13" s="26" t="s">
        <v>57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>
        <f>SUBTOTAL(109,'Apr-Jun'!$B13:$AF13)</f>
        <v>0</v>
      </c>
    </row>
    <row r="14" spans="1:33" s="33" customFormat="1" ht="15" customHeight="1">
      <c r="A14" s="26" t="s">
        <v>58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>
        <f>SUBTOTAL(109,'Apr-Jun'!$B14:$AF14)</f>
        <v>0</v>
      </c>
    </row>
    <row r="15" spans="1:33" s="33" customFormat="1" ht="15" customHeight="1">
      <c r="A15" s="26" t="s">
        <v>59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>
        <f>SUBTOTAL(109,'Apr-Jun'!$B15:$AF15)</f>
        <v>0</v>
      </c>
    </row>
    <row r="16" spans="1:33" ht="15" customHeight="1">
      <c r="A16" s="26" t="s">
        <v>60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>
        <f>SUBTOTAL(109,'Apr-Jun'!$B16:$AF16)</f>
        <v>0</v>
      </c>
    </row>
    <row r="17" spans="1:33" ht="15" customHeight="1">
      <c r="A17" s="26" t="s">
        <v>61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>
        <f>SUBTOTAL(109,'Apr-Jun'!$B17:$AF17)</f>
        <v>0</v>
      </c>
    </row>
    <row r="18" spans="1:33" ht="15" customHeight="1">
      <c r="A18" s="26" t="s">
        <v>62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>
        <v>8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>
        <f>SUBTOTAL(109,'Apr-Jun'!$B18:$AF18)</f>
        <v>8</v>
      </c>
    </row>
    <row r="19" spans="1:33" s="33" customFormat="1" ht="15" customHeight="1">
      <c r="A19" s="40" t="s">
        <v>67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>
        <f>SUBTOTAL(109,'Apr-Jun'!$B19:$AF19)</f>
        <v>0</v>
      </c>
    </row>
    <row r="20" spans="1:33" s="102" customFormat="1" ht="15" customHeight="1">
      <c r="A20" s="26" t="s">
        <v>152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107">
        <f>SUBTOTAL(109,'Apr-Jun'!$B20:$AF20)</f>
        <v>0</v>
      </c>
    </row>
    <row r="21" spans="1:33" s="102" customFormat="1" ht="15" customHeight="1">
      <c r="A21" s="26" t="s">
        <v>153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107">
        <f>SUBTOTAL(109,'Apr-Jun'!$B21:$AF21)</f>
        <v>0</v>
      </c>
    </row>
    <row r="22" spans="1:33" s="102" customFormat="1" ht="15" customHeight="1">
      <c r="A22" s="26" t="s">
        <v>154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107">
        <f>SUBTOTAL(109,'Apr-Jun'!$B22:$AF22)</f>
        <v>0</v>
      </c>
    </row>
    <row r="23" spans="1:33" s="102" customFormat="1" ht="15" customHeight="1">
      <c r="A23" s="26" t="s">
        <v>155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107">
        <f>SUBTOTAL(109,'Apr-Jun'!$B23:$AF23)</f>
        <v>0</v>
      </c>
    </row>
    <row r="24" spans="1:33" s="102" customFormat="1" ht="15" customHeight="1">
      <c r="A24" s="26" t="s">
        <v>156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107">
        <f>SUBTOTAL(109,'Apr-Jun'!$B24:$AF24)</f>
        <v>0</v>
      </c>
    </row>
    <row r="25" spans="1:33" s="102" customFormat="1" ht="15" customHeight="1">
      <c r="A25" s="26" t="s">
        <v>157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107">
        <f>SUBTOTAL(109,'Apr-Jun'!$B25:$AF25)</f>
        <v>0</v>
      </c>
    </row>
    <row r="26" spans="1:33" s="102" customFormat="1" ht="15" customHeight="1">
      <c r="A26" s="26" t="s">
        <v>158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107">
        <f>SUBTOTAL(109,'Apr-Jun'!$B26:$AF26)</f>
        <v>0</v>
      </c>
    </row>
    <row r="27" spans="1:33" s="102" customFormat="1" ht="15" customHeight="1">
      <c r="A27" s="26" t="s">
        <v>159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107">
        <f>SUBTOTAL(109,'Apr-Jun'!$B27:$AF27)</f>
        <v>0</v>
      </c>
    </row>
    <row r="28" spans="1:33" s="102" customFormat="1" ht="15" customHeight="1">
      <c r="A28" s="26" t="s">
        <v>160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107">
        <f>SUBTOTAL(109,'Apr-Jun'!$B28:$AF28)</f>
        <v>0</v>
      </c>
    </row>
    <row r="29" spans="1:33" s="102" customFormat="1" ht="15" customHeight="1">
      <c r="A29" s="26" t="s">
        <v>161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107">
        <f>SUBTOTAL(109,'Apr-Jun'!$B29:$AF29)</f>
        <v>0</v>
      </c>
    </row>
    <row r="30" spans="1:33" s="102" customFormat="1" ht="15" customHeight="1">
      <c r="A30" s="40" t="s">
        <v>162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107">
        <f>SUBTOTAL(109,'Apr-Jun'!$B30:$AF30)</f>
        <v>0</v>
      </c>
    </row>
    <row r="31" spans="1:33" s="102" customFormat="1" ht="15" customHeight="1">
      <c r="A31" s="40" t="s">
        <v>162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107">
        <f>SUBTOTAL(109,'Apr-Jun'!$B31:$AF31)</f>
        <v>0</v>
      </c>
    </row>
    <row r="32" spans="1:33" s="102" customFormat="1" ht="15" customHeight="1">
      <c r="A32" s="40" t="s">
        <v>162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107">
        <f>SUBTOTAL(109,'Apr-Jun'!$B32:$AF32)</f>
        <v>0</v>
      </c>
    </row>
    <row r="33" spans="1:33" s="102" customFormat="1" ht="15" customHeight="1">
      <c r="A33" s="40" t="s">
        <v>162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107">
        <f>SUBTOTAL(109,'Apr-Jun'!$B33:$AF33)</f>
        <v>0</v>
      </c>
    </row>
    <row r="34" spans="1:33" s="102" customFormat="1" ht="15" customHeight="1">
      <c r="A34" s="40" t="s">
        <v>162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107">
        <f>SUBTOTAL(109,'Apr-Jun'!$B34:$AF34)</f>
        <v>0</v>
      </c>
    </row>
    <row r="35" spans="1:33" ht="15" customHeight="1">
      <c r="A35" s="15" t="str">
        <f>MonthName&amp;" Total"</f>
        <v>April Total</v>
      </c>
      <c r="B35" s="38">
        <f>SUBTOTAL(103,tblApril[1])</f>
        <v>0</v>
      </c>
      <c r="C35" s="38">
        <f>SUBTOTAL(103,tblApril[2])</f>
        <v>0</v>
      </c>
      <c r="D35" s="38">
        <f>SUBTOTAL(103,tblApril[3])</f>
        <v>0</v>
      </c>
      <c r="E35" s="38">
        <f>SUBTOTAL(103,tblApril[4])</f>
        <v>0</v>
      </c>
      <c r="F35" s="38">
        <f>SUBTOTAL(103,tblApril[5])</f>
        <v>3</v>
      </c>
      <c r="G35" s="38">
        <f>SUBTOTAL(103,tblApril[6])</f>
        <v>2</v>
      </c>
      <c r="H35" s="38">
        <f>SUBTOTAL(103,tblApril[7])</f>
        <v>1</v>
      </c>
      <c r="I35" s="38">
        <f>SUBTOTAL(103,tblApril[8])</f>
        <v>0</v>
      </c>
      <c r="J35" s="38">
        <f>SUBTOTAL(103,tblApril[9])</f>
        <v>0</v>
      </c>
      <c r="K35" s="38">
        <f>SUBTOTAL(103,tblApril[10])</f>
        <v>0</v>
      </c>
      <c r="L35" s="38">
        <f>SUBTOTAL(103,tblApril[11])</f>
        <v>0</v>
      </c>
      <c r="M35" s="38">
        <f>SUBTOTAL(103,tblApril[12])</f>
        <v>0</v>
      </c>
      <c r="N35" s="38">
        <f>SUBTOTAL(103,tblApril[13])</f>
        <v>1</v>
      </c>
      <c r="O35" s="38">
        <f>SUBTOTAL(103,tblApril[14])</f>
        <v>1</v>
      </c>
      <c r="P35" s="38">
        <f>SUBTOTAL(103,tblApril[15])</f>
        <v>0</v>
      </c>
      <c r="Q35" s="38">
        <f>SUBTOTAL(103,tblApril[16])</f>
        <v>0</v>
      </c>
      <c r="R35" s="38">
        <f>SUBTOTAL(103,tblApril[17])</f>
        <v>0</v>
      </c>
      <c r="S35" s="38">
        <f>SUBTOTAL(103,tblApril[18])</f>
        <v>1</v>
      </c>
      <c r="T35" s="38">
        <f>SUBTOTAL(103,tblApril[19])</f>
        <v>1</v>
      </c>
      <c r="U35" s="38">
        <f>SUBTOTAL(103,tblApril[20])</f>
        <v>0</v>
      </c>
      <c r="V35" s="38">
        <f>SUBTOTAL(103,tblApril[21])</f>
        <v>0</v>
      </c>
      <c r="W35" s="38">
        <f>SUBTOTAL(103,tblApril[22])</f>
        <v>1</v>
      </c>
      <c r="X35" s="38">
        <f>SUBTOTAL(103,tblApril[23])</f>
        <v>0</v>
      </c>
      <c r="Y35" s="38">
        <f>SUBTOTAL(103,tblApril[24])</f>
        <v>0</v>
      </c>
      <c r="Z35" s="38">
        <f>SUBTOTAL(103,tblApril[25])</f>
        <v>0</v>
      </c>
      <c r="AA35" s="38">
        <f>SUBTOTAL(103,tblApril[26])</f>
        <v>0</v>
      </c>
      <c r="AB35" s="38">
        <f>SUBTOTAL(103,tblApril[27])</f>
        <v>0</v>
      </c>
      <c r="AC35" s="38">
        <f>SUBTOTAL(103,tblApril[28])</f>
        <v>2</v>
      </c>
      <c r="AD35" s="38">
        <f>SUBTOTAL(103,tblApril[29])</f>
        <v>0</v>
      </c>
      <c r="AE35" s="38">
        <f>SUBTOTAL(109,tblApril[30])</f>
        <v>0</v>
      </c>
      <c r="AF35" s="38"/>
      <c r="AG35" s="39">
        <f>SUBTOTAL(109,tblApril[Total Hours])</f>
        <v>0</v>
      </c>
    </row>
    <row r="37" spans="1:33" ht="15" customHeight="1">
      <c r="B37" s="32" t="str">
        <f>'Jan-Mar'!B38</f>
        <v>Color Key</v>
      </c>
      <c r="C37" s="24"/>
      <c r="D37" s="24"/>
      <c r="E37" s="17" t="str">
        <f>KeyVacation</f>
        <v>N</v>
      </c>
      <c r="F37" s="18" t="str">
        <f>KeyVacationLabel</f>
        <v>公司年假</v>
      </c>
      <c r="G37" s="18"/>
      <c r="H37" s="18"/>
      <c r="I37" s="19" t="str">
        <f>KeyPersonal</f>
        <v>No.</v>
      </c>
      <c r="J37" s="18" t="str">
        <f>KeyPersonalLabel</f>
        <v>串休</v>
      </c>
      <c r="K37" s="18"/>
      <c r="L37" s="18"/>
      <c r="M37" s="20"/>
      <c r="N37" s="18"/>
      <c r="O37" s="18"/>
      <c r="P37" s="21"/>
      <c r="Q37" s="18"/>
      <c r="R37" s="18"/>
      <c r="S37" s="18"/>
      <c r="T37" s="22"/>
      <c r="U37" s="18"/>
      <c r="V37" s="18"/>
      <c r="W37" s="18"/>
    </row>
    <row r="39" spans="1:33" ht="15" customHeight="1">
      <c r="A39" s="131" t="s">
        <v>41</v>
      </c>
      <c r="B39" s="132" t="s">
        <v>1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3">
        <f>CalendarYear</f>
        <v>2017</v>
      </c>
    </row>
    <row r="40" spans="1:33" ht="15" customHeight="1">
      <c r="A40" s="131"/>
      <c r="B40" s="9" t="str">
        <f>TEXT(WEEKDAY(DATE(CalendarYear,5,1),1),"aaa")</f>
        <v>Mon</v>
      </c>
      <c r="C40" s="9" t="str">
        <f>TEXT(WEEKDAY(DATE(CalendarYear,5,2),1),"aaa")</f>
        <v>Tue</v>
      </c>
      <c r="D40" s="9" t="str">
        <f>TEXT(WEEKDAY(DATE(CalendarYear,5,3),1),"aaa")</f>
        <v>Wed</v>
      </c>
      <c r="E40" s="9" t="str">
        <f>TEXT(WEEKDAY(DATE(CalendarYear,5,4),1),"aaa")</f>
        <v>Thu</v>
      </c>
      <c r="F40" s="9" t="str">
        <f>TEXT(WEEKDAY(DATE(CalendarYear,5,5),1),"aaa")</f>
        <v>Fri</v>
      </c>
      <c r="G40" s="9" t="str">
        <f>TEXT(WEEKDAY(DATE(CalendarYear,5,6),1),"aaa")</f>
        <v>Sat</v>
      </c>
      <c r="H40" s="9" t="str">
        <f>TEXT(WEEKDAY(DATE(CalendarYear,5,7),1),"aaa")</f>
        <v>Sun</v>
      </c>
      <c r="I40" s="9" t="str">
        <f>TEXT(WEEKDAY(DATE(CalendarYear,5,8),1),"aaa")</f>
        <v>Mon</v>
      </c>
      <c r="J40" s="9" t="str">
        <f>TEXT(WEEKDAY(DATE(CalendarYear,5,9),1),"aaa")</f>
        <v>Tue</v>
      </c>
      <c r="K40" s="9" t="str">
        <f>TEXT(WEEKDAY(DATE(CalendarYear,5,10),1),"aaa")</f>
        <v>Wed</v>
      </c>
      <c r="L40" s="9" t="str">
        <f>TEXT(WEEKDAY(DATE(CalendarYear,5,11),1),"aaa")</f>
        <v>Thu</v>
      </c>
      <c r="M40" s="9" t="str">
        <f>TEXT(WEEKDAY(DATE(CalendarYear,5,12),1),"aaa")</f>
        <v>Fri</v>
      </c>
      <c r="N40" s="9" t="str">
        <f>TEXT(WEEKDAY(DATE(CalendarYear,5,13),1),"aaa")</f>
        <v>Sat</v>
      </c>
      <c r="O40" s="9" t="str">
        <f>TEXT(WEEKDAY(DATE(CalendarYear,5,14),1),"aaa")</f>
        <v>Sun</v>
      </c>
      <c r="P40" s="9" t="str">
        <f>TEXT(WEEKDAY(DATE(CalendarYear,5,15),1),"aaa")</f>
        <v>Mon</v>
      </c>
      <c r="Q40" s="9" t="str">
        <f>TEXT(WEEKDAY(DATE(CalendarYear,5,16),1),"aaa")</f>
        <v>Tue</v>
      </c>
      <c r="R40" s="9" t="str">
        <f>TEXT(WEEKDAY(DATE(CalendarYear,5,17),1),"aaa")</f>
        <v>Wed</v>
      </c>
      <c r="S40" s="9" t="str">
        <f>TEXT(WEEKDAY(DATE(CalendarYear,5,18),1),"aaa")</f>
        <v>Thu</v>
      </c>
      <c r="T40" s="9" t="str">
        <f>TEXT(WEEKDAY(DATE(CalendarYear,5,19),1),"aaa")</f>
        <v>Fri</v>
      </c>
      <c r="U40" s="9" t="str">
        <f>TEXT(WEEKDAY(DATE(CalendarYear,5,20),1),"aaa")</f>
        <v>Sat</v>
      </c>
      <c r="V40" s="9" t="str">
        <f>TEXT(WEEKDAY(DATE(CalendarYear,5,21),1),"aaa")</f>
        <v>Sun</v>
      </c>
      <c r="W40" s="9" t="str">
        <f>TEXT(WEEKDAY(DATE(CalendarYear,5,22),1),"aaa")</f>
        <v>Mon</v>
      </c>
      <c r="X40" s="9" t="str">
        <f>TEXT(WEEKDAY(DATE(CalendarYear,5,23),1),"aaa")</f>
        <v>Tue</v>
      </c>
      <c r="Y40" s="9" t="str">
        <f>TEXT(WEEKDAY(DATE(CalendarYear,5,24),1),"aaa")</f>
        <v>Wed</v>
      </c>
      <c r="Z40" s="9" t="str">
        <f>TEXT(WEEKDAY(DATE(CalendarYear,5,25),1),"aaa")</f>
        <v>Thu</v>
      </c>
      <c r="AA40" s="9" t="str">
        <f>TEXT(WEEKDAY(DATE(CalendarYear,5,26),1),"aaa")</f>
        <v>Fri</v>
      </c>
      <c r="AB40" s="9" t="str">
        <f>TEXT(WEEKDAY(DATE(CalendarYear,5,27),1),"aaa")</f>
        <v>Sat</v>
      </c>
      <c r="AC40" s="9" t="str">
        <f>TEXT(WEEKDAY(DATE(CalendarYear,5,28),1),"aaa")</f>
        <v>Sun</v>
      </c>
      <c r="AD40" s="9" t="str">
        <f>TEXT(WEEKDAY(DATE(CalendarYear,5,29),1),"aaa")</f>
        <v>Mon</v>
      </c>
      <c r="AE40" s="9" t="str">
        <f>TEXT(WEEKDAY(DATE(CalendarYear,5,30),1),"aaa")</f>
        <v>Tue</v>
      </c>
      <c r="AF40" s="9" t="str">
        <f>TEXT(WEEKDAY(DATE(CalendarYear,5,31),1),"aaa")</f>
        <v>Wed</v>
      </c>
      <c r="AG40" s="133"/>
    </row>
    <row r="41" spans="1:33" ht="15" customHeight="1">
      <c r="A41" s="15" t="s">
        <v>2</v>
      </c>
      <c r="B41" s="9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9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9" t="s">
        <v>13</v>
      </c>
      <c r="M41" s="9" t="s">
        <v>14</v>
      </c>
      <c r="N41" s="9" t="s">
        <v>15</v>
      </c>
      <c r="O41" s="9" t="s">
        <v>16</v>
      </c>
      <c r="P41" s="9" t="s">
        <v>17</v>
      </c>
      <c r="Q41" s="9" t="s">
        <v>18</v>
      </c>
      <c r="R41" s="9" t="s">
        <v>19</v>
      </c>
      <c r="S41" s="9" t="s">
        <v>20</v>
      </c>
      <c r="T41" s="9" t="s">
        <v>21</v>
      </c>
      <c r="U41" s="9" t="s">
        <v>22</v>
      </c>
      <c r="V41" s="9" t="s">
        <v>23</v>
      </c>
      <c r="W41" s="9" t="s">
        <v>24</v>
      </c>
      <c r="X41" s="9" t="s">
        <v>25</v>
      </c>
      <c r="Y41" s="9" t="s">
        <v>26</v>
      </c>
      <c r="Z41" s="9" t="s">
        <v>27</v>
      </c>
      <c r="AA41" s="9" t="s">
        <v>28</v>
      </c>
      <c r="AB41" s="9" t="s">
        <v>29</v>
      </c>
      <c r="AC41" s="9" t="s">
        <v>30</v>
      </c>
      <c r="AD41" s="9" t="s">
        <v>31</v>
      </c>
      <c r="AE41" s="9" t="s">
        <v>32</v>
      </c>
      <c r="AF41" s="9" t="s">
        <v>33</v>
      </c>
      <c r="AG41" s="54" t="s">
        <v>90</v>
      </c>
    </row>
    <row r="42" spans="1:33" ht="15" customHeight="1">
      <c r="A42" s="26" t="s">
        <v>49</v>
      </c>
      <c r="B42" s="3"/>
      <c r="C42" s="3">
        <v>8</v>
      </c>
      <c r="D42" s="3">
        <v>8</v>
      </c>
      <c r="E42" s="3">
        <v>8</v>
      </c>
      <c r="F42" s="3">
        <v>8</v>
      </c>
      <c r="G42" s="3"/>
      <c r="H42" s="3"/>
      <c r="I42" s="3"/>
      <c r="J42" s="3"/>
      <c r="K42" s="3"/>
      <c r="L42" s="3"/>
      <c r="M42" s="3"/>
      <c r="N42" s="3"/>
      <c r="O42" s="3"/>
      <c r="P42" s="3">
        <v>3</v>
      </c>
      <c r="Q42" s="3"/>
      <c r="R42" s="3"/>
      <c r="S42" s="3"/>
      <c r="T42" s="3"/>
      <c r="U42" s="3"/>
      <c r="V42" s="3"/>
      <c r="W42" s="3"/>
      <c r="X42" s="3">
        <v>2</v>
      </c>
      <c r="Y42" s="3"/>
      <c r="Z42" s="3"/>
      <c r="AA42" s="3"/>
      <c r="AB42" s="3"/>
      <c r="AC42" s="3"/>
      <c r="AD42" s="3"/>
      <c r="AE42" s="3"/>
      <c r="AF42" s="3"/>
      <c r="AG42" s="30">
        <f>SUBTOTAL(109,'Apr-Jun'!$B42:$AF42)</f>
        <v>37</v>
      </c>
    </row>
    <row r="43" spans="1:33" ht="15" customHeight="1">
      <c r="A43" s="26" t="s">
        <v>50</v>
      </c>
      <c r="B43" s="3"/>
      <c r="C43" s="3"/>
      <c r="D43" s="3">
        <v>8</v>
      </c>
      <c r="E43" s="3">
        <v>8</v>
      </c>
      <c r="F43" s="3">
        <v>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8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0">
        <f>SUBTOTAL(109,'Apr-Jun'!$B43:$AF43)</f>
        <v>32</v>
      </c>
    </row>
    <row r="44" spans="1:33" ht="15" customHeight="1">
      <c r="A44" s="26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0">
        <f>SUBTOTAL(109,'Apr-Jun'!$B44:$AF44)</f>
        <v>0</v>
      </c>
    </row>
    <row r="45" spans="1:33" ht="15" customHeight="1">
      <c r="A45" s="26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v>3</v>
      </c>
      <c r="AC45" s="3"/>
      <c r="AD45" s="3"/>
      <c r="AE45" s="3"/>
      <c r="AF45" s="3"/>
      <c r="AG45" s="30">
        <f>SUBTOTAL(109,'Apr-Jun'!$B45:$AF45)</f>
        <v>3</v>
      </c>
    </row>
    <row r="46" spans="1:33" ht="15" customHeight="1">
      <c r="A46" s="26" t="s">
        <v>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0">
        <f>SUBTOTAL(109,'Apr-Jun'!$B46:$AF46)</f>
        <v>0</v>
      </c>
    </row>
    <row r="47" spans="1:33" ht="15" customHeight="1">
      <c r="A47" s="26" t="s">
        <v>54</v>
      </c>
      <c r="B47" s="29"/>
      <c r="C47" s="29"/>
      <c r="D47" s="29"/>
      <c r="E47" s="29"/>
      <c r="F47" s="29"/>
      <c r="G47" s="29"/>
      <c r="H47" s="29"/>
      <c r="I47" s="29"/>
      <c r="J47" s="29"/>
      <c r="K47" s="29">
        <v>8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>
        <v>8</v>
      </c>
      <c r="AA47" s="29"/>
      <c r="AB47" s="29"/>
      <c r="AC47" s="29"/>
      <c r="AD47" s="29"/>
      <c r="AE47" s="29"/>
      <c r="AF47" s="29"/>
      <c r="AG47" s="30">
        <f>SUBTOTAL(109,'Apr-Jun'!$B47:$AF47)</f>
        <v>16</v>
      </c>
    </row>
    <row r="48" spans="1:33" ht="15" customHeight="1">
      <c r="A48" s="26" t="s">
        <v>55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30">
        <f>SUBTOTAL(109,'Apr-Jun'!$B48:$AF48)</f>
        <v>0</v>
      </c>
    </row>
    <row r="49" spans="1:33" ht="15" customHeight="1">
      <c r="A49" s="26" t="s">
        <v>56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30">
        <f>SUBTOTAL(109,'Apr-Jun'!$B49:$AF49)</f>
        <v>0</v>
      </c>
    </row>
    <row r="50" spans="1:33" ht="15" customHeight="1">
      <c r="A50" s="26" t="s">
        <v>57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>
        <v>1</v>
      </c>
      <c r="AG50" s="30">
        <f>SUBTOTAL(109,'Apr-Jun'!$B50:$AF50)</f>
        <v>1</v>
      </c>
    </row>
    <row r="51" spans="1:33" ht="15" customHeight="1">
      <c r="A51" s="26" t="s">
        <v>58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>
        <f>SUBTOTAL(109,'Apr-Jun'!$B51:$AF51)</f>
        <v>0</v>
      </c>
    </row>
    <row r="52" spans="1:33" ht="15" customHeight="1">
      <c r="A52" s="26" t="s">
        <v>59</v>
      </c>
      <c r="B52" s="29"/>
      <c r="C52" s="29"/>
      <c r="D52" s="29"/>
      <c r="E52" s="29"/>
      <c r="F52" s="29">
        <v>8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52" t="s">
        <v>64</v>
      </c>
      <c r="AA52" s="29"/>
      <c r="AB52" s="29"/>
      <c r="AC52" s="29"/>
      <c r="AD52" s="29"/>
      <c r="AE52" s="29"/>
      <c r="AF52" s="29"/>
      <c r="AG52" s="30">
        <f>SUBTOTAL(109,'Apr-Jun'!$B52:$AF52)</f>
        <v>8</v>
      </c>
    </row>
    <row r="53" spans="1:33" ht="15" customHeight="1">
      <c r="A53" s="26" t="s">
        <v>60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30">
        <f>SUBTOTAL(109,'Apr-Jun'!$B53:$AF53)</f>
        <v>0</v>
      </c>
    </row>
    <row r="54" spans="1:33" ht="15" customHeight="1">
      <c r="A54" s="26" t="s">
        <v>61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30">
        <f>SUBTOTAL(109,'Apr-Jun'!$B54:$AF54)</f>
        <v>0</v>
      </c>
    </row>
    <row r="55" spans="1:33" ht="15" customHeight="1">
      <c r="A55" s="26" t="s">
        <v>62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0">
        <f>SUBTOTAL(109,'Apr-Jun'!$B55:$AF55)</f>
        <v>0</v>
      </c>
    </row>
    <row r="56" spans="1:33" ht="15" customHeight="1">
      <c r="A56" s="40" t="s">
        <v>67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0">
        <f>SUBTOTAL(109,'Apr-Jun'!$B56:$AF56)</f>
        <v>0</v>
      </c>
    </row>
    <row r="57" spans="1:33" s="102" customFormat="1" ht="15" customHeight="1">
      <c r="A57" s="26" t="s">
        <v>152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107">
        <f>SUBTOTAL(109,'Apr-Jun'!$B57:$AF57)</f>
        <v>0</v>
      </c>
    </row>
    <row r="58" spans="1:33" s="102" customFormat="1" ht="15" customHeight="1">
      <c r="A58" s="26" t="s">
        <v>153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107">
        <f>SUBTOTAL(109,'Apr-Jun'!$B58:$AF58)</f>
        <v>0</v>
      </c>
    </row>
    <row r="59" spans="1:33" s="102" customFormat="1" ht="15" customHeight="1">
      <c r="A59" s="26" t="s">
        <v>154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107">
        <f>SUBTOTAL(109,'Apr-Jun'!$B59:$AF59)</f>
        <v>0</v>
      </c>
    </row>
    <row r="60" spans="1:33" s="102" customFormat="1" ht="15" customHeight="1">
      <c r="A60" s="26" t="s">
        <v>155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107">
        <f>SUBTOTAL(109,'Apr-Jun'!$B60:$AF60)</f>
        <v>0</v>
      </c>
    </row>
    <row r="61" spans="1:33" s="102" customFormat="1" ht="15" customHeight="1">
      <c r="A61" s="26" t="s">
        <v>156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107">
        <f>SUBTOTAL(109,'Apr-Jun'!$B61:$AF61)</f>
        <v>0</v>
      </c>
    </row>
    <row r="62" spans="1:33" s="102" customFormat="1" ht="15" customHeight="1">
      <c r="A62" s="26" t="s">
        <v>157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107">
        <f>SUBTOTAL(109,'Apr-Jun'!$B62:$AF62)</f>
        <v>0</v>
      </c>
    </row>
    <row r="63" spans="1:33" s="102" customFormat="1" ht="15" customHeight="1">
      <c r="A63" s="26" t="s">
        <v>158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107">
        <f>SUBTOTAL(109,'Apr-Jun'!$B63:$AF63)</f>
        <v>0</v>
      </c>
    </row>
    <row r="64" spans="1:33" s="102" customFormat="1" ht="15" customHeight="1">
      <c r="A64" s="26" t="s">
        <v>159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107">
        <f>SUBTOTAL(109,'Apr-Jun'!$B64:$AF64)</f>
        <v>0</v>
      </c>
    </row>
    <row r="65" spans="1:33" s="102" customFormat="1" ht="15" customHeight="1">
      <c r="A65" s="26" t="s">
        <v>160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107">
        <f>SUBTOTAL(109,'Apr-Jun'!$B65:$AF65)</f>
        <v>0</v>
      </c>
    </row>
    <row r="66" spans="1:33" s="102" customFormat="1" ht="15" customHeight="1">
      <c r="A66" s="26" t="s">
        <v>161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107">
        <f>SUBTOTAL(109,'Apr-Jun'!$B66:$AF66)</f>
        <v>0</v>
      </c>
    </row>
    <row r="67" spans="1:33" s="102" customFormat="1" ht="15" customHeight="1">
      <c r="A67" s="40" t="s">
        <v>162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107">
        <f>SUBTOTAL(109,'Apr-Jun'!$B67:$AF67)</f>
        <v>0</v>
      </c>
    </row>
    <row r="68" spans="1:33" s="102" customFormat="1" ht="15" customHeight="1">
      <c r="A68" s="40" t="s">
        <v>162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107">
        <f>SUBTOTAL(109,'Apr-Jun'!$B68:$AF68)</f>
        <v>0</v>
      </c>
    </row>
    <row r="69" spans="1:33" s="102" customFormat="1" ht="15" customHeight="1">
      <c r="A69" s="40" t="s">
        <v>162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107">
        <f>SUBTOTAL(109,'Apr-Jun'!$B69:$AF69)</f>
        <v>0</v>
      </c>
    </row>
    <row r="70" spans="1:33" s="102" customFormat="1" ht="15" customHeight="1">
      <c r="A70" s="40" t="s">
        <v>162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107">
        <f>SUBTOTAL(109,'Apr-Jun'!$B70:$AF70)</f>
        <v>0</v>
      </c>
    </row>
    <row r="71" spans="1:33" s="102" customFormat="1" ht="15" customHeight="1">
      <c r="A71" s="40" t="s">
        <v>162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107">
        <f>SUBTOTAL(109,'Apr-Jun'!$B71:$AF71)</f>
        <v>0</v>
      </c>
    </row>
    <row r="72" spans="1:33" ht="15" customHeight="1">
      <c r="A72" s="15" t="str">
        <f>A39&amp;" Total"</f>
        <v>May Total</v>
      </c>
      <c r="B72" s="38">
        <f>SUBTOTAL(103,tblMay[1])</f>
        <v>0</v>
      </c>
      <c r="C72" s="38">
        <f>SUBTOTAL(103,tblMay[2])</f>
        <v>1</v>
      </c>
      <c r="D72" s="38">
        <f>SUBTOTAL(103,tblMay[3])</f>
        <v>2</v>
      </c>
      <c r="E72" s="38">
        <f>SUBTOTAL(103,tblMay[4])</f>
        <v>2</v>
      </c>
      <c r="F72" s="38">
        <f>SUBTOTAL(103,tblMay[5])</f>
        <v>3</v>
      </c>
      <c r="G72" s="38">
        <f>SUBTOTAL(103,tblMay[6])</f>
        <v>0</v>
      </c>
      <c r="H72" s="38">
        <f>SUBTOTAL(103,tblMay[7])</f>
        <v>0</v>
      </c>
      <c r="I72" s="38">
        <f>SUBTOTAL(103,tblMay[8])</f>
        <v>0</v>
      </c>
      <c r="J72" s="38">
        <f>SUBTOTAL(103,tblMay[9])</f>
        <v>0</v>
      </c>
      <c r="K72" s="38">
        <f>SUBTOTAL(103,tblMay[10])</f>
        <v>1</v>
      </c>
      <c r="L72" s="38">
        <f>SUBTOTAL(103,tblMay[11])</f>
        <v>0</v>
      </c>
      <c r="M72" s="38">
        <f>SUBTOTAL(103,tblMay[12])</f>
        <v>0</v>
      </c>
      <c r="N72" s="38">
        <f>SUBTOTAL(103,tblMay[13])</f>
        <v>0</v>
      </c>
      <c r="O72" s="38">
        <f>SUBTOTAL(103,tblMay[14])</f>
        <v>0</v>
      </c>
      <c r="P72" s="38">
        <f>SUBTOTAL(103,tblMay[15])</f>
        <v>1</v>
      </c>
      <c r="Q72" s="38">
        <f>SUBTOTAL(103,tblMay[16])</f>
        <v>1</v>
      </c>
      <c r="R72" s="38">
        <f>SUBTOTAL(103,tblMay[17])</f>
        <v>0</v>
      </c>
      <c r="S72" s="38">
        <f>SUBTOTAL(103,tblMay[18])</f>
        <v>0</v>
      </c>
      <c r="T72" s="38">
        <f>SUBTOTAL(103,tblMay[19])</f>
        <v>0</v>
      </c>
      <c r="U72" s="38">
        <f>SUBTOTAL(103,tblMay[20])</f>
        <v>0</v>
      </c>
      <c r="V72" s="38">
        <f>SUBTOTAL(103,tblMay[21])</f>
        <v>0</v>
      </c>
      <c r="W72" s="38">
        <f>SUBTOTAL(103,tblMay[22])</f>
        <v>0</v>
      </c>
      <c r="X72" s="38">
        <f>SUBTOTAL(103,tblMay[23])</f>
        <v>1</v>
      </c>
      <c r="Y72" s="38">
        <f>SUBTOTAL(103,tblMay[24])</f>
        <v>0</v>
      </c>
      <c r="Z72" s="38">
        <f>SUBTOTAL(103,tblMay[25])</f>
        <v>2</v>
      </c>
      <c r="AA72" s="38">
        <f>SUBTOTAL(103,tblMay[26])</f>
        <v>0</v>
      </c>
      <c r="AB72" s="38">
        <f>SUBTOTAL(103,tblMay[27])</f>
        <v>1</v>
      </c>
      <c r="AC72" s="38">
        <f>SUBTOTAL(103,tblMay[28])</f>
        <v>0</v>
      </c>
      <c r="AD72" s="38">
        <f>SUBTOTAL(103,tblMay[29])</f>
        <v>0</v>
      </c>
      <c r="AE72" s="38">
        <f>SUBTOTAL(109,tblMay[30])</f>
        <v>0</v>
      </c>
      <c r="AF72" s="38">
        <f>SUBTOTAL(109,tblMay[31])</f>
        <v>1</v>
      </c>
      <c r="AG72" s="39">
        <f>SUBTOTAL(109,tblMay[Total Hours])</f>
        <v>0</v>
      </c>
    </row>
    <row r="74" spans="1:33" ht="15" customHeight="1">
      <c r="A74" s="131" t="s">
        <v>42</v>
      </c>
      <c r="B74" s="132" t="s">
        <v>1</v>
      </c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3">
        <f>CalendarYear</f>
        <v>2017</v>
      </c>
    </row>
    <row r="75" spans="1:33" ht="15" customHeight="1">
      <c r="A75" s="131"/>
      <c r="B75" s="9" t="str">
        <f>TEXT(WEEKDAY(DATE(CalendarYear,6,1),1),"aaa")</f>
        <v>Thu</v>
      </c>
      <c r="C75" s="9" t="str">
        <f>TEXT(WEEKDAY(DATE(CalendarYear,6,2),1),"aaa")</f>
        <v>Fri</v>
      </c>
      <c r="D75" s="9" t="str">
        <f>TEXT(WEEKDAY(DATE(CalendarYear,6,3),1),"aaa")</f>
        <v>Sat</v>
      </c>
      <c r="E75" s="9" t="str">
        <f>TEXT(WEEKDAY(DATE(CalendarYear,6,4),1),"aaa")</f>
        <v>Sun</v>
      </c>
      <c r="F75" s="9" t="str">
        <f>TEXT(WEEKDAY(DATE(CalendarYear,6,5),1),"aaa")</f>
        <v>Mon</v>
      </c>
      <c r="G75" s="9" t="str">
        <f>TEXT(WEEKDAY(DATE(CalendarYear,6,6),1),"aaa")</f>
        <v>Tue</v>
      </c>
      <c r="H75" s="9" t="str">
        <f>TEXT(WEEKDAY(DATE(CalendarYear,6,7),1),"aaa")</f>
        <v>Wed</v>
      </c>
      <c r="I75" s="9" t="str">
        <f>TEXT(WEEKDAY(DATE(CalendarYear,6,8),1),"aaa")</f>
        <v>Thu</v>
      </c>
      <c r="J75" s="9" t="str">
        <f>TEXT(WEEKDAY(DATE(CalendarYear,6,9),1),"aaa")</f>
        <v>Fri</v>
      </c>
      <c r="K75" s="9" t="str">
        <f>TEXT(WEEKDAY(DATE(CalendarYear,6,10),1),"aaa")</f>
        <v>Sat</v>
      </c>
      <c r="L75" s="9" t="str">
        <f>TEXT(WEEKDAY(DATE(CalendarYear,6,11),1),"aaa")</f>
        <v>Sun</v>
      </c>
      <c r="M75" s="9" t="str">
        <f>TEXT(WEEKDAY(DATE(CalendarYear,6,12),1),"aaa")</f>
        <v>Mon</v>
      </c>
      <c r="N75" s="9" t="str">
        <f>TEXT(WEEKDAY(DATE(CalendarYear,6,13),1),"aaa")</f>
        <v>Tue</v>
      </c>
      <c r="O75" s="9" t="str">
        <f>TEXT(WEEKDAY(DATE(CalendarYear,6,14),1),"aaa")</f>
        <v>Wed</v>
      </c>
      <c r="P75" s="9" t="str">
        <f>TEXT(WEEKDAY(DATE(CalendarYear,6,15),1),"aaa")</f>
        <v>Thu</v>
      </c>
      <c r="Q75" s="9" t="str">
        <f>TEXT(WEEKDAY(DATE(CalendarYear,6,16),1),"aaa")</f>
        <v>Fri</v>
      </c>
      <c r="R75" s="9" t="str">
        <f>TEXT(WEEKDAY(DATE(CalendarYear,6,17),1),"aaa")</f>
        <v>Sat</v>
      </c>
      <c r="S75" s="9" t="str">
        <f>TEXT(WEEKDAY(DATE(CalendarYear,6,18),1),"aaa")</f>
        <v>Sun</v>
      </c>
      <c r="T75" s="9" t="str">
        <f>TEXT(WEEKDAY(DATE(CalendarYear,6,19),1),"aaa")</f>
        <v>Mon</v>
      </c>
      <c r="U75" s="9" t="str">
        <f>TEXT(WEEKDAY(DATE(CalendarYear,6,20),1),"aaa")</f>
        <v>Tue</v>
      </c>
      <c r="V75" s="9" t="str">
        <f>TEXT(WEEKDAY(DATE(CalendarYear,6,21),1),"aaa")</f>
        <v>Wed</v>
      </c>
      <c r="W75" s="9" t="str">
        <f>TEXT(WEEKDAY(DATE(CalendarYear,6,22),1),"aaa")</f>
        <v>Thu</v>
      </c>
      <c r="X75" s="9" t="str">
        <f>TEXT(WEEKDAY(DATE(CalendarYear,6,23),1),"aaa")</f>
        <v>Fri</v>
      </c>
      <c r="Y75" s="9" t="str">
        <f>TEXT(WEEKDAY(DATE(CalendarYear,6,24),1),"aaa")</f>
        <v>Sat</v>
      </c>
      <c r="Z75" s="9" t="str">
        <f>TEXT(WEEKDAY(DATE(CalendarYear,6,25),1),"aaa")</f>
        <v>Sun</v>
      </c>
      <c r="AA75" s="9" t="str">
        <f>TEXT(WEEKDAY(DATE(CalendarYear,6,26),1),"aaa")</f>
        <v>Mon</v>
      </c>
      <c r="AB75" s="9" t="str">
        <f>TEXT(WEEKDAY(DATE(CalendarYear,6,27),1),"aaa")</f>
        <v>Tue</v>
      </c>
      <c r="AC75" s="9" t="str">
        <f>TEXT(WEEKDAY(DATE(CalendarYear,6,28),1),"aaa")</f>
        <v>Wed</v>
      </c>
      <c r="AD75" s="9" t="str">
        <f>TEXT(WEEKDAY(DATE(CalendarYear,6,29),1),"aaa")</f>
        <v>Thu</v>
      </c>
      <c r="AE75" s="9" t="str">
        <f>TEXT(WEEKDAY(DATE(CalendarYear,6,30),1),"aaa")</f>
        <v>Fri</v>
      </c>
      <c r="AF75" s="9"/>
      <c r="AG75" s="133"/>
    </row>
    <row r="76" spans="1:33" ht="15" customHeight="1">
      <c r="A76" s="15" t="s">
        <v>2</v>
      </c>
      <c r="B76" s="9" t="s">
        <v>3</v>
      </c>
      <c r="C76" s="9" t="s">
        <v>4</v>
      </c>
      <c r="D76" s="9" t="s">
        <v>5</v>
      </c>
      <c r="E76" s="9" t="s">
        <v>6</v>
      </c>
      <c r="F76" s="9" t="s">
        <v>7</v>
      </c>
      <c r="G76" s="9" t="s">
        <v>8</v>
      </c>
      <c r="H76" s="9" t="s">
        <v>9</v>
      </c>
      <c r="I76" s="9" t="s">
        <v>10</v>
      </c>
      <c r="J76" s="9" t="s">
        <v>11</v>
      </c>
      <c r="K76" s="9" t="s">
        <v>12</v>
      </c>
      <c r="L76" s="9" t="s">
        <v>13</v>
      </c>
      <c r="M76" s="9" t="s">
        <v>14</v>
      </c>
      <c r="N76" s="9" t="s">
        <v>15</v>
      </c>
      <c r="O76" s="9" t="s">
        <v>16</v>
      </c>
      <c r="P76" s="9" t="s">
        <v>17</v>
      </c>
      <c r="Q76" s="9" t="s">
        <v>18</v>
      </c>
      <c r="R76" s="9" t="s">
        <v>19</v>
      </c>
      <c r="S76" s="9" t="s">
        <v>20</v>
      </c>
      <c r="T76" s="9" t="s">
        <v>21</v>
      </c>
      <c r="U76" s="9" t="s">
        <v>22</v>
      </c>
      <c r="V76" s="9" t="s">
        <v>23</v>
      </c>
      <c r="W76" s="9" t="s">
        <v>24</v>
      </c>
      <c r="X76" s="9" t="s">
        <v>25</v>
      </c>
      <c r="Y76" s="9" t="s">
        <v>26</v>
      </c>
      <c r="Z76" s="9" t="s">
        <v>27</v>
      </c>
      <c r="AA76" s="9" t="s">
        <v>28</v>
      </c>
      <c r="AB76" s="9" t="s">
        <v>29</v>
      </c>
      <c r="AC76" s="9" t="s">
        <v>30</v>
      </c>
      <c r="AD76" s="9" t="s">
        <v>31</v>
      </c>
      <c r="AE76" s="9" t="s">
        <v>32</v>
      </c>
      <c r="AF76" s="9" t="s">
        <v>34</v>
      </c>
      <c r="AG76" s="54" t="s">
        <v>90</v>
      </c>
    </row>
    <row r="77" spans="1:33" ht="15" customHeight="1">
      <c r="A77" s="26" t="s">
        <v>49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0">
        <f>SUBTOTAL(109,'Apr-Jun'!$B77:$AF77)</f>
        <v>0</v>
      </c>
    </row>
    <row r="78" spans="1:33" ht="15" customHeight="1">
      <c r="A78" s="26" t="s">
        <v>50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0">
        <f>SUBTOTAL(109,'Apr-Jun'!$B78:$AF78)</f>
        <v>0</v>
      </c>
    </row>
    <row r="79" spans="1:33" ht="15" customHeight="1">
      <c r="A79" s="26" t="s">
        <v>51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0">
        <f>SUBTOTAL(109,'Apr-Jun'!$B79:$AF79)</f>
        <v>0</v>
      </c>
    </row>
    <row r="80" spans="1:33" ht="15" customHeight="1">
      <c r="A80" s="26" t="s">
        <v>52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0">
        <f>SUBTOTAL(109,'Apr-Jun'!$B80:$AF80)</f>
        <v>0</v>
      </c>
    </row>
    <row r="81" spans="1:33" ht="15" customHeight="1">
      <c r="A81" s="26" t="s">
        <v>53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0">
        <f>SUBTOTAL(109,'Apr-Jun'!$B81:$AF81)</f>
        <v>0</v>
      </c>
    </row>
    <row r="82" spans="1:33" ht="15" customHeight="1">
      <c r="A82" s="26" t="s">
        <v>54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0">
        <f>SUBTOTAL(109,'Apr-Jun'!$B82:$AF82)</f>
        <v>0</v>
      </c>
    </row>
    <row r="83" spans="1:33" ht="15" customHeight="1">
      <c r="A83" s="26" t="s">
        <v>55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0">
        <f>SUBTOTAL(109,'Apr-Jun'!$B83:$AF83)</f>
        <v>0</v>
      </c>
    </row>
    <row r="84" spans="1:33" ht="15" customHeight="1">
      <c r="A84" s="26" t="s">
        <v>56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0">
        <f>SUBTOTAL(109,'Apr-Jun'!$B84:$AF84)</f>
        <v>0</v>
      </c>
    </row>
    <row r="85" spans="1:33" ht="15" customHeight="1">
      <c r="A85" s="26" t="s">
        <v>57</v>
      </c>
      <c r="B85" s="29"/>
      <c r="C85" s="29">
        <v>1</v>
      </c>
      <c r="D85" s="29"/>
      <c r="E85" s="29"/>
      <c r="F85" s="29">
        <v>8</v>
      </c>
      <c r="G85" s="29"/>
      <c r="H85" s="29">
        <v>2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0">
        <f>SUBTOTAL(109,'Apr-Jun'!$B85:$AF85)</f>
        <v>11</v>
      </c>
    </row>
    <row r="86" spans="1:33" ht="15" customHeight="1">
      <c r="A86" s="26" t="s">
        <v>58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0">
        <f>SUBTOTAL(109,'Apr-Jun'!$B86:$AF86)</f>
        <v>0</v>
      </c>
    </row>
    <row r="87" spans="1:33" ht="15" customHeight="1">
      <c r="A87" s="26" t="s">
        <v>59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0">
        <f>SUBTOTAL(109,'Apr-Jun'!$B87:$AF87)</f>
        <v>0</v>
      </c>
    </row>
    <row r="88" spans="1:33" ht="15" customHeight="1">
      <c r="A88" s="26" t="s">
        <v>60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30">
        <f>SUBTOTAL(109,'Apr-Jun'!$B88:$AF88)</f>
        <v>0</v>
      </c>
    </row>
    <row r="89" spans="1:33" ht="15" customHeight="1">
      <c r="A89" s="26" t="s">
        <v>61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30">
        <f>SUBTOTAL(109,'Apr-Jun'!$B89:$AF89)</f>
        <v>0</v>
      </c>
    </row>
    <row r="90" spans="1:33" ht="15" customHeight="1">
      <c r="A90" s="26" t="s">
        <v>62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30">
        <f>SUBTOTAL(109,'Apr-Jun'!$B90:$AF90)</f>
        <v>0</v>
      </c>
    </row>
    <row r="91" spans="1:33" ht="15" customHeight="1">
      <c r="A91" s="40" t="s">
        <v>67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30">
        <f>SUBTOTAL(109,'Apr-Jun'!$B91:$AF91)</f>
        <v>0</v>
      </c>
    </row>
    <row r="92" spans="1:33" s="102" customFormat="1" ht="15" customHeight="1">
      <c r="A92" s="26" t="s">
        <v>152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104"/>
    </row>
    <row r="93" spans="1:33" s="102" customFormat="1" ht="15" customHeight="1">
      <c r="A93" s="26" t="s">
        <v>153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104"/>
    </row>
    <row r="94" spans="1:33" s="102" customFormat="1" ht="15" customHeight="1">
      <c r="A94" s="26" t="s">
        <v>154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104"/>
    </row>
    <row r="95" spans="1:33" s="102" customFormat="1" ht="15" customHeight="1">
      <c r="A95" s="26" t="s">
        <v>155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104"/>
    </row>
    <row r="96" spans="1:33" s="102" customFormat="1" ht="15" customHeight="1">
      <c r="A96" s="26" t="s">
        <v>156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104"/>
    </row>
    <row r="97" spans="1:33" s="102" customFormat="1" ht="15" customHeight="1">
      <c r="A97" s="26" t="s">
        <v>157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104"/>
    </row>
    <row r="98" spans="1:33" s="102" customFormat="1" ht="15" customHeight="1">
      <c r="A98" s="26" t="s">
        <v>158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104"/>
    </row>
    <row r="99" spans="1:33" s="102" customFormat="1" ht="15" customHeight="1">
      <c r="A99" s="26" t="s">
        <v>159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104"/>
    </row>
    <row r="100" spans="1:33" s="102" customFormat="1" ht="15" customHeight="1">
      <c r="A100" s="26" t="s">
        <v>160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104"/>
    </row>
    <row r="101" spans="1:33" s="102" customFormat="1" ht="15" customHeight="1">
      <c r="A101" s="26" t="s">
        <v>161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104"/>
    </row>
    <row r="102" spans="1:33" s="102" customFormat="1" ht="15" customHeight="1">
      <c r="A102" s="40" t="s">
        <v>162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104"/>
    </row>
    <row r="103" spans="1:33" s="102" customFormat="1" ht="15" customHeight="1">
      <c r="A103" s="40" t="s">
        <v>162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104"/>
    </row>
    <row r="104" spans="1:33" s="102" customFormat="1" ht="15" customHeight="1">
      <c r="A104" s="40" t="s">
        <v>162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104"/>
    </row>
    <row r="105" spans="1:33" s="102" customFormat="1" ht="15" customHeight="1">
      <c r="A105" s="40" t="s">
        <v>162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104"/>
    </row>
    <row r="106" spans="1:33" s="102" customFormat="1" ht="15" customHeight="1">
      <c r="A106" s="40" t="s">
        <v>162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104"/>
    </row>
    <row r="107" spans="1:33" ht="15" customHeight="1">
      <c r="A107" s="15" t="str">
        <f>A74&amp;" Total"</f>
        <v>June Total</v>
      </c>
      <c r="B107" s="38">
        <f>SUBTOTAL(103,tblJune[1])</f>
        <v>0</v>
      </c>
      <c r="C107" s="38">
        <f>SUBTOTAL(103,tblJune[2])</f>
        <v>1</v>
      </c>
      <c r="D107" s="38">
        <f>SUBTOTAL(103,tblJune[3])</f>
        <v>0</v>
      </c>
      <c r="E107" s="38">
        <f>SUBTOTAL(103,tblJune[4])</f>
        <v>0</v>
      </c>
      <c r="F107" s="38">
        <f>SUBTOTAL(103,tblJune[5])</f>
        <v>1</v>
      </c>
      <c r="G107" s="38">
        <f>SUBTOTAL(103,tblJune[6])</f>
        <v>0</v>
      </c>
      <c r="H107" s="38">
        <f>SUBTOTAL(103,tblJune[7])</f>
        <v>1</v>
      </c>
      <c r="I107" s="38">
        <f>SUBTOTAL(103,tblJune[8])</f>
        <v>0</v>
      </c>
      <c r="J107" s="38">
        <f>SUBTOTAL(103,tblJune[9])</f>
        <v>0</v>
      </c>
      <c r="K107" s="38">
        <f>SUBTOTAL(103,tblJune[10])</f>
        <v>0</v>
      </c>
      <c r="L107" s="38">
        <f>SUBTOTAL(103,tblJune[11])</f>
        <v>0</v>
      </c>
      <c r="M107" s="38">
        <f>SUBTOTAL(103,tblJune[12])</f>
        <v>0</v>
      </c>
      <c r="N107" s="38">
        <f>SUBTOTAL(103,tblJune[13])</f>
        <v>0</v>
      </c>
      <c r="O107" s="38">
        <f>SUBTOTAL(103,tblJune[14])</f>
        <v>0</v>
      </c>
      <c r="P107" s="38">
        <f>SUBTOTAL(103,tblJune[15])</f>
        <v>0</v>
      </c>
      <c r="Q107" s="38">
        <f>SUBTOTAL(103,tblJune[16])</f>
        <v>0</v>
      </c>
      <c r="R107" s="38">
        <f>SUBTOTAL(103,tblJune[17])</f>
        <v>0</v>
      </c>
      <c r="S107" s="38">
        <f>SUBTOTAL(103,tblJune[18])</f>
        <v>0</v>
      </c>
      <c r="T107" s="38">
        <f>SUBTOTAL(103,tblJune[19])</f>
        <v>0</v>
      </c>
      <c r="U107" s="38">
        <f>SUBTOTAL(103,tblJune[20])</f>
        <v>0</v>
      </c>
      <c r="V107" s="38">
        <f>SUBTOTAL(103,tblJune[21])</f>
        <v>0</v>
      </c>
      <c r="W107" s="38">
        <f>SUBTOTAL(103,tblJune[22])</f>
        <v>0</v>
      </c>
      <c r="X107" s="38">
        <f>SUBTOTAL(103,tblJune[23])</f>
        <v>0</v>
      </c>
      <c r="Y107" s="38">
        <f>SUBTOTAL(103,tblJune[24])</f>
        <v>0</v>
      </c>
      <c r="Z107" s="38">
        <f>SUBTOTAL(103,tblJune[25])</f>
        <v>0</v>
      </c>
      <c r="AA107" s="38">
        <f>SUBTOTAL(103,tblJune[26])</f>
        <v>0</v>
      </c>
      <c r="AB107" s="38">
        <f>SUBTOTAL(103,tblJune[27])</f>
        <v>0</v>
      </c>
      <c r="AC107" s="38">
        <f>SUBTOTAL(103,tblJune[28])</f>
        <v>0</v>
      </c>
      <c r="AD107" s="38">
        <f>SUBTOTAL(103,tblJune[29])</f>
        <v>0</v>
      </c>
      <c r="AE107" s="38">
        <f>SUBTOTAL(109,tblJune[30])</f>
        <v>0</v>
      </c>
      <c r="AF107" s="38"/>
      <c r="AG107" s="39">
        <f>SUBTOTAL(109,tblJune[Total Hours])</f>
        <v>0</v>
      </c>
    </row>
  </sheetData>
  <mergeCells count="9">
    <mergeCell ref="A74:A75"/>
    <mergeCell ref="B74:AF74"/>
    <mergeCell ref="AG74:AG75"/>
    <mergeCell ref="A2:A3"/>
    <mergeCell ref="B2:AF2"/>
    <mergeCell ref="AG2:AG3"/>
    <mergeCell ref="A39:A40"/>
    <mergeCell ref="B39:AF39"/>
    <mergeCell ref="AG39:AG40"/>
  </mergeCells>
  <phoneticPr fontId="12" type="noConversion"/>
  <conditionalFormatting sqref="B5:AF34">
    <cfRule type="expression" priority="30" stopIfTrue="1">
      <formula>B5=""</formula>
    </cfRule>
  </conditionalFormatting>
  <conditionalFormatting sqref="B5:AF34">
    <cfRule type="expression" dxfId="436" priority="31" stopIfTrue="1">
      <formula>B5=KeyCustom2</formula>
    </cfRule>
    <cfRule type="expression" dxfId="435" priority="32" stopIfTrue="1">
      <formula>B5=KeyCustom1</formula>
    </cfRule>
    <cfRule type="expression" dxfId="434" priority="33" stopIfTrue="1">
      <formula>B5=KeySick</formula>
    </cfRule>
    <cfRule type="expression" dxfId="433" priority="34" stopIfTrue="1">
      <formula>B5=KeyPersonal</formula>
    </cfRule>
    <cfRule type="expression" dxfId="432" priority="35" stopIfTrue="1">
      <formula>B5=KeyVacation</formula>
    </cfRule>
  </conditionalFormatting>
  <conditionalFormatting sqref="AG5:AG34">
    <cfRule type="dataBar" priority="180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{9F84199F-9F40-4560-9610-01EAA5EACF75}</x14:id>
        </ext>
      </extLst>
    </cfRule>
  </conditionalFormatting>
  <conditionalFormatting sqref="B42:AF71">
    <cfRule type="expression" priority="23" stopIfTrue="1">
      <formula>B42=""</formula>
    </cfRule>
  </conditionalFormatting>
  <conditionalFormatting sqref="B42:AF71">
    <cfRule type="expression" dxfId="431" priority="24" stopIfTrue="1">
      <formula>B42=KeyCustom2</formula>
    </cfRule>
    <cfRule type="expression" dxfId="430" priority="25" stopIfTrue="1">
      <formula>B42=KeyCustom1</formula>
    </cfRule>
    <cfRule type="expression" dxfId="429" priority="26" stopIfTrue="1">
      <formula>B42=KeySick</formula>
    </cfRule>
    <cfRule type="expression" dxfId="428" priority="27" stopIfTrue="1">
      <formula>B42=KeyPersonal</formula>
    </cfRule>
    <cfRule type="expression" dxfId="427" priority="28" stopIfTrue="1">
      <formula>B42=KeyVacation</formula>
    </cfRule>
  </conditionalFormatting>
  <conditionalFormatting sqref="B77:AF91">
    <cfRule type="expression" priority="16" stopIfTrue="1">
      <formula>B77=""</formula>
    </cfRule>
  </conditionalFormatting>
  <conditionalFormatting sqref="B77:AF91">
    <cfRule type="expression" dxfId="426" priority="17" stopIfTrue="1">
      <formula>B77=KeyCustom2</formula>
    </cfRule>
    <cfRule type="expression" dxfId="425" priority="18" stopIfTrue="1">
      <formula>B77=KeyCustom1</formula>
    </cfRule>
    <cfRule type="expression" dxfId="424" priority="19" stopIfTrue="1">
      <formula>B77=KeySick</formula>
    </cfRule>
    <cfRule type="expression" dxfId="423" priority="20" stopIfTrue="1">
      <formula>B77=KeyPersonal</formula>
    </cfRule>
    <cfRule type="expression" dxfId="422" priority="21" stopIfTrue="1">
      <formula>B77=KeyVacation</formula>
    </cfRule>
  </conditionalFormatting>
  <conditionalFormatting sqref="AG42:AG71">
    <cfRule type="dataBar" priority="15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{F64E9535-2D39-49FF-9072-0EE1AFB0FD34}</x14:id>
        </ext>
      </extLst>
    </cfRule>
  </conditionalFormatting>
  <conditionalFormatting sqref="AG77:AG91">
    <cfRule type="dataBar" priority="14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{EAD95EED-2957-4003-9672-AAEAE45275D5}</x14:id>
        </ext>
      </extLst>
    </cfRule>
  </conditionalFormatting>
  <conditionalFormatting sqref="AG92:AG106">
    <cfRule type="dataBar" priority="13">
      <dataBar>
        <cfvo type="min"/>
        <cfvo type="num" val="31"/>
        <color theme="2" tint="-0.249977111117893"/>
      </dataBar>
      <extLst>
        <ext xmlns:x14="http://schemas.microsoft.com/office/spreadsheetml/2009/9/main" uri="{B025F937-C7B1-47D3-B67F-A62EFF666E3E}">
          <x14:id>{ECF5D0A0-4D68-40B3-88F2-CAC13BBD5B9B}</x14:id>
        </ext>
      </extLst>
    </cfRule>
  </conditionalFormatting>
  <conditionalFormatting sqref="B102:AF106">
    <cfRule type="expression" priority="1" stopIfTrue="1">
      <formula>B102=""</formula>
    </cfRule>
  </conditionalFormatting>
  <conditionalFormatting sqref="B102:AF106">
    <cfRule type="expression" dxfId="421" priority="2" stopIfTrue="1">
      <formula>B102=KeyCustom2</formula>
    </cfRule>
    <cfRule type="expression" dxfId="420" priority="3" stopIfTrue="1">
      <formula>B102=KeyCustom1</formula>
    </cfRule>
    <cfRule type="expression" dxfId="419" priority="4" stopIfTrue="1">
      <formula>B102=KeySick</formula>
    </cfRule>
    <cfRule type="expression" dxfId="418" priority="5" stopIfTrue="1">
      <formula>B102=KeyPersonal</formula>
    </cfRule>
    <cfRule type="expression" dxfId="417" priority="6" stopIfTrue="1">
      <formula>B102=KeyVacation</formula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4199F-9F40-4560-9610-01EAA5EACF75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AG5:AG34</xm:sqref>
        </x14:conditionalFormatting>
        <x14:conditionalFormatting xmlns:xm="http://schemas.microsoft.com/office/excel/2006/main">
          <x14:cfRule type="dataBar" id="{F64E9535-2D39-49FF-9072-0EE1AFB0FD34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AG42:AG71</xm:sqref>
        </x14:conditionalFormatting>
        <x14:conditionalFormatting xmlns:xm="http://schemas.microsoft.com/office/excel/2006/main">
          <x14:cfRule type="dataBar" id="{EAD95EED-2957-4003-9672-AAEAE45275D5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AG77:AG91</xm:sqref>
        </x14:conditionalFormatting>
        <x14:conditionalFormatting xmlns:xm="http://schemas.microsoft.com/office/excel/2006/main">
          <x14:cfRule type="dataBar" id="{ECF5D0A0-4D68-40B3-88F2-CAC13BBD5B9B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AG92:AG106</xm:sqref>
        </x14:conditionalFormatting>
        <x14:conditionalFormatting xmlns:xm="http://schemas.microsoft.com/office/excel/2006/main">
          <x14:cfRule type="expression" priority="7" stopIfTrue="1" id="{CD36A64E-DC53-4598-B115-67BF6BE35CF1}">
            <xm:f>'Jan-Mar'!B62=""</xm:f>
            <x14:dxf/>
          </x14:cfRule>
          <x14:cfRule type="expression" priority="8" stopIfTrue="1" id="{3C2CBBA0-BE86-4924-BD1F-A54059BC5D15}">
            <xm:f>'Jan-Mar'!B62=KeyCustom2</xm:f>
            <x14:dxf>
              <font>
                <color theme="1"/>
              </font>
              <fill>
                <patternFill>
                  <bgColor theme="8" tint="0.59996337778862885"/>
                </patternFill>
              </fill>
            </x14:dxf>
          </x14:cfRule>
          <x14:cfRule type="expression" priority="9" stopIfTrue="1" id="{4321ED98-0E0E-48A6-A154-3BC4D83DE8A1}">
            <xm:f>'Jan-Mar'!B62=KeyCustom1</xm:f>
            <x14:dxf>
              <font>
                <color theme="1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0" stopIfTrue="1" id="{AF94E9A5-2865-4816-9FCB-F41918E9E8B1}">
            <xm:f>'Jan-Mar'!B62=KeySick</xm:f>
            <x14:dxf>
              <font>
                <color theme="1"/>
              </font>
              <fill>
                <patternFill>
                  <bgColor theme="6" tint="0.39994506668294322"/>
                </patternFill>
              </fill>
            </x14:dxf>
          </x14:cfRule>
          <x14:cfRule type="expression" priority="11" stopIfTrue="1" id="{3A13FFD3-F271-49CA-83D8-6D333024B357}">
            <xm:f>'Jan-Mar'!B62=KeyPersonal</xm:f>
            <x14:dxf>
              <font>
                <color theme="1"/>
              </font>
              <fill>
                <patternFill>
                  <bgColor theme="5" tint="0.59996337778862885"/>
                </patternFill>
              </fill>
            </x14:dxf>
          </x14:cfRule>
          <x14:cfRule type="expression" priority="12" stopIfTrue="1" id="{CB1ED495-5368-48B1-9AD8-F5130D4A3B10}">
            <xm:f>'Jan-Mar'!B62=KeyVacation</xm:f>
            <x14:dxf>
              <font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m:sqref>B92:AF101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G107"/>
  <sheetViews>
    <sheetView showGridLines="0" topLeftCell="A4" zoomScaleNormal="100" workbookViewId="0">
      <selection activeCell="A20" sqref="A20:A34"/>
    </sheetView>
  </sheetViews>
  <sheetFormatPr defaultColWidth="9.140625"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>
      <c r="A1" s="1" t="s">
        <v>0</v>
      </c>
    </row>
    <row r="2" spans="1:33" ht="30" customHeight="1">
      <c r="A2" s="131" t="s">
        <v>43</v>
      </c>
      <c r="B2" s="132" t="s">
        <v>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3">
        <f>CalendarYear</f>
        <v>2017</v>
      </c>
    </row>
    <row r="3" spans="1:33" ht="15.75" customHeight="1">
      <c r="A3" s="131"/>
      <c r="B3" s="9" t="str">
        <f>TEXT(WEEKDAY(DATE(CalendarYear,7,1),1),"aaa")</f>
        <v>Sat</v>
      </c>
      <c r="C3" s="9" t="str">
        <f>TEXT(WEEKDAY(DATE(CalendarYear,7,2),1),"aaa")</f>
        <v>Sun</v>
      </c>
      <c r="D3" s="9" t="str">
        <f>TEXT(WEEKDAY(DATE(CalendarYear,7,3),1),"aaa")</f>
        <v>Mon</v>
      </c>
      <c r="E3" s="9" t="str">
        <f>TEXT(WEEKDAY(DATE(CalendarYear,7,4),1),"aaa")</f>
        <v>Tue</v>
      </c>
      <c r="F3" s="9" t="str">
        <f>TEXT(WEEKDAY(DATE(CalendarYear,7,5),1),"aaa")</f>
        <v>Wed</v>
      </c>
      <c r="G3" s="9" t="str">
        <f>TEXT(WEEKDAY(DATE(CalendarYear,7,6),1),"aaa")</f>
        <v>Thu</v>
      </c>
      <c r="H3" s="9" t="str">
        <f>TEXT(WEEKDAY(DATE(CalendarYear,7,7),1),"aaa")</f>
        <v>Fri</v>
      </c>
      <c r="I3" s="9" t="str">
        <f>TEXT(WEEKDAY(DATE(CalendarYear,7,8),1),"aaa")</f>
        <v>Sat</v>
      </c>
      <c r="J3" s="9" t="str">
        <f>TEXT(WEEKDAY(DATE(CalendarYear,7,9),1),"aaa")</f>
        <v>Sun</v>
      </c>
      <c r="K3" s="9" t="str">
        <f>TEXT(WEEKDAY(DATE(CalendarYear,7,10),1),"aaa")</f>
        <v>Mon</v>
      </c>
      <c r="L3" s="9" t="str">
        <f>TEXT(WEEKDAY(DATE(CalendarYear,7,11),1),"aaa")</f>
        <v>Tue</v>
      </c>
      <c r="M3" s="9" t="str">
        <f>TEXT(WEEKDAY(DATE(CalendarYear,7,12),1),"aaa")</f>
        <v>Wed</v>
      </c>
      <c r="N3" s="9" t="str">
        <f>TEXT(WEEKDAY(DATE(CalendarYear,7,13),1),"aaa")</f>
        <v>Thu</v>
      </c>
      <c r="O3" s="9" t="str">
        <f>TEXT(WEEKDAY(DATE(CalendarYear,7,14),1),"aaa")</f>
        <v>Fri</v>
      </c>
      <c r="P3" s="9" t="str">
        <f>TEXT(WEEKDAY(DATE(CalendarYear,7,15),1),"aaa")</f>
        <v>Sat</v>
      </c>
      <c r="Q3" s="9" t="str">
        <f>TEXT(WEEKDAY(DATE(CalendarYear,7,16),1),"aaa")</f>
        <v>Sun</v>
      </c>
      <c r="R3" s="9" t="str">
        <f>TEXT(WEEKDAY(DATE(CalendarYear,7,17),1),"aaa")</f>
        <v>Mon</v>
      </c>
      <c r="S3" s="9" t="str">
        <f>TEXT(WEEKDAY(DATE(CalendarYear,7,18),1),"aaa")</f>
        <v>Tue</v>
      </c>
      <c r="T3" s="9" t="str">
        <f>TEXT(WEEKDAY(DATE(CalendarYear,7,19),1),"aaa")</f>
        <v>Wed</v>
      </c>
      <c r="U3" s="9" t="str">
        <f>TEXT(WEEKDAY(DATE(CalendarYear,7,20),1),"aaa")</f>
        <v>Thu</v>
      </c>
      <c r="V3" s="9" t="str">
        <f>TEXT(WEEKDAY(DATE(CalendarYear,7,21),1),"aaa")</f>
        <v>Fri</v>
      </c>
      <c r="W3" s="9" t="str">
        <f>TEXT(WEEKDAY(DATE(CalendarYear,7,22),1),"aaa")</f>
        <v>Sat</v>
      </c>
      <c r="X3" s="9" t="str">
        <f>TEXT(WEEKDAY(DATE(CalendarYear,7,23),1),"aaa")</f>
        <v>Sun</v>
      </c>
      <c r="Y3" s="9" t="str">
        <f>TEXT(WEEKDAY(DATE(CalendarYear,7,24),1),"aaa")</f>
        <v>Mon</v>
      </c>
      <c r="Z3" s="9" t="str">
        <f>TEXT(WEEKDAY(DATE(CalendarYear,7,25),1),"aaa")</f>
        <v>Tue</v>
      </c>
      <c r="AA3" s="9" t="str">
        <f>TEXT(WEEKDAY(DATE(CalendarYear,7,26),1),"aaa")</f>
        <v>Wed</v>
      </c>
      <c r="AB3" s="9" t="str">
        <f>TEXT(WEEKDAY(DATE(CalendarYear,7,27),1),"aaa")</f>
        <v>Thu</v>
      </c>
      <c r="AC3" s="9" t="str">
        <f>TEXT(WEEKDAY(DATE(CalendarYear,7,28),1),"aaa")</f>
        <v>Fri</v>
      </c>
      <c r="AD3" s="9" t="str">
        <f>TEXT(WEEKDAY(DATE(CalendarYear,7,29),1),"aaa")</f>
        <v>Sat</v>
      </c>
      <c r="AE3" s="9" t="str">
        <f>TEXT(WEEKDAY(DATE(CalendarYear,7,30),1),"aaa")</f>
        <v>Sun</v>
      </c>
      <c r="AF3" s="9" t="str">
        <f>TEXT(WEEKDAY(DATE(CalendarYear,7,31),1),"aaa")</f>
        <v>Mon</v>
      </c>
      <c r="AG3" s="133"/>
    </row>
    <row r="4" spans="1:33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54" t="s">
        <v>90</v>
      </c>
    </row>
    <row r="5" spans="1:33">
      <c r="A5" s="26" t="s">
        <v>49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0">
        <f>SUBTOTAL(109,'Jul-Sep'!$B5:$AF5)</f>
        <v>0</v>
      </c>
    </row>
    <row r="6" spans="1:33">
      <c r="A6" s="26" t="s">
        <v>50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0">
        <f>SUBTOTAL(109,'Jul-Sep'!$B6:$AF6)</f>
        <v>0</v>
      </c>
    </row>
    <row r="7" spans="1:33" ht="15" customHeight="1">
      <c r="A7" s="26" t="s">
        <v>51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0">
        <f>SUBTOTAL(109,'Jul-Sep'!$B7:$AF7)</f>
        <v>0</v>
      </c>
    </row>
    <row r="8" spans="1:33" ht="15" customHeight="1">
      <c r="A8" s="26" t="s">
        <v>52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0">
        <f>SUBTOTAL(109,'Jul-Sep'!$B8:$AF8)</f>
        <v>0</v>
      </c>
    </row>
    <row r="9" spans="1:33" ht="15" customHeight="1">
      <c r="A9" s="26" t="s">
        <v>53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0">
        <f>SUBTOTAL(109,'Jul-Sep'!$B9:$AF9)</f>
        <v>0</v>
      </c>
    </row>
    <row r="10" spans="1:33" s="33" customFormat="1" ht="15" customHeight="1">
      <c r="A10" s="26" t="s">
        <v>54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>
        <f>SUBTOTAL(109,'Jul-Sep'!$B10:$AF10)</f>
        <v>0</v>
      </c>
    </row>
    <row r="11" spans="1:33" s="33" customFormat="1" ht="15" customHeight="1">
      <c r="A11" s="26" t="s">
        <v>55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>
        <f>SUBTOTAL(109,'Jul-Sep'!$B11:$AF11)</f>
        <v>0</v>
      </c>
    </row>
    <row r="12" spans="1:33" s="33" customFormat="1" ht="15" customHeight="1">
      <c r="A12" s="26" t="s">
        <v>56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>
        <f>SUBTOTAL(109,'Jul-Sep'!$B12:$AF12)</f>
        <v>0</v>
      </c>
    </row>
    <row r="13" spans="1:33" s="33" customFormat="1" ht="15" customHeight="1">
      <c r="A13" s="26" t="s">
        <v>57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>
        <f>SUBTOTAL(109,'Jul-Sep'!$B13:$AF13)</f>
        <v>0</v>
      </c>
    </row>
    <row r="14" spans="1:33" s="33" customFormat="1" ht="15" customHeight="1">
      <c r="A14" s="26" t="s">
        <v>58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>
        <f>SUBTOTAL(109,'Jul-Sep'!$B14:$AF14)</f>
        <v>0</v>
      </c>
    </row>
    <row r="15" spans="1:33" s="33" customFormat="1" ht="15" customHeight="1">
      <c r="A15" s="26" t="s">
        <v>59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>
        <f>SUBTOTAL(109,'Jul-Sep'!$B15:$AF15)</f>
        <v>0</v>
      </c>
    </row>
    <row r="16" spans="1:33" ht="15" customHeight="1">
      <c r="A16" s="26" t="s">
        <v>60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>
        <f>SUBTOTAL(109,'Jul-Sep'!$B16:$AF16)</f>
        <v>0</v>
      </c>
    </row>
    <row r="17" spans="1:33" ht="15" customHeight="1">
      <c r="A17" s="26" t="s">
        <v>61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>
        <f>SUBTOTAL(109,'Jul-Sep'!$B17:$AF17)</f>
        <v>0</v>
      </c>
    </row>
    <row r="18" spans="1:33" ht="15" customHeight="1">
      <c r="A18" s="26" t="s">
        <v>62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>
        <f>SUBTOTAL(109,'Jul-Sep'!$B18:$AF18)</f>
        <v>0</v>
      </c>
    </row>
    <row r="19" spans="1:33" s="33" customFormat="1" ht="15" customHeight="1">
      <c r="A19" s="40" t="s">
        <v>67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>
        <f>SUBTOTAL(109,'Jul-Sep'!$B19:$AF19)</f>
        <v>0</v>
      </c>
    </row>
    <row r="20" spans="1:33" s="102" customFormat="1" ht="15" customHeight="1">
      <c r="A20" s="106" t="s">
        <v>152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107">
        <f>SUBTOTAL(109,'Jul-Sep'!$B20:$AF20)</f>
        <v>0</v>
      </c>
    </row>
    <row r="21" spans="1:33" s="102" customFormat="1" ht="15" customHeight="1">
      <c r="A21" s="106" t="s">
        <v>153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107">
        <f>SUBTOTAL(109,'Jul-Sep'!$B21:$AF21)</f>
        <v>0</v>
      </c>
    </row>
    <row r="22" spans="1:33" s="102" customFormat="1" ht="15" customHeight="1">
      <c r="A22" s="106" t="s">
        <v>154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107">
        <f>SUBTOTAL(109,'Jul-Sep'!$B22:$AF22)</f>
        <v>0</v>
      </c>
    </row>
    <row r="23" spans="1:33" s="102" customFormat="1" ht="15" customHeight="1">
      <c r="A23" s="106" t="s">
        <v>155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107">
        <f>SUBTOTAL(109,'Jul-Sep'!$B23:$AF23)</f>
        <v>0</v>
      </c>
    </row>
    <row r="24" spans="1:33" s="102" customFormat="1" ht="15" customHeight="1">
      <c r="A24" s="106" t="s">
        <v>156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107">
        <f>SUBTOTAL(109,'Jul-Sep'!$B24:$AF24)</f>
        <v>0</v>
      </c>
    </row>
    <row r="25" spans="1:33" s="102" customFormat="1" ht="15" customHeight="1">
      <c r="A25" s="106" t="s">
        <v>157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107">
        <f>SUBTOTAL(109,'Jul-Sep'!$B25:$AF25)</f>
        <v>0</v>
      </c>
    </row>
    <row r="26" spans="1:33" s="102" customFormat="1" ht="15" customHeight="1">
      <c r="A26" s="106" t="s">
        <v>158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107">
        <f>SUBTOTAL(109,'Jul-Sep'!$B26:$AF26)</f>
        <v>0</v>
      </c>
    </row>
    <row r="27" spans="1:33" s="102" customFormat="1" ht="15" customHeight="1">
      <c r="A27" s="106" t="s">
        <v>159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107">
        <f>SUBTOTAL(109,'Jul-Sep'!$B27:$AF27)</f>
        <v>0</v>
      </c>
    </row>
    <row r="28" spans="1:33" s="102" customFormat="1" ht="15" customHeight="1">
      <c r="A28" s="106" t="s">
        <v>160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107">
        <f>SUBTOTAL(109,'Jul-Sep'!$B28:$AF28)</f>
        <v>0</v>
      </c>
    </row>
    <row r="29" spans="1:33" s="102" customFormat="1" ht="15" customHeight="1">
      <c r="A29" s="106" t="s">
        <v>161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107">
        <f>SUBTOTAL(109,'Jul-Sep'!$B29:$AF29)</f>
        <v>0</v>
      </c>
    </row>
    <row r="30" spans="1:33" s="102" customFormat="1" ht="15" customHeight="1">
      <c r="A30" s="106" t="s">
        <v>162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107">
        <f>SUBTOTAL(109,'Jul-Sep'!$B30:$AF30)</f>
        <v>0</v>
      </c>
    </row>
    <row r="31" spans="1:33" s="102" customFormat="1" ht="15" customHeight="1">
      <c r="A31" s="106" t="s">
        <v>162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107">
        <f>SUBTOTAL(109,'Jul-Sep'!$B31:$AF31)</f>
        <v>0</v>
      </c>
    </row>
    <row r="32" spans="1:33" s="102" customFormat="1" ht="15" customHeight="1">
      <c r="A32" s="106" t="s">
        <v>162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107">
        <f>SUBTOTAL(109,'Jul-Sep'!$B32:$AF32)</f>
        <v>0</v>
      </c>
    </row>
    <row r="33" spans="1:33" s="102" customFormat="1" ht="15" customHeight="1">
      <c r="A33" s="106" t="s">
        <v>162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107">
        <f>SUBTOTAL(109,'Jul-Sep'!$B33:$AF33)</f>
        <v>0</v>
      </c>
    </row>
    <row r="34" spans="1:33" s="102" customFormat="1" ht="15" customHeight="1">
      <c r="A34" s="106" t="s">
        <v>162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107">
        <f>SUBTOTAL(109,'Jul-Sep'!$B34:$AF34)</f>
        <v>0</v>
      </c>
    </row>
    <row r="35" spans="1:33" ht="15" customHeight="1">
      <c r="A35" s="15" t="str">
        <f>MonthName&amp;" Total"</f>
        <v>July Total</v>
      </c>
      <c r="B35" s="38">
        <f>SUBTOTAL(103,tblJuly[1])</f>
        <v>0</v>
      </c>
      <c r="C35" s="38">
        <f>SUBTOTAL(103,tblJuly[2])</f>
        <v>0</v>
      </c>
      <c r="D35" s="38">
        <f>SUBTOTAL(103,tblJuly[3])</f>
        <v>0</v>
      </c>
      <c r="E35" s="38">
        <f>SUBTOTAL(103,tblJuly[4])</f>
        <v>0</v>
      </c>
      <c r="F35" s="38">
        <f>SUBTOTAL(103,tblJuly[5])</f>
        <v>0</v>
      </c>
      <c r="G35" s="38">
        <f>SUBTOTAL(103,tblJuly[6])</f>
        <v>0</v>
      </c>
      <c r="H35" s="38">
        <f>SUBTOTAL(103,tblJuly[7])</f>
        <v>0</v>
      </c>
      <c r="I35" s="38">
        <f>SUBTOTAL(103,tblJuly[8])</f>
        <v>0</v>
      </c>
      <c r="J35" s="38">
        <f>SUBTOTAL(103,tblJuly[9])</f>
        <v>0</v>
      </c>
      <c r="K35" s="38">
        <f>SUBTOTAL(103,tblJuly[10])</f>
        <v>0</v>
      </c>
      <c r="L35" s="38">
        <f>SUBTOTAL(103,tblJuly[11])</f>
        <v>0</v>
      </c>
      <c r="M35" s="38">
        <f>SUBTOTAL(103,tblJuly[12])</f>
        <v>0</v>
      </c>
      <c r="N35" s="38">
        <f>SUBTOTAL(103,tblJuly[13])</f>
        <v>0</v>
      </c>
      <c r="O35" s="38">
        <f>SUBTOTAL(103,tblJuly[14])</f>
        <v>0</v>
      </c>
      <c r="P35" s="38">
        <f>SUBTOTAL(103,tblJuly[15])</f>
        <v>0</v>
      </c>
      <c r="Q35" s="38">
        <f>SUBTOTAL(103,tblJuly[16])</f>
        <v>0</v>
      </c>
      <c r="R35" s="38">
        <f>SUBTOTAL(103,tblJuly[17])</f>
        <v>0</v>
      </c>
      <c r="S35" s="38">
        <f>SUBTOTAL(103,tblJuly[18])</f>
        <v>0</v>
      </c>
      <c r="T35" s="38">
        <f>SUBTOTAL(103,tblJuly[19])</f>
        <v>0</v>
      </c>
      <c r="U35" s="38">
        <f>SUBTOTAL(103,tblJuly[20])</f>
        <v>0</v>
      </c>
      <c r="V35" s="38">
        <f>SUBTOTAL(103,tblJuly[21])</f>
        <v>0</v>
      </c>
      <c r="W35" s="38">
        <f>SUBTOTAL(103,tblJuly[22])</f>
        <v>0</v>
      </c>
      <c r="X35" s="38">
        <f>SUBTOTAL(103,tblJuly[23])</f>
        <v>0</v>
      </c>
      <c r="Y35" s="38">
        <f>SUBTOTAL(103,tblJuly[24])</f>
        <v>0</v>
      </c>
      <c r="Z35" s="38">
        <f>SUBTOTAL(103,tblJuly[25])</f>
        <v>0</v>
      </c>
      <c r="AA35" s="38">
        <f>SUBTOTAL(103,tblJuly[26])</f>
        <v>0</v>
      </c>
      <c r="AB35" s="38">
        <f>SUBTOTAL(103,tblJuly[27])</f>
        <v>0</v>
      </c>
      <c r="AC35" s="38">
        <f>SUBTOTAL(103,tblJuly[28])</f>
        <v>0</v>
      </c>
      <c r="AD35" s="38">
        <f>SUBTOTAL(103,tblJuly[29])</f>
        <v>0</v>
      </c>
      <c r="AE35" s="38">
        <f>SUBTOTAL(109,tblJuly[30])</f>
        <v>0</v>
      </c>
      <c r="AF35" s="38">
        <f>SUBTOTAL(109,tblJuly[31])</f>
        <v>0</v>
      </c>
      <c r="AG35" s="39">
        <f>SUBTOTAL(109,tblJuly[Total Hours])</f>
        <v>0</v>
      </c>
    </row>
    <row r="36" spans="1:33" ht="1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</row>
    <row r="37" spans="1:33" ht="15" customHeight="1">
      <c r="B37" s="32" t="str">
        <f>'Jan-Mar'!B38</f>
        <v>Color Key</v>
      </c>
      <c r="C37" s="16"/>
      <c r="D37" s="16"/>
      <c r="E37" s="17" t="str">
        <f>KeyVacation</f>
        <v>N</v>
      </c>
      <c r="F37" s="18" t="str">
        <f>KeyVacationLabel</f>
        <v>公司年假</v>
      </c>
      <c r="G37" s="18"/>
      <c r="H37" s="18"/>
      <c r="I37" s="19" t="str">
        <f>KeyPersonal</f>
        <v>No.</v>
      </c>
      <c r="J37" s="18" t="str">
        <f>KeyPersonalLabel</f>
        <v>串休</v>
      </c>
      <c r="K37" s="18"/>
      <c r="L37" s="18"/>
      <c r="M37" s="20"/>
      <c r="N37" s="18"/>
      <c r="O37" s="18"/>
      <c r="P37" s="21"/>
      <c r="Q37" s="18"/>
      <c r="R37" s="18"/>
      <c r="S37" s="18"/>
      <c r="T37" s="22"/>
      <c r="U37" s="18"/>
      <c r="V37" s="18"/>
      <c r="W37" s="18"/>
    </row>
    <row r="39" spans="1:33" ht="15" customHeight="1">
      <c r="A39" s="131" t="s">
        <v>44</v>
      </c>
      <c r="B39" s="132" t="s">
        <v>1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3">
        <f>CalendarYear</f>
        <v>2017</v>
      </c>
    </row>
    <row r="40" spans="1:33" ht="15" customHeight="1">
      <c r="A40" s="131"/>
      <c r="B40" s="9" t="str">
        <f>TEXT(WEEKDAY(DATE(CalendarYear,8,1),1),"aaa")</f>
        <v>Tue</v>
      </c>
      <c r="C40" s="9" t="str">
        <f>TEXT(WEEKDAY(DATE(CalendarYear,8,2),1),"aaa")</f>
        <v>Wed</v>
      </c>
      <c r="D40" s="9" t="str">
        <f>TEXT(WEEKDAY(DATE(CalendarYear,8,3),1),"aaa")</f>
        <v>Thu</v>
      </c>
      <c r="E40" s="9" t="str">
        <f>TEXT(WEEKDAY(DATE(CalendarYear,8,4),1),"aaa")</f>
        <v>Fri</v>
      </c>
      <c r="F40" s="9" t="str">
        <f>TEXT(WEEKDAY(DATE(CalendarYear,8,5),1),"aaa")</f>
        <v>Sat</v>
      </c>
      <c r="G40" s="9" t="str">
        <f>TEXT(WEEKDAY(DATE(CalendarYear,8,6),1),"aaa")</f>
        <v>Sun</v>
      </c>
      <c r="H40" s="9" t="str">
        <f>TEXT(WEEKDAY(DATE(CalendarYear,8,7),1),"aaa")</f>
        <v>Mon</v>
      </c>
      <c r="I40" s="9" t="str">
        <f>TEXT(WEEKDAY(DATE(CalendarYear,8,8),1),"aaa")</f>
        <v>Tue</v>
      </c>
      <c r="J40" s="9" t="str">
        <f>TEXT(WEEKDAY(DATE(CalendarYear,8,9),1),"aaa")</f>
        <v>Wed</v>
      </c>
      <c r="K40" s="9" t="str">
        <f>TEXT(WEEKDAY(DATE(CalendarYear,8,10),1),"aaa")</f>
        <v>Thu</v>
      </c>
      <c r="L40" s="9" t="str">
        <f>TEXT(WEEKDAY(DATE(CalendarYear,8,11),1),"aaa")</f>
        <v>Fri</v>
      </c>
      <c r="M40" s="9" t="str">
        <f>TEXT(WEEKDAY(DATE(CalendarYear,8,12),1),"aaa")</f>
        <v>Sat</v>
      </c>
      <c r="N40" s="9" t="str">
        <f>TEXT(WEEKDAY(DATE(CalendarYear,8,13),1),"aaa")</f>
        <v>Sun</v>
      </c>
      <c r="O40" s="9" t="str">
        <f>TEXT(WEEKDAY(DATE(CalendarYear,8,14),1),"aaa")</f>
        <v>Mon</v>
      </c>
      <c r="P40" s="9" t="str">
        <f>TEXT(WEEKDAY(DATE(CalendarYear,8,15),1),"aaa")</f>
        <v>Tue</v>
      </c>
      <c r="Q40" s="9" t="str">
        <f>TEXT(WEEKDAY(DATE(CalendarYear,8,16),1),"aaa")</f>
        <v>Wed</v>
      </c>
      <c r="R40" s="9" t="str">
        <f>TEXT(WEEKDAY(DATE(CalendarYear,8,17),1),"aaa")</f>
        <v>Thu</v>
      </c>
      <c r="S40" s="9" t="str">
        <f>TEXT(WEEKDAY(DATE(CalendarYear,8,18),1),"aaa")</f>
        <v>Fri</v>
      </c>
      <c r="T40" s="9" t="str">
        <f>TEXT(WEEKDAY(DATE(CalendarYear,8,19),1),"aaa")</f>
        <v>Sat</v>
      </c>
      <c r="U40" s="9" t="str">
        <f>TEXT(WEEKDAY(DATE(CalendarYear,8,20),1),"aaa")</f>
        <v>Sun</v>
      </c>
      <c r="V40" s="9" t="str">
        <f>TEXT(WEEKDAY(DATE(CalendarYear,8,21),1),"aaa")</f>
        <v>Mon</v>
      </c>
      <c r="W40" s="9" t="str">
        <f>TEXT(WEEKDAY(DATE(CalendarYear,8,22),1),"aaa")</f>
        <v>Tue</v>
      </c>
      <c r="X40" s="9" t="str">
        <f>TEXT(WEEKDAY(DATE(CalendarYear,8,23),1),"aaa")</f>
        <v>Wed</v>
      </c>
      <c r="Y40" s="9" t="str">
        <f>TEXT(WEEKDAY(DATE(CalendarYear,8,24),1),"aaa")</f>
        <v>Thu</v>
      </c>
      <c r="Z40" s="9" t="str">
        <f>TEXT(WEEKDAY(DATE(CalendarYear,8,25),1),"aaa")</f>
        <v>Fri</v>
      </c>
      <c r="AA40" s="9" t="str">
        <f>TEXT(WEEKDAY(DATE(CalendarYear,8,26),1),"aaa")</f>
        <v>Sat</v>
      </c>
      <c r="AB40" s="9" t="str">
        <f>TEXT(WEEKDAY(DATE(CalendarYear,8,27),1),"aaa")</f>
        <v>Sun</v>
      </c>
      <c r="AC40" s="9" t="str">
        <f>TEXT(WEEKDAY(DATE(CalendarYear,8,28),1),"aaa")</f>
        <v>Mon</v>
      </c>
      <c r="AD40" s="9" t="str">
        <f>TEXT(WEEKDAY(DATE(CalendarYear,8,29),1),"aaa")</f>
        <v>Tue</v>
      </c>
      <c r="AE40" s="9" t="str">
        <f>TEXT(WEEKDAY(DATE(CalendarYear,8,30),1),"aaa")</f>
        <v>Wed</v>
      </c>
      <c r="AF40" s="9" t="str">
        <f>TEXT(WEEKDAY(DATE(CalendarYear,8,31),1),"aaa")</f>
        <v>Thu</v>
      </c>
      <c r="AG40" s="133"/>
    </row>
    <row r="41" spans="1:33" ht="15" customHeight="1">
      <c r="A41" s="15" t="s">
        <v>2</v>
      </c>
      <c r="B41" s="9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9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9" t="s">
        <v>13</v>
      </c>
      <c r="M41" s="9" t="s">
        <v>14</v>
      </c>
      <c r="N41" s="9" t="s">
        <v>15</v>
      </c>
      <c r="O41" s="9" t="s">
        <v>16</v>
      </c>
      <c r="P41" s="9" t="s">
        <v>17</v>
      </c>
      <c r="Q41" s="9" t="s">
        <v>18</v>
      </c>
      <c r="R41" s="9" t="s">
        <v>19</v>
      </c>
      <c r="S41" s="9" t="s">
        <v>20</v>
      </c>
      <c r="T41" s="9" t="s">
        <v>21</v>
      </c>
      <c r="U41" s="9" t="s">
        <v>22</v>
      </c>
      <c r="V41" s="9" t="s">
        <v>23</v>
      </c>
      <c r="W41" s="9" t="s">
        <v>24</v>
      </c>
      <c r="X41" s="9" t="s">
        <v>25</v>
      </c>
      <c r="Y41" s="9" t="s">
        <v>26</v>
      </c>
      <c r="Z41" s="9" t="s">
        <v>27</v>
      </c>
      <c r="AA41" s="9" t="s">
        <v>28</v>
      </c>
      <c r="AB41" s="9" t="s">
        <v>29</v>
      </c>
      <c r="AC41" s="9" t="s">
        <v>30</v>
      </c>
      <c r="AD41" s="9" t="s">
        <v>31</v>
      </c>
      <c r="AE41" s="9" t="s">
        <v>32</v>
      </c>
      <c r="AF41" s="9" t="s">
        <v>33</v>
      </c>
      <c r="AG41" s="54" t="s">
        <v>90</v>
      </c>
    </row>
    <row r="42" spans="1:33" ht="15" customHeight="1">
      <c r="A42" s="26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0">
        <f>SUBTOTAL(109,'Jul-Sep'!$B42:$AF42)</f>
        <v>0</v>
      </c>
    </row>
    <row r="43" spans="1:33" ht="15" customHeight="1">
      <c r="A43" s="26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0">
        <f>SUBTOTAL(109,'Jul-Sep'!$B43:$AF43)</f>
        <v>0</v>
      </c>
    </row>
    <row r="44" spans="1:33" ht="15" customHeight="1">
      <c r="A44" s="26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0">
        <f>SUBTOTAL(109,'Jul-Sep'!$B44:$AF44)</f>
        <v>0</v>
      </c>
    </row>
    <row r="45" spans="1:33" ht="15" customHeight="1">
      <c r="A45" s="26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0">
        <f>SUBTOTAL(109,'Jul-Sep'!$B45:$AF45)</f>
        <v>0</v>
      </c>
    </row>
    <row r="46" spans="1:33" ht="15" customHeight="1">
      <c r="A46" s="26" t="s">
        <v>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0">
        <f>SUBTOTAL(109,'Jul-Sep'!$B46:$AF46)</f>
        <v>0</v>
      </c>
    </row>
    <row r="47" spans="1:33" ht="15" customHeight="1">
      <c r="A47" s="26" t="s">
        <v>54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30">
        <f>SUBTOTAL(109,'Jul-Sep'!$B47:$AF47)</f>
        <v>0</v>
      </c>
    </row>
    <row r="48" spans="1:33" ht="15" customHeight="1">
      <c r="A48" s="26" t="s">
        <v>55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30">
        <f>SUBTOTAL(109,'Jul-Sep'!$B48:$AF48)</f>
        <v>0</v>
      </c>
    </row>
    <row r="49" spans="1:33" ht="15" customHeight="1">
      <c r="A49" s="26" t="s">
        <v>56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30">
        <f>SUBTOTAL(109,'Jul-Sep'!$B49:$AF49)</f>
        <v>0</v>
      </c>
    </row>
    <row r="50" spans="1:33" ht="15" customHeight="1">
      <c r="A50" s="26" t="s">
        <v>57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30">
        <f>SUBTOTAL(109,'Jul-Sep'!$B50:$AF50)</f>
        <v>0</v>
      </c>
    </row>
    <row r="51" spans="1:33" ht="15" customHeight="1">
      <c r="A51" s="26" t="s">
        <v>58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>
        <f>SUBTOTAL(109,'Jul-Sep'!$B51:$AF51)</f>
        <v>0</v>
      </c>
    </row>
    <row r="52" spans="1:33" ht="15" customHeight="1">
      <c r="A52" s="26" t="s">
        <v>59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30">
        <f>SUBTOTAL(109,'Jul-Sep'!$B52:$AF52)</f>
        <v>0</v>
      </c>
    </row>
    <row r="53" spans="1:33" ht="15" customHeight="1">
      <c r="A53" s="26" t="s">
        <v>60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30">
        <f>SUBTOTAL(109,'Jul-Sep'!$B53:$AF53)</f>
        <v>0</v>
      </c>
    </row>
    <row r="54" spans="1:33" ht="15" customHeight="1">
      <c r="A54" s="26" t="s">
        <v>61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30">
        <f>SUBTOTAL(109,'Jul-Sep'!$B54:$AF54)</f>
        <v>0</v>
      </c>
    </row>
    <row r="55" spans="1:33" ht="15" customHeight="1">
      <c r="A55" s="26" t="s">
        <v>62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0">
        <f>SUBTOTAL(109,'Jul-Sep'!$B55:$AF55)</f>
        <v>0</v>
      </c>
    </row>
    <row r="56" spans="1:33" ht="15" customHeight="1">
      <c r="A56" s="40" t="s">
        <v>67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0">
        <f>SUBTOTAL(109,'Jul-Sep'!$B56:$AF56)</f>
        <v>0</v>
      </c>
    </row>
    <row r="57" spans="1:33" s="102" customFormat="1" ht="15" customHeight="1">
      <c r="A57" s="106" t="s">
        <v>152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0">
        <f>SUBTOTAL(109,'Jul-Sep'!$B57:$AF57)</f>
        <v>0</v>
      </c>
    </row>
    <row r="58" spans="1:33" s="102" customFormat="1" ht="15" customHeight="1">
      <c r="A58" s="106" t="s">
        <v>153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30">
        <f>SUBTOTAL(109,'Jul-Sep'!$B58:$AF58)</f>
        <v>0</v>
      </c>
    </row>
    <row r="59" spans="1:33" s="102" customFormat="1" ht="15" customHeight="1">
      <c r="A59" s="106" t="s">
        <v>154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>
        <f>SUBTOTAL(109,'Jul-Sep'!$B59:$AF59)</f>
        <v>0</v>
      </c>
    </row>
    <row r="60" spans="1:33" s="102" customFormat="1" ht="15" customHeight="1">
      <c r="A60" s="106" t="s">
        <v>155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30">
        <f>SUBTOTAL(109,'Jul-Sep'!$B60:$AF60)</f>
        <v>0</v>
      </c>
    </row>
    <row r="61" spans="1:33" s="102" customFormat="1" ht="15" customHeight="1">
      <c r="A61" s="106" t="s">
        <v>156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0">
        <f>SUBTOTAL(109,'Jul-Sep'!$B61:$AF61)</f>
        <v>0</v>
      </c>
    </row>
    <row r="62" spans="1:33" s="102" customFormat="1" ht="15" customHeight="1">
      <c r="A62" s="106" t="s">
        <v>157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0">
        <f>SUBTOTAL(109,'Jul-Sep'!$B62:$AF62)</f>
        <v>0</v>
      </c>
    </row>
    <row r="63" spans="1:33" s="102" customFormat="1" ht="15" customHeight="1">
      <c r="A63" s="106" t="s">
        <v>158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0">
        <f>SUBTOTAL(109,'Jul-Sep'!$B63:$AF63)</f>
        <v>0</v>
      </c>
    </row>
    <row r="64" spans="1:33" s="102" customFormat="1" ht="15" customHeight="1">
      <c r="A64" s="106" t="s">
        <v>159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30">
        <f>SUBTOTAL(109,'Jul-Sep'!$B64:$AF64)</f>
        <v>0</v>
      </c>
    </row>
    <row r="65" spans="1:33" s="102" customFormat="1" ht="15" customHeight="1">
      <c r="A65" s="106" t="s">
        <v>160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30">
        <f>SUBTOTAL(109,'Jul-Sep'!$B65:$AF65)</f>
        <v>0</v>
      </c>
    </row>
    <row r="66" spans="1:33" s="102" customFormat="1" ht="15" customHeight="1">
      <c r="A66" s="106" t="s">
        <v>161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30">
        <f>SUBTOTAL(109,'Jul-Sep'!$B66:$AF66)</f>
        <v>0</v>
      </c>
    </row>
    <row r="67" spans="1:33" s="102" customFormat="1" ht="15" customHeight="1">
      <c r="A67" s="106" t="s">
        <v>162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30">
        <f>SUBTOTAL(109,'Jul-Sep'!$B67:$AF67)</f>
        <v>0</v>
      </c>
    </row>
    <row r="68" spans="1:33" s="102" customFormat="1" ht="15" customHeight="1">
      <c r="A68" s="106" t="s">
        <v>162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30">
        <f>SUBTOTAL(109,'Jul-Sep'!$B68:$AF68)</f>
        <v>0</v>
      </c>
    </row>
    <row r="69" spans="1:33" s="102" customFormat="1" ht="15" customHeight="1">
      <c r="A69" s="106" t="s">
        <v>162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0">
        <f>SUBTOTAL(109,'Jul-Sep'!$B69:$AF69)</f>
        <v>0</v>
      </c>
    </row>
    <row r="70" spans="1:33" s="102" customFormat="1" ht="15" customHeight="1">
      <c r="A70" s="106" t="s">
        <v>162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30">
        <f>SUBTOTAL(109,'Jul-Sep'!$B70:$AF70)</f>
        <v>0</v>
      </c>
    </row>
    <row r="71" spans="1:33" s="102" customFormat="1" ht="15" customHeight="1">
      <c r="A71" s="106" t="s">
        <v>162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0">
        <f>SUBTOTAL(109,'Jul-Sep'!$B71:$AF71)</f>
        <v>0</v>
      </c>
    </row>
    <row r="72" spans="1:33" ht="15" customHeight="1">
      <c r="A72" s="15" t="str">
        <f>A39&amp;" Total"</f>
        <v>August Total</v>
      </c>
      <c r="B72" s="38">
        <f>SUBTOTAL(103,tblAugust[1])</f>
        <v>0</v>
      </c>
      <c r="C72" s="38">
        <f>SUBTOTAL(103,tblAugust[2])</f>
        <v>0</v>
      </c>
      <c r="D72" s="38">
        <f>SUBTOTAL(103,tblAugust[3])</f>
        <v>0</v>
      </c>
      <c r="E72" s="38">
        <f>SUBTOTAL(103,tblAugust[4])</f>
        <v>0</v>
      </c>
      <c r="F72" s="38">
        <f>SUBTOTAL(103,tblAugust[5])</f>
        <v>0</v>
      </c>
      <c r="G72" s="38">
        <f>SUBTOTAL(103,tblAugust[6])</f>
        <v>0</v>
      </c>
      <c r="H72" s="38">
        <f>SUBTOTAL(103,tblAugust[7])</f>
        <v>0</v>
      </c>
      <c r="I72" s="38">
        <f>SUBTOTAL(103,tblAugust[8])</f>
        <v>0</v>
      </c>
      <c r="J72" s="38">
        <f>SUBTOTAL(103,tblAugust[9])</f>
        <v>0</v>
      </c>
      <c r="K72" s="38">
        <f>SUBTOTAL(103,tblAugust[10])</f>
        <v>0</v>
      </c>
      <c r="L72" s="38">
        <f>SUBTOTAL(103,tblAugust[11])</f>
        <v>0</v>
      </c>
      <c r="M72" s="38">
        <f>SUBTOTAL(103,tblAugust[12])</f>
        <v>0</v>
      </c>
      <c r="N72" s="38">
        <f>SUBTOTAL(103,tblAugust[13])</f>
        <v>0</v>
      </c>
      <c r="O72" s="38">
        <f>SUBTOTAL(103,tblAugust[14])</f>
        <v>0</v>
      </c>
      <c r="P72" s="38">
        <f>SUBTOTAL(103,tblAugust[15])</f>
        <v>0</v>
      </c>
      <c r="Q72" s="38">
        <f>SUBTOTAL(103,tblAugust[16])</f>
        <v>0</v>
      </c>
      <c r="R72" s="38">
        <f>SUBTOTAL(103,tblAugust[17])</f>
        <v>0</v>
      </c>
      <c r="S72" s="38">
        <f>SUBTOTAL(103,tblAugust[18])</f>
        <v>0</v>
      </c>
      <c r="T72" s="38">
        <f>SUBTOTAL(103,tblAugust[19])</f>
        <v>0</v>
      </c>
      <c r="U72" s="38">
        <f>SUBTOTAL(103,tblAugust[20])</f>
        <v>0</v>
      </c>
      <c r="V72" s="38">
        <f>SUBTOTAL(103,tblAugust[21])</f>
        <v>0</v>
      </c>
      <c r="W72" s="38">
        <f>SUBTOTAL(103,tblAugust[22])</f>
        <v>0</v>
      </c>
      <c r="X72" s="38">
        <f>SUBTOTAL(103,tblAugust[23])</f>
        <v>0</v>
      </c>
      <c r="Y72" s="38">
        <f>SUBTOTAL(103,tblAugust[24])</f>
        <v>0</v>
      </c>
      <c r="Z72" s="38">
        <f>SUBTOTAL(103,tblAugust[25])</f>
        <v>0</v>
      </c>
      <c r="AA72" s="38">
        <f>SUBTOTAL(103,tblAugust[26])</f>
        <v>0</v>
      </c>
      <c r="AB72" s="38">
        <f>SUBTOTAL(103,tblAugust[27])</f>
        <v>0</v>
      </c>
      <c r="AC72" s="38">
        <f>SUBTOTAL(103,tblAugust[28])</f>
        <v>0</v>
      </c>
      <c r="AD72" s="38">
        <f>SUBTOTAL(103,tblAugust[29])</f>
        <v>0</v>
      </c>
      <c r="AE72" s="38">
        <f>SUBTOTAL(109,tblAugust[30])</f>
        <v>0</v>
      </c>
      <c r="AF72" s="38">
        <f>SUBTOTAL(109,tblAugust[31])</f>
        <v>0</v>
      </c>
      <c r="AG72" s="39">
        <f>SUBTOTAL(109,tblAugust[Total Hours])</f>
        <v>0</v>
      </c>
    </row>
    <row r="74" spans="1:33" ht="15" customHeight="1">
      <c r="A74" s="131" t="s">
        <v>45</v>
      </c>
      <c r="B74" s="132" t="s">
        <v>1</v>
      </c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3">
        <f>CalendarYear</f>
        <v>2017</v>
      </c>
    </row>
    <row r="75" spans="1:33" ht="15" customHeight="1">
      <c r="A75" s="131"/>
      <c r="B75" s="9" t="str">
        <f>TEXT(WEEKDAY(DATE(CalendarYear,9,1),1),"aaa")</f>
        <v>Fri</v>
      </c>
      <c r="C75" s="9" t="str">
        <f>TEXT(WEEKDAY(DATE(CalendarYear,9,2),1),"aaa")</f>
        <v>Sat</v>
      </c>
      <c r="D75" s="9" t="str">
        <f>TEXT(WEEKDAY(DATE(CalendarYear,9,3),1),"aaa")</f>
        <v>Sun</v>
      </c>
      <c r="E75" s="9" t="str">
        <f>TEXT(WEEKDAY(DATE(CalendarYear,9,4),1),"aaa")</f>
        <v>Mon</v>
      </c>
      <c r="F75" s="9" t="str">
        <f>TEXT(WEEKDAY(DATE(CalendarYear,9,5),1),"aaa")</f>
        <v>Tue</v>
      </c>
      <c r="G75" s="9" t="str">
        <f>TEXT(WEEKDAY(DATE(CalendarYear,9,6),1),"aaa")</f>
        <v>Wed</v>
      </c>
      <c r="H75" s="9" t="str">
        <f>TEXT(WEEKDAY(DATE(CalendarYear,9,7),1),"aaa")</f>
        <v>Thu</v>
      </c>
      <c r="I75" s="9" t="str">
        <f>TEXT(WEEKDAY(DATE(CalendarYear,9,8),1),"aaa")</f>
        <v>Fri</v>
      </c>
      <c r="J75" s="9" t="str">
        <f>TEXT(WEEKDAY(DATE(CalendarYear,9,9),1),"aaa")</f>
        <v>Sat</v>
      </c>
      <c r="K75" s="9" t="str">
        <f>TEXT(WEEKDAY(DATE(CalendarYear,9,10),1),"aaa")</f>
        <v>Sun</v>
      </c>
      <c r="L75" s="9" t="str">
        <f>TEXT(WEEKDAY(DATE(CalendarYear,9,11),1),"aaa")</f>
        <v>Mon</v>
      </c>
      <c r="M75" s="9" t="str">
        <f>TEXT(WEEKDAY(DATE(CalendarYear,9,12),1),"aaa")</f>
        <v>Tue</v>
      </c>
      <c r="N75" s="9" t="str">
        <f>TEXT(WEEKDAY(DATE(CalendarYear,9,13),1),"aaa")</f>
        <v>Wed</v>
      </c>
      <c r="O75" s="9" t="str">
        <f>TEXT(WEEKDAY(DATE(CalendarYear,9,14),1),"aaa")</f>
        <v>Thu</v>
      </c>
      <c r="P75" s="9" t="str">
        <f>TEXT(WEEKDAY(DATE(CalendarYear,9,15),1),"aaa")</f>
        <v>Fri</v>
      </c>
      <c r="Q75" s="9" t="str">
        <f>TEXT(WEEKDAY(DATE(CalendarYear,9,16),1),"aaa")</f>
        <v>Sat</v>
      </c>
      <c r="R75" s="9" t="str">
        <f>TEXT(WEEKDAY(DATE(CalendarYear,9,17),1),"aaa")</f>
        <v>Sun</v>
      </c>
      <c r="S75" s="9" t="str">
        <f>TEXT(WEEKDAY(DATE(CalendarYear,9,18),1),"aaa")</f>
        <v>Mon</v>
      </c>
      <c r="T75" s="9" t="str">
        <f>TEXT(WEEKDAY(DATE(CalendarYear,9,19),1),"aaa")</f>
        <v>Tue</v>
      </c>
      <c r="U75" s="9" t="str">
        <f>TEXT(WEEKDAY(DATE(CalendarYear,9,20),1),"aaa")</f>
        <v>Wed</v>
      </c>
      <c r="V75" s="9" t="str">
        <f>TEXT(WEEKDAY(DATE(CalendarYear,9,21),1),"aaa")</f>
        <v>Thu</v>
      </c>
      <c r="W75" s="9" t="str">
        <f>TEXT(WEEKDAY(DATE(CalendarYear,9,22),1),"aaa")</f>
        <v>Fri</v>
      </c>
      <c r="X75" s="9" t="str">
        <f>TEXT(WEEKDAY(DATE(CalendarYear,9,23),1),"aaa")</f>
        <v>Sat</v>
      </c>
      <c r="Y75" s="9" t="str">
        <f>TEXT(WEEKDAY(DATE(CalendarYear,9,24),1),"aaa")</f>
        <v>Sun</v>
      </c>
      <c r="Z75" s="9" t="str">
        <f>TEXT(WEEKDAY(DATE(CalendarYear,9,25),1),"aaa")</f>
        <v>Mon</v>
      </c>
      <c r="AA75" s="9" t="str">
        <f>TEXT(WEEKDAY(DATE(CalendarYear,9,26),1),"aaa")</f>
        <v>Tue</v>
      </c>
      <c r="AB75" s="9" t="str">
        <f>TEXT(WEEKDAY(DATE(CalendarYear,9,27),1),"aaa")</f>
        <v>Wed</v>
      </c>
      <c r="AC75" s="9" t="str">
        <f>TEXT(WEEKDAY(DATE(CalendarYear,9,28),1),"aaa")</f>
        <v>Thu</v>
      </c>
      <c r="AD75" s="9" t="str">
        <f>TEXT(WEEKDAY(DATE(CalendarYear,9,29),1),"aaa")</f>
        <v>Fri</v>
      </c>
      <c r="AE75" s="9" t="str">
        <f>TEXT(WEEKDAY(DATE(CalendarYear,9,30),1),"aaa")</f>
        <v>Sat</v>
      </c>
      <c r="AF75" s="9"/>
      <c r="AG75" s="133"/>
    </row>
    <row r="76" spans="1:33" ht="15" customHeight="1">
      <c r="A76" s="15" t="s">
        <v>2</v>
      </c>
      <c r="B76" s="9" t="s">
        <v>3</v>
      </c>
      <c r="C76" s="9" t="s">
        <v>4</v>
      </c>
      <c r="D76" s="9" t="s">
        <v>5</v>
      </c>
      <c r="E76" s="9" t="s">
        <v>6</v>
      </c>
      <c r="F76" s="9" t="s">
        <v>7</v>
      </c>
      <c r="G76" s="9" t="s">
        <v>8</v>
      </c>
      <c r="H76" s="9" t="s">
        <v>9</v>
      </c>
      <c r="I76" s="9" t="s">
        <v>10</v>
      </c>
      <c r="J76" s="9" t="s">
        <v>11</v>
      </c>
      <c r="K76" s="9" t="s">
        <v>12</v>
      </c>
      <c r="L76" s="9" t="s">
        <v>13</v>
      </c>
      <c r="M76" s="9" t="s">
        <v>14</v>
      </c>
      <c r="N76" s="9" t="s">
        <v>15</v>
      </c>
      <c r="O76" s="9" t="s">
        <v>16</v>
      </c>
      <c r="P76" s="9" t="s">
        <v>17</v>
      </c>
      <c r="Q76" s="9" t="s">
        <v>18</v>
      </c>
      <c r="R76" s="9" t="s">
        <v>19</v>
      </c>
      <c r="S76" s="9" t="s">
        <v>20</v>
      </c>
      <c r="T76" s="9" t="s">
        <v>21</v>
      </c>
      <c r="U76" s="9" t="s">
        <v>22</v>
      </c>
      <c r="V76" s="9" t="s">
        <v>23</v>
      </c>
      <c r="W76" s="9" t="s">
        <v>24</v>
      </c>
      <c r="X76" s="9" t="s">
        <v>25</v>
      </c>
      <c r="Y76" s="9" t="s">
        <v>26</v>
      </c>
      <c r="Z76" s="9" t="s">
        <v>27</v>
      </c>
      <c r="AA76" s="9" t="s">
        <v>28</v>
      </c>
      <c r="AB76" s="9" t="s">
        <v>29</v>
      </c>
      <c r="AC76" s="9" t="s">
        <v>30</v>
      </c>
      <c r="AD76" s="9" t="s">
        <v>31</v>
      </c>
      <c r="AE76" s="9" t="s">
        <v>32</v>
      </c>
      <c r="AF76" s="9" t="s">
        <v>34</v>
      </c>
      <c r="AG76" s="54" t="s">
        <v>90</v>
      </c>
    </row>
    <row r="77" spans="1:33" ht="15" customHeight="1">
      <c r="A77" s="26" t="s">
        <v>49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0">
        <f>SUBTOTAL(109,'Jul-Sep'!$B77:$AF77)</f>
        <v>0</v>
      </c>
    </row>
    <row r="78" spans="1:33" ht="15" customHeight="1">
      <c r="A78" s="26" t="s">
        <v>50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0">
        <f>SUBTOTAL(109,'Jul-Sep'!$B78:$AF78)</f>
        <v>0</v>
      </c>
    </row>
    <row r="79" spans="1:33" ht="15" customHeight="1">
      <c r="A79" s="26" t="s">
        <v>51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0">
        <f>SUBTOTAL(109,'Jul-Sep'!$B79:$AF79)</f>
        <v>0</v>
      </c>
    </row>
    <row r="80" spans="1:33" ht="15" customHeight="1">
      <c r="A80" s="26" t="s">
        <v>52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0">
        <f>SUBTOTAL(109,'Jul-Sep'!$B80:$AF80)</f>
        <v>0</v>
      </c>
    </row>
    <row r="81" spans="1:33" ht="15" customHeight="1">
      <c r="A81" s="26" t="s">
        <v>53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0">
        <f>SUBTOTAL(109,'Jul-Sep'!$B81:$AF81)</f>
        <v>0</v>
      </c>
    </row>
    <row r="82" spans="1:33" ht="15" customHeight="1">
      <c r="A82" s="26" t="s">
        <v>54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0">
        <f>SUBTOTAL(109,'Jul-Sep'!$B82:$AF82)</f>
        <v>0</v>
      </c>
    </row>
    <row r="83" spans="1:33" ht="15" customHeight="1">
      <c r="A83" s="26" t="s">
        <v>55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0">
        <f>SUBTOTAL(109,'Jul-Sep'!$B83:$AF83)</f>
        <v>0</v>
      </c>
    </row>
    <row r="84" spans="1:33" ht="15" customHeight="1">
      <c r="A84" s="26" t="s">
        <v>56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0">
        <f>SUBTOTAL(109,'Jul-Sep'!$B84:$AF84)</f>
        <v>0</v>
      </c>
    </row>
    <row r="85" spans="1:33" ht="15" customHeight="1">
      <c r="A85" s="26" t="s">
        <v>57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0">
        <f>SUBTOTAL(109,'Jul-Sep'!$B85:$AF85)</f>
        <v>0</v>
      </c>
    </row>
    <row r="86" spans="1:33" ht="15" customHeight="1">
      <c r="A86" s="26" t="s">
        <v>58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0">
        <f>SUBTOTAL(109,'Jul-Sep'!$B86:$AF86)</f>
        <v>0</v>
      </c>
    </row>
    <row r="87" spans="1:33" ht="15" customHeight="1">
      <c r="A87" s="26" t="s">
        <v>59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0">
        <f>SUBTOTAL(109,'Jul-Sep'!$B87:$AF87)</f>
        <v>0</v>
      </c>
    </row>
    <row r="88" spans="1:33" ht="15" customHeight="1">
      <c r="A88" s="26" t="s">
        <v>60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30">
        <f>SUBTOTAL(109,'Jul-Sep'!$B88:$AF88)</f>
        <v>0</v>
      </c>
    </row>
    <row r="89" spans="1:33" ht="15" customHeight="1">
      <c r="A89" s="26" t="s">
        <v>61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30">
        <f>SUBTOTAL(109,'Jul-Sep'!$B89:$AF89)</f>
        <v>0</v>
      </c>
    </row>
    <row r="90" spans="1:33" ht="15" customHeight="1">
      <c r="A90" s="26" t="s">
        <v>62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30">
        <f>SUBTOTAL(109,'Jul-Sep'!$B90:$AF90)</f>
        <v>0</v>
      </c>
    </row>
    <row r="91" spans="1:33" ht="15" customHeight="1">
      <c r="A91" s="40" t="s">
        <v>67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30">
        <f>SUBTOTAL(109,'Jul-Sep'!$B91:$AF91)</f>
        <v>0</v>
      </c>
    </row>
    <row r="92" spans="1:33" s="102" customFormat="1" ht="15" customHeight="1">
      <c r="A92" s="106" t="s">
        <v>152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30">
        <f>SUBTOTAL(109,'Jul-Sep'!$B92:$AF92)</f>
        <v>0</v>
      </c>
    </row>
    <row r="93" spans="1:33" s="102" customFormat="1" ht="15" customHeight="1">
      <c r="A93" s="106" t="s">
        <v>153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0">
        <f>SUBTOTAL(109,'Jul-Sep'!$B93:$AF93)</f>
        <v>0</v>
      </c>
    </row>
    <row r="94" spans="1:33" s="102" customFormat="1" ht="15" customHeight="1">
      <c r="A94" s="106" t="s">
        <v>154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30">
        <f>SUBTOTAL(109,'Jul-Sep'!$B94:$AF94)</f>
        <v>0</v>
      </c>
    </row>
    <row r="95" spans="1:33" s="102" customFormat="1" ht="15" customHeight="1">
      <c r="A95" s="106" t="s">
        <v>155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0">
        <f>SUBTOTAL(109,'Jul-Sep'!$B95:$AF95)</f>
        <v>0</v>
      </c>
    </row>
    <row r="96" spans="1:33" s="102" customFormat="1" ht="15" customHeight="1">
      <c r="A96" s="106" t="s">
        <v>156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30">
        <f>SUBTOTAL(109,'Jul-Sep'!$B96:$AF96)</f>
        <v>0</v>
      </c>
    </row>
    <row r="97" spans="1:33" s="102" customFormat="1" ht="15" customHeight="1">
      <c r="A97" s="106" t="s">
        <v>157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30">
        <f>SUBTOTAL(109,'Jul-Sep'!$B97:$AF97)</f>
        <v>0</v>
      </c>
    </row>
    <row r="98" spans="1:33" s="102" customFormat="1" ht="15" customHeight="1">
      <c r="A98" s="106" t="s">
        <v>158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30">
        <f>SUBTOTAL(109,'Jul-Sep'!$B98:$AF98)</f>
        <v>0</v>
      </c>
    </row>
    <row r="99" spans="1:33" s="102" customFormat="1" ht="15" customHeight="1">
      <c r="A99" s="106" t="s">
        <v>159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30">
        <f>SUBTOTAL(109,'Jul-Sep'!$B99:$AF99)</f>
        <v>0</v>
      </c>
    </row>
    <row r="100" spans="1:33" s="102" customFormat="1" ht="15" customHeight="1">
      <c r="A100" s="106" t="s">
        <v>160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30">
        <f>SUBTOTAL(109,'Jul-Sep'!$B100:$AF100)</f>
        <v>0</v>
      </c>
    </row>
    <row r="101" spans="1:33" s="102" customFormat="1" ht="15" customHeight="1">
      <c r="A101" s="106" t="s">
        <v>161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30">
        <f>SUBTOTAL(109,'Jul-Sep'!$B101:$AF101)</f>
        <v>0</v>
      </c>
    </row>
    <row r="102" spans="1:33" s="102" customFormat="1" ht="15" customHeight="1">
      <c r="A102" s="106" t="s">
        <v>162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30">
        <f>SUBTOTAL(109,'Jul-Sep'!$B102:$AF102)</f>
        <v>0</v>
      </c>
    </row>
    <row r="103" spans="1:33" s="102" customFormat="1" ht="15" customHeight="1">
      <c r="A103" s="106" t="s">
        <v>162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30">
        <f>SUBTOTAL(109,'Jul-Sep'!$B103:$AF103)</f>
        <v>0</v>
      </c>
    </row>
    <row r="104" spans="1:33" s="102" customFormat="1" ht="15" customHeight="1">
      <c r="A104" s="106" t="s">
        <v>162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30">
        <f>SUBTOTAL(109,'Jul-Sep'!$B104:$AF104)</f>
        <v>0</v>
      </c>
    </row>
    <row r="105" spans="1:33" s="102" customFormat="1" ht="15" customHeight="1">
      <c r="A105" s="106" t="s">
        <v>162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30">
        <f>SUBTOTAL(109,'Jul-Sep'!$B105:$AF105)</f>
        <v>0</v>
      </c>
    </row>
    <row r="106" spans="1:33" s="102" customFormat="1" ht="15" customHeight="1">
      <c r="A106" s="106" t="s">
        <v>162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0">
        <f>SUBTOTAL(109,'Jul-Sep'!$B106:$AF106)</f>
        <v>0</v>
      </c>
    </row>
    <row r="107" spans="1:33" ht="15" customHeight="1">
      <c r="A107" s="15" t="str">
        <f>A74&amp;" Total"</f>
        <v>September Total</v>
      </c>
      <c r="B107" s="38">
        <f>SUBTOTAL(103,tblSeptember[1])</f>
        <v>0</v>
      </c>
      <c r="C107" s="38">
        <f>SUBTOTAL(103,tblSeptember[2])</f>
        <v>0</v>
      </c>
      <c r="D107" s="38">
        <f>SUBTOTAL(103,tblSeptember[3])</f>
        <v>0</v>
      </c>
      <c r="E107" s="38">
        <f>SUBTOTAL(103,tblSeptember[4])</f>
        <v>0</v>
      </c>
      <c r="F107" s="38">
        <f>SUBTOTAL(103,tblSeptember[5])</f>
        <v>0</v>
      </c>
      <c r="G107" s="38">
        <f>SUBTOTAL(103,tblSeptember[6])</f>
        <v>0</v>
      </c>
      <c r="H107" s="38">
        <f>SUBTOTAL(103,tblSeptember[7])</f>
        <v>0</v>
      </c>
      <c r="I107" s="38">
        <f>SUBTOTAL(103,tblSeptember[8])</f>
        <v>0</v>
      </c>
      <c r="J107" s="38">
        <f>SUBTOTAL(103,tblSeptember[9])</f>
        <v>0</v>
      </c>
      <c r="K107" s="38">
        <f>SUBTOTAL(103,tblSeptember[10])</f>
        <v>0</v>
      </c>
      <c r="L107" s="38">
        <f>SUBTOTAL(103,tblSeptember[11])</f>
        <v>0</v>
      </c>
      <c r="M107" s="38">
        <f>SUBTOTAL(103,tblSeptember[12])</f>
        <v>0</v>
      </c>
      <c r="N107" s="38">
        <f>SUBTOTAL(103,tblSeptember[13])</f>
        <v>0</v>
      </c>
      <c r="O107" s="38">
        <f>SUBTOTAL(103,tblSeptember[14])</f>
        <v>0</v>
      </c>
      <c r="P107" s="38">
        <f>SUBTOTAL(103,tblSeptember[15])</f>
        <v>0</v>
      </c>
      <c r="Q107" s="38">
        <f>SUBTOTAL(103,tblSeptember[16])</f>
        <v>0</v>
      </c>
      <c r="R107" s="38">
        <f>SUBTOTAL(103,tblSeptember[17])</f>
        <v>0</v>
      </c>
      <c r="S107" s="38">
        <f>SUBTOTAL(103,tblSeptember[18])</f>
        <v>0</v>
      </c>
      <c r="T107" s="38">
        <f>SUBTOTAL(103,tblSeptember[19])</f>
        <v>0</v>
      </c>
      <c r="U107" s="38">
        <f>SUBTOTAL(103,tblSeptember[20])</f>
        <v>0</v>
      </c>
      <c r="V107" s="38">
        <f>SUBTOTAL(103,tblSeptember[21])</f>
        <v>0</v>
      </c>
      <c r="W107" s="38">
        <f>SUBTOTAL(103,tblSeptember[22])</f>
        <v>0</v>
      </c>
      <c r="X107" s="38">
        <f>SUBTOTAL(103,tblSeptember[23])</f>
        <v>0</v>
      </c>
      <c r="Y107" s="38">
        <f>SUBTOTAL(103,tblSeptember[24])</f>
        <v>0</v>
      </c>
      <c r="Z107" s="38">
        <f>SUBTOTAL(103,tblSeptember[25])</f>
        <v>0</v>
      </c>
      <c r="AA107" s="38">
        <f>SUBTOTAL(103,tblSeptember[26])</f>
        <v>0</v>
      </c>
      <c r="AB107" s="38">
        <f>SUBTOTAL(103,tblSeptember[27])</f>
        <v>0</v>
      </c>
      <c r="AC107" s="38">
        <f>SUBTOTAL(103,tblSeptember[28])</f>
        <v>0</v>
      </c>
      <c r="AD107" s="38">
        <f>SUBTOTAL(103,tblSeptember[29])</f>
        <v>0</v>
      </c>
      <c r="AE107" s="38">
        <f>SUBTOTAL(109,tblSeptember[30])</f>
        <v>0</v>
      </c>
      <c r="AF107" s="38"/>
      <c r="AG107" s="39">
        <f>SUBTOTAL(109,tblSeptember[Total Hours])</f>
        <v>0</v>
      </c>
    </row>
  </sheetData>
  <mergeCells count="10">
    <mergeCell ref="A74:A75"/>
    <mergeCell ref="B74:AF74"/>
    <mergeCell ref="AG74:AG75"/>
    <mergeCell ref="A2:A3"/>
    <mergeCell ref="B2:AF2"/>
    <mergeCell ref="AG2:AG3"/>
    <mergeCell ref="A36:AG36"/>
    <mergeCell ref="A39:A40"/>
    <mergeCell ref="B39:AF39"/>
    <mergeCell ref="AG39:AG40"/>
  </mergeCells>
  <phoneticPr fontId="12" type="noConversion"/>
  <conditionalFormatting sqref="B5:AF34">
    <cfRule type="expression" priority="25" stopIfTrue="1">
      <formula>B5=""</formula>
    </cfRule>
  </conditionalFormatting>
  <conditionalFormatting sqref="B5:AF34">
    <cfRule type="expression" dxfId="330" priority="26" stopIfTrue="1">
      <formula>B5=KeyCustom2</formula>
    </cfRule>
    <cfRule type="expression" dxfId="329" priority="27" stopIfTrue="1">
      <formula>B5=KeyCustom1</formula>
    </cfRule>
    <cfRule type="expression" dxfId="328" priority="28" stopIfTrue="1">
      <formula>B5=KeySick</formula>
    </cfRule>
    <cfRule type="expression" dxfId="327" priority="29" stopIfTrue="1">
      <formula>B5=KeyPersonal</formula>
    </cfRule>
    <cfRule type="expression" dxfId="326" priority="30" stopIfTrue="1">
      <formula>B5=KeyVacation</formula>
    </cfRule>
  </conditionalFormatting>
  <conditionalFormatting sqref="B42:AF71">
    <cfRule type="expression" priority="18" stopIfTrue="1">
      <formula>B42=""</formula>
    </cfRule>
  </conditionalFormatting>
  <conditionalFormatting sqref="B42:AF71">
    <cfRule type="expression" dxfId="325" priority="19" stopIfTrue="1">
      <formula>B42=KeyCustom2</formula>
    </cfRule>
    <cfRule type="expression" dxfId="324" priority="20" stopIfTrue="1">
      <formula>B42=KeyCustom1</formula>
    </cfRule>
    <cfRule type="expression" dxfId="323" priority="21" stopIfTrue="1">
      <formula>B42=KeySick</formula>
    </cfRule>
    <cfRule type="expression" dxfId="322" priority="22" stopIfTrue="1">
      <formula>B42=KeyPersonal</formula>
    </cfRule>
    <cfRule type="expression" dxfId="321" priority="23" stopIfTrue="1">
      <formula>B42=KeyVacation</formula>
    </cfRule>
  </conditionalFormatting>
  <conditionalFormatting sqref="B77:AF91">
    <cfRule type="expression" priority="11" stopIfTrue="1">
      <formula>B77=""</formula>
    </cfRule>
  </conditionalFormatting>
  <conditionalFormatting sqref="B77:AF91">
    <cfRule type="expression" dxfId="320" priority="12" stopIfTrue="1">
      <formula>B77=KeyCustom2</formula>
    </cfRule>
    <cfRule type="expression" dxfId="319" priority="13" stopIfTrue="1">
      <formula>B77=KeyCustom1</formula>
    </cfRule>
    <cfRule type="expression" dxfId="318" priority="14" stopIfTrue="1">
      <formula>B77=KeySick</formula>
    </cfRule>
    <cfRule type="expression" dxfId="317" priority="15" stopIfTrue="1">
      <formula>B77=KeyPersonal</formula>
    </cfRule>
    <cfRule type="expression" dxfId="316" priority="16" stopIfTrue="1">
      <formula>B77=KeyVacation</formula>
    </cfRule>
  </conditionalFormatting>
  <conditionalFormatting sqref="AG5:AG34">
    <cfRule type="dataBar" priority="10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{E29C8D6D-E471-4B76-82B1-3ABE4CB8E607}</x14:id>
        </ext>
      </extLst>
    </cfRule>
  </conditionalFormatting>
  <conditionalFormatting sqref="AG42:AG71">
    <cfRule type="dataBar" priority="9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{11110A50-E762-4B70-8A2C-D71B9D92285E}</x14:id>
        </ext>
      </extLst>
    </cfRule>
  </conditionalFormatting>
  <conditionalFormatting sqref="AG77:AG91">
    <cfRule type="dataBar" priority="8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{5D0B1DBA-AC64-443B-BB04-186489D1B408}</x14:id>
        </ext>
      </extLst>
    </cfRule>
  </conditionalFormatting>
  <conditionalFormatting sqref="B92:AF106">
    <cfRule type="expression" priority="2" stopIfTrue="1">
      <formula>B92=""</formula>
    </cfRule>
  </conditionalFormatting>
  <conditionalFormatting sqref="B92:AF106">
    <cfRule type="expression" dxfId="315" priority="3" stopIfTrue="1">
      <formula>B92=KeyCustom2</formula>
    </cfRule>
    <cfRule type="expression" dxfId="314" priority="4" stopIfTrue="1">
      <formula>B92=KeyCustom1</formula>
    </cfRule>
    <cfRule type="expression" dxfId="313" priority="5" stopIfTrue="1">
      <formula>B92=KeySick</formula>
    </cfRule>
    <cfRule type="expression" dxfId="312" priority="6" stopIfTrue="1">
      <formula>B92=KeyPersonal</formula>
    </cfRule>
    <cfRule type="expression" dxfId="311" priority="7" stopIfTrue="1">
      <formula>B92=KeyVacation</formula>
    </cfRule>
  </conditionalFormatting>
  <conditionalFormatting sqref="AG92:AG106">
    <cfRule type="dataBar" priority="1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{2077CE8B-3C5A-42C7-99AF-2890E051BF1B}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9C8D6D-E471-4B76-82B1-3ABE4CB8E607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AG5:AG34</xm:sqref>
        </x14:conditionalFormatting>
        <x14:conditionalFormatting xmlns:xm="http://schemas.microsoft.com/office/excel/2006/main">
          <x14:cfRule type="dataBar" id="{11110A50-E762-4B70-8A2C-D71B9D92285E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AG42:AG71</xm:sqref>
        </x14:conditionalFormatting>
        <x14:conditionalFormatting xmlns:xm="http://schemas.microsoft.com/office/excel/2006/main">
          <x14:cfRule type="dataBar" id="{5D0B1DBA-AC64-443B-BB04-186489D1B408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AG77:AG91</xm:sqref>
        </x14:conditionalFormatting>
        <x14:conditionalFormatting xmlns:xm="http://schemas.microsoft.com/office/excel/2006/main">
          <x14:cfRule type="dataBar" id="{2077CE8B-3C5A-42C7-99AF-2890E051BF1B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AG92:AG106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epared. xmlns="ca2b2126-5640-4e07-a7e1-e5eb0142642e" xsi:nil="true"/>
    <EriCOLLCategoryTaxHTField0 xmlns="ca2b2126-5640-4e07-a7e1-e5eb0142642e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053fcc88-ab49-4f69-87df-fc64cb0bf305</TermId>
        </TermInfo>
      </Terms>
    </EriCOLLCategoryTaxHTField0>
    <EriCOLLOrganizationUnitTaxHTField0 xmlns="ca2b2126-5640-4e07-a7e1-e5eb0142642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GSO GSC CN China (Old)</TermName>
          <TermId xmlns="http://schemas.microsoft.com/office/infopath/2007/PartnerControls">342d7e96-414a-4100-b630-2f26a2ee7467</TermId>
        </TermInfo>
        <TermInfo xmlns="http://schemas.microsoft.com/office/infopath/2007/PartnerControls">
          <TermName xmlns="http://schemas.microsoft.com/office/infopath/2007/PartnerControls">BUGS GSO GSC CN CD OBS ＆ MA (Old)</TermName>
          <TermId xmlns="http://schemas.microsoft.com/office/infopath/2007/PartnerControls">6779e63f-20ef-4068-86dd-146d8c7bd35d</TermId>
        </TermInfo>
      </Terms>
    </EriCOLLOrganizationUnitTaxHTField0>
    <EriCOLLProcessTaxHTField0 xmlns="ca2b2126-5640-4e07-a7e1-e5eb0142642e">
      <Terms xmlns="http://schemas.microsoft.com/office/infopath/2007/PartnerControls"/>
    </EriCOLLProcessTaxHTField0>
    <TaxCatchAll xmlns="08b2df90-05d3-4030-90d4-c9feeb4a1cd9">
      <Value>3</Value>
      <Value>2</Value>
      <Value>1</Value>
    </TaxCatchAll>
    <EriCOLLCompetenceTaxHTField0 xmlns="ca2b2126-5640-4e07-a7e1-e5eb0142642e">
      <Terms xmlns="http://schemas.microsoft.com/office/infopath/2007/PartnerControls"/>
    </EriCOLLCompetenceTaxHTField0>
    <EriCOLLCountryTaxHTField0 xmlns="ca2b2126-5640-4e07-a7e1-e5eb0142642e">
      <Terms xmlns="http://schemas.microsoft.com/office/infopath/2007/PartnerControls"/>
    </EriCOLLCountryTaxHTField0>
    <AbstractOrSummary. xmlns="ca2b2126-5640-4e07-a7e1-e5eb0142642e" xsi:nil="true"/>
    <TaxKeywordTaxHTField xmlns="08b2df90-05d3-4030-90d4-c9feeb4a1cd9">
      <Terms xmlns="http://schemas.microsoft.com/office/infopath/2007/PartnerControls"/>
    </TaxKeywordTaxHTField>
    <EriCOLLProductsTaxHTField0 xmlns="ca2b2126-5640-4e07-a7e1-e5eb0142642e">
      <Terms xmlns="http://schemas.microsoft.com/office/infopath/2007/PartnerControls"/>
    </EriCOLLProductsTaxHTField0>
    <EriCOLLDate. xmlns="ca2b2126-5640-4e07-a7e1-e5eb0142642e" xsi:nil="true"/>
    <EriCOLLCustomerTaxHTField0 xmlns="08b2df90-05d3-4030-90d4-c9feeb4a1cd9">
      <Terms xmlns="http://schemas.microsoft.com/office/infopath/2007/PartnerControls"/>
    </EriCOLLCustomerTaxHTField0>
    <EriCOLLProjectsTaxHTField0 xmlns="ca2b2126-5640-4e07-a7e1-e5eb0142642e">
      <Terms xmlns="http://schemas.microsoft.com/office/infopath/2007/PartnerControls"/>
    </EriCOLLProjectsTaxHTField0>
    <_dlc_DocId xmlns="08b2df90-05d3-4030-90d4-c9feeb4a1cd9">RJFS2ZZKPEKW-2-467</_dlc_DocId>
    <_dlc_DocIdUrl xmlns="08b2df90-05d3-4030-90d4-c9feeb4a1cd9">
      <Url>https://ericoll.internal.ericsson.com/sites/GSC-C_SCC/_layouts/DocIdRedir.aspx?ID=RJFS2ZZKPEKW-2-467</Url>
      <Description>RJFS2ZZKPEKW-2-467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7387F15682D9BA45A5DF7120FCD2CAA7" ma:contentTypeVersion="3" ma:contentTypeDescription="EriCOLL Document Content Type" ma:contentTypeScope="" ma:versionID="bb97df533aff44f78a5050a676f7af84">
  <xsd:schema xmlns:xsd="http://www.w3.org/2001/XMLSchema" xmlns:xs="http://www.w3.org/2001/XMLSchema" xmlns:p="http://schemas.microsoft.com/office/2006/metadata/properties" xmlns:ns2="08b2df90-05d3-4030-90d4-c9feeb4a1cd9" xmlns:ns3="ca2b2126-5640-4e07-a7e1-e5eb0142642e" targetNamespace="http://schemas.microsoft.com/office/2006/metadata/properties" ma:root="true" ma:fieldsID="904837f90dbeec9a361e9f090e5f3da4" ns2:_="" ns3:_="">
    <xsd:import namespace="08b2df90-05d3-4030-90d4-c9feeb4a1cd9"/>
    <xsd:import namespace="ca2b2126-5640-4e07-a7e1-e5eb014264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description="" ma:hidden="true" ma:list="{b649b20f-62fb-42e6-a920-641f6684aae9}" ma:internalName="TaxCatchAll" ma:showField="CatchAllData" ma:web="ca2b2126-5640-4e07-a7e1-e5eb01426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description="" ma:hidden="true" ma:list="{b649b20f-62fb-42e6-a920-641f6684aae9}" ma:internalName="TaxCatchAllLabel" ma:readOnly="true" ma:showField="CatchAllDataLabel" ma:web="ca2b2126-5640-4e07-a7e1-e5eb01426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default="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b2126-5640-4e07-a7e1-e5eb0142642e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default="1;#Development|053fcc88-ab49-4f69-87df-fc64cb0bf305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default="2;#BUGS GSO GSC CN China (Old)|342d7e96-414a-4100-b630-2f26a2ee7467;#3;#BUGS GSO GSC CN CD OBS ＆ MA (Old)|6779e63f-20ef-4068-86dd-146d8c7bd35d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default="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default="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default="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default="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Props1.xml><?xml version="1.0" encoding="utf-8"?>
<ds:datastoreItem xmlns:ds="http://schemas.openxmlformats.org/officeDocument/2006/customXml" ds:itemID="{6EF0852C-E72D-4BE5-B65A-69E38A439060}">
  <ds:schemaRefs>
    <ds:schemaRef ds:uri="http://schemas.microsoft.com/office/2006/metadata/properties"/>
    <ds:schemaRef ds:uri="http://schemas.microsoft.com/office/infopath/2007/PartnerControls"/>
    <ds:schemaRef ds:uri="ca2b2126-5640-4e07-a7e1-e5eb0142642e"/>
    <ds:schemaRef ds:uri="08b2df90-05d3-4030-90d4-c9feeb4a1cd9"/>
  </ds:schemaRefs>
</ds:datastoreItem>
</file>

<file path=customXml/itemProps2.xml><?xml version="1.0" encoding="utf-8"?>
<ds:datastoreItem xmlns:ds="http://schemas.openxmlformats.org/officeDocument/2006/customXml" ds:itemID="{23A61822-3743-4424-BDEF-7816580BE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51DD8-FCA9-452C-857C-496E9644407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789EDEF-E529-4B86-A751-B1ECBC404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ca2b2126-5640-4e07-a7e1-e5eb0142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66AAA992-034B-4243-96D3-CD1FD4E4E18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Database</vt:lpstr>
      <vt:lpstr>OT_Jan-Mar</vt:lpstr>
      <vt:lpstr>OT_Apr-Jun</vt:lpstr>
      <vt:lpstr>OT_Jul-Sep</vt:lpstr>
      <vt:lpstr>OT_Oct-Dec</vt:lpstr>
      <vt:lpstr>Summary</vt:lpstr>
      <vt:lpstr>Jan-Mar</vt:lpstr>
      <vt:lpstr>Apr-Jun</vt:lpstr>
      <vt:lpstr>Jul-Sep</vt:lpstr>
      <vt:lpstr>Oct-Dec</vt:lpstr>
      <vt:lpstr>CalendarYear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'Apr-Jun'!MonthName</vt:lpstr>
      <vt:lpstr>'Jan-Mar'!MonthName</vt:lpstr>
      <vt:lpstr>'Jul-Sep'!MonthName</vt:lpstr>
      <vt:lpstr>'Oct-Dec'!MonthName</vt:lpstr>
      <vt:lpstr>'Apr-Jun'!Print_Titles</vt:lpstr>
      <vt:lpstr>'Jan-Mar'!Print_Titles</vt:lpstr>
      <vt:lpstr>'Jul-Sep'!Print_Titles</vt:lpstr>
      <vt:lpstr>'Oct-Dec'!Print_Titles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Rachel Nie</dc:creator>
  <cp:keywords/>
  <cp:lastModifiedBy>Yue He</cp:lastModifiedBy>
  <dcterms:created xsi:type="dcterms:W3CDTF">2015-08-27T21:55:46Z</dcterms:created>
  <dcterms:modified xsi:type="dcterms:W3CDTF">2017-06-22T06:12:04Z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0x010100BB337192E63E44A7A744CE7393F41F4E007387F15682D9BA45A5DF7120FCD2CAA7</vt:lpwstr>
  </property>
  <property fmtid="{D5CDD505-2E9C-101B-9397-08002B2CF9AE}" pid="3" name="_dlc_DocIdItemGuid">
    <vt:lpwstr>0fbecc28-c7c9-4a9a-84d5-c0567e901b8e</vt:lpwstr>
  </property>
  <property fmtid="{D5CDD505-2E9C-101B-9397-08002B2CF9AE}" pid="4" name="EriCOLLCategory">
    <vt:lpwstr>1;#Development|053fcc88-ab49-4f69-87df-fc64cb0bf305</vt:lpwstr>
  </property>
  <property fmtid="{D5CDD505-2E9C-101B-9397-08002B2CF9AE}" pid="5" name="EriCOLLProjects">
    <vt:lpwstr/>
  </property>
  <property fmtid="{D5CDD505-2E9C-101B-9397-08002B2CF9AE}" pid="6" name="TaxKeyword">
    <vt:lpwstr/>
  </property>
  <property fmtid="{D5CDD505-2E9C-101B-9397-08002B2CF9AE}" pid="7" name="EriCOLLCountry">
    <vt:lpwstr/>
  </property>
  <property fmtid="{D5CDD505-2E9C-101B-9397-08002B2CF9AE}" pid="8" name="EriCOLLCompetence">
    <vt:lpwstr/>
  </property>
  <property fmtid="{D5CDD505-2E9C-101B-9397-08002B2CF9AE}" pid="9" name="EriCOLLProcess">
    <vt:lpwstr/>
  </property>
  <property fmtid="{D5CDD505-2E9C-101B-9397-08002B2CF9AE}" pid="10" name="EriCOLLOrganizationUnit">
    <vt:lpwstr>2;#BUGS GSO GSC CN China (Old)|342d7e96-414a-4100-b630-2f26a2ee7467;#3;#BUGS GSO GSC CN CD OBS ＆ MA (Old)|6779e63f-20ef-4068-86dd-146d8c7bd35d</vt:lpwstr>
  </property>
  <property fmtid="{D5CDD505-2E9C-101B-9397-08002B2CF9AE}" pid="11" name="EriCOLLCustomer">
    <vt:lpwstr/>
  </property>
  <property fmtid="{D5CDD505-2E9C-101B-9397-08002B2CF9AE}" pid="12" name="EriCOLLProducts">
    <vt:lpwstr/>
  </property>
  <property fmtid="{D5CDD505-2E9C-101B-9397-08002B2CF9AE}" pid="13" name="WorkbookGuid">
    <vt:lpwstr>f4c085b8-ae0d-4ce8-b501-b628c378c311</vt:lpwstr>
  </property>
</Properties>
</file>